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chartsheets/sheet2.xml" ContentType="application/vnd.openxmlformats-officedocument.spreadsheetml.chartsheet+xml"/>
  <Override PartName="/xl/dialogsheets/sheet1.xml" ContentType="application/vnd.openxmlformats-officedocument.spreadsheetml.dialogsheet+xml"/>
  <Override PartName="/xl/dialogsheets/sheet2.xml" ContentType="application/vnd.openxmlformats-officedocument.spreadsheetml.dialogsheet+xml"/>
  <Override PartName="/xl/dialogsheets/sheet3.xml" ContentType="application/vnd.openxmlformats-officedocument.spreadsheetml.dialog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14.xml" ContentType="application/vnd.openxmlformats-officedocument.spreadsheetml.worksheet+xml"/>
  <Override PartName="/xl/chartsheets/sheet7.xml" ContentType="application/vnd.openxmlformats-officedocument.spreadsheetml.chartsheet+xml"/>
  <Override PartName="/xl/dialogsheets/sheet4.xml" ContentType="application/vnd.openxmlformats-officedocument.spreadsheetml.dialogsheet+xml"/>
  <Override PartName="/xl/dialogsheets/sheet5.xml" ContentType="application/vnd.openxmlformats-officedocument.spreadsheetml.dialog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trlProps/ctrlProp8.xml" ContentType="application/vnd.ms-excel.controlproperties+xml"/>
  <Override PartName="/xl/drawings/drawing6.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drawings/drawing7.xml" ContentType="application/vnd.openxmlformats-officedocument.drawing+xml"/>
  <Override PartName="/xl/ctrlProps/ctrlProp12.xml" ContentType="application/vnd.ms-excel.controlproperties+xml"/>
  <Override PartName="/xl/drawings/drawing8.xml" ContentType="application/vnd.openxmlformats-officedocument.drawing+xml"/>
  <Override PartName="/xl/ctrlProps/ctrlProp13.xml" ContentType="application/vnd.ms-excel.controlproperties+xml"/>
  <Override PartName="/xl/drawings/drawing9.xml" ContentType="application/vnd.openxmlformats-officedocument.drawing+xml"/>
  <Override PartName="/xl/ctrlProps/ctrlProp14.xml" ContentType="application/vnd.ms-excel.controlproperties+xml"/>
  <Override PartName="/xl/drawings/drawing10.xml" ContentType="application/vnd.openxmlformats-officedocument.drawing+xml"/>
  <Override PartName="/xl/charts/chart2.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3.xml" ContentType="application/vnd.openxmlformats-officedocument.drawingml.chart+xml"/>
  <Override PartName="/xl/drawings/drawing13.xml" ContentType="application/vnd.openxmlformats-officedocument.drawingml.chartshapes+xml"/>
  <Override PartName="/xl/drawings/drawing14.xml" ContentType="application/vnd.openxmlformats-officedocument.drawing+xml"/>
  <Override PartName="/xl/charts/chart4.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5.xml" ContentType="application/vnd.openxmlformats-officedocument.drawingml.chart+xml"/>
  <Override PartName="/xl/drawings/drawing17.xml" ContentType="application/vnd.openxmlformats-officedocument.drawingml.chartshapes+xml"/>
  <Override PartName="/xl/drawings/drawing18.xml" ContentType="application/vnd.openxmlformats-officedocument.drawing+xml"/>
  <Override PartName="/xl/charts/chart6.xml" ContentType="application/vnd.openxmlformats-officedocument.drawingml.chart+xml"/>
  <Override PartName="/xl/drawings/drawing19.xml" ContentType="application/vnd.openxmlformats-officedocument.drawingml.chartshapes+xml"/>
  <Override PartName="/xl/drawings/drawing20.xml" ContentType="application/vnd.openxmlformats-officedocument.drawing+xml"/>
  <Override PartName="/xl/ctrlProps/ctrlProp15.xml" ContentType="application/vnd.ms-excel.controlproperties+xml"/>
  <Override PartName="/xl/drawings/drawing21.xml" ContentType="application/vnd.openxmlformats-officedocument.drawing+xml"/>
  <Override PartName="/xl/charts/chart7.xml" ContentType="application/vnd.openxmlformats-officedocument.drawingml.chart+xml"/>
  <Override PartName="/xl/drawings/drawing2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aveExternalLinkValues="0" defaultThemeVersion="153222"/>
  <mc:AlternateContent xmlns:mc="http://schemas.openxmlformats.org/markup-compatibility/2006">
    <mc:Choice Requires="x15">
      <x15ac:absPath xmlns:x15ac="http://schemas.microsoft.com/office/spreadsheetml/2010/11/ac" url="C:\A-work\Teaching\Classes\TSM\TSM464\etp_ps (E)\Ch16\"/>
    </mc:Choice>
  </mc:AlternateContent>
  <workbookProtection workbookPassword="C526" lockStructure="1"/>
  <bookViews>
    <workbookView showHorizontalScroll="0" xWindow="-30" yWindow="0" windowWidth="11835" windowHeight="6555" tabRatio="941" activeTab="22"/>
  </bookViews>
  <sheets>
    <sheet name="tracperf" sheetId="1" r:id="rId1"/>
    <sheet name="Tracperf_SI" sheetId="2" r:id="rId2"/>
    <sheet name="Summary" sheetId="3" r:id="rId3"/>
    <sheet name="SummaryChart" sheetId="4" r:id="rId4"/>
    <sheet name="Help" sheetId="5" r:id="rId5"/>
    <sheet name="tractor" sheetId="6" state="hidden" r:id="rId6"/>
    <sheet name="tire" sheetId="7" state="hidden" r:id="rId7"/>
    <sheet name="MY_OWN" sheetId="8" r:id="rId8"/>
    <sheet name="AGCO" sheetId="9" state="hidden" r:id="rId9"/>
    <sheet name="DEERE" sheetId="10" state="hidden" r:id="rId10"/>
    <sheet name="CASE" sheetId="11" state="hidden" r:id="rId11"/>
    <sheet name="NEW_HOLLAND" sheetId="12" state="hidden" r:id="rId12"/>
    <sheet name="MF" sheetId="13" state="hidden" r:id="rId13"/>
    <sheet name="OTHERS" sheetId="14" state="hidden" r:id="rId14"/>
    <sheet name="Axle Power Distribution" sheetId="15" r:id="rId15"/>
    <sheet name="Dialog1" sheetId="20" state="hidden" r:id="rId16"/>
    <sheet name="Dialog3" sheetId="21" state="hidden" r:id="rId17"/>
    <sheet name="Dialog5" sheetId="22" state="hidden" r:id="rId18"/>
    <sheet name="EQUATION, NTR" sheetId="23" r:id="rId19"/>
    <sheet name="LOSSES, NTR" sheetId="24" r:id="rId20"/>
    <sheet name="LOSSES, GTR" sheetId="25" state="hidden" r:id="rId21"/>
    <sheet name="EQUATION, SLIP" sheetId="26" r:id="rId22"/>
    <sheet name="Intro" sheetId="27" r:id="rId23"/>
    <sheet name="EQUATION, GTR" sheetId="28" state="hidden" r:id="rId24"/>
    <sheet name="Dialog2" sheetId="29" state="hidden" r:id="rId25"/>
    <sheet name="Dialog4" sheetId="30" state="hidden" r:id="rId26"/>
  </sheets>
  <definedNames>
    <definedName name="\e" localSheetId="8">tracperf!#REF!</definedName>
    <definedName name="\e">tracperf!#REF!</definedName>
    <definedName name="\h" localSheetId="8">tracperf!#REF!</definedName>
    <definedName name="\h">tracperf!#REF!</definedName>
    <definedName name="\i">tracperf!$J$96:$J$101</definedName>
    <definedName name="\m" localSheetId="8">tracperf!#REF!</definedName>
    <definedName name="\m">tracperf!#REF!</definedName>
    <definedName name="\p" localSheetId="8">tracperf!#REF!</definedName>
    <definedName name="\p">tracperf!#REF!</definedName>
    <definedName name="\r" localSheetId="8">tracperf!#REF!</definedName>
    <definedName name="\r">tracperf!#REF!</definedName>
    <definedName name="\s" localSheetId="8">tracperf!#REF!</definedName>
    <definedName name="\s">tracperf!#REF!</definedName>
    <definedName name="\v" localSheetId="8">tracperf!#REF!</definedName>
    <definedName name="\v">tracperf!#REF!</definedName>
    <definedName name="\x" localSheetId="8">tracperf!#REF!</definedName>
    <definedName name="\x">tracperf!#REF!</definedName>
    <definedName name="\z" localSheetId="8">tracperf!#REF!</definedName>
    <definedName name="\z">tracperf!#REF!</definedName>
    <definedName name="__123Graph_A" hidden="1">tracperf!$BX$8:$BX$35</definedName>
    <definedName name="_1__123Graph_AEQUATION_TORQUE" hidden="1">tracperf!$BX$8:$BX$35</definedName>
    <definedName name="_2__123Graph_AEQUATION__P_W" hidden="1">tracperf!$BX$8:$BX$35</definedName>
    <definedName name="_3__123Graph_AEQUATION__SLIP" hidden="1">tracperf!$BX$8:$BX$35</definedName>
    <definedName name="_4__123Graph_ALB_HP_MPH_PERF" hidden="1">tracperf!$CA$88:$CA$200</definedName>
    <definedName name="_5__123Graph_ALOSSES_GTR" hidden="1">tracperf!$BX$8:$BX$35</definedName>
    <definedName name="_6__123Graph_ALOSSES_NTR" hidden="1">tracperf!$BX$8:$BX$35</definedName>
    <definedName name="_7__123Graph_APERF_MPH" hidden="1">tracperf!$Z$43:$AN$43</definedName>
    <definedName name="_8__123Graph_APERF_SLIP" hidden="1">tracperf!$Z$43:$AL$43</definedName>
    <definedName name="_9__123Graph_APOWER_DISTR__JD" hidden="1">tracperf!$BM$44:$BM$54</definedName>
    <definedName name="_10__123Graph_AWS_P_RATIO" hidden="1">tracperf!$Z$45:$AN$45</definedName>
    <definedName name="__123Graph_AWSP" hidden="1">tracperf!$BU$44:$BU$84</definedName>
    <definedName name="__123Graph_B" hidden="1">tracperf!$CK$8:$CK$32</definedName>
    <definedName name="_11__123Graph_BEQUATION_TORQUE" hidden="1">tracperf!$BW$8:$BW$35</definedName>
    <definedName name="_12__123Graph_BEQUATION__P_W" hidden="1">tracperf!$BU$8:$BU$35</definedName>
    <definedName name="_13__123Graph_BEQUATION__SLIP" hidden="1">tracperf!$BW$8:$BW$35</definedName>
    <definedName name="_14__123Graph_BLB_HP_MPH_PERF" hidden="1">tracperf!$BY$88:$BY$200</definedName>
    <definedName name="_15__123Graph_BLOSSES_GTR" hidden="1">tracperf!$CK$8:$CK$32</definedName>
    <definedName name="_16__123Graph_BLOSSES_NTR" hidden="1">tracperf!$CK$8:$CK$32</definedName>
    <definedName name="_17__123Graph_BPERF_MPH" hidden="1">tracperf!$Z$44:$AN$44</definedName>
    <definedName name="_18__123Graph_BPERF_SLIP" hidden="1">tracperf!$Z$44:$AN$44</definedName>
    <definedName name="_19__123Graph_BWS_P_RATIO" hidden="1">tracperf!$Z$44:$AN$44</definedName>
    <definedName name="__123Graph_BWSP" hidden="1">tracperf!$BW$44:$BW$84</definedName>
    <definedName name="_20__123Graph_CEQUATION_TORQUE" hidden="1">tracperf!$BU$8:$BU$35</definedName>
    <definedName name="_21__123Graph_CEQUATION__P_W" hidden="1">tracperf!$BW$8:$BW$32</definedName>
    <definedName name="_22__123Graph_CEQUATION__SLIP" hidden="1">tracperf!$BU$8:$BU$32</definedName>
    <definedName name="_23__123Graph_CLB_HP_MPH_PERF" hidden="1">tracperf!$CA$88:$CA$200</definedName>
    <definedName name="_24__123Graph_CPERF_MPH" hidden="1">tracperf!$Z$51:$AO$51</definedName>
    <definedName name="__123Graph_CWSP" hidden="1">tracperf!$BY$44:$BY$84</definedName>
    <definedName name="__123Graph_D" hidden="1">tracperf!$BY$8:$BY$35</definedName>
    <definedName name="_25__123Graph_DEQUATION_TORQUE" hidden="1">tracperf!$BY$8:$BY$35</definedName>
    <definedName name="_26__123Graph_DEQUATION__P_W" hidden="1">tracperf!$BY$8:$BY$35</definedName>
    <definedName name="_27__123Graph_DLB_HP_MPH_PERF" hidden="1">tracperf!$CA$88:$CA$200</definedName>
    <definedName name="_28__123Graph_DLOSSES_GTR" hidden="1">tracperf!$BY$8:$BY$35</definedName>
    <definedName name="_29__123Graph_DLOSSES_NTR" hidden="1">tracperf!$BY$8:$BY$35</definedName>
    <definedName name="__123Graph_DWSP" hidden="1">tracperf!$CA$44:$CA$84</definedName>
    <definedName name="__123Graph_E" hidden="1">tracperf!$BV$8:$BV$35</definedName>
    <definedName name="_30__123Graph_EEQUATION_TORQUE" hidden="1">tracperf!$BV$8:$BV$35</definedName>
    <definedName name="_31__123Graph_EEQUATION__P_W" hidden="1">tracperf!$BV$8:$BV$35</definedName>
    <definedName name="_32__123Graph_EEQUATION__SLIP" hidden="1">tracperf!$BV$8:$BV$35</definedName>
    <definedName name="_33__123Graph_ELB_HP_MPH_PERF" hidden="1">tracperf!$CA$88:$CA$200</definedName>
    <definedName name="_34__123Graph_ELOSSES_GTR" hidden="1">tracperf!$BV$8:$BV$35</definedName>
    <definedName name="_35__123Graph_ELOSSES_NTR" hidden="1">tracperf!$BV$8:$BV$35</definedName>
    <definedName name="__123Graph_EWSP" hidden="1">tracperf!$CC$44:$CC$84</definedName>
    <definedName name="__123Graph_F" hidden="1">tracperf!$CH$8:$CH$34</definedName>
    <definedName name="_36__123Graph_FEQUATION__SLIP" hidden="1">tracperf!$CH$8:$CH$32</definedName>
    <definedName name="_37__123Graph_FLOSSES_GTR" hidden="1">tracperf!$CH$8:$CH$34</definedName>
    <definedName name="_38__123Graph_FLOSSES_NTR" hidden="1">tracperf!$CH$8:$CH$34</definedName>
    <definedName name="__123Graph_FWSP" hidden="1">tracperf!$CF$44:$CF$84</definedName>
    <definedName name="__123Graph_LBL_A" hidden="1">tracperf!$BZ$8:$BZ$32</definedName>
    <definedName name="_39__123Graph_LBL_AEQUATION_TORQUE" hidden="1">tracperf!$BX$7:$BX$7</definedName>
    <definedName name="_40__123Graph_LBL_AEQUATION__P_W" hidden="1">tracperf!$BX$7:$BX$7</definedName>
    <definedName name="_41__123Graph_LBL_AEQUATION__SLIP" hidden="1">tracperf!$BX$7:$BX$7</definedName>
    <definedName name="_42__123Graph_LBL_ALB_HP_MPH_PERF" hidden="1">tracperf!$CB$88:$CB$200</definedName>
    <definedName name="_43__123Graph_LBL_ALOSSES_GTR" hidden="1">tracperf!$BZ$8:$BZ$32</definedName>
    <definedName name="_44__123Graph_LBL_ALOSSES_NTR" hidden="1">tracperf!$BZ$8:$BZ$32</definedName>
    <definedName name="_45__123Graph_LBL_APERF_SLIP" hidden="1">tracperf!$Z$43:$AN$43</definedName>
    <definedName name="_46__123Graph_LBL_AWS_P_RATIO" hidden="1">tracperf!$Z$45:$AN$45</definedName>
    <definedName name="__123Graph_LBL_AWSP" hidden="1">tracperf!$BV$44:$BV$84</definedName>
    <definedName name="__123Graph_LBL_B" hidden="1">tracperf!$CL$8:$CL$32</definedName>
    <definedName name="_47__123Graph_LBL_BEQUATION_TORQUE" hidden="1">tracperf!$CD$8:$CD$35</definedName>
    <definedName name="_48__123Graph_LBL_BEQUATION__P_W" hidden="1">tracperf!$CF$8:$CF$35</definedName>
    <definedName name="_49__123Graph_LBL_BEQUATION__SLIP" hidden="1">tracperf!$CD$8:$CD$35</definedName>
    <definedName name="_50__123Graph_LBL_BLB_HP_MPH_PERF" hidden="1">tracperf!$BT$88:$BT$200</definedName>
    <definedName name="_51__123Graph_LBL_BLOSSES_GTR" hidden="1">tracperf!$CL$8:$CL$32</definedName>
    <definedName name="_52__123Graph_LBL_BLOSSES_NTR" hidden="1">tracperf!$CL$8:$CL$32</definedName>
    <definedName name="_53__123Graph_LBL_BPERF_SLIP" hidden="1">tracperf!$Z$44:$AN$44</definedName>
    <definedName name="_54__123Graph_LBL_BWS_P_RATIO" hidden="1">tracperf!$Z$44:$Z$44</definedName>
    <definedName name="__123Graph_LBL_BWSP" hidden="1">tracperf!$BX$44:$BX$84</definedName>
    <definedName name="_55__123Graph_LBL_CEQUATION_TORQUE" hidden="1">tracperf!$CC$8:$CC$35</definedName>
    <definedName name="_56__123Graph_LBL_CEQUATION__P_W" hidden="1">tracperf!$CC$8:$CC$35</definedName>
    <definedName name="_57__123Graph_LBL_CEQUATION__SLIP" hidden="1">tracperf!$CF$8:$CF$36</definedName>
    <definedName name="_58__123Graph_LBL_CLB_HP_MPH_PERF" hidden="1">tracperf!$CC$88:$CC$200</definedName>
    <definedName name="__123Graph_LBL_CWSP" hidden="1">tracperf!$BZ$44:$BZ$84</definedName>
    <definedName name="__123Graph_LBL_D" hidden="1">tracperf!$BY$7:$BY$7</definedName>
    <definedName name="_59__123Graph_LBL_DEQUATION_TORQUE" hidden="1">tracperf!$BY$7:$BY$7</definedName>
    <definedName name="_60__123Graph_LBL_DEQUATION__P_W" hidden="1">tracperf!$BY$7:$BY$7</definedName>
    <definedName name="_61__123Graph_LBL_DLOSSES_GTR" hidden="1">tracperf!$BY$7:$BY$7</definedName>
    <definedName name="_62__123Graph_LBL_DLOSSES_NTR" hidden="1">tracperf!$BY$7:$BY$7</definedName>
    <definedName name="__123Graph_LBL_DWSP" hidden="1">tracperf!$CB$44:$CB$84</definedName>
    <definedName name="__123Graph_LBL_E" hidden="1">tracperf!$CE$8:$CE$35</definedName>
    <definedName name="_63__123Graph_LBL_EEQUATION_TORQUE" hidden="1">tracperf!$CE$8:$CE$35</definedName>
    <definedName name="_64__123Graph_LBL_EEQUATION__P_W" hidden="1">tracperf!$CE$8:$CE$35</definedName>
    <definedName name="_65__123Graph_LBL_EEQUATION__SLIP" hidden="1">tracperf!$CE$8:$CE$35</definedName>
    <definedName name="_66__123Graph_LBL_ELB_HP_MPH_PERF" hidden="1">tracperf!$CD$88:$CD$200</definedName>
    <definedName name="_67__123Graph_LBL_ELOSSES_GTR" hidden="1">tracperf!$CE$8:$CE$35</definedName>
    <definedName name="_68__123Graph_LBL_ELOSSES_NTR" hidden="1">tracperf!$CE$8:$CE$35</definedName>
    <definedName name="__123Graph_LBL_EWSP" hidden="1">tracperf!$CD$44:$CD$84</definedName>
    <definedName name="__123Graph_LBL_F" hidden="1">tracperf!$CI$8:$CI$34</definedName>
    <definedName name="_69__123Graph_LBL_FEQUATION__SLIP" hidden="1">tracperf!$CI$8:$CI$32</definedName>
    <definedName name="_70__123Graph_LBL_FLOSSES_GTR" hidden="1">tracperf!$CI$8:$CI$34</definedName>
    <definedName name="_71__123Graph_LBL_FLOSSES_NTR" hidden="1">tracperf!$CI$8:$CI$34</definedName>
    <definedName name="__123Graph_LBL_FWSP" hidden="1">tracperf!$CG$44:$CG$84</definedName>
    <definedName name="__123Graph_X" hidden="1">tracperf!$BU$8:$BU$35</definedName>
    <definedName name="_72__123Graph_XEQUATION_TORQUE" hidden="1">tracperf!$BU$8:$BU$35</definedName>
    <definedName name="_73__123Graph_XEQUATION__P_W" hidden="1">tracperf!$BW$8:$BW$35</definedName>
    <definedName name="_74__123Graph_XEQUATION__SLIP" hidden="1">tracperf!$BT$8:$BT$35</definedName>
    <definedName name="_75__123Graph_XLB_HP_MPH_PERF" hidden="1">tracperf!$BV$88:$BV$200</definedName>
    <definedName name="_76__123Graph_XLOSSES_GTR" hidden="1">tracperf!$BU$8:$BU$35</definedName>
    <definedName name="_77__123Graph_XLOSSES_NTR" hidden="1">tracperf!$BW$8:$BW$35</definedName>
    <definedName name="_78__123Graph_XPERF_MPH" hidden="1">tracperf!$Z$20:$AN$20</definedName>
    <definedName name="_79__123Graph_XPERF_SLIP" hidden="1">tracperf!$Z$50:$AN$50</definedName>
    <definedName name="_80__123Graph_XPOWER_DISTR__JD" hidden="1">tracperf!$BL$44:$BL$54</definedName>
    <definedName name="_81__123Graph_XWS_P_RATIO" hidden="1">tracperf!$Z$50:$AN$50</definedName>
    <definedName name="__123Graph_XWSP" hidden="1">tracperf!$BT$44:$BT$84</definedName>
    <definedName name="_Dist_Bin" hidden="1">tracperf!$BL$44:$BL$55</definedName>
    <definedName name="_Dist_Values" hidden="1">tracperf!$BI$11:$BI$102</definedName>
    <definedName name="_Fill" hidden="1">tracperf!$BT$8:$BT$20</definedName>
    <definedName name="_Key1" hidden="1">tracperf!$AR$11</definedName>
    <definedName name="_Order1" hidden="1">255</definedName>
    <definedName name="_Regression_Int" localSheetId="0" hidden="1">1</definedName>
    <definedName name="_Sort" hidden="1">tracperf!$AP$11:$BI$101</definedName>
    <definedName name="addSummary" localSheetId="8">AGCO!addSummary</definedName>
    <definedName name="addSummary" localSheetId="9">DEERE!addSummary</definedName>
    <definedName name="addSummary" localSheetId="7">MY_OWN!addSummary</definedName>
    <definedName name="addSummary">addSummary</definedName>
    <definedName name="AGCO" localSheetId="8">AGCO!$B$7:$V$156</definedName>
    <definedName name="AGCO">#REF!</definedName>
    <definedName name="AGCO_ALLIS___4650_12_SP_______MFWD____40_pto_hp" localSheetId="8">AGCO!$B$7:$V$156</definedName>
    <definedName name="AGCO_ALLIS___4650_12_SP_______MFWD____40_pto_hp">#REF!</definedName>
    <definedName name="AHPF">tracperf!$E$9</definedName>
    <definedName name="AHPR">tracperf!$E$16</definedName>
    <definedName name="ANG">tracperf!$H$6</definedName>
    <definedName name="b.f">tire!$G$16</definedName>
    <definedName name="balanceF">"="</definedName>
    <definedName name="BNF">tracperf!$E$27</definedName>
    <definedName name="BNR">tracperf!$B$27</definedName>
    <definedName name="CASE">CASE!$B$7:$V$156</definedName>
    <definedName name="chassis">tracperf!$I$2</definedName>
    <definedName name="chassisIndex">"="</definedName>
    <definedName name="CI">tracperf!$H$10</definedName>
    <definedName name="clearSummary" localSheetId="8">AGCO!clearSummary</definedName>
    <definedName name="clearSummary" localSheetId="9">DEERE!clearSummary</definedName>
    <definedName name="clearSummary" localSheetId="7">MY_OWN!clearSummary</definedName>
    <definedName name="clearSummary">clearSummary</definedName>
    <definedName name="COEF_0.04F">tracperf!$I$33</definedName>
    <definedName name="COEF_0.04R">tracperf!$H$33</definedName>
    <definedName name="COEF_0.10F">tracperf!$I$31</definedName>
    <definedName name="COEF_0.10R">tracperf!$H$31</definedName>
    <definedName name="COEF_0.18F">tracperf!$I$37</definedName>
    <definedName name="COEF_0.18R">tracperf!$H$37</definedName>
    <definedName name="COEF_0.5F">tracperf!$I$39</definedName>
    <definedName name="COEF_0.5R">tracperf!$H$39</definedName>
    <definedName name="COEF_0.88F">tracperf!$I$30</definedName>
    <definedName name="COEF_0.88R">tracperf!$H$30</definedName>
    <definedName name="COEF_1F">tracperf!$I$34</definedName>
    <definedName name="COEF_1R">tracperf!$H$34</definedName>
    <definedName name="COEF_3F">tracperf!$I$36</definedName>
    <definedName name="COEF_3R">tracperf!$H$36</definedName>
    <definedName name="COEF_5F">tracperf!$I$35</definedName>
    <definedName name="COEF_5R">tracperf!$H$35</definedName>
    <definedName name="COEF_7.5F">tracperf!$I$32</definedName>
    <definedName name="COEF_7.5R">tracperf!$H$32</definedName>
    <definedName name="COEF_9.50F">tracperf!$I$32</definedName>
    <definedName name="COPYRIGHT">#N/A</definedName>
    <definedName name="d.f">tire!$G$15</definedName>
    <definedName name="DATA">tracperf!$J$97:$J$101</definedName>
    <definedName name="_xlnm.Database">tracperf!$AO$11:$AO$102</definedName>
    <definedName name="Database_MI">tracperf!$AO$11:$AO$102</definedName>
    <definedName name="DEERE" localSheetId="7">MY_OWN!$B$7:$V$156</definedName>
    <definedName name="DEERE">DEERE!$B$7:$V$156</definedName>
    <definedName name="delta.f">tire!$G$24</definedName>
    <definedName name="delta.R">tire!$G$24</definedName>
    <definedName name="desiredSlip">"="</definedName>
    <definedName name="DHP">tracperf!$H$20</definedName>
    <definedName name="DIS">tracperf!$H$5</definedName>
    <definedName name="ERRCHECK" localSheetId="8">tracperf!#REF!</definedName>
    <definedName name="ERRCHECK">tracperf!#REF!</definedName>
    <definedName name="F_2_BIAS">tracperf!$J$74:$X$90</definedName>
    <definedName name="FirstBlank">Summary!$E$4</definedName>
    <definedName name="frontTireNumber">tire!$G$35</definedName>
    <definedName name="frontTirePick">tire!$G$36</definedName>
    <definedName name="FWD">tracperf!$E$4</definedName>
    <definedName name="FWD_">tracperf!$E$5</definedName>
    <definedName name="FWS">tracperf!$B$4</definedName>
    <definedName name="GoToInput" localSheetId="8">AGCO!GoToInput</definedName>
    <definedName name="GoToInput" localSheetId="9">DEERE!GoToInput</definedName>
    <definedName name="GoToInput" localSheetId="7">MY_OWN!GoToInput</definedName>
    <definedName name="GoToInput">GoToInput</definedName>
    <definedName name="h.f">tire!$G$23</definedName>
    <definedName name="HELP">tracperf!$A$66:$I$177</definedName>
    <definedName name="HT">tracperf!$H$4</definedName>
    <definedName name="IHP">tracperf!$H$8</definedName>
    <definedName name="InitialSummaryData">Summary!$BE$10:$BW$56</definedName>
    <definedName name="INPRNG">tracperf!$A$1:$I$20</definedName>
    <definedName name="INPRNG2">tracperf!$BK$21:$BS$40</definedName>
    <definedName name="inprng3">tracperf!$AO$11:$AO$102</definedName>
    <definedName name="JD___1250___Manual_Shift___________MFWD____41_pto_hp" localSheetId="7">MY_OWN!$B$7:$V$156</definedName>
    <definedName name="JD___1250___Manual_Shift___________MFWD____41_pto_hp">DEERE!$B$7:$V$156</definedName>
    <definedName name="MACROS" localSheetId="8">tracperf!#REF!</definedName>
    <definedName name="MACROS">tracperf!#REF!</definedName>
    <definedName name="MAIN">tracperf!$A$1:$I$21</definedName>
    <definedName name="make">tracperf!$G$2</definedName>
    <definedName name="MENU" localSheetId="8">tracperf!#REF!</definedName>
    <definedName name="MENU">tracperf!#REF!</definedName>
    <definedName name="MF">MF!$B$7:$V$156</definedName>
    <definedName name="model">tracperf!$H$2</definedName>
    <definedName name="MWF">tracperf!$E$29</definedName>
    <definedName name="MWR">tracperf!$B$29</definedName>
    <definedName name="my_own">MY_OWN!$B$7:$V$156</definedName>
    <definedName name="NEW_HOLLAND">NEW_HOLLAND!$B$7:$V$156</definedName>
    <definedName name="OTHERS">OTHERS!$B$7:$V$156</definedName>
    <definedName name="p.chassis" localSheetId="8">AGCO!#REF!</definedName>
    <definedName name="p.chassis" localSheetId="9">DEERE!#REF!</definedName>
    <definedName name="p.chassis" localSheetId="7">MY_OWN!#REF!</definedName>
    <definedName name="p.chassis" localSheetId="5">tractor!$D$11</definedName>
    <definedName name="p.chassis">#REF!</definedName>
    <definedName name="p.DBht" localSheetId="8">AGCO!#REF!</definedName>
    <definedName name="p.DBht" localSheetId="9">DEERE!#REF!</definedName>
    <definedName name="p.DBht" localSheetId="7">MY_OWN!#REF!</definedName>
    <definedName name="p.DBht" localSheetId="5">tractor!$D$29</definedName>
    <definedName name="p.DBht">#REF!</definedName>
    <definedName name="p.eff" localSheetId="8">AGCO!#REF!</definedName>
    <definedName name="p.eff" localSheetId="9">DEERE!#REF!</definedName>
    <definedName name="p.eff" localSheetId="7">MY_OWN!#REF!</definedName>
    <definedName name="p.eff" localSheetId="5">tractor!$D$31</definedName>
    <definedName name="p.eff">#REF!</definedName>
    <definedName name="p.Fdesig" localSheetId="8">AGCO!#REF!</definedName>
    <definedName name="p.Fdesig" localSheetId="9">DEERE!#REF!</definedName>
    <definedName name="p.Fdesig" localSheetId="7">MY_OWN!#REF!</definedName>
    <definedName name="p.Fdesig" localSheetId="5">tractor!$G$22</definedName>
    <definedName name="p.Fdesig">#REF!</definedName>
    <definedName name="p.Findex" localSheetId="8">AGCO!#REF!</definedName>
    <definedName name="p.Findex" localSheetId="9">DEERE!#REF!</definedName>
    <definedName name="p.Findex" localSheetId="7">MY_OWN!#REF!</definedName>
    <definedName name="p.Findex" localSheetId="5">tractor!$D$22</definedName>
    <definedName name="p.Findex">#REF!</definedName>
    <definedName name="p.FTireNum" localSheetId="8">AGCO!#REF!</definedName>
    <definedName name="p.FTireNum" localSheetId="9">DEERE!#REF!</definedName>
    <definedName name="p.FTireNum" localSheetId="7">MY_OWN!#REF!</definedName>
    <definedName name="p.FTireNum" localSheetId="5">tractor!$F$18</definedName>
    <definedName name="p.make" localSheetId="8">AGCO!#REF!</definedName>
    <definedName name="p.make" localSheetId="9">DEERE!#REF!</definedName>
    <definedName name="p.make" localSheetId="7">MY_OWN!#REF!</definedName>
    <definedName name="p.make" localSheetId="5">tractor!$D$9</definedName>
    <definedName name="p.make">#REF!</definedName>
    <definedName name="p.model" localSheetId="8">AGCO!#REF!</definedName>
    <definedName name="p.model" localSheetId="9">DEERE!#REF!</definedName>
    <definedName name="p.model" localSheetId="7">MY_OWN!#REF!</definedName>
    <definedName name="p.model" localSheetId="5">tractor!$D$10</definedName>
    <definedName name="p.model">#REF!</definedName>
    <definedName name="p.numF" localSheetId="8">AGCO!#REF!</definedName>
    <definedName name="p.numF" localSheetId="9">DEERE!#REF!</definedName>
    <definedName name="p.numF" localSheetId="7">MY_OWN!#REF!</definedName>
    <definedName name="p.numF">tractor!$D$18</definedName>
    <definedName name="p.numR" localSheetId="8">AGCO!#REF!</definedName>
    <definedName name="p.numR" localSheetId="9">DEERE!#REF!</definedName>
    <definedName name="p.numR" localSheetId="7">MY_OWN!#REF!</definedName>
    <definedName name="p.numR">tractor!$D$25</definedName>
    <definedName name="p.power" localSheetId="8">AGCO!#REF!</definedName>
    <definedName name="p.power" localSheetId="9">DEERE!#REF!</definedName>
    <definedName name="p.power" localSheetId="7">MY_OWN!#REF!</definedName>
    <definedName name="p.power" localSheetId="5">tractor!$D$8</definedName>
    <definedName name="p.power">#REF!</definedName>
    <definedName name="p.Rdesig" localSheetId="8">AGCO!#REF!</definedName>
    <definedName name="p.Rdesig" localSheetId="9">DEERE!#REF!</definedName>
    <definedName name="p.Rdesig" localSheetId="7">MY_OWN!#REF!</definedName>
    <definedName name="p.Rdesig" localSheetId="5">tractor!$G$29</definedName>
    <definedName name="p.Rdesig">#REF!</definedName>
    <definedName name="p.rimF" localSheetId="8">AGCO!#REF!</definedName>
    <definedName name="p.rimF" localSheetId="9">DEERE!#REF!</definedName>
    <definedName name="p.rimF" localSheetId="7">MY_OWN!#REF!</definedName>
    <definedName name="p.rimF">tractor!$D$21</definedName>
    <definedName name="p.rimR" localSheetId="8">AGCO!#REF!</definedName>
    <definedName name="p.rimR" localSheetId="9">DEERE!#REF!</definedName>
    <definedName name="p.rimR" localSheetId="7">MY_OWN!#REF!</definedName>
    <definedName name="p.rimR">tractor!$D$28</definedName>
    <definedName name="p.Rindex" localSheetId="8">AGCO!#REF!</definedName>
    <definedName name="p.Rindex" localSheetId="9">DEERE!#REF!</definedName>
    <definedName name="p.Rindex" localSheetId="7">MY_OWN!#REF!</definedName>
    <definedName name="p.Rindex" localSheetId="5">tractor!$D$32</definedName>
    <definedName name="p.Rindex">#REF!</definedName>
    <definedName name="p.rsizeF">#REF!</definedName>
    <definedName name="p.rsizeR">#REF!</definedName>
    <definedName name="p.RTireNum" localSheetId="8">AGCO!#REF!</definedName>
    <definedName name="p.RTireNum" localSheetId="9">DEERE!#REF!</definedName>
    <definedName name="p.RTireNum" localSheetId="7">MY_OWN!#REF!</definedName>
    <definedName name="p.RTireNum" localSheetId="5">tractor!$F$25</definedName>
    <definedName name="p.sfaf" localSheetId="8">AGCO!#REF!</definedName>
    <definedName name="p.sfaf" localSheetId="9">DEERE!#REF!</definedName>
    <definedName name="p.sfaf" localSheetId="7">MY_OWN!#REF!</definedName>
    <definedName name="p.sfaf" localSheetId="5">tractor!$D$15</definedName>
    <definedName name="p.SFAF">#REF!</definedName>
    <definedName name="p.sraf" localSheetId="8">AGCO!#REF!</definedName>
    <definedName name="p.sraf" localSheetId="9">DEERE!#REF!</definedName>
    <definedName name="p.sraf" localSheetId="7">MY_OWN!#REF!</definedName>
    <definedName name="p.sraf" localSheetId="5">tractor!$D$16</definedName>
    <definedName name="p.SRAF">#REF!</definedName>
    <definedName name="p.tran" localSheetId="8">AGCO!#REF!</definedName>
    <definedName name="p.tran" localSheetId="9">DEERE!#REF!</definedName>
    <definedName name="p.tran" localSheetId="7">MY_OWN!#REF!</definedName>
    <definedName name="p.tran" localSheetId="5">tractor!$D$12</definedName>
    <definedName name="p.tran">#REF!</definedName>
    <definedName name="p.typeF" localSheetId="8">AGCO!#REF!</definedName>
    <definedName name="p.typeF" localSheetId="9">DEERE!#REF!</definedName>
    <definedName name="p.typeF" localSheetId="7">MY_OWN!#REF!</definedName>
    <definedName name="p.typeF">tractor!$D$20</definedName>
    <definedName name="p.typeR" localSheetId="8">AGCO!#REF!</definedName>
    <definedName name="p.typeR" localSheetId="9">DEERE!#REF!</definedName>
    <definedName name="p.typeR" localSheetId="7">MY_OWN!#REF!</definedName>
    <definedName name="p.typeR">tractor!$D$27</definedName>
    <definedName name="p.WB" localSheetId="8">AGCO!#REF!</definedName>
    <definedName name="p.WB" localSheetId="9">DEERE!#REF!</definedName>
    <definedName name="p.WB" localSheetId="7">MY_OWN!#REF!</definedName>
    <definedName name="p.WB" localSheetId="5">tractor!$D$30</definedName>
    <definedName name="p.WB">#REF!</definedName>
    <definedName name="p.widF" localSheetId="8">AGCO!#REF!</definedName>
    <definedName name="p.widF" localSheetId="9">DEERE!#REF!</definedName>
    <definedName name="p.widF" localSheetId="7">MY_OWN!#REF!</definedName>
    <definedName name="p.widF">tractor!$D$19</definedName>
    <definedName name="p.widR" localSheetId="8">AGCO!#REF!</definedName>
    <definedName name="p.widR" localSheetId="9">DEERE!#REF!</definedName>
    <definedName name="p.widR" localSheetId="7">MY_OWN!#REF!</definedName>
    <definedName name="p.widR">tractor!$D$26</definedName>
    <definedName name="PDE">tracperf!$H$15</definedName>
    <definedName name="PEF">tracperf!$B$8</definedName>
    <definedName name="PER">tracperf!$B$15</definedName>
    <definedName name="pickFrontTire" localSheetId="8">AGCO!pickFrontTire</definedName>
    <definedName name="pickFrontTire" localSheetId="9">DEERE!pickFrontTire</definedName>
    <definedName name="pickFrontTire" localSheetId="7">MY_OWN!pickFrontTire</definedName>
    <definedName name="pickFrontTire">pickFrontTire</definedName>
    <definedName name="pickRearTire" localSheetId="8">AGCO!pickRearTire</definedName>
    <definedName name="pickRearTire" localSheetId="9">DEERE!pickRearTire</definedName>
    <definedName name="pickRearTire" localSheetId="7">MY_OWN!pickRearTire</definedName>
    <definedName name="pickRearTire">pickRearTire</definedName>
    <definedName name="picksameTire" localSheetId="8">AGCO!picksameTire</definedName>
    <definedName name="picksameTire" localSheetId="9">DEERE!picksameTire</definedName>
    <definedName name="picksameTire" localSheetId="7">MY_OWN!picksameTire</definedName>
    <definedName name="picksameTire">picksameTire</definedName>
    <definedName name="plyType.f">tire!$G$34</definedName>
    <definedName name="plyType.r">tire!$I$34</definedName>
    <definedName name="_xlnm.Print_Area" localSheetId="6">tire!$A$38:$N$153</definedName>
    <definedName name="_xlnm.Print_Area" localSheetId="0">tracperf!$A$1:$I$21</definedName>
    <definedName name="Print_Area_MI" localSheetId="0">tracperf!$Y$1:$AN$51</definedName>
    <definedName name="PRINTER" localSheetId="8">tracperf!#REF!</definedName>
    <definedName name="PRINTER">tracperf!#REF!</definedName>
    <definedName name="PULL">tracperf!$H$17</definedName>
    <definedName name="PWF">tracperf!$E$30</definedName>
    <definedName name="PWR">tracperf!$B$30</definedName>
    <definedName name="QRWF">tracperf!$E$28</definedName>
    <definedName name="QRWR">tracperf!$B$28</definedName>
    <definedName name="r.f">tire!$G$25</definedName>
    <definedName name="R_1_BIAS">tracperf!$J$12:$X$46</definedName>
    <definedName name="R_1_RAD">tracperf!$J$48:$X$72</definedName>
    <definedName name="rearTireNumber">tire!$I$35</definedName>
    <definedName name="rearTirePick">tire!$I$36</definedName>
    <definedName name="RECALC2" localSheetId="8">tracperf!#REF!</definedName>
    <definedName name="RECALC2">tracperf!#REF!</definedName>
    <definedName name="RECALCP" localSheetId="8">tracperf!#REF!</definedName>
    <definedName name="RECALCP">tracperf!#REF!</definedName>
    <definedName name="RECALCW">#N/A</definedName>
    <definedName name="RWD">tracperf!$E$11</definedName>
    <definedName name="RWD_">tracperf!$E$12</definedName>
    <definedName name="RWS">tracperf!$B$11</definedName>
    <definedName name="SA">tracperf!$H$18</definedName>
    <definedName name="SELECT_TR">tracperf!$AO$9:$BI$9</definedName>
    <definedName name="SetChart1" localSheetId="8">AGCO!SetChart1</definedName>
    <definedName name="SetChart1" localSheetId="9">DEERE!SetChart1</definedName>
    <definedName name="SetChart1" localSheetId="7">MY_OWN!SetChart1</definedName>
    <definedName name="SetChart1">SetChart1</definedName>
    <definedName name="SIIN">tracperf!$BK$21:$BS$40</definedName>
    <definedName name="SIOUT">tracperf!$BK$1:$BS$20</definedName>
    <definedName name="SIUNITS">tracperf!$BK$1:$BS$20</definedName>
    <definedName name="SIW" localSheetId="8">tracperf!#REF!</definedName>
    <definedName name="SIW">tracperf!#REF!</definedName>
    <definedName name="slip" localSheetId="6">#REF!</definedName>
    <definedName name="SLIP">tracperf!$H$19</definedName>
    <definedName name="SO">tracperf!$H$7</definedName>
    <definedName name="st.TireNumber">tire!$L$35</definedName>
    <definedName name="st.TirePick">tire!$L$36</definedName>
    <definedName name="SUM" localSheetId="8">tracperf!#REF!</definedName>
    <definedName name="SUM">tracperf!#REF!</definedName>
    <definedName name="sumclear">Summary!$E$8:$X$55</definedName>
    <definedName name="SumList">Summary!$D$9:$D$55</definedName>
    <definedName name="SUMRY">tracperf!$Y$1:$AN$51</definedName>
    <definedName name="TEF">tracperf!$E$31</definedName>
    <definedName name="TEMP">tracperf!$K$5:$K$45</definedName>
    <definedName name="TEMP2">tracperf!$C$4</definedName>
    <definedName name="TEMP3">tracperf!$C$11</definedName>
    <definedName name="TER">tracperf!$B$31</definedName>
    <definedName name="tiredat">tire!$C$41:$S$154</definedName>
    <definedName name="tireDerate">tire!$Q$4:$S$6</definedName>
    <definedName name="tireNameList2" localSheetId="6">tire!$B$41:$C$154</definedName>
    <definedName name="tireNameList2">tire!$B$41:$C$154</definedName>
    <definedName name="tireNameList3" localSheetId="6">tire!$A$41:$C$154</definedName>
    <definedName name="tireNameList3">tire!$A$41:$C$154</definedName>
    <definedName name="tirenames" localSheetId="6">tire!$E$41:$E$154</definedName>
    <definedName name="TireNames">tire!$E$41:$E$154</definedName>
    <definedName name="TireNumber" localSheetId="6">tire!$K$35</definedName>
    <definedName name="TireNumber">tire!$K$35</definedName>
    <definedName name="tirepick" localSheetId="6">tire!$K$36</definedName>
    <definedName name="tirepick">tire!$K$36</definedName>
    <definedName name="Tpick_error.F" localSheetId="8">AGCO!#REF!</definedName>
    <definedName name="Tpick_error.F" localSheetId="9">DEERE!#REF!</definedName>
    <definedName name="Tpick_error.F" localSheetId="7">MY_OWN!#REF!</definedName>
    <definedName name="Tpick_error.F" localSheetId="5">tractor!$D$23</definedName>
    <definedName name="Tpick_error.F">#REF!</definedName>
    <definedName name="Tpick_error.R" localSheetId="8">AGCO!#REF!</definedName>
    <definedName name="Tpick_error.R" localSheetId="9">DEERE!#REF!</definedName>
    <definedName name="Tpick_error.R" localSheetId="7">MY_OWN!#REF!</definedName>
    <definedName name="Tpick_error.R" localSheetId="5">tractor!$D$33</definedName>
    <definedName name="Tpick_error.R">#REF!</definedName>
    <definedName name="TractorNameList" localSheetId="8">AGCO!$B$7:$B$117</definedName>
    <definedName name="TractorNameList" localSheetId="9">DEERE!$B$7:$B$117</definedName>
    <definedName name="TractorNameList" localSheetId="7">MY_OWN!$B$7:$B$117</definedName>
    <definedName name="TractorNameList">tractor!$B$41:$B$190</definedName>
    <definedName name="UseStandard" localSheetId="8">AGCO!UseStandard</definedName>
    <definedName name="UseStandard" localSheetId="9">DEERE!UseStandard</definedName>
    <definedName name="UseStandard" localSheetId="7">MY_OWN!UseStandard</definedName>
    <definedName name="UseStandard">UseStandard</definedName>
    <definedName name="VIEW" localSheetId="8">tracperf!#REF!</definedName>
    <definedName name="VIEW">tracperf!#REF!</definedName>
    <definedName name="VTR">tracperf!$H$16</definedName>
    <definedName name="WB">tracperf!$H$3</definedName>
    <definedName name="WTD">tracperf!$E$18</definedName>
    <definedName name="WTS">tracperf!$B$18</definedName>
  </definedNames>
  <calcPr calcId="0"/>
</workbook>
</file>

<file path=xl/calcChain.xml><?xml version="1.0" encoding="utf-8"?>
<calcChain xmlns="http://schemas.openxmlformats.org/spreadsheetml/2006/main">
  <c r="B7" i="9" l="1"/>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7" i="11"/>
  <c r="Y7" i="11"/>
  <c r="Y7" i="11" a="1"/>
  <c r="Y8" i="11" s="1"/>
  <c r="A8" i="11"/>
  <c r="B8" i="11"/>
  <c r="A9" i="11"/>
  <c r="A10" i="11" s="1"/>
  <c r="A11" i="11" s="1"/>
  <c r="A12" i="11" s="1"/>
  <c r="A13" i="11" s="1"/>
  <c r="A14" i="11" s="1"/>
  <c r="A15" i="11" s="1"/>
  <c r="A16" i="11" s="1"/>
  <c r="A17" i="11" s="1"/>
  <c r="A18" i="11" s="1"/>
  <c r="A19" i="11" s="1"/>
  <c r="A20" i="11" s="1"/>
  <c r="A21" i="11" s="1"/>
  <c r="A22" i="11" s="1"/>
  <c r="A23" i="11" s="1"/>
  <c r="A24" i="11" s="1"/>
  <c r="A25" i="11" s="1"/>
  <c r="A26" i="11" s="1"/>
  <c r="A27" i="11" s="1"/>
  <c r="A28" i="11" s="1"/>
  <c r="B9" i="11"/>
  <c r="Y9" i="11"/>
  <c r="B10" i="11"/>
  <c r="B11" i="11"/>
  <c r="Y11" i="11"/>
  <c r="B12" i="11"/>
  <c r="B13" i="11"/>
  <c r="Y13" i="11"/>
  <c r="B14" i="11"/>
  <c r="B15" i="11"/>
  <c r="Y15" i="11"/>
  <c r="B16" i="11"/>
  <c r="B17" i="11"/>
  <c r="Y17" i="11"/>
  <c r="B18" i="11"/>
  <c r="B19" i="11"/>
  <c r="Y19" i="11"/>
  <c r="B20" i="11"/>
  <c r="B21" i="11"/>
  <c r="B22" i="11"/>
  <c r="B23" i="11"/>
  <c r="B24" i="11"/>
  <c r="B25" i="11"/>
  <c r="B26" i="11"/>
  <c r="B27" i="11"/>
  <c r="B28" i="11"/>
  <c r="A29" i="11"/>
  <c r="A30" i="11" s="1"/>
  <c r="A31" i="11" s="1"/>
  <c r="A32" i="11" s="1"/>
  <c r="A33" i="11" s="1"/>
  <c r="A34" i="11" s="1"/>
  <c r="A35" i="11" s="1"/>
  <c r="A36" i="11" s="1"/>
  <c r="A37" i="11" s="1"/>
  <c r="A38" i="11" s="1"/>
  <c r="A39" i="11" s="1"/>
  <c r="A40" i="11" s="1"/>
  <c r="A41" i="11" s="1"/>
  <c r="A42" i="11" s="1"/>
  <c r="A43" i="11" s="1"/>
  <c r="A44" i="11" s="1"/>
  <c r="B29" i="11"/>
  <c r="B30" i="11"/>
  <c r="B31" i="11"/>
  <c r="B32" i="11"/>
  <c r="B33" i="11"/>
  <c r="B34" i="11"/>
  <c r="B35" i="11"/>
  <c r="B36" i="11"/>
  <c r="B37" i="11"/>
  <c r="B38" i="11"/>
  <c r="B39" i="11"/>
  <c r="B40" i="11"/>
  <c r="B41" i="11"/>
  <c r="B42" i="11"/>
  <c r="B43" i="11"/>
  <c r="B44" i="11"/>
  <c r="A45" i="11"/>
  <c r="A46" i="11" s="1"/>
  <c r="A47" i="11" s="1"/>
  <c r="A48" i="11" s="1"/>
  <c r="A49" i="11" s="1"/>
  <c r="A50" i="11" s="1"/>
  <c r="A51" i="11" s="1"/>
  <c r="A52" i="11" s="1"/>
  <c r="A53" i="11" s="1"/>
  <c r="A54" i="11" s="1"/>
  <c r="A55" i="11" s="1"/>
  <c r="A56" i="11" s="1"/>
  <c r="A57" i="11" s="1"/>
  <c r="A58" i="11" s="1"/>
  <c r="A59" i="11" s="1"/>
  <c r="A60" i="11" s="1"/>
  <c r="A61" i="11" s="1"/>
  <c r="A62" i="11" s="1"/>
  <c r="A63" i="11" s="1"/>
  <c r="A64" i="11" s="1"/>
  <c r="A65" i="11" s="1"/>
  <c r="A66" i="11" s="1"/>
  <c r="A67" i="11" s="1"/>
  <c r="A68" i="11" s="1"/>
  <c r="A69" i="11" s="1"/>
  <c r="A70" i="11" s="1"/>
  <c r="A71" i="11" s="1"/>
  <c r="A72" i="11" s="1"/>
  <c r="A73" i="11" s="1"/>
  <c r="A74" i="11" s="1"/>
  <c r="A75" i="11" s="1"/>
  <c r="A76" i="11" s="1"/>
  <c r="A77" i="11" s="1"/>
  <c r="A78" i="11" s="1"/>
  <c r="A79" i="11" s="1"/>
  <c r="A80" i="11" s="1"/>
  <c r="A81" i="11" s="1"/>
  <c r="A82" i="11" s="1"/>
  <c r="A83" i="11" s="1"/>
  <c r="A84" i="11" s="1"/>
  <c r="A85" i="11" s="1"/>
  <c r="A86" i="11" s="1"/>
  <c r="A87" i="11" s="1"/>
  <c r="A88" i="11" s="1"/>
  <c r="A89" i="11" s="1"/>
  <c r="A90" i="11" s="1"/>
  <c r="A91" i="11" s="1"/>
  <c r="A92" i="11" s="1"/>
  <c r="A93" i="11" s="1"/>
  <c r="A94" i="11" s="1"/>
  <c r="A95" i="11" s="1"/>
  <c r="A96" i="11" s="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A97" i="11"/>
  <c r="A98" i="11" s="1"/>
  <c r="A99" i="11" s="1"/>
  <c r="A100" i="11" s="1"/>
  <c r="A101" i="11" s="1"/>
  <c r="A102" i="11" s="1"/>
  <c r="A103" i="11" s="1"/>
  <c r="A104" i="11" s="1"/>
  <c r="A105" i="11" s="1"/>
  <c r="A106" i="11" s="1"/>
  <c r="A107" i="11" s="1"/>
  <c r="A108" i="11" s="1"/>
  <c r="A109" i="11" s="1"/>
  <c r="A110" i="11" s="1"/>
  <c r="A111" i="11" s="1"/>
  <c r="A112" i="11" s="1"/>
  <c r="A113" i="11" s="1"/>
  <c r="A114" i="11" s="1"/>
  <c r="A115" i="11" s="1"/>
  <c r="A116" i="11" s="1"/>
  <c r="A117" i="11" s="1"/>
  <c r="A118" i="11" s="1"/>
  <c r="A119" i="11" s="1"/>
  <c r="A120" i="11" s="1"/>
  <c r="A121" i="11" s="1"/>
  <c r="A122" i="11" s="1"/>
  <c r="A123" i="11" s="1"/>
  <c r="A124" i="11" s="1"/>
  <c r="A125" i="11" s="1"/>
  <c r="A126" i="11" s="1"/>
  <c r="A127" i="11" s="1"/>
  <c r="A128" i="11" s="1"/>
  <c r="A129" i="11" s="1"/>
  <c r="A130" i="11" s="1"/>
  <c r="A131" i="11" s="1"/>
  <c r="A132" i="11" s="1"/>
  <c r="A133" i="11" s="1"/>
  <c r="A134" i="11" s="1"/>
  <c r="A135" i="11" s="1"/>
  <c r="B97" i="11"/>
  <c r="B98" i="11"/>
  <c r="B99" i="11"/>
  <c r="B100" i="11"/>
  <c r="B101" i="11"/>
  <c r="B102" i="11"/>
  <c r="B103" i="11"/>
  <c r="B104" i="11"/>
  <c r="B105" i="11"/>
  <c r="B106" i="11"/>
  <c r="B107" i="11"/>
  <c r="B108" i="11"/>
  <c r="B109" i="11"/>
  <c r="B110" i="11"/>
  <c r="B111" i="11"/>
  <c r="B112" i="11"/>
  <c r="B113" i="11"/>
  <c r="B114" i="11"/>
  <c r="B115" i="11"/>
  <c r="B116" i="11"/>
  <c r="B117" i="11"/>
  <c r="B118" i="11"/>
  <c r="B119" i="11"/>
  <c r="B120" i="11"/>
  <c r="B121" i="11"/>
  <c r="B122" i="11"/>
  <c r="B123" i="11"/>
  <c r="B124" i="11"/>
  <c r="B125" i="11"/>
  <c r="B126" i="11"/>
  <c r="B127" i="11"/>
  <c r="B128" i="11"/>
  <c r="B129" i="11"/>
  <c r="B130" i="11"/>
  <c r="B131" i="11"/>
  <c r="B132" i="11"/>
  <c r="B133" i="11"/>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7" i="13"/>
  <c r="Y7" i="13"/>
  <c r="Y7" i="13" a="1"/>
  <c r="Y14" i="13" s="1"/>
  <c r="A8" i="13"/>
  <c r="B8" i="13"/>
  <c r="A9" i="13"/>
  <c r="A10" i="13" s="1"/>
  <c r="A11" i="13" s="1"/>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2" i="13" s="1"/>
  <c r="A63" i="13" s="1"/>
  <c r="A64" i="13" s="1"/>
  <c r="A65" i="13" s="1"/>
  <c r="A66" i="13" s="1"/>
  <c r="A67" i="13" s="1"/>
  <c r="A68" i="13" s="1"/>
  <c r="A69" i="13" s="1"/>
  <c r="A70" i="13" s="1"/>
  <c r="A71" i="13" s="1"/>
  <c r="A72" i="13" s="1"/>
  <c r="A73" i="13" s="1"/>
  <c r="A74" i="13" s="1"/>
  <c r="A75" i="13" s="1"/>
  <c r="A76" i="13" s="1"/>
  <c r="A77" i="13" s="1"/>
  <c r="A78" i="13" s="1"/>
  <c r="A79" i="13" s="1"/>
  <c r="A80" i="13" s="1"/>
  <c r="A81" i="13" s="1"/>
  <c r="A82" i="13" s="1"/>
  <c r="A83" i="13" s="1"/>
  <c r="A84" i="13" s="1"/>
  <c r="A85" i="13" s="1"/>
  <c r="A86" i="13" s="1"/>
  <c r="A87" i="13" s="1"/>
  <c r="A88" i="13" s="1"/>
  <c r="A89" i="13" s="1"/>
  <c r="A90" i="13" s="1"/>
  <c r="A91" i="13" s="1"/>
  <c r="A92" i="13" s="1"/>
  <c r="A93" i="13" s="1"/>
  <c r="A94" i="13" s="1"/>
  <c r="A95" i="13" s="1"/>
  <c r="A96" i="13" s="1"/>
  <c r="A97" i="13" s="1"/>
  <c r="A98" i="13" s="1"/>
  <c r="A99" i="13" s="1"/>
  <c r="A100" i="13" s="1"/>
  <c r="A101" i="13" s="1"/>
  <c r="A102" i="13" s="1"/>
  <c r="A103" i="13" s="1"/>
  <c r="A104" i="13" s="1"/>
  <c r="A105" i="13" s="1"/>
  <c r="A106" i="13" s="1"/>
  <c r="A107" i="13" s="1"/>
  <c r="A108" i="13" s="1"/>
  <c r="A109" i="13" s="1"/>
  <c r="A110" i="13" s="1"/>
  <c r="A111" i="13" s="1"/>
  <c r="A112" i="13" s="1"/>
  <c r="A113" i="13" s="1"/>
  <c r="A114" i="13" s="1"/>
  <c r="A115" i="13" s="1"/>
  <c r="A116" i="13" s="1"/>
  <c r="A117" i="13" s="1"/>
  <c r="A118" i="13" s="1"/>
  <c r="A119" i="13" s="1"/>
  <c r="A120" i="13" s="1"/>
  <c r="A121" i="13" s="1"/>
  <c r="A122" i="13" s="1"/>
  <c r="A123" i="13" s="1"/>
  <c r="A124" i="13" s="1"/>
  <c r="A125" i="13" s="1"/>
  <c r="A126" i="13" s="1"/>
  <c r="A127" i="13" s="1"/>
  <c r="A128" i="13" s="1"/>
  <c r="B9" i="13"/>
  <c r="B10" i="13"/>
  <c r="B11" i="13"/>
  <c r="Y11" i="13"/>
  <c r="B12" i="13"/>
  <c r="Y12" i="13"/>
  <c r="B13" i="13"/>
  <c r="Y13" i="13"/>
  <c r="B14" i="13"/>
  <c r="B15" i="13"/>
  <c r="Y15" i="13"/>
  <c r="B16" i="13"/>
  <c r="B17" i="13"/>
  <c r="B18" i="13"/>
  <c r="B19" i="13"/>
  <c r="Y19" i="13"/>
  <c r="B20" i="13"/>
  <c r="Y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7" i="8"/>
  <c r="B7" i="12"/>
  <c r="Y7" i="12" a="1"/>
  <c r="Y7" i="12" s="1"/>
  <c r="A8" i="12"/>
  <c r="A9" i="12" s="1"/>
  <c r="A10" i="12" s="1"/>
  <c r="A11" i="12" s="1"/>
  <c r="A12" i="12" s="1"/>
  <c r="A13" i="12" s="1"/>
  <c r="A14" i="12" s="1"/>
  <c r="A15" i="12" s="1"/>
  <c r="A16" i="12" s="1"/>
  <c r="A17" i="12" s="1"/>
  <c r="A18" i="12" s="1"/>
  <c r="A19" i="12" s="1"/>
  <c r="A20" i="12" s="1"/>
  <c r="A21" i="12" s="1"/>
  <c r="B8" i="12"/>
  <c r="B9" i="12"/>
  <c r="Y9" i="12"/>
  <c r="B10" i="12"/>
  <c r="B11" i="12"/>
  <c r="Y11" i="12"/>
  <c r="B12" i="12"/>
  <c r="B13" i="12"/>
  <c r="Y13" i="12"/>
  <c r="B14" i="12"/>
  <c r="B15" i="12"/>
  <c r="Y15" i="12"/>
  <c r="B16" i="12"/>
  <c r="B17" i="12"/>
  <c r="Y17" i="12"/>
  <c r="B18" i="12"/>
  <c r="B19" i="12"/>
  <c r="Y19" i="12"/>
  <c r="B20" i="12"/>
  <c r="B21" i="12"/>
  <c r="A22" i="12"/>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7" i="14"/>
  <c r="Y7" i="14" a="1"/>
  <c r="Y8" i="14" s="1"/>
  <c r="A8" i="14"/>
  <c r="A9" i="14" s="1"/>
  <c r="A10" i="14" s="1"/>
  <c r="A11" i="14" s="1"/>
  <c r="B8" i="14"/>
  <c r="B9" i="14"/>
  <c r="B10" i="14"/>
  <c r="B11" i="14"/>
  <c r="Y11" i="14"/>
  <c r="A12" i="14"/>
  <c r="A13" i="14" s="1"/>
  <c r="B12" i="14"/>
  <c r="B13" i="14"/>
  <c r="A14" i="14"/>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B14" i="14"/>
  <c r="Y14" i="14"/>
  <c r="B15" i="14"/>
  <c r="Y15" i="14"/>
  <c r="B16" i="14"/>
  <c r="B17" i="14"/>
  <c r="B18" i="14"/>
  <c r="B19" i="14"/>
  <c r="Y19" i="14"/>
  <c r="B20" i="14"/>
  <c r="B21" i="14"/>
  <c r="B22" i="14"/>
  <c r="B23" i="14"/>
  <c r="B24" i="14"/>
  <c r="B25" i="14"/>
  <c r="B26" i="14"/>
  <c r="B27" i="14"/>
  <c r="B28" i="14"/>
  <c r="B29" i="14"/>
  <c r="B30" i="14"/>
  <c r="B31" i="14"/>
  <c r="B32" i="14"/>
  <c r="B33" i="14"/>
  <c r="B34" i="14"/>
  <c r="B35" i="14"/>
  <c r="A36" i="14"/>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89" i="14" s="1"/>
  <c r="A90" i="14" s="1"/>
  <c r="A91" i="14" s="1"/>
  <c r="A92" i="14" s="1"/>
  <c r="A93" i="14" s="1"/>
  <c r="A94" i="14" s="1"/>
  <c r="A95" i="14" s="1"/>
  <c r="A96" i="14" s="1"/>
  <c r="A97" i="14" s="1"/>
  <c r="A98" i="14" s="1"/>
  <c r="A99" i="14" s="1"/>
  <c r="A100" i="14" s="1"/>
  <c r="A101" i="14" s="1"/>
  <c r="A102" i="14" s="1"/>
  <c r="A103" i="14" s="1"/>
  <c r="A104" i="14" s="1"/>
  <c r="A105" i="14" s="1"/>
  <c r="A106" i="14" s="1"/>
  <c r="A107" i="14" s="1"/>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L4" i="3"/>
  <c r="K4" i="3" s="1"/>
  <c r="J4" i="3" s="1"/>
  <c r="I4" i="3" s="1"/>
  <c r="H4" i="3" s="1"/>
  <c r="G4" i="3" s="1"/>
  <c r="F4" i="3" s="1"/>
  <c r="E4" i="3" s="1"/>
  <c r="V4" i="3"/>
  <c r="U4" i="3" s="1"/>
  <c r="T4" i="3" s="1"/>
  <c r="S4" i="3" s="1"/>
  <c r="R4" i="3" s="1"/>
  <c r="Q4" i="3" s="1"/>
  <c r="P4" i="3" s="1"/>
  <c r="O4" i="3" s="1"/>
  <c r="N4" i="3" s="1"/>
  <c r="M4" i="3" s="1"/>
  <c r="W4" i="3"/>
  <c r="D9" i="3"/>
  <c r="D11" i="3"/>
  <c r="D12" i="3"/>
  <c r="D13" i="3"/>
  <c r="D14" i="3"/>
  <c r="D16" i="3"/>
  <c r="D17" i="3"/>
  <c r="D18" i="3"/>
  <c r="D19" i="3"/>
  <c r="D21" i="3"/>
  <c r="D22" i="3"/>
  <c r="D23" i="3"/>
  <c r="D24" i="3"/>
  <c r="D25" i="3"/>
  <c r="D26" i="3"/>
  <c r="D27" i="3"/>
  <c r="D29" i="3"/>
  <c r="D30" i="3"/>
  <c r="D31" i="3"/>
  <c r="D32" i="3"/>
  <c r="D33" i="3"/>
  <c r="D34" i="3"/>
  <c r="D37" i="3"/>
  <c r="D45" i="3"/>
  <c r="D50" i="3"/>
  <c r="B63" i="3"/>
  <c r="O63" i="3" s="1"/>
  <c r="C63" i="3"/>
  <c r="U63" i="3"/>
  <c r="B64" i="3"/>
  <c r="C64" i="3"/>
  <c r="J64" i="3"/>
  <c r="N64" i="3"/>
  <c r="P64" i="3"/>
  <c r="B65" i="3"/>
  <c r="T65" i="3" s="1"/>
  <c r="C65" i="3"/>
  <c r="E65" i="3"/>
  <c r="G65" i="3"/>
  <c r="I65" i="3"/>
  <c r="U65" i="3"/>
  <c r="W65" i="3"/>
  <c r="D67" i="3"/>
  <c r="C70" i="3"/>
  <c r="D70" i="3"/>
  <c r="C71" i="3"/>
  <c r="D71" i="3"/>
  <c r="T64" i="3" s="1"/>
  <c r="C72" i="3"/>
  <c r="D72" i="3"/>
  <c r="G5" i="7"/>
  <c r="H8" i="7"/>
  <c r="G8" i="7" s="1"/>
  <c r="I8" i="7"/>
  <c r="J8" i="7"/>
  <c r="G9" i="7"/>
  <c r="H9" i="7" s="1"/>
  <c r="I9" i="7"/>
  <c r="J9" i="7" s="1"/>
  <c r="G10" i="7"/>
  <c r="G34" i="7" s="1"/>
  <c r="I10" i="7"/>
  <c r="I34" i="7" s="1"/>
  <c r="G11" i="7"/>
  <c r="I11" i="7"/>
  <c r="J11" i="7" s="1"/>
  <c r="G12" i="7"/>
  <c r="I12" i="7"/>
  <c r="G13" i="7"/>
  <c r="I13" i="7"/>
  <c r="G14" i="7"/>
  <c r="H14" i="7"/>
  <c r="I14" i="7"/>
  <c r="J14" i="7"/>
  <c r="G15" i="7"/>
  <c r="H15" i="7"/>
  <c r="I15" i="7"/>
  <c r="J15" i="7"/>
  <c r="G16" i="7"/>
  <c r="H16" i="7"/>
  <c r="I16" i="7"/>
  <c r="J16" i="7"/>
  <c r="G17" i="7"/>
  <c r="I17" i="7"/>
  <c r="I28" i="7" s="1"/>
  <c r="G18" i="7"/>
  <c r="I18" i="7"/>
  <c r="G19" i="7"/>
  <c r="H29" i="7" s="1"/>
  <c r="G29" i="7" s="1"/>
  <c r="I19" i="7"/>
  <c r="I20" i="7"/>
  <c r="G21" i="7"/>
  <c r="I21" i="7"/>
  <c r="I22" i="7"/>
  <c r="J22" i="7" s="1"/>
  <c r="I24" i="7"/>
  <c r="J24" i="7" s="1"/>
  <c r="I26" i="7"/>
  <c r="J26" i="7"/>
  <c r="J28" i="7"/>
  <c r="J29" i="7"/>
  <c r="I29" i="7" s="1"/>
  <c r="A42" i="7"/>
  <c r="B42" i="7"/>
  <c r="D42" i="7"/>
  <c r="E42" i="7"/>
  <c r="A43" i="7"/>
  <c r="B43" i="7"/>
  <c r="D43" i="7"/>
  <c r="E43" i="7"/>
  <c r="A44" i="7"/>
  <c r="B44" i="7"/>
  <c r="D44" i="7"/>
  <c r="E44" i="7"/>
  <c r="A45" i="7"/>
  <c r="B45" i="7"/>
  <c r="D45" i="7"/>
  <c r="E45" i="7"/>
  <c r="A46" i="7"/>
  <c r="B46" i="7"/>
  <c r="D46" i="7"/>
  <c r="E46" i="7"/>
  <c r="A47" i="7"/>
  <c r="B47" i="7"/>
  <c r="D47" i="7"/>
  <c r="E47" i="7"/>
  <c r="A48" i="7"/>
  <c r="B48" i="7"/>
  <c r="D48" i="7"/>
  <c r="E48" i="7"/>
  <c r="A49" i="7"/>
  <c r="B49" i="7"/>
  <c r="D49" i="7"/>
  <c r="E49" i="7"/>
  <c r="A50" i="7"/>
  <c r="B50" i="7"/>
  <c r="D50" i="7"/>
  <c r="E50" i="7"/>
  <c r="A51" i="7"/>
  <c r="B51" i="7"/>
  <c r="D51" i="7"/>
  <c r="E51" i="7"/>
  <c r="A52" i="7"/>
  <c r="B52" i="7"/>
  <c r="D52" i="7"/>
  <c r="E52" i="7"/>
  <c r="A53" i="7"/>
  <c r="B53" i="7"/>
  <c r="D53" i="7"/>
  <c r="E53" i="7"/>
  <c r="A54" i="7"/>
  <c r="B54" i="7"/>
  <c r="D54" i="7"/>
  <c r="E54" i="7"/>
  <c r="A55" i="7"/>
  <c r="B55" i="7"/>
  <c r="D55" i="7"/>
  <c r="E55" i="7"/>
  <c r="A56" i="7"/>
  <c r="B56" i="7"/>
  <c r="D56" i="7"/>
  <c r="E56" i="7"/>
  <c r="A57" i="7"/>
  <c r="B57" i="7"/>
  <c r="D57" i="7"/>
  <c r="E57" i="7"/>
  <c r="A58" i="7"/>
  <c r="B58" i="7"/>
  <c r="D58" i="7"/>
  <c r="E58" i="7"/>
  <c r="A59" i="7"/>
  <c r="B59" i="7"/>
  <c r="D59" i="7"/>
  <c r="E59" i="7"/>
  <c r="A60" i="7"/>
  <c r="B60" i="7"/>
  <c r="D60" i="7"/>
  <c r="E60" i="7"/>
  <c r="A61" i="7"/>
  <c r="B61" i="7"/>
  <c r="D61" i="7"/>
  <c r="E61" i="7"/>
  <c r="A62" i="7"/>
  <c r="B62" i="7"/>
  <c r="D62" i="7"/>
  <c r="E62" i="7"/>
  <c r="A63" i="7"/>
  <c r="B63" i="7"/>
  <c r="D63" i="7"/>
  <c r="E63" i="7"/>
  <c r="A64" i="7"/>
  <c r="B64" i="7"/>
  <c r="D64" i="7"/>
  <c r="E64" i="7"/>
  <c r="A65" i="7"/>
  <c r="B65" i="7"/>
  <c r="D65" i="7"/>
  <c r="E65" i="7"/>
  <c r="A66" i="7"/>
  <c r="B66" i="7"/>
  <c r="D66" i="7"/>
  <c r="E66" i="7"/>
  <c r="A67" i="7"/>
  <c r="B67" i="7"/>
  <c r="D67" i="7"/>
  <c r="E67" i="7"/>
  <c r="A68" i="7"/>
  <c r="B68" i="7"/>
  <c r="D68" i="7"/>
  <c r="E68" i="7"/>
  <c r="A69" i="7"/>
  <c r="B69" i="7"/>
  <c r="D69" i="7"/>
  <c r="E69" i="7"/>
  <c r="A70" i="7"/>
  <c r="B70" i="7"/>
  <c r="D70" i="7"/>
  <c r="E70" i="7"/>
  <c r="A71" i="7"/>
  <c r="B71" i="7"/>
  <c r="D71" i="7"/>
  <c r="E71" i="7"/>
  <c r="A72" i="7"/>
  <c r="B72" i="7"/>
  <c r="D72" i="7"/>
  <c r="E72" i="7"/>
  <c r="A73" i="7"/>
  <c r="B73" i="7"/>
  <c r="D73" i="7"/>
  <c r="E73" i="7"/>
  <c r="A74" i="7"/>
  <c r="B74" i="7"/>
  <c r="D74" i="7"/>
  <c r="E74" i="7"/>
  <c r="A75" i="7"/>
  <c r="B75" i="7"/>
  <c r="D75" i="7"/>
  <c r="E75" i="7"/>
  <c r="A76" i="7"/>
  <c r="B76" i="7"/>
  <c r="D76" i="7"/>
  <c r="E76" i="7"/>
  <c r="A77" i="7"/>
  <c r="B77" i="7"/>
  <c r="D77" i="7"/>
  <c r="E77" i="7"/>
  <c r="A78" i="7"/>
  <c r="B78" i="7"/>
  <c r="D78" i="7"/>
  <c r="E78" i="7"/>
  <c r="A79" i="7"/>
  <c r="B79" i="7"/>
  <c r="D79" i="7"/>
  <c r="E79" i="7"/>
  <c r="A80" i="7"/>
  <c r="B80" i="7"/>
  <c r="D80" i="7"/>
  <c r="E80" i="7"/>
  <c r="A81" i="7"/>
  <c r="B81" i="7"/>
  <c r="D81" i="7"/>
  <c r="E81" i="7"/>
  <c r="A82" i="7"/>
  <c r="B82" i="7"/>
  <c r="A83" i="7"/>
  <c r="B83" i="7"/>
  <c r="D83" i="7"/>
  <c r="E83" i="7"/>
  <c r="A84" i="7"/>
  <c r="B84" i="7"/>
  <c r="D84" i="7"/>
  <c r="E84" i="7"/>
  <c r="A85" i="7"/>
  <c r="B85" i="7"/>
  <c r="D85" i="7"/>
  <c r="E85" i="7"/>
  <c r="A86" i="7"/>
  <c r="B86" i="7"/>
  <c r="D86" i="7"/>
  <c r="E86" i="7"/>
  <c r="A87" i="7"/>
  <c r="B87" i="7"/>
  <c r="D87" i="7"/>
  <c r="E87" i="7"/>
  <c r="A88" i="7"/>
  <c r="B88" i="7"/>
  <c r="D88" i="7"/>
  <c r="E88" i="7"/>
  <c r="G7" i="7" s="1"/>
  <c r="A89" i="7"/>
  <c r="B89" i="7"/>
  <c r="D89" i="7"/>
  <c r="E89" i="7"/>
  <c r="A90" i="7"/>
  <c r="B90" i="7"/>
  <c r="D90" i="7"/>
  <c r="E90" i="7"/>
  <c r="A91" i="7"/>
  <c r="B91" i="7"/>
  <c r="D91" i="7"/>
  <c r="E91" i="7"/>
  <c r="A92" i="7"/>
  <c r="B92" i="7"/>
  <c r="D92" i="7"/>
  <c r="E92" i="7"/>
  <c r="A93" i="7"/>
  <c r="B93" i="7"/>
  <c r="D93" i="7"/>
  <c r="E93" i="7"/>
  <c r="A94" i="7"/>
  <c r="B94" i="7"/>
  <c r="D94" i="7"/>
  <c r="E94" i="7"/>
  <c r="A95" i="7"/>
  <c r="B95" i="7"/>
  <c r="D95" i="7"/>
  <c r="E95" i="7"/>
  <c r="A96" i="7"/>
  <c r="B96" i="7"/>
  <c r="D96" i="7"/>
  <c r="E96" i="7"/>
  <c r="A97" i="7"/>
  <c r="B97" i="7"/>
  <c r="D97" i="7"/>
  <c r="E97" i="7"/>
  <c r="A98" i="7"/>
  <c r="B98" i="7"/>
  <c r="D98" i="7"/>
  <c r="E98" i="7"/>
  <c r="A99" i="7"/>
  <c r="B99" i="7"/>
  <c r="D99" i="7"/>
  <c r="E99" i="7"/>
  <c r="A100" i="7"/>
  <c r="B100" i="7"/>
  <c r="D100" i="7"/>
  <c r="E100" i="7"/>
  <c r="A101" i="7"/>
  <c r="B101" i="7"/>
  <c r="D101" i="7"/>
  <c r="E101" i="7"/>
  <c r="A102" i="7"/>
  <c r="B102" i="7"/>
  <c r="D102" i="7"/>
  <c r="I5" i="7" s="1"/>
  <c r="E102" i="7"/>
  <c r="I7" i="7" s="1"/>
  <c r="A103" i="7"/>
  <c r="B103" i="7"/>
  <c r="D103" i="7"/>
  <c r="E103" i="7"/>
  <c r="A104" i="7"/>
  <c r="B104" i="7"/>
  <c r="D104" i="7"/>
  <c r="E104" i="7"/>
  <c r="A105" i="7"/>
  <c r="B105" i="7"/>
  <c r="D105" i="7"/>
  <c r="E105" i="7"/>
  <c r="A106" i="7"/>
  <c r="B106" i="7"/>
  <c r="D106" i="7"/>
  <c r="E106" i="7"/>
  <c r="A107" i="7"/>
  <c r="B107" i="7"/>
  <c r="D107" i="7"/>
  <c r="E107" i="7"/>
  <c r="A108" i="7"/>
  <c r="B108" i="7"/>
  <c r="D108" i="7"/>
  <c r="E108" i="7"/>
  <c r="A109" i="7"/>
  <c r="B109" i="7"/>
  <c r="D109" i="7"/>
  <c r="E109" i="7"/>
  <c r="A110" i="7"/>
  <c r="B110" i="7"/>
  <c r="D110" i="7"/>
  <c r="E110" i="7"/>
  <c r="A111" i="7"/>
  <c r="B111" i="7"/>
  <c r="D111" i="7"/>
  <c r="E111" i="7"/>
  <c r="A112" i="7"/>
  <c r="B112" i="7"/>
  <c r="D112" i="7"/>
  <c r="E112" i="7"/>
  <c r="A113" i="7"/>
  <c r="B113" i="7"/>
  <c r="D113" i="7"/>
  <c r="E113" i="7"/>
  <c r="A114" i="7"/>
  <c r="B114" i="7"/>
  <c r="D114" i="7"/>
  <c r="E114" i="7"/>
  <c r="A115" i="7"/>
  <c r="B115" i="7"/>
  <c r="D115" i="7"/>
  <c r="E115" i="7"/>
  <c r="A116" i="7"/>
  <c r="B116" i="7"/>
  <c r="D116" i="7"/>
  <c r="E116" i="7"/>
  <c r="A117" i="7"/>
  <c r="B117" i="7"/>
  <c r="D117" i="7"/>
  <c r="E117" i="7"/>
  <c r="A118" i="7"/>
  <c r="B118" i="7"/>
  <c r="D118" i="7"/>
  <c r="E118" i="7"/>
  <c r="A119" i="7"/>
  <c r="B119" i="7"/>
  <c r="D119" i="7"/>
  <c r="E119" i="7"/>
  <c r="A120" i="7"/>
  <c r="B120" i="7"/>
  <c r="D120" i="7"/>
  <c r="E120" i="7"/>
  <c r="A121" i="7"/>
  <c r="B121" i="7"/>
  <c r="D121" i="7"/>
  <c r="E121" i="7"/>
  <c r="A122" i="7"/>
  <c r="B122" i="7"/>
  <c r="D122" i="7"/>
  <c r="E122" i="7"/>
  <c r="A123" i="7"/>
  <c r="B123" i="7"/>
  <c r="D123" i="7"/>
  <c r="E123" i="7"/>
  <c r="A124" i="7"/>
  <c r="B124" i="7"/>
  <c r="D124" i="7"/>
  <c r="E124" i="7"/>
  <c r="A125" i="7"/>
  <c r="B125" i="7"/>
  <c r="D125" i="7"/>
  <c r="E125" i="7"/>
  <c r="A126" i="7"/>
  <c r="B126" i="7"/>
  <c r="D126" i="7"/>
  <c r="E126" i="7"/>
  <c r="A127" i="7"/>
  <c r="B127" i="7"/>
  <c r="D127" i="7"/>
  <c r="E127" i="7"/>
  <c r="A128" i="7"/>
  <c r="B128" i="7"/>
  <c r="D128" i="7"/>
  <c r="E128" i="7"/>
  <c r="A129" i="7"/>
  <c r="B129" i="7"/>
  <c r="D129" i="7"/>
  <c r="E129" i="7"/>
  <c r="A130" i="7"/>
  <c r="B130" i="7"/>
  <c r="D130" i="7"/>
  <c r="E130" i="7"/>
  <c r="A131" i="7"/>
  <c r="B131" i="7"/>
  <c r="D131" i="7"/>
  <c r="E131" i="7"/>
  <c r="A132" i="7"/>
  <c r="B132" i="7"/>
  <c r="D132" i="7"/>
  <c r="E132" i="7"/>
  <c r="A133" i="7"/>
  <c r="B133" i="7"/>
  <c r="D133" i="7"/>
  <c r="E133" i="7"/>
  <c r="A134" i="7"/>
  <c r="B134" i="7"/>
  <c r="D134" i="7"/>
  <c r="E134" i="7"/>
  <c r="A135" i="7"/>
  <c r="B135" i="7"/>
  <c r="A136" i="7"/>
  <c r="B136" i="7"/>
  <c r="D136" i="7"/>
  <c r="E136" i="7"/>
  <c r="A137" i="7"/>
  <c r="B137" i="7"/>
  <c r="D137" i="7"/>
  <c r="E137" i="7"/>
  <c r="A138" i="7"/>
  <c r="B138" i="7"/>
  <c r="D138" i="7"/>
  <c r="E138" i="7"/>
  <c r="A139" i="7"/>
  <c r="B139" i="7"/>
  <c r="D139" i="7"/>
  <c r="E139" i="7"/>
  <c r="A140" i="7"/>
  <c r="B140" i="7"/>
  <c r="D140" i="7"/>
  <c r="E140" i="7"/>
  <c r="A141" i="7"/>
  <c r="B141" i="7"/>
  <c r="D141" i="7"/>
  <c r="E141" i="7"/>
  <c r="A142" i="7"/>
  <c r="B142" i="7"/>
  <c r="D142" i="7"/>
  <c r="E142" i="7"/>
  <c r="A143" i="7"/>
  <c r="B143" i="7"/>
  <c r="D143" i="7"/>
  <c r="E143" i="7"/>
  <c r="A144" i="7"/>
  <c r="B144" i="7"/>
  <c r="D144" i="7"/>
  <c r="E144" i="7"/>
  <c r="A145" i="7"/>
  <c r="B145" i="7"/>
  <c r="D145" i="7"/>
  <c r="E145" i="7"/>
  <c r="A146" i="7"/>
  <c r="B146" i="7"/>
  <c r="D146" i="7"/>
  <c r="E146" i="7"/>
  <c r="A147" i="7"/>
  <c r="B147" i="7"/>
  <c r="D147" i="7"/>
  <c r="E147" i="7"/>
  <c r="A148" i="7"/>
  <c r="B148" i="7"/>
  <c r="D148" i="7"/>
  <c r="E148" i="7"/>
  <c r="A149" i="7"/>
  <c r="B149" i="7"/>
  <c r="D149" i="7"/>
  <c r="E149" i="7"/>
  <c r="A150" i="7"/>
  <c r="B150" i="7"/>
  <c r="D150" i="7"/>
  <c r="E150" i="7"/>
  <c r="A151" i="7"/>
  <c r="B151" i="7"/>
  <c r="D151" i="7"/>
  <c r="E151" i="7"/>
  <c r="A152" i="7"/>
  <c r="B152" i="7"/>
  <c r="D152" i="7"/>
  <c r="E152" i="7"/>
  <c r="A153" i="7"/>
  <c r="B153" i="7"/>
  <c r="D153" i="7"/>
  <c r="E153" i="7"/>
  <c r="F1" i="1"/>
  <c r="H1" i="1"/>
  <c r="BL1" i="1"/>
  <c r="BQ1" i="1"/>
  <c r="BQ2" i="1"/>
  <c r="BR2" i="1"/>
  <c r="BS2" i="1"/>
  <c r="B3" i="1"/>
  <c r="D3" i="1"/>
  <c r="E3" i="1"/>
  <c r="BL3" i="1"/>
  <c r="BN3" i="1"/>
  <c r="BO3" i="1"/>
  <c r="BR3" i="1"/>
  <c r="C4" i="1"/>
  <c r="BL4" i="1"/>
  <c r="BM4" i="1"/>
  <c r="BR4" i="1"/>
  <c r="B5" i="1"/>
  <c r="BL5" i="1"/>
  <c r="BR5" i="1"/>
  <c r="B6" i="1"/>
  <c r="C6" i="1"/>
  <c r="D6" i="1"/>
  <c r="E6" i="1"/>
  <c r="BL6" i="1"/>
  <c r="BM6" i="1"/>
  <c r="BN6" i="1"/>
  <c r="BO6" i="1"/>
  <c r="BR6" i="1"/>
  <c r="B7" i="1"/>
  <c r="C7" i="1"/>
  <c r="D7" i="1"/>
  <c r="E7" i="1"/>
  <c r="BL7" i="1"/>
  <c r="BM7" i="1"/>
  <c r="BN7" i="1"/>
  <c r="BO7" i="1"/>
  <c r="BR7" i="1"/>
  <c r="D8" i="1"/>
  <c r="BL8" i="1"/>
  <c r="BM8" i="1"/>
  <c r="BN8" i="1"/>
  <c r="BR8" i="1"/>
  <c r="BY8" i="1"/>
  <c r="CK8" i="1"/>
  <c r="BR9" i="1"/>
  <c r="BY9" i="1"/>
  <c r="CK9" i="1"/>
  <c r="B10" i="1"/>
  <c r="D10" i="1"/>
  <c r="E10" i="1"/>
  <c r="BL10" i="1"/>
  <c r="BN10" i="1"/>
  <c r="BO10" i="1"/>
  <c r="BR10" i="1"/>
  <c r="BY10" i="1"/>
  <c r="CK10" i="1"/>
  <c r="C11" i="1"/>
  <c r="BL11" i="1"/>
  <c r="BM11" i="1"/>
  <c r="BR11" i="1"/>
  <c r="BY11" i="1"/>
  <c r="CK11" i="1"/>
  <c r="B12" i="1"/>
  <c r="H12" i="1"/>
  <c r="BL12" i="1"/>
  <c r="BY12" i="1"/>
  <c r="CK12" i="1"/>
  <c r="B13" i="1"/>
  <c r="C13" i="1"/>
  <c r="D13" i="1"/>
  <c r="E13" i="1"/>
  <c r="BL13" i="1"/>
  <c r="BM13" i="1"/>
  <c r="BN13" i="1"/>
  <c r="BO13" i="1"/>
  <c r="BY13" i="1"/>
  <c r="CK13" i="1"/>
  <c r="B14" i="1"/>
  <c r="C14" i="1"/>
  <c r="D14" i="1"/>
  <c r="E14" i="1"/>
  <c r="BL14" i="1"/>
  <c r="BM14" i="1"/>
  <c r="BN14" i="1"/>
  <c r="BO14" i="1"/>
  <c r="BY14" i="1"/>
  <c r="CK14" i="1"/>
  <c r="BL15" i="1"/>
  <c r="BY15" i="1"/>
  <c r="CK15" i="1"/>
  <c r="BR16" i="1"/>
  <c r="BY16" i="1"/>
  <c r="CK16" i="1"/>
  <c r="BY17" i="1"/>
  <c r="CK17" i="1"/>
  <c r="B18" i="1"/>
  <c r="BL18" i="1"/>
  <c r="BY18" i="1"/>
  <c r="CK18" i="1"/>
  <c r="BY19" i="1"/>
  <c r="CK19" i="1"/>
  <c r="B20" i="1"/>
  <c r="BL20" i="1"/>
  <c r="BY20" i="1"/>
  <c r="CK20" i="1"/>
  <c r="BY21" i="1"/>
  <c r="CK21" i="1"/>
  <c r="BY22" i="1"/>
  <c r="CK22" i="1"/>
  <c r="BY23" i="1"/>
  <c r="CK23" i="1"/>
  <c r="BY24" i="1"/>
  <c r="CK24" i="1"/>
  <c r="BY25" i="1"/>
  <c r="CK25" i="1"/>
  <c r="BY26" i="1"/>
  <c r="CK26" i="1"/>
  <c r="BY27" i="1"/>
  <c r="CK27" i="1"/>
  <c r="BY28" i="1"/>
  <c r="CK28" i="1"/>
  <c r="BY29" i="1"/>
  <c r="CK29" i="1"/>
  <c r="H30" i="1"/>
  <c r="I30" i="1"/>
  <c r="BY30" i="1"/>
  <c r="CK30" i="1"/>
  <c r="H31" i="1"/>
  <c r="I31" i="1"/>
  <c r="BY31" i="1"/>
  <c r="CK31" i="1"/>
  <c r="H32" i="1"/>
  <c r="I32" i="1"/>
  <c r="BY32" i="1"/>
  <c r="CK32" i="1"/>
  <c r="H33" i="1"/>
  <c r="I33" i="1"/>
  <c r="H34" i="1"/>
  <c r="I34" i="1"/>
  <c r="H35" i="1"/>
  <c r="I35" i="1"/>
  <c r="H36" i="1"/>
  <c r="I36" i="1"/>
  <c r="H37" i="1"/>
  <c r="I37" i="1"/>
  <c r="H39" i="1"/>
  <c r="I39" i="1"/>
  <c r="CB39" i="1"/>
  <c r="B40" i="1"/>
  <c r="D40" i="1"/>
  <c r="BW40" i="1"/>
  <c r="B41" i="1"/>
  <c r="D41" i="1"/>
  <c r="D42" i="1"/>
  <c r="B49" i="1"/>
  <c r="E49" i="1"/>
  <c r="B50" i="1"/>
  <c r="E50" i="1"/>
  <c r="G50" i="1"/>
  <c r="H50" i="1"/>
  <c r="B51" i="1"/>
  <c r="E51" i="1"/>
  <c r="G51" i="1"/>
  <c r="H51" i="1"/>
  <c r="B52" i="1"/>
  <c r="E52" i="1"/>
  <c r="BT77" i="1"/>
  <c r="BT78" i="1"/>
  <c r="CF78" i="1"/>
  <c r="BT79" i="1"/>
  <c r="CF79" i="1"/>
  <c r="BT80" i="1"/>
  <c r="CF80" i="1"/>
  <c r="BT81" i="1"/>
  <c r="CF81" i="1"/>
  <c r="BU88" i="1"/>
  <c r="BW88" i="1"/>
  <c r="BX88" i="1"/>
  <c r="BY88" i="1"/>
  <c r="BW89" i="1"/>
  <c r="BX89" i="1"/>
  <c r="BY89" i="1"/>
  <c r="BW90" i="1"/>
  <c r="BX90" i="1"/>
  <c r="BY90" i="1"/>
  <c r="BW91" i="1"/>
  <c r="BX91" i="1"/>
  <c r="BY91" i="1"/>
  <c r="BW92" i="1"/>
  <c r="BX92" i="1"/>
  <c r="BY92" i="1"/>
  <c r="BW93" i="1"/>
  <c r="BX93" i="1"/>
  <c r="BY93" i="1"/>
  <c r="BW94" i="1"/>
  <c r="BX94" i="1"/>
  <c r="BY94" i="1"/>
  <c r="BW95" i="1"/>
  <c r="BX95" i="1"/>
  <c r="BY95" i="1"/>
  <c r="BW96" i="1"/>
  <c r="BX96" i="1"/>
  <c r="BY96" i="1"/>
  <c r="BW97" i="1"/>
  <c r="BX97" i="1"/>
  <c r="BY97" i="1"/>
  <c r="BW98" i="1"/>
  <c r="BX98" i="1"/>
  <c r="BY98" i="1"/>
  <c r="BW99" i="1"/>
  <c r="BX99" i="1"/>
  <c r="BY99" i="1"/>
  <c r="BW100" i="1"/>
  <c r="BX100" i="1"/>
  <c r="BY100" i="1"/>
  <c r="BW101" i="1"/>
  <c r="BX101" i="1"/>
  <c r="BY101" i="1"/>
  <c r="BW102" i="1"/>
  <c r="BX102" i="1"/>
  <c r="BY102" i="1"/>
  <c r="BW103" i="1"/>
  <c r="BX103" i="1"/>
  <c r="BY103" i="1"/>
  <c r="BW104" i="1"/>
  <c r="BX104" i="1"/>
  <c r="BY104" i="1"/>
  <c r="BW105" i="1"/>
  <c r="BX105" i="1"/>
  <c r="BY105" i="1"/>
  <c r="BW106" i="1"/>
  <c r="BX106" i="1"/>
  <c r="BY106" i="1"/>
  <c r="BW107" i="1"/>
  <c r="BX107" i="1"/>
  <c r="BY107" i="1"/>
  <c r="BW108" i="1"/>
  <c r="BX108" i="1"/>
  <c r="BY108" i="1"/>
  <c r="BU110" i="1"/>
  <c r="BW110" i="1"/>
  <c r="BX110" i="1"/>
  <c r="BY110" i="1"/>
  <c r="BW111" i="1"/>
  <c r="BX111" i="1"/>
  <c r="BY111" i="1"/>
  <c r="BW112" i="1"/>
  <c r="BX112" i="1"/>
  <c r="BY112" i="1"/>
  <c r="BW113" i="1"/>
  <c r="BX113" i="1"/>
  <c r="BY113" i="1"/>
  <c r="BW114" i="1"/>
  <c r="BX114" i="1"/>
  <c r="BY114" i="1"/>
  <c r="BW115" i="1"/>
  <c r="BX115" i="1"/>
  <c r="BY115" i="1"/>
  <c r="BW116" i="1"/>
  <c r="BX116" i="1"/>
  <c r="BY116" i="1"/>
  <c r="BW117" i="1"/>
  <c r="BX117" i="1"/>
  <c r="BY117" i="1"/>
  <c r="BW118" i="1"/>
  <c r="BX118" i="1"/>
  <c r="BY118" i="1"/>
  <c r="BW119" i="1"/>
  <c r="BX119" i="1"/>
  <c r="BY119" i="1"/>
  <c r="BW120" i="1"/>
  <c r="BX120" i="1"/>
  <c r="BY120" i="1"/>
  <c r="BW121" i="1"/>
  <c r="BX121" i="1"/>
  <c r="BY121" i="1"/>
  <c r="BW122" i="1"/>
  <c r="BX122" i="1"/>
  <c r="BY122" i="1"/>
  <c r="BW123" i="1"/>
  <c r="BX123" i="1"/>
  <c r="BY123" i="1"/>
  <c r="BW124" i="1"/>
  <c r="BX124" i="1"/>
  <c r="BY124" i="1"/>
  <c r="BW125" i="1"/>
  <c r="BX125" i="1"/>
  <c r="BY125" i="1"/>
  <c r="BW126" i="1"/>
  <c r="BX126" i="1"/>
  <c r="BY126" i="1"/>
  <c r="BW127" i="1"/>
  <c r="BX127" i="1"/>
  <c r="BY127" i="1"/>
  <c r="BW128" i="1"/>
  <c r="BX128" i="1"/>
  <c r="BY128" i="1"/>
  <c r="BW129" i="1"/>
  <c r="BX129" i="1"/>
  <c r="BY129" i="1"/>
  <c r="BU133" i="1"/>
  <c r="BW133" i="1"/>
  <c r="BX133" i="1"/>
  <c r="BY133" i="1"/>
  <c r="BW134" i="1"/>
  <c r="BX134" i="1"/>
  <c r="BY134" i="1"/>
  <c r="BW135" i="1"/>
  <c r="BX135" i="1"/>
  <c r="BY135" i="1"/>
  <c r="BW136" i="1"/>
  <c r="BX136" i="1"/>
  <c r="BY136" i="1"/>
  <c r="BW137" i="1"/>
  <c r="BX137" i="1"/>
  <c r="BY137" i="1"/>
  <c r="BW138" i="1"/>
  <c r="BX138" i="1"/>
  <c r="BY138" i="1"/>
  <c r="BW139" i="1"/>
  <c r="BX139" i="1"/>
  <c r="BY139" i="1"/>
  <c r="BW140" i="1"/>
  <c r="BX140" i="1"/>
  <c r="BY140" i="1"/>
  <c r="BW141" i="1"/>
  <c r="BX141" i="1"/>
  <c r="BY141" i="1"/>
  <c r="BW142" i="1"/>
  <c r="BX142" i="1"/>
  <c r="BY142" i="1"/>
  <c r="BW143" i="1"/>
  <c r="BX143" i="1"/>
  <c r="BY143" i="1"/>
  <c r="BW144" i="1"/>
  <c r="BX144" i="1"/>
  <c r="BY144" i="1"/>
  <c r="BW145" i="1"/>
  <c r="BX145" i="1"/>
  <c r="BY145" i="1"/>
  <c r="BW146" i="1"/>
  <c r="BX146" i="1"/>
  <c r="BY146" i="1"/>
  <c r="BW147" i="1"/>
  <c r="BX147" i="1"/>
  <c r="BY147" i="1"/>
  <c r="BW148" i="1"/>
  <c r="BX148" i="1"/>
  <c r="BY148" i="1"/>
  <c r="BW149" i="1"/>
  <c r="BX149" i="1"/>
  <c r="BY149" i="1"/>
  <c r="BW150" i="1"/>
  <c r="BX150" i="1"/>
  <c r="BY150" i="1"/>
  <c r="BW151" i="1"/>
  <c r="BX151" i="1"/>
  <c r="BY151" i="1"/>
  <c r="BW152" i="1"/>
  <c r="BX152" i="1"/>
  <c r="BY152" i="1"/>
  <c r="BU154" i="1"/>
  <c r="BW154" i="1"/>
  <c r="BX154" i="1"/>
  <c r="BY154" i="1"/>
  <c r="BW155" i="1"/>
  <c r="BX155" i="1"/>
  <c r="BY155" i="1"/>
  <c r="BW156" i="1"/>
  <c r="BX156" i="1"/>
  <c r="BY156" i="1"/>
  <c r="BW157" i="1"/>
  <c r="BX157" i="1"/>
  <c r="BY157" i="1"/>
  <c r="BW158" i="1"/>
  <c r="BX158" i="1"/>
  <c r="BY158" i="1"/>
  <c r="BW159" i="1"/>
  <c r="BX159" i="1"/>
  <c r="BY159" i="1"/>
  <c r="BW160" i="1"/>
  <c r="BX160" i="1"/>
  <c r="BY160" i="1"/>
  <c r="BW161" i="1"/>
  <c r="BX161" i="1"/>
  <c r="BY161" i="1"/>
  <c r="BW162" i="1"/>
  <c r="BX162" i="1"/>
  <c r="BY162" i="1"/>
  <c r="BW163" i="1"/>
  <c r="BX163" i="1"/>
  <c r="BY163" i="1"/>
  <c r="BW164" i="1"/>
  <c r="BX164" i="1"/>
  <c r="BY164" i="1"/>
  <c r="BW165" i="1"/>
  <c r="BX165" i="1"/>
  <c r="BY165" i="1"/>
  <c r="BW166" i="1"/>
  <c r="BX166" i="1"/>
  <c r="BY166" i="1"/>
  <c r="BW167" i="1"/>
  <c r="BX167" i="1"/>
  <c r="BY167" i="1"/>
  <c r="BW168" i="1"/>
  <c r="BX168" i="1"/>
  <c r="BY168" i="1"/>
  <c r="BW169" i="1"/>
  <c r="BX169" i="1"/>
  <c r="BY169" i="1"/>
  <c r="BW170" i="1"/>
  <c r="BX170" i="1"/>
  <c r="BY170" i="1"/>
  <c r="BW171" i="1"/>
  <c r="BX171" i="1"/>
  <c r="BY171" i="1"/>
  <c r="BW172" i="1"/>
  <c r="BX172" i="1"/>
  <c r="BY172" i="1"/>
  <c r="BW173" i="1"/>
  <c r="BX173" i="1"/>
  <c r="BY173" i="1"/>
  <c r="BU175" i="1"/>
  <c r="BW175" i="1"/>
  <c r="BX175" i="1"/>
  <c r="BY175" i="1"/>
  <c r="BW176" i="1"/>
  <c r="BX176" i="1"/>
  <c r="BY176" i="1"/>
  <c r="BW177" i="1"/>
  <c r="BX177" i="1"/>
  <c r="BY177" i="1"/>
  <c r="BW178" i="1"/>
  <c r="BX178" i="1"/>
  <c r="BY178" i="1"/>
  <c r="BW179" i="1"/>
  <c r="BX179" i="1"/>
  <c r="BY179" i="1"/>
  <c r="BW180" i="1"/>
  <c r="BX180" i="1"/>
  <c r="BY180" i="1"/>
  <c r="BW181" i="1"/>
  <c r="BX181" i="1"/>
  <c r="BY181" i="1"/>
  <c r="BW182" i="1"/>
  <c r="BX182" i="1"/>
  <c r="BY182" i="1"/>
  <c r="BW183" i="1"/>
  <c r="BX183" i="1"/>
  <c r="BY183" i="1"/>
  <c r="BW184" i="1"/>
  <c r="BX184" i="1"/>
  <c r="BY184" i="1"/>
  <c r="BW185" i="1"/>
  <c r="BX185" i="1"/>
  <c r="BY185" i="1"/>
  <c r="BW186" i="1"/>
  <c r="BX186" i="1"/>
  <c r="BY186" i="1"/>
  <c r="BW187" i="1"/>
  <c r="BX187" i="1"/>
  <c r="BY187" i="1"/>
  <c r="BW188" i="1"/>
  <c r="BX188" i="1"/>
  <c r="BY188" i="1"/>
  <c r="BW189" i="1"/>
  <c r="BX189" i="1"/>
  <c r="BY189" i="1"/>
  <c r="BW190" i="1"/>
  <c r="BX190" i="1"/>
  <c r="BY190" i="1"/>
  <c r="BW191" i="1"/>
  <c r="BX191" i="1"/>
  <c r="BY191" i="1"/>
  <c r="BW192" i="1"/>
  <c r="BX192" i="1"/>
  <c r="BY192" i="1"/>
  <c r="BW193" i="1"/>
  <c r="BX193" i="1"/>
  <c r="BY193" i="1"/>
  <c r="BW194" i="1"/>
  <c r="BX194" i="1"/>
  <c r="BY194" i="1"/>
  <c r="BV197" i="1"/>
  <c r="CA197" i="1"/>
  <c r="BV198" i="1"/>
  <c r="CA198" i="1"/>
  <c r="BV199" i="1"/>
  <c r="CA199" i="1"/>
  <c r="B1" i="2"/>
  <c r="G1" i="2"/>
  <c r="G2" i="2"/>
  <c r="B3" i="2"/>
  <c r="D3" i="2"/>
  <c r="E3" i="2"/>
  <c r="H3" i="2"/>
  <c r="B4" i="2"/>
  <c r="C4" i="2"/>
  <c r="H4" i="2"/>
  <c r="B5" i="2"/>
  <c r="H5" i="2"/>
  <c r="B6" i="2"/>
  <c r="C6" i="2"/>
  <c r="D6" i="2"/>
  <c r="E6" i="2"/>
  <c r="H6" i="2"/>
  <c r="B7" i="2"/>
  <c r="C7" i="2"/>
  <c r="D7" i="2"/>
  <c r="E7" i="2"/>
  <c r="H7" i="2"/>
  <c r="B8" i="2"/>
  <c r="C8" i="2"/>
  <c r="D8" i="2"/>
  <c r="H8" i="2"/>
  <c r="H9" i="2"/>
  <c r="B10" i="2"/>
  <c r="D10" i="2"/>
  <c r="E10" i="2"/>
  <c r="H10" i="2"/>
  <c r="B11" i="2"/>
  <c r="C11" i="2"/>
  <c r="B12" i="2"/>
  <c r="H12" i="2"/>
  <c r="B13" i="2"/>
  <c r="C13" i="2"/>
  <c r="D13" i="2"/>
  <c r="E13" i="2"/>
  <c r="B14" i="2"/>
  <c r="C14" i="2"/>
  <c r="D14" i="2"/>
  <c r="E14" i="2"/>
  <c r="B15" i="2"/>
  <c r="B18" i="2"/>
  <c r="B20" i="2"/>
  <c r="D7" i="6"/>
  <c r="D8" i="6"/>
  <c r="D9" i="6"/>
  <c r="D10" i="6"/>
  <c r="D11" i="6"/>
  <c r="D12" i="6"/>
  <c r="D13" i="6"/>
  <c r="K13" i="6" a="1"/>
  <c r="K24" i="6" s="1"/>
  <c r="D14" i="6"/>
  <c r="D15" i="6"/>
  <c r="K15" i="6"/>
  <c r="D16" i="6"/>
  <c r="K17" i="6"/>
  <c r="D18" i="6"/>
  <c r="F18" i="6"/>
  <c r="K18" i="6"/>
  <c r="D19" i="6"/>
  <c r="D20" i="6"/>
  <c r="D21" i="6"/>
  <c r="K21" i="6"/>
  <c r="K23" i="6"/>
  <c r="D25" i="6"/>
  <c r="F25" i="6"/>
  <c r="D26" i="6"/>
  <c r="G26" i="6"/>
  <c r="H26" i="6"/>
  <c r="I37" i="7" s="1"/>
  <c r="D27" i="6"/>
  <c r="G27" i="6"/>
  <c r="D28" i="6"/>
  <c r="D29" i="6"/>
  <c r="G29" i="6"/>
  <c r="D30" i="6"/>
  <c r="D31"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G19" i="6" l="1"/>
  <c r="H19" i="6" s="1"/>
  <c r="G22" i="6"/>
  <c r="G20" i="6"/>
  <c r="H20" i="6" s="1"/>
  <c r="H27" i="6"/>
  <c r="Q63" i="3"/>
  <c r="D32" i="6"/>
  <c r="D33" i="6" s="1"/>
  <c r="K14" i="6"/>
  <c r="K26" i="6"/>
  <c r="I31" i="7"/>
  <c r="J31" i="7" s="1"/>
  <c r="K22" i="6"/>
  <c r="K13" i="6"/>
  <c r="K20" i="6"/>
  <c r="L63" i="3"/>
  <c r="T63" i="3"/>
  <c r="H63" i="3"/>
  <c r="P63" i="3"/>
  <c r="J63" i="3"/>
  <c r="R63" i="3"/>
  <c r="F63" i="3"/>
  <c r="S63" i="3"/>
  <c r="I63" i="3"/>
  <c r="V63" i="3"/>
  <c r="E63" i="3"/>
  <c r="W63" i="3"/>
  <c r="G63" i="3"/>
  <c r="K63" i="3"/>
  <c r="M63" i="3"/>
  <c r="N63" i="3"/>
  <c r="K19" i="6"/>
  <c r="K16" i="6"/>
  <c r="K25" i="6"/>
  <c r="I30" i="7"/>
  <c r="J30" i="7" s="1"/>
  <c r="H64" i="3"/>
  <c r="Y16" i="14"/>
  <c r="I23" i="7"/>
  <c r="J23" i="7" s="1"/>
  <c r="I25" i="7"/>
  <c r="J25" i="7" s="1"/>
  <c r="J65" i="3"/>
  <c r="R65" i="3"/>
  <c r="F65" i="3"/>
  <c r="N65" i="3"/>
  <c r="V65" i="3"/>
  <c r="H65" i="3"/>
  <c r="P65" i="3"/>
  <c r="M65" i="3"/>
  <c r="Q65" i="3"/>
  <c r="H26" i="7"/>
  <c r="G26" i="7" s="1"/>
  <c r="O65" i="3"/>
  <c r="G64" i="3"/>
  <c r="O64" i="3"/>
  <c r="W64" i="3"/>
  <c r="K64" i="3"/>
  <c r="S64" i="3"/>
  <c r="I64" i="3"/>
  <c r="V64" i="3"/>
  <c r="L64" i="3"/>
  <c r="S65" i="3"/>
  <c r="F64" i="3"/>
  <c r="L65" i="3"/>
  <c r="R64" i="3"/>
  <c r="E64" i="3"/>
  <c r="Y7" i="14"/>
  <c r="Y9" i="14"/>
  <c r="Y17" i="14"/>
  <c r="Y12" i="14"/>
  <c r="Y20" i="14"/>
  <c r="Y10" i="14"/>
  <c r="Y18" i="14"/>
  <c r="Y13" i="14"/>
  <c r="K65" i="3"/>
  <c r="Q64" i="3"/>
  <c r="G28" i="7"/>
  <c r="H28" i="7" s="1"/>
  <c r="G24" i="7"/>
  <c r="H24" i="7" s="1"/>
  <c r="G23" i="7"/>
  <c r="H23" i="7" s="1"/>
  <c r="G25" i="7"/>
  <c r="H25" i="7" s="1"/>
  <c r="G22" i="7"/>
  <c r="H22" i="7" s="1"/>
  <c r="H11" i="7"/>
  <c r="U64" i="3"/>
  <c r="M64" i="3"/>
  <c r="Y16" i="13"/>
  <c r="Y8" i="13"/>
  <c r="Y20" i="12"/>
  <c r="Y18" i="12"/>
  <c r="Y16" i="12"/>
  <c r="Y14" i="12"/>
  <c r="Y12" i="12"/>
  <c r="Y10" i="12"/>
  <c r="Y8" i="12"/>
  <c r="Y18" i="13"/>
  <c r="Y10" i="13"/>
  <c r="Y17" i="13"/>
  <c r="Y9" i="13"/>
  <c r="Y20" i="11"/>
  <c r="Y18" i="11"/>
  <c r="Y16" i="11"/>
  <c r="Y14" i="11"/>
  <c r="Y12" i="11"/>
  <c r="Y10" i="11"/>
  <c r="Z18" i="14" l="1"/>
  <c r="K27" i="6"/>
  <c r="L16" i="6" s="1"/>
  <c r="Z20" i="11"/>
  <c r="Y21" i="12"/>
  <c r="Z8" i="12"/>
  <c r="Y21" i="13"/>
  <c r="Z10" i="14"/>
  <c r="Z10" i="12"/>
  <c r="L25" i="6"/>
  <c r="Z12" i="14"/>
  <c r="Z10" i="11"/>
  <c r="Z12" i="11"/>
  <c r="L19" i="6"/>
  <c r="Z16" i="13"/>
  <c r="Z9" i="13"/>
  <c r="Z14" i="11"/>
  <c r="Z17" i="13"/>
  <c r="Y21" i="11"/>
  <c r="Z18" i="12"/>
  <c r="Y21" i="14"/>
  <c r="G30" i="7"/>
  <c r="Z9" i="14"/>
  <c r="Z16" i="11"/>
  <c r="Z10" i="13"/>
  <c r="Z20" i="12"/>
  <c r="Z13" i="14"/>
  <c r="G37" i="7"/>
  <c r="D22" i="6"/>
  <c r="D23" i="6" s="1"/>
  <c r="Z17" i="11" l="1"/>
  <c r="Z9" i="11"/>
  <c r="Z15" i="11"/>
  <c r="Z11" i="11"/>
  <c r="Z13" i="11"/>
  <c r="Z19" i="11"/>
  <c r="Z8" i="11"/>
  <c r="Z7" i="11"/>
  <c r="L14" i="6"/>
  <c r="Z15" i="12"/>
  <c r="Z9" i="12"/>
  <c r="Z7" i="12"/>
  <c r="Z13" i="12"/>
  <c r="Z11" i="12"/>
  <c r="Z19" i="12"/>
  <c r="Z17" i="12"/>
  <c r="Z16" i="12"/>
  <c r="L26" i="6"/>
  <c r="L22" i="6"/>
  <c r="L13" i="6"/>
  <c r="L17" i="6"/>
  <c r="L23" i="6"/>
  <c r="L21" i="6"/>
  <c r="L15" i="6"/>
  <c r="L24" i="6"/>
  <c r="L18" i="6"/>
  <c r="H30" i="7"/>
  <c r="G31" i="7"/>
  <c r="H31" i="7" s="1"/>
  <c r="L20" i="6"/>
  <c r="Z11" i="14"/>
  <c r="Z8" i="14"/>
  <c r="Z14" i="14"/>
  <c r="Z15" i="14"/>
  <c r="Z19" i="14"/>
  <c r="Z12" i="12"/>
  <c r="Z17" i="14"/>
  <c r="Z11" i="13"/>
  <c r="Z7" i="13"/>
  <c r="Z19" i="13"/>
  <c r="Z15" i="13"/>
  <c r="Z14" i="13"/>
  <c r="Z13" i="13"/>
  <c r="Z20" i="13"/>
  <c r="Z12" i="13"/>
  <c r="Z18" i="13"/>
  <c r="Z16" i="14"/>
  <c r="Z7" i="14"/>
  <c r="Z20" i="14"/>
  <c r="Z14" i="12"/>
  <c r="Z8" i="13"/>
  <c r="Z18" i="11"/>
  <c r="D39" i="3" l="1"/>
  <c r="E4" i="2"/>
  <c r="BO4" i="1"/>
  <c r="CA53" i="1"/>
  <c r="BY53" i="1"/>
  <c r="BW53" i="1"/>
  <c r="BV32" i="1"/>
  <c r="B29" i="1"/>
  <c r="BU3" i="1"/>
  <c r="BU53" i="1"/>
  <c r="CD83" i="1"/>
  <c r="CC198" i="1"/>
  <c r="D49" i="3"/>
  <c r="BR15" i="1"/>
  <c r="H16" i="2"/>
  <c r="CG81" i="1"/>
  <c r="CB199" i="1"/>
  <c r="D48" i="3"/>
  <c r="H15" i="2"/>
  <c r="BR14" i="1"/>
  <c r="E11" i="2"/>
  <c r="D41" i="3"/>
  <c r="BO11" i="1"/>
  <c r="D52" i="3"/>
  <c r="B36" i="1"/>
  <c r="H15" i="1"/>
  <c r="H20" i="2"/>
  <c r="BR20" i="1"/>
  <c r="BY54" i="1"/>
  <c r="CA54" i="1"/>
  <c r="BU54" i="1"/>
  <c r="BW54" i="1"/>
  <c r="H17" i="2"/>
  <c r="BR17" i="1"/>
  <c r="H20" i="1"/>
  <c r="D53" i="3"/>
  <c r="H16" i="1"/>
  <c r="I25" i="1"/>
  <c r="B35" i="1"/>
  <c r="BX31" i="1"/>
  <c r="BU31" i="1"/>
  <c r="BW31" i="1"/>
  <c r="CA12" i="1"/>
  <c r="BV12" i="1"/>
  <c r="CH12" i="1"/>
  <c r="BU1" i="1"/>
  <c r="BV3" i="1"/>
  <c r="D44" i="3"/>
  <c r="C16" i="1"/>
  <c r="B34" i="1"/>
  <c r="BO16" i="1"/>
  <c r="BM16" i="1"/>
  <c r="BL19" i="1"/>
  <c r="B19" i="2"/>
  <c r="B19" i="1"/>
  <c r="D36" i="3"/>
  <c r="BW60" i="1"/>
  <c r="BY60" i="1"/>
  <c r="BU60" i="1"/>
  <c r="CA60" i="1"/>
  <c r="BY51" i="1"/>
  <c r="CA51" i="1"/>
  <c r="BU51" i="1"/>
  <c r="BW51" i="1"/>
  <c r="BW58" i="1"/>
  <c r="BY58" i="1"/>
  <c r="BU58" i="1"/>
  <c r="CA58" i="1"/>
  <c r="BW66" i="1"/>
  <c r="CA66" i="1"/>
  <c r="BU66" i="1"/>
  <c r="BY66" i="1"/>
  <c r="BW25" i="1"/>
  <c r="BU25" i="1"/>
  <c r="BX25" i="1"/>
  <c r="D55" i="3"/>
  <c r="CD197" i="1"/>
  <c r="G20" i="1"/>
  <c r="G19" i="1"/>
  <c r="CH81" i="1"/>
  <c r="CA65" i="1"/>
  <c r="BY65" i="1"/>
  <c r="BU65" i="1"/>
  <c r="BW65" i="1"/>
  <c r="BY61" i="1"/>
  <c r="BW61" i="1"/>
  <c r="BU61" i="1"/>
  <c r="CA61" i="1"/>
  <c r="BR13" i="1"/>
  <c r="H14" i="2"/>
  <c r="H14" i="1"/>
  <c r="D47" i="3"/>
  <c r="BU5" i="1"/>
  <c r="H25" i="1"/>
  <c r="B31" i="1"/>
  <c r="B30" i="1"/>
  <c r="CA68" i="1"/>
  <c r="BW68" i="1"/>
  <c r="BU68" i="1"/>
  <c r="BY68" i="1"/>
  <c r="BY49" i="1"/>
  <c r="BW49" i="1"/>
  <c r="BU49" i="1"/>
  <c r="CA49" i="1"/>
  <c r="CA52" i="1"/>
  <c r="BW52" i="1"/>
  <c r="BU52" i="1"/>
  <c r="BY52" i="1"/>
  <c r="D38" i="3"/>
  <c r="E18" i="2"/>
  <c r="BO18" i="1"/>
  <c r="BW23" i="1"/>
  <c r="BU23" i="1"/>
  <c r="BX23" i="1"/>
  <c r="BW15" i="1"/>
  <c r="BU15" i="1"/>
  <c r="BX15" i="1"/>
  <c r="BW69" i="1"/>
  <c r="BY69" i="1"/>
  <c r="BU69" i="1"/>
  <c r="CA69" i="1"/>
  <c r="CA67" i="1"/>
  <c r="BW67" i="1"/>
  <c r="BU67" i="1"/>
  <c r="BY67" i="1"/>
  <c r="BX10" i="1"/>
  <c r="BU10" i="1"/>
  <c r="BW10" i="1"/>
  <c r="E17" i="2"/>
  <c r="E17" i="1"/>
  <c r="BO17" i="1"/>
  <c r="CA8" i="1"/>
  <c r="BV8" i="1"/>
  <c r="CH8" i="1"/>
  <c r="BW21" i="1"/>
  <c r="BU21" i="1"/>
  <c r="BX21" i="1"/>
  <c r="BX27" i="1"/>
  <c r="BU27" i="1"/>
  <c r="BW27" i="1"/>
  <c r="BW73" i="1"/>
  <c r="CA73" i="1"/>
  <c r="BU73" i="1"/>
  <c r="BY73" i="1"/>
  <c r="BY47" i="1"/>
  <c r="BW47" i="1"/>
  <c r="BU47" i="1"/>
  <c r="CA47" i="1"/>
  <c r="D54" i="3"/>
  <c r="BR18" i="1"/>
  <c r="H18" i="1"/>
  <c r="H18" i="2"/>
  <c r="BY64" i="1"/>
  <c r="BW64" i="1"/>
  <c r="BU64" i="1"/>
  <c r="CA64" i="1"/>
  <c r="CA45" i="1"/>
  <c r="BW45" i="1"/>
  <c r="BU45" i="1"/>
  <c r="BY45" i="1"/>
  <c r="E34" i="1"/>
  <c r="E9" i="2"/>
  <c r="BO9" i="1"/>
  <c r="E9" i="1"/>
  <c r="D43" i="3"/>
  <c r="CA71" i="1"/>
  <c r="BW71" i="1"/>
  <c r="BU71" i="1"/>
  <c r="BY71" i="1"/>
  <c r="BX8" i="1"/>
  <c r="BU8" i="1"/>
  <c r="BW8" i="1"/>
  <c r="CA72" i="1"/>
  <c r="BW72" i="1"/>
  <c r="BU72" i="1"/>
  <c r="BY72" i="1"/>
  <c r="BY55" i="1"/>
  <c r="CA55" i="1"/>
  <c r="BU55" i="1"/>
  <c r="BW55" i="1"/>
  <c r="BW57" i="1"/>
  <c r="BY57" i="1"/>
  <c r="BU57" i="1"/>
  <c r="CA57" i="1"/>
  <c r="CA56" i="1"/>
  <c r="BW56" i="1"/>
  <c r="BU56" i="1"/>
  <c r="BY56" i="1"/>
  <c r="BX32" i="1"/>
  <c r="BU32" i="1"/>
  <c r="BW32" i="1"/>
  <c r="BX9" i="1"/>
  <c r="BU9" i="1"/>
  <c r="BW9" i="1"/>
  <c r="CA48" i="1"/>
  <c r="BW48" i="1"/>
  <c r="BU48" i="1"/>
  <c r="BY48" i="1"/>
  <c r="BV28" i="1"/>
  <c r="CH28" i="1"/>
  <c r="BY63" i="1"/>
  <c r="CA63" i="1"/>
  <c r="BU63" i="1"/>
  <c r="BW63" i="1"/>
  <c r="BR19" i="1"/>
  <c r="BR39" i="1"/>
  <c r="BW34" i="1"/>
  <c r="BU4" i="1"/>
  <c r="BW33" i="1"/>
  <c r="G19" i="2"/>
  <c r="H19" i="2"/>
  <c r="G20" i="2"/>
  <c r="E20" i="2"/>
  <c r="E20" i="1"/>
  <c r="BO20" i="1"/>
  <c r="E29" i="1"/>
  <c r="BX28" i="1"/>
  <c r="BU28" i="1"/>
  <c r="BW28" i="1"/>
  <c r="CA11" i="1"/>
  <c r="BV11" i="1"/>
  <c r="CH11" i="1"/>
  <c r="BX14" i="1"/>
  <c r="BU14" i="1"/>
  <c r="BW14" i="1"/>
  <c r="BV25" i="1"/>
  <c r="CH25" i="1"/>
  <c r="BW29" i="1"/>
  <c r="BU29" i="1"/>
  <c r="BX29" i="1"/>
  <c r="CH13" i="1"/>
  <c r="BV13" i="1"/>
  <c r="CA13" i="1"/>
  <c r="BW46" i="1"/>
  <c r="BY46" i="1"/>
  <c r="BU46" i="1"/>
  <c r="CA46" i="1"/>
  <c r="BW19" i="1"/>
  <c r="BU19" i="1"/>
  <c r="BX19" i="1"/>
  <c r="BV27" i="1"/>
  <c r="CH27" i="1"/>
  <c r="BW13" i="1"/>
  <c r="BU13" i="1"/>
  <c r="BX13" i="1"/>
  <c r="BV20" i="1"/>
  <c r="CH20" i="1"/>
  <c r="BX20" i="1"/>
  <c r="BU20" i="1"/>
  <c r="BW20" i="1"/>
  <c r="BW50" i="1"/>
  <c r="CA50" i="1"/>
  <c r="BU50" i="1"/>
  <c r="BY50" i="1"/>
  <c r="CA76" i="1"/>
  <c r="BW76" i="1"/>
  <c r="BU76" i="1"/>
  <c r="BY76" i="1"/>
  <c r="BY75" i="1"/>
  <c r="BW75" i="1"/>
  <c r="BU75" i="1"/>
  <c r="CA75" i="1"/>
  <c r="BU34" i="1"/>
  <c r="BU33" i="1"/>
  <c r="BW17" i="1"/>
  <c r="BU17" i="1"/>
  <c r="BX17" i="1"/>
  <c r="BX18" i="1"/>
  <c r="BU18" i="1"/>
  <c r="BW18" i="1"/>
  <c r="BT33" i="1"/>
  <c r="BT34" i="1"/>
  <c r="BU6" i="1"/>
  <c r="CD84" i="1"/>
  <c r="BW16" i="1"/>
  <c r="BU16" i="1"/>
  <c r="BX16" i="1"/>
  <c r="D46" i="3"/>
  <c r="BR12" i="1"/>
  <c r="H13" i="1"/>
  <c r="H13" i="2"/>
  <c r="BY70" i="1"/>
  <c r="CA70" i="1"/>
  <c r="BU70" i="1"/>
  <c r="BW70" i="1"/>
  <c r="BW22" i="1"/>
  <c r="BU22" i="1"/>
  <c r="BX22" i="1"/>
  <c r="BY44" i="1"/>
  <c r="BW44" i="1"/>
  <c r="BU44" i="1"/>
  <c r="CA44" i="1"/>
  <c r="BO19" i="1"/>
  <c r="E18" i="1"/>
  <c r="E19" i="1"/>
  <c r="E19" i="2"/>
  <c r="BW26" i="1"/>
  <c r="BU26" i="1"/>
  <c r="BX26" i="1"/>
  <c r="BV24" i="1"/>
  <c r="CH24" i="1"/>
  <c r="BV29" i="1"/>
  <c r="CH29" i="1"/>
  <c r="BV30" i="1"/>
  <c r="CH30" i="1"/>
  <c r="CD82" i="1"/>
  <c r="BV22" i="1"/>
  <c r="CH22" i="1"/>
  <c r="D40" i="3"/>
  <c r="E5" i="2"/>
  <c r="E16" i="1"/>
  <c r="E16" i="2"/>
  <c r="C16" i="2"/>
  <c r="BV17" i="1"/>
  <c r="CH17" i="1"/>
  <c r="BV21" i="1"/>
  <c r="CH21" i="1"/>
  <c r="BW59" i="1"/>
  <c r="BY59" i="1"/>
  <c r="BU59" i="1"/>
  <c r="CA59" i="1"/>
  <c r="BO12" i="1"/>
  <c r="E12" i="1"/>
  <c r="E12" i="2"/>
  <c r="BW62" i="1"/>
  <c r="BY62" i="1"/>
  <c r="BU62" i="1"/>
  <c r="CA62" i="1"/>
  <c r="E30" i="1"/>
  <c r="E27" i="1"/>
  <c r="E28" i="1"/>
  <c r="E31" i="1"/>
  <c r="BX12" i="1"/>
  <c r="BU12" i="1"/>
  <c r="BW12" i="1"/>
  <c r="CA9" i="1"/>
  <c r="BV9" i="1"/>
  <c r="CH9" i="1"/>
  <c r="BV19" i="1"/>
  <c r="CH19" i="1"/>
  <c r="CA10" i="1"/>
  <c r="BV10" i="1"/>
  <c r="CH10" i="1"/>
  <c r="BW30" i="1"/>
  <c r="BU30" i="1"/>
  <c r="BX30" i="1"/>
  <c r="BO5" i="1"/>
  <c r="BO25" i="1"/>
  <c r="BV31" i="1"/>
  <c r="CH31" i="1"/>
  <c r="BW74" i="1"/>
  <c r="BY74" i="1"/>
  <c r="BU2" i="1"/>
  <c r="BU42" i="1"/>
  <c r="BW41" i="1"/>
  <c r="BU74" i="1"/>
  <c r="CA74" i="1"/>
  <c r="BV15" i="1"/>
  <c r="CH15" i="1"/>
  <c r="CA14" i="1"/>
  <c r="BV14" i="1"/>
  <c r="CH14" i="1"/>
  <c r="BW24" i="1"/>
  <c r="BU24" i="1"/>
  <c r="BX24" i="1"/>
  <c r="BX11" i="1"/>
  <c r="BU11" i="1"/>
  <c r="BW11" i="1"/>
  <c r="BV23" i="1"/>
  <c r="CH23" i="1"/>
  <c r="BV18" i="1"/>
  <c r="CH18" i="1"/>
  <c r="BV16" i="1"/>
  <c r="CH16" i="1"/>
  <c r="BV26" i="1"/>
  <c r="CH26" i="1"/>
  <c r="H26" i="1"/>
  <c r="H21" i="1"/>
  <c r="E11" i="1"/>
  <c r="B27" i="1"/>
  <c r="B28" i="1"/>
  <c r="H17" i="1"/>
  <c r="E4" i="1"/>
  <c r="E5" i="1"/>
  <c r="H19" i="1"/>
  <c r="B37" i="1"/>
  <c r="E37" i="1"/>
</calcChain>
</file>

<file path=xl/comments1.xml><?xml version="1.0" encoding="utf-8"?>
<comments xmlns="http://schemas.openxmlformats.org/spreadsheetml/2006/main">
  <authors>
    <author/>
  </authors>
  <commentList>
    <comment ref="A1" authorId="0" shapeId="0">
      <text>
        <r>
          <rPr>
            <sz val="9"/>
            <color indexed="81"/>
            <rFont val="Tahoma"/>
            <charset val="1"/>
          </rPr>
          <t>To begin using the Tractor Performance Prediction Spreadsheet, choose a tractor from the pulldown list under the TRACPERF MENU that is included in the normal EXCEL menus. This will insert the default information for the front and rear tires as well as the other inputs necessary for calculations.  These values may be overridden by the user.  The application will normally recalculate when data is changed. Data can be saved to the Summary sheet which can be plotted in various ways on the Summary Chart.</t>
        </r>
      </text>
    </comment>
    <comment ref="C1" authorId="0" shapeId="0">
      <text>
        <r>
          <rPr>
            <sz val="9"/>
            <color indexed="81"/>
            <rFont val="Tahoma"/>
            <charset val="1"/>
          </rPr>
          <t>Tractor "Performance" or "Weight"
Calculation of Performance or Weight can be changed by selecting "Calculation Mode" in the TRACPERF MENU selection. Initiall Performance Mode is used where performance is determined at given weights. However, wheel slip and % of dynamic weight to be maintained on the front axle  can be used to determine the required tractor weights in Weight Calculation Mode.</t>
        </r>
      </text>
    </comment>
    <comment ref="G2" authorId="0" shapeId="0">
      <text>
        <r>
          <rPr>
            <sz val="9"/>
            <color indexed="81"/>
            <rFont val="Tahoma"/>
            <charset val="1"/>
          </rPr>
          <t xml:space="preserve">Choose a Tractor
Select a tractor from the pull down list under the TRACPERF MENU and the default information will be inserted into the input fields. Tractor models listed are those that were tested at University of Nebraska Tractor Test Lab. The model number, type of tractor (2wd = Two Wheel Drive, 4WD = Four Wheel Drive, and MFWD = Mechanical Front Wheel Drive), and transmission type are shown.
</t>
        </r>
      </text>
    </comment>
    <comment ref="H3" authorId="0" shapeId="0">
      <text>
        <r>
          <rPr>
            <sz val="9"/>
            <color indexed="81"/>
            <rFont val="Tahoma"/>
            <charset val="1"/>
          </rPr>
          <t>Tractor Wheelbase
Initial value is from Nebr Tests, the fore-aft distance between the front and rear axles. Generally this value would not be changed unless it was found to be incorrect for a given situation. Changing wheelbase is usually associated with changing front and rear weight and/or distributions.</t>
        </r>
      </text>
    </comment>
    <comment ref="B4" authorId="0" shapeId="0">
      <text>
        <r>
          <rPr>
            <sz val="9"/>
            <color indexed="81"/>
            <rFont val="Tahoma"/>
            <charset val="1"/>
          </rPr>
          <t xml:space="preserve">Front weight
Front weight is the total static reaction at the front axle due to the base tractor weight and added ballast reaction at the front axle. The initial value comes from the unballasted Nebraska Test weight. It can be changed in Performance mode and is calculated when in Weight mode.
</t>
        </r>
      </text>
    </comment>
    <comment ref="H4" authorId="0" shapeId="0">
      <text>
        <r>
          <rPr>
            <sz val="9"/>
            <color indexed="81"/>
            <rFont val="Tahoma"/>
            <charset val="1"/>
          </rPr>
          <t xml:space="preserve">Drawbar Height
Drawbar height is the vertical distance from the ground to the point where the implement is attached to the tractor. Initial value is from Nebraska tests. For mounted or 3-pt hitch implements this may be a virtual height that combines with virtual angle and virtual distance behind the rear axle to determine weight transfer.
</t>
        </r>
      </text>
    </comment>
    <comment ref="H5" authorId="0" shapeId="0">
      <text>
        <r>
          <rPr>
            <sz val="9"/>
            <color indexed="81"/>
            <rFont val="Tahoma"/>
            <charset val="1"/>
          </rPr>
          <t xml:space="preserve">Rear Distance
This refers to the approximate horizontal distance from the rear axle to the drawbar hitch point (drawbar type equipment). Distance, Ht, and Angle can be combined to simulate hitch implements.
</t>
        </r>
      </text>
    </comment>
    <comment ref="B6" authorId="0" shapeId="0">
      <text>
        <r>
          <rPr>
            <sz val="9"/>
            <color indexed="81"/>
            <rFont val="Tahoma"/>
            <charset val="1"/>
          </rPr>
          <t xml:space="preserve">Choose the appropriate size for your tractor from the pull-down list in the TRACPERF MENU. The initial value shown was that which was on the tractor tested at Nebraska. Only the most popular tire sizes are listed. </t>
        </r>
      </text>
    </comment>
    <comment ref="H6" authorId="0" shapeId="0">
      <text>
        <r>
          <rPr>
            <sz val="9"/>
            <color indexed="81"/>
            <rFont val="Tahoma"/>
            <charset val="1"/>
          </rPr>
          <t xml:space="preserve">Draft Angle
Draft angle is the effective angle below horizontal of the imaginary line between the hitch point on the tractor to the center of the ground engaging elements of the implement. For drawbar implements this generally ranges from 5 to 15 degrees. Draft angle, Distance Behind Rear Axle, and Ht above  the ground combine to determine the weight transfer with implements.
</t>
        </r>
      </text>
    </comment>
    <comment ref="C7" authorId="0" shapeId="0">
      <text>
        <r>
          <rPr>
            <sz val="9"/>
            <color indexed="81"/>
            <rFont val="Tahoma"/>
            <charset val="1"/>
          </rPr>
          <t xml:space="preserve">Front Tire Pressure
Front tire pressure is calculated for the number, size, and type of tire and the total front weight. Minimum pressure for radial ply tires is 6 psi psi and for bias ply tires is 12 psi; maximum pressure depends upon Star or ply rating, usually limited to approx 30 psi for 3 Star radial ply tires.
</t>
        </r>
      </text>
    </comment>
    <comment ref="H7" authorId="0" shapeId="0">
      <text>
        <r>
          <rPr>
            <sz val="9"/>
            <color indexed="81"/>
            <rFont val="Tahoma"/>
            <charset val="1"/>
          </rPr>
          <t>No-slip speed is the travel speed that would result from no pull at rated engine speed, that is, with no slip. This is the specified speed for the given tire and gear or speed of the tractor. These speeds are usually listed in the specifications or operators' manual. Speeds may need to be adjusted for different tire sizes. For tractors with radar speed measurement, this speed would be that measured with the engine at the proper speed (rated) and no drawbar load on the tractor.</t>
        </r>
      </text>
    </comment>
    <comment ref="H8" authorId="0" shapeId="0">
      <text>
        <r>
          <rPr>
            <sz val="9"/>
            <color indexed="81"/>
            <rFont val="Tahoma"/>
            <charset val="1"/>
          </rPr>
          <t xml:space="preserve">Power
Initial value used for a tractor is the Pto power, the maximum value from Nebraska Tests. This power combined with the (transmission) power efficiency determines the axle power. Engine power can be used as the input power if the engine to axle efficiency is known and input as the "Power Eff" value.
</t>
        </r>
      </text>
    </comment>
    <comment ref="H9" authorId="0" shapeId="0">
      <text>
        <r>
          <rPr>
            <sz val="9"/>
            <color indexed="81"/>
            <rFont val="Tahoma"/>
            <charset val="1"/>
          </rPr>
          <t xml:space="preserve">Load Factor
Load factors of less than 100% are allowed. This effectively reduces the pto power level at which the tractor is operating.
</t>
        </r>
      </text>
    </comment>
    <comment ref="H10" authorId="0" shapeId="0">
      <text>
        <r>
          <rPr>
            <sz val="9"/>
            <color indexed="81"/>
            <rFont val="Tahoma"/>
            <charset val="1"/>
          </rPr>
          <t xml:space="preserve">Soil Cone Index
Strength of the soil as measured by a soil cone penetrometer. Good, medium, and poor tractive conditions are indicated. Note that actual soil cone penetrometer measurements are highly variable and depend upon the soil moisture content as well as previous tillage. 
</t>
        </r>
      </text>
    </comment>
    <comment ref="B11" authorId="0" shapeId="0">
      <text>
        <r>
          <rPr>
            <sz val="9"/>
            <color indexed="81"/>
            <rFont val="Tahoma"/>
            <charset val="1"/>
          </rPr>
          <t xml:space="preserve">Rear weight
Rear weight is the total static reaction at the rear axle due to the base tractor weight and added ballast reaction at the rear axle. Initial value comes from Nebraska Test unballasted weights and likely needs to be increased for field use. This number does not include weight transfer from implements.
</t>
        </r>
      </text>
    </comment>
    <comment ref="C14" authorId="0" shapeId="0">
      <text>
        <r>
          <rPr>
            <sz val="9"/>
            <color indexed="81"/>
            <rFont val="Tahoma"/>
            <charset val="1"/>
          </rPr>
          <t xml:space="preserve">Rear Tire Pressure
Rear tire pressure is calculated for the number, size, and type of tire and the total rear weight. Minimum pressure for radial ply tires is 6 psi and for bias ply tires is 12 psi; maximum pressure depends upon Star or ply rating, usually limited to approx 30 psi for 3 star radial ply tires. Higher pressure may be needed for hitch type implements.
</t>
        </r>
      </text>
    </comment>
    <comment ref="H17" authorId="0" shapeId="0">
      <text>
        <r>
          <rPr>
            <sz val="9"/>
            <color indexed="81"/>
            <rFont val="Tahoma"/>
            <charset val="1"/>
          </rPr>
          <t xml:space="preserve">Drawbar pull
Drawbar pull refers to the horizontal force in the direction of travel required to pull an implement. The amount of pull is affected by all the input variables and the tractive performance of the tires. 
</t>
        </r>
      </text>
    </comment>
    <comment ref="H18" authorId="0" shapeId="0">
      <text>
        <r>
          <rPr>
            <sz val="9"/>
            <color indexed="81"/>
            <rFont val="Tahoma"/>
            <charset val="1"/>
          </rPr>
          <t xml:space="preserve">Actual travel speed
The actual travel speed of the tractor depends upon the No Slip speed and the wheel slip.
</t>
        </r>
      </text>
    </comment>
    <comment ref="H19" authorId="0" shapeId="0">
      <text>
        <r>
          <rPr>
            <sz val="9"/>
            <color indexed="81"/>
            <rFont val="Tahoma"/>
            <charset val="1"/>
          </rPr>
          <t xml:space="preserve">Travel Reduction, %,  is the expected slip of the drive wheels under drawbar load and affects the actual travel speed obtained. Ballasting may be required to obtain slips in the range of 8 to 15 % (easiest accomplished by switching to the Weight Calculation Mode from the TRACPERF MENU).
</t>
        </r>
      </text>
    </comment>
    <comment ref="H20" authorId="0" shapeId="0">
      <text>
        <r>
          <rPr>
            <sz val="9"/>
            <color indexed="81"/>
            <rFont val="Tahoma"/>
            <charset val="1"/>
          </rPr>
          <t xml:space="preserve">Drawbar Power
Drawbar power is the product of drawbar pull and actual travel speed. It depends upon the input power and the transmission and tractive (tire) efficiencies.
</t>
        </r>
      </text>
    </comment>
  </commentList>
</comments>
</file>

<file path=xl/sharedStrings.xml><?xml version="1.0" encoding="utf-8"?>
<sst xmlns="http://schemas.openxmlformats.org/spreadsheetml/2006/main" count="6338" uniqueCount="1297">
  <si>
    <t>DEERE</t>
  </si>
  <si>
    <t>TRACTOR PERFORMANCE --</t>
  </si>
  <si>
    <t>P</t>
  </si>
  <si>
    <t>BN</t>
  </si>
  <si>
    <t>TRACTION EQUATION PLOT "EQNPLOT":</t>
  </si>
  <si>
    <t>English</t>
  </si>
  <si>
    <t>STATIC</t>
  </si>
  <si>
    <t>DYNAMIC</t>
  </si>
  <si>
    <t>JOHN DEERE 4055 PowerShift MFWD_________ 109 pto hp</t>
  </si>
  <si>
    <t>SI Output</t>
  </si>
  <si>
    <t>Q/rW</t>
  </si>
  <si>
    <t>FRONT</t>
  </si>
  <si>
    <t>of</t>
  </si>
  <si>
    <t xml:space="preserve">Wheelbase </t>
  </si>
  <si>
    <t>in</t>
  </si>
  <si>
    <t>mm</t>
  </si>
  <si>
    <t>M/W</t>
  </si>
  <si>
    <t xml:space="preserve">  Wt, lbs</t>
  </si>
  <si>
    <t xml:space="preserve">Draft: Ht above ground </t>
  </si>
  <si>
    <t xml:space="preserve">  Wt, kg</t>
  </si>
  <si>
    <t>P/W</t>
  </si>
  <si>
    <t xml:space="preserve">  % of Total</t>
  </si>
  <si>
    <t>%</t>
  </si>
  <si>
    <t xml:space="preserve"> @Dist Behind Rear Axle </t>
  </si>
  <si>
    <t>TE</t>
  </si>
  <si>
    <t xml:space="preserve">  Tire Size </t>
  </si>
  <si>
    <t xml:space="preserve"> Angle </t>
  </si>
  <si>
    <t>deg</t>
  </si>
  <si>
    <t>Slip</t>
  </si>
  <si>
    <t xml:space="preserve">  Number/PSI</t>
  </si>
  <si>
    <t xml:space="preserve">No-Slip Speed </t>
  </si>
  <si>
    <t>mph</t>
  </si>
  <si>
    <t xml:space="preserve">  Number/kPa</t>
  </si>
  <si>
    <t>kmh</t>
  </si>
  <si>
    <t>GTR</t>
  </si>
  <si>
    <t>NTR</t>
  </si>
  <si>
    <t>Slip Ratio</t>
  </si>
  <si>
    <t>M/W / Q/rW</t>
  </si>
  <si>
    <t>1-(M/W / Q/rW) = NTR/GTR</t>
  </si>
  <si>
    <t>1-(Slip) = Va/Vt</t>
  </si>
  <si>
    <t xml:space="preserve">  Power Eff</t>
  </si>
  <si>
    <t xml:space="preserve">Input Power </t>
  </si>
  <si>
    <t>hp</t>
  </si>
  <si>
    <t>kW</t>
  </si>
  <si>
    <t>Va/Vt</t>
  </si>
  <si>
    <t xml:space="preserve">  Axle Power, hp --</t>
  </si>
  <si>
    <t>Load Factor</t>
  </si>
  <si>
    <t xml:space="preserve">  Axle Power, kW --</t>
  </si>
  <si>
    <t>Cone Index: (Poor,Med,</t>
  </si>
  <si>
    <t>%Load</t>
  </si>
  <si>
    <t>REAR</t>
  </si>
  <si>
    <t>Soil Strength, Cone Index, psi:</t>
  </si>
  <si>
    <t>psi</t>
  </si>
  <si>
    <t xml:space="preserve"> Good:450,860,1725 kpa)</t>
  </si>
  <si>
    <t>kPa</t>
  </si>
  <si>
    <t xml:space="preserve">     (Poor, Med, Good: 65, 125, 250)</t>
  </si>
  <si>
    <t xml:space="preserve">Wt Trans Coef (DWC) </t>
  </si>
  <si>
    <t>Wt Transfer-From impl</t>
  </si>
  <si>
    <t>kg</t>
  </si>
  <si>
    <t xml:space="preserve">  Tire Size</t>
  </si>
  <si>
    <t>Wt Transfer-From implement</t>
  </si>
  <si>
    <t>lb</t>
  </si>
  <si>
    <t xml:space="preserve">   From Tractor Front</t>
  </si>
  <si>
    <t xml:space="preserve">Drawbar/Input Power </t>
  </si>
  <si>
    <t>----</t>
  </si>
  <si>
    <r>
      <t>PDE</t>
    </r>
    <r>
      <rPr>
        <sz val="10"/>
        <rFont val="Arial"/>
        <family val="2"/>
      </rPr>
      <t>,Power Delivery Eff, Dbar/Input</t>
    </r>
  </si>
  <si>
    <t>ratio</t>
  </si>
  <si>
    <t>Pull/Total Static Wt</t>
  </si>
  <si>
    <t xml:space="preserve">  Axle Power, hp -------</t>
  </si>
  <si>
    <r>
      <t>VTR</t>
    </r>
    <r>
      <rPr>
        <sz val="10"/>
        <rFont val="Arial"/>
        <family val="2"/>
      </rPr>
      <t>, Pull/Tot Static Wt</t>
    </r>
  </si>
  <si>
    <t xml:space="preserve">           (kg-kmh/IkW)</t>
  </si>
  <si>
    <t>TOTAL</t>
  </si>
  <si>
    <t>Axle Power, hp</t>
  </si>
  <si>
    <t xml:space="preserve">  Drawbar Pull </t>
  </si>
  <si>
    <t>TOT  Axle power, kW</t>
  </si>
  <si>
    <t>kN</t>
  </si>
  <si>
    <t xml:space="preserve"> Wt, lbs</t>
  </si>
  <si>
    <t xml:space="preserve">  Actual Travel Speed </t>
  </si>
  <si>
    <t xml:space="preserve">     Wt, kg</t>
  </si>
  <si>
    <t xml:space="preserve">   lb /Axle hp</t>
  </si>
  <si>
    <t xml:space="preserve">   /Axle kW</t>
  </si>
  <si>
    <t xml:space="preserve">  Wheel Slip </t>
  </si>
  <si>
    <t xml:space="preserve">   lb/Input hp</t>
  </si>
  <si>
    <t>s</t>
  </si>
  <si>
    <t xml:space="preserve">   /Input kW</t>
  </si>
  <si>
    <t xml:space="preserve">  Drawbar Power </t>
  </si>
  <si>
    <t>Use TRACPERF MENU to change tractors, or tires and to change Calculation Mode to/from Performance/Weight</t>
  </si>
  <si>
    <t>and to change implement type (modifys draft angle and location of resultant draft force).</t>
  </si>
  <si>
    <t>*</t>
  </si>
  <si>
    <t>CURRENT TRACTION VALUES:</t>
  </si>
  <si>
    <t>Calc Check      Pull</t>
  </si>
  <si>
    <t xml:space="preserve">   (Q/W)/(AHP*375/SO/W)</t>
  </si>
  <si>
    <t xml:space="preserve">          BN</t>
  </si>
  <si>
    <t xml:space="preserve">         Q/W</t>
  </si>
  <si>
    <t xml:space="preserve"> Traction Equation Coefficients used:</t>
  </si>
  <si>
    <t xml:space="preserve">         M/W</t>
  </si>
  <si>
    <t xml:space="preserve">       DESCRIPTION</t>
  </si>
  <si>
    <t xml:space="preserve">         P/W</t>
  </si>
  <si>
    <t xml:space="preserve">       GT/W Coef 0.88 :</t>
  </si>
  <si>
    <t xml:space="preserve">          TE</t>
  </si>
  <si>
    <t xml:space="preserve">       GT/W Coef 0.1  :</t>
  </si>
  <si>
    <t xml:space="preserve">   NTR/GTR</t>
  </si>
  <si>
    <t xml:space="preserve">       GT/W Coef 7.5  :</t>
  </si>
  <si>
    <t>INTERMEDIATE CALCULATIONS:</t>
  </si>
  <si>
    <t xml:space="preserve">            Coef 0.04 :</t>
  </si>
  <si>
    <t>AHP(375)/SO/W=</t>
  </si>
  <si>
    <t xml:space="preserve">       MR/W Coef 1    :</t>
  </si>
  <si>
    <t>Current Value</t>
  </si>
  <si>
    <t>PULL / W     =</t>
  </si>
  <si>
    <t xml:space="preserve">         Bn Coef 5    :</t>
  </si>
  <si>
    <t>DBHP/AHP     =</t>
  </si>
  <si>
    <t xml:space="preserve">         Bn Coef 3    :</t>
  </si>
  <si>
    <t xml:space="preserve">         Bn Coef .18  :</t>
  </si>
  <si>
    <t>WSP.WK1</t>
  </si>
  <si>
    <t>WEIGHT-SPEED-POWER RELATIONSHIP PLOT:</t>
  </si>
  <si>
    <t xml:space="preserve">         (Deflection Ratio)</t>
  </si>
  <si>
    <t>TIRE:</t>
  </si>
  <si>
    <t xml:space="preserve">  Rear</t>
  </si>
  <si>
    <t xml:space="preserve">  Front</t>
  </si>
  <si>
    <t xml:space="preserve">       MR/W Coef .5   :</t>
  </si>
  <si>
    <t>[A]xle, [P]to, [F]lywheel, or [I]nput Horsepower</t>
  </si>
  <si>
    <t xml:space="preserve">  Type</t>
  </si>
  <si>
    <t>Type =</t>
  </si>
  <si>
    <t>i</t>
  </si>
  <si>
    <t xml:space="preserve">  Ply Type</t>
  </si>
  <si>
    <t>Q/rW =</t>
  </si>
  <si>
    <t xml:space="preserve">  Power</t>
  </si>
  <si>
    <t xml:space="preserve"> Powered</t>
  </si>
  <si>
    <t xml:space="preserve"> (used)</t>
  </si>
  <si>
    <t>(cur val)</t>
  </si>
  <si>
    <t>lb/hp</t>
  </si>
  <si>
    <t>@ %load</t>
  </si>
  <si>
    <t>Labels</t>
  </si>
  <si>
    <t>100 %</t>
  </si>
  <si>
    <t>90 %</t>
  </si>
  <si>
    <t>80 %</t>
  </si>
  <si>
    <t>70 %</t>
  </si>
  <si>
    <t>Location</t>
  </si>
  <si>
    <t>Label</t>
  </si>
  <si>
    <t>*** STARTING POINTS TO TRY...English Units ***************</t>
  </si>
  <si>
    <t/>
  </si>
  <si>
    <t>Fill in Wheelbase,Input Power,and Power Eff;</t>
  </si>
  <si>
    <t xml:space="preserve">     RECALC (F9) For Correct Values</t>
  </si>
  <si>
    <t xml:space="preserve">Implement </t>
  </si>
  <si>
    <t>Axle Wt, Frnt</t>
  </si>
  <si>
    <t>Draft Resultant      Ht</t>
  </si>
  <si>
    <t>Dist</t>
  </si>
  <si>
    <t>Ang</t>
  </si>
  <si>
    <t>MFWD Drawbar</t>
  </si>
  <si>
    <t>(Use Drawbar Location Dimensions)</t>
  </si>
  <si>
    <t>100 % of Full Load</t>
  </si>
  <si>
    <t>90</t>
  </si>
  <si>
    <t>80</t>
  </si>
  <si>
    <t xml:space="preserve">    Semi Int</t>
  </si>
  <si>
    <t xml:space="preserve">    Integral</t>
  </si>
  <si>
    <t>4WD   (All)</t>
  </si>
  <si>
    <t>(Use above values for implement type)</t>
  </si>
  <si>
    <t xml:space="preserve"> *** Traction Equation Variables ***************************************</t>
  </si>
  <si>
    <t xml:space="preserve">  Values in Col B and E are used in calculations and can be changed.</t>
  </si>
  <si>
    <t>Bias*</t>
  </si>
  <si>
    <t>Conc</t>
  </si>
  <si>
    <t>Radial</t>
  </si>
  <si>
    <t xml:space="preserve">**  Recommended for Radials; Brixius </t>
  </si>
  <si>
    <t>Q/W Coef</t>
  </si>
  <si>
    <t>[ 0.88  ]  1987 **</t>
  </si>
  <si>
    <t>Dec 92 &gt;</t>
  </si>
  <si>
    <t>[ 0.10  ]</t>
  </si>
  <si>
    <t>13 Jan 92</t>
  </si>
  <si>
    <t>[ 8.50 to 10.50 ]</t>
  </si>
  <si>
    <t>[ 0.03 to 0.035 ]</t>
  </si>
  <si>
    <t>M/W Coef</t>
  </si>
  <si>
    <t>[ 0.90  ]</t>
  </si>
  <si>
    <t xml:space="preserve"> Bn Coef</t>
  </si>
  <si>
    <t>* Brixius, 1987</t>
  </si>
  <si>
    <t>HELP     (Use PGDN and PGUP to navigate; Use "CTRL-HOME"  to return)</t>
  </si>
  <si>
    <r>
      <t>A</t>
    </r>
    <r>
      <rPr>
        <b/>
        <sz val="10"/>
        <rFont val="Courier"/>
      </rPr>
      <t xml:space="preserve"> TRACPERF MENU</t>
    </r>
    <r>
      <rPr>
        <sz val="10"/>
        <rFont val="Courier"/>
      </rPr>
      <t xml:space="preserve"> has been added to the normal EXCEL menus and is used to </t>
    </r>
  </si>
  <si>
    <r>
      <t>select a tractor</t>
    </r>
    <r>
      <rPr>
        <sz val="10"/>
        <rFont val="Courier"/>
      </rPr>
      <t xml:space="preserve">, </t>
    </r>
    <r>
      <rPr>
        <b/>
        <sz val="10"/>
        <rFont val="Courier"/>
      </rPr>
      <t>change tires</t>
    </r>
    <r>
      <rPr>
        <sz val="10"/>
        <rFont val="Courier"/>
      </rPr>
      <t xml:space="preserve">, and to change the spreadsheet </t>
    </r>
    <r>
      <rPr>
        <b/>
        <sz val="10"/>
        <rFont val="Courier"/>
      </rPr>
      <t>calculation mode.</t>
    </r>
  </si>
  <si>
    <t>The tractor database includes those (John Deere) tested at Nebraska since 1980.</t>
  </si>
  <si>
    <t>Other tractors can be manually entered with known or assumed data.</t>
  </si>
  <si>
    <t>Selecting "Performance" or "Weight" from the TRACPERF MENU provides for</t>
  </si>
  <si>
    <t>alternative calculation modes. Performance Mode calculates tractor</t>
  </si>
  <si>
    <t>performance at given static weights. Weight Mode calculates tractor static</t>
  </si>
  <si>
    <t>weights required to operate at a given wheel slip and can be used for</t>
  </si>
  <si>
    <t>tractor ballasting.  In the "Weight" mode, dynamic front weight % needs to be</t>
  </si>
  <si>
    <t>specified (can be varied). The spreadsheet changes modes by changing the formulas</t>
  </si>
  <si>
    <t>and protected cells in the template. A certain amount of time is required</t>
  </si>
  <si>
    <t>and the macro should not be interrupted.  The mode in use can be determined</t>
  </si>
  <si>
    <t>by the spreadsheet title.</t>
  </si>
  <si>
    <r>
      <t xml:space="preserve">1. </t>
    </r>
    <r>
      <rPr>
        <b/>
        <sz val="10"/>
        <rFont val="Courier"/>
      </rPr>
      <t>TIRES</t>
    </r>
    <r>
      <rPr>
        <sz val="10"/>
        <rFont val="Courier"/>
      </rPr>
      <t>: Data is provided for the most common Radial and Bias ply tires</t>
    </r>
  </si>
  <si>
    <t>in a lookup table within the spreadsheet. Tires can be selected from the TRACPERF menu.</t>
  </si>
  <si>
    <t xml:space="preserve">The "standard" tire is the one that was on the tractor for Nebr Tests. </t>
  </si>
  <si>
    <t>The program is "dumb" in that it will allow any tire to be used with any tractor.</t>
  </si>
  <si>
    <t>Wt/power Plot w/Q/rW</t>
  </si>
  <si>
    <t>Tire overloads (OVLD) are indicated if the highest available ply</t>
  </si>
  <si>
    <t>SWP</t>
  </si>
  <si>
    <t>wt/ahp</t>
  </si>
  <si>
    <t>wt/ptohp</t>
  </si>
  <si>
    <t>wt/fhp</t>
  </si>
  <si>
    <t>rating for that size tire is exceeded statically. (Only the highest</t>
  </si>
  <si>
    <t>0.55</t>
  </si>
  <si>
    <t>ply rating is listed in the table) The % of tire load carrying Capacity</t>
  </si>
  <si>
    <t>for the highest available ply rating (Bias Ply) or Star Rating (Radial</t>
  </si>
  <si>
    <t>Ply)is calculated and shown above the static axle weight (cells B3 and B10</t>
  </si>
  <si>
    <t xml:space="preserve"> </t>
  </si>
  <si>
    <t>respective for front and rear tires).</t>
  </si>
  <si>
    <t>The number of tires per axle should be divisable by two (2), that is,</t>
  </si>
  <si>
    <t>singles are "2" and duals are "4" and triples are "6". Required tire</t>
  </si>
  <si>
    <t>pressure is calculated based upon the static weight carried on the axle.</t>
  </si>
  <si>
    <t>Pressures are for field service or up to 20 mph on Bias Ply tires and 25 mph</t>
  </si>
  <si>
    <t>on Radial Ply tires. Pressures are calculated only for R1 tires.</t>
  </si>
  <si>
    <r>
      <t xml:space="preserve">2. </t>
    </r>
    <r>
      <rPr>
        <b/>
        <sz val="10"/>
        <rFont val="Courier"/>
      </rPr>
      <t>POWER EFFICIENCY</t>
    </r>
    <r>
      <rPr>
        <sz val="10"/>
        <rFont val="Courier"/>
      </rPr>
      <t>: Power efficiency is the ratio of input power to</t>
    </r>
  </si>
  <si>
    <t>axle power. INPUT POWER can commonly be thought of as PTO power. In this</t>
  </si>
  <si>
    <t>case the power efficiency becomes the ratio of PTO to axle power, the</t>
  </si>
  <si>
    <t>value of which is approximately 0.96.  Separate power efficiencys are</t>
  </si>
  <si>
    <t>required for front and rear axles on MFWD/4WD, initial values coming from the</t>
  </si>
  <si>
    <t>tractor database.</t>
  </si>
  <si>
    <t>When tractors are selected from the pull down menu, PTO powers are used and the</t>
  </si>
  <si>
    <t>Power Efficiency is the ratio of PTO to AXLE power (as calculated from</t>
  </si>
  <si>
    <t>Nebraska Test data using a tractive efficiency on concrete of 92.5% (axle</t>
  </si>
  <si>
    <t>to drawbar).</t>
  </si>
  <si>
    <t>0.50</t>
  </si>
  <si>
    <r>
      <t>3.</t>
    </r>
    <r>
      <rPr>
        <b/>
        <sz val="10"/>
        <rFont val="Courier"/>
      </rPr>
      <t xml:space="preserve"> DRAFT HEIGHT ABOVE GROUND @ DISTANCE BEHIND THE REAR AXLE</t>
    </r>
    <r>
      <rPr>
        <sz val="10"/>
        <rFont val="Courier"/>
      </rPr>
      <t xml:space="preserve">  combines</t>
    </r>
  </si>
  <si>
    <t>with DRAFT ANGLE to determine the weight transfer from tractor front end</t>
  </si>
  <si>
    <t>and from the implement. The height above the ground and the location</t>
  </si>
  <si>
    <t>behind the rear axle can be taken any place along the line of action of</t>
  </si>
  <si>
    <t>the draft force. For example, the draft height would be zero for a</t>
  </si>
  <si>
    <t>distance behind the rear axle where the line of draft enters the soil</t>
  </si>
  <si>
    <t>surface.</t>
  </si>
  <si>
    <t>For connection to the drawbar, the height becomes the drawbar height and</t>
  </si>
  <si>
    <t>the distance becomes the physical distance of the drawbar behind the</t>
  </si>
  <si>
    <t>rear axle of the tractor. Since the distance behind the rear axle is not</t>
  </si>
  <si>
    <t>given from Nebraska Test data, the draft angle is left at 0 when a tractor</t>
  </si>
  <si>
    <t xml:space="preserve">is initial selected. Typical values for drawbar implements is in the </t>
  </si>
  <si>
    <t>5 to 10 deg range.</t>
  </si>
  <si>
    <r>
      <t xml:space="preserve">4. The </t>
    </r>
    <r>
      <rPr>
        <b/>
        <sz val="10"/>
        <rFont val="Courier"/>
      </rPr>
      <t>NO-SLIP SPEED</t>
    </r>
    <r>
      <rPr>
        <sz val="10"/>
        <rFont val="Courier"/>
      </rPr>
      <t xml:space="preserve"> is the travel speed without slip. This is the</t>
    </r>
  </si>
  <si>
    <t>tach speed or advertised speed for the given tire and gear or speed of</t>
  </si>
  <si>
    <t>the tractor. These are the speeds usually listed in the specifications</t>
  </si>
  <si>
    <t>or operator's manuals. Speeds may need to be adjusted for different tire</t>
  </si>
  <si>
    <t>sizes. This must be done manually for input into the templates.</t>
  </si>
  <si>
    <t>For tractors with radar speed measurement, this speed would be that</t>
  </si>
  <si>
    <t>0.60</t>
  </si>
  <si>
    <t>measured with the engine at the proper speed and no drawbar load on the</t>
  </si>
  <si>
    <t>tractor.</t>
  </si>
  <si>
    <r>
      <t xml:space="preserve">5. </t>
    </r>
    <r>
      <rPr>
        <b/>
        <sz val="10"/>
        <rFont val="Courier"/>
      </rPr>
      <t>INPUT POWER</t>
    </r>
    <r>
      <rPr>
        <sz val="10"/>
        <rFont val="Courier"/>
      </rPr>
      <t xml:space="preserve"> may be PTO, Engine, or anything else as long as it is</t>
    </r>
  </si>
  <si>
    <t>recognized that the power efficiency = input power/axle power. For</t>
  </si>
  <si>
    <t>example, for a power efficiency of 1.00, input power must be equal to</t>
  </si>
  <si>
    <t>axle power.</t>
  </si>
  <si>
    <t>The ratio of PTO power to axle power for gear drive transmissions is</t>
  </si>
  <si>
    <t>nominally 0.96. When tractors are selected from the table, PTO power is</t>
  </si>
  <si>
    <t>used and the ratio used was calculated from Nebr Test data. (See item 2,</t>
  </si>
  <si>
    <t>POWER EFFICIENCY for further explanation)</t>
  </si>
  <si>
    <r>
      <t xml:space="preserve">6. </t>
    </r>
    <r>
      <rPr>
        <b/>
        <sz val="10"/>
        <rFont val="Courier"/>
      </rPr>
      <t>SOIL CONE INDEX</t>
    </r>
    <r>
      <rPr>
        <sz val="10"/>
        <rFont val="Courier"/>
      </rPr>
      <t xml:space="preserve"> is soil strength as measured by a soil cone</t>
    </r>
  </si>
  <si>
    <t>penetrometer.  Typical values for good, medium, and poor tractive</t>
  </si>
  <si>
    <t>conditions are 250, 125, and 65 psi (450,860,1725 kpa) respectively.</t>
  </si>
  <si>
    <t>Typical values are shown for reference.</t>
  </si>
  <si>
    <t>7. GENERAL: The spreadsheet determines a solution by an iterative solution</t>
  </si>
  <si>
    <t xml:space="preserve">and needs to calculate approximately 15 times. Calculation is automatic when a </t>
  </si>
  <si>
    <t>value is changed; however, the CALCULATE button may need to be pushed the first time.</t>
  </si>
  <si>
    <t>The spreadsheet recalculates automatically following data entry and</t>
  </si>
  <si>
    <t>determines when it has found the solution. Otherwise, the spreadsheet</t>
  </si>
  <si>
    <t>template needs to be manually recalculated after data values are entered.</t>
  </si>
  <si>
    <t>It is suggested that the templates NOT BE SAVED to disc. If unrealistic</t>
  </si>
  <si>
    <t>values are entered, ERRs may result and typically it requires reloading</t>
  </si>
  <si>
    <t>the template from the disk. Making backup copies of the diskette is</t>
  </si>
  <si>
    <t>recommended.</t>
  </si>
  <si>
    <t>The HOME key can be used to locate at the main input page  (TRACPERF) of the</t>
  </si>
  <si>
    <t>spreadsheet; Various buttons and sheet tabs allow navigation to the various</t>
  </si>
  <si>
    <t>sheets. The Summary Chart contains example data calculated for various speeds</t>
  </si>
  <si>
    <t>for the John Deere 4055 tractor. Various plots of the data may be obtained. The</t>
  </si>
  <si>
    <t>data can be cleared and new data plotted for other tractors. The "SUMMARY" sheet</t>
  </si>
  <si>
    <t>itself provides for clearing the last entered data in case a mistake is made.</t>
  </si>
  <si>
    <t xml:space="preserve">Soil Strength, Cone Index, kPa: </t>
  </si>
  <si>
    <t xml:space="preserve"> (Poor,Med,Good:450,860,1725)</t>
  </si>
  <si>
    <t>OUTPUT SUMMARY PAGE</t>
  </si>
  <si>
    <t>Used for summary Chart &amp; macro</t>
  </si>
  <si>
    <t>for menu list</t>
  </si>
  <si>
    <t>legend</t>
  </si>
  <si>
    <t>axis label</t>
  </si>
  <si>
    <t>SI Axis Label</t>
  </si>
  <si>
    <t>Conversion factor</t>
  </si>
  <si>
    <t>RUN: &gt;&gt;</t>
  </si>
  <si>
    <t>current values</t>
  </si>
  <si>
    <t>No-Slip Speed</t>
  </si>
  <si>
    <t>no-slip speed</t>
  </si>
  <si>
    <t>No-Slip Speed (mph)</t>
  </si>
  <si>
    <t>No-Slip Speed (kph)</t>
  </si>
  <si>
    <t>-----------</t>
  </si>
  <si>
    <t>Actual Speed</t>
  </si>
  <si>
    <t>Speed</t>
  </si>
  <si>
    <t>Ground Speed (mph)</t>
  </si>
  <si>
    <t>Ground Speed (kph)</t>
  </si>
  <si>
    <t xml:space="preserve">    INPUT:</t>
  </si>
  <si>
    <t>Travel Reduction, %</t>
  </si>
  <si>
    <t>Travel Reduction</t>
  </si>
  <si>
    <t>Wheel slip (%)</t>
  </si>
  <si>
    <t>note:</t>
  </si>
  <si>
    <t>Weight / Axle Power</t>
  </si>
  <si>
    <t>W/P</t>
  </si>
  <si>
    <t>WT / axle power (lb/hp)</t>
  </si>
  <si>
    <t>WT / axle power (kg/kW)</t>
  </si>
  <si>
    <t>model</t>
  </si>
  <si>
    <t xml:space="preserve">JOHN DEERE 4055 PowerShift MFWD_________ 109 pto hp </t>
  </si>
  <si>
    <t>JD 4055</t>
  </si>
  <si>
    <t xml:space="preserve">JD   4055   PowerShift,            MFWD,   109 pto hp </t>
  </si>
  <si>
    <t>Weight / Input Power</t>
  </si>
  <si>
    <t>Wt / Input Power (lb/hp)</t>
  </si>
  <si>
    <t>Wt / Input Power (kg/kW)</t>
  </si>
  <si>
    <t>Front --</t>
  </si>
  <si>
    <t>Axle Power-Front</t>
  </si>
  <si>
    <t>AxPwr - F</t>
  </si>
  <si>
    <t>Axle Power-Front (hp)</t>
  </si>
  <si>
    <t>Axle Power-Front (kW)</t>
  </si>
  <si>
    <t xml:space="preserve"> Stat Wt,lbs(kg)</t>
  </si>
  <si>
    <t>Axle Power-Rear</t>
  </si>
  <si>
    <t>AxPwr - R</t>
  </si>
  <si>
    <t>Axle Power-Rear (hp)</t>
  </si>
  <si>
    <t>Axle Power-Rear (kW)</t>
  </si>
  <si>
    <t xml:space="preserve"> Tire Size</t>
  </si>
  <si>
    <t>Power Delivery Efficiency</t>
  </si>
  <si>
    <t>PDE</t>
  </si>
  <si>
    <t xml:space="preserve">       No, each side</t>
  </si>
  <si>
    <t>Vechicle Traction Ratio</t>
  </si>
  <si>
    <t>VTR</t>
  </si>
  <si>
    <t>Vehicle Traction Ratio, VTR</t>
  </si>
  <si>
    <t xml:space="preserve"> Power Eff</t>
  </si>
  <si>
    <t>Wt*Speed / Power</t>
  </si>
  <si>
    <t>WSP</t>
  </si>
  <si>
    <t>Wt*Speed/Power (lb*mph/hp)</t>
  </si>
  <si>
    <t>Rear --</t>
  </si>
  <si>
    <t>Drawbar Power</t>
  </si>
  <si>
    <t>DB Pwr</t>
  </si>
  <si>
    <t>Drawbar Power (hp)</t>
  </si>
  <si>
    <t>Drawbar Power (kW)</t>
  </si>
  <si>
    <t>DB Pull</t>
  </si>
  <si>
    <t>DB pull</t>
  </si>
  <si>
    <t>Drawbar Pull (lb)</t>
  </si>
  <si>
    <t>Drawbar Pull (kN)</t>
  </si>
  <si>
    <t xml:space="preserve">       No</t>
  </si>
  <si>
    <t>Wheelbase,in(mm)</t>
  </si>
  <si>
    <t>Draft Ht, in(mm)</t>
  </si>
  <si>
    <t xml:space="preserve">    Dist, in(mm)</t>
  </si>
  <si>
    <t xml:space="preserve">    Ang, degree</t>
  </si>
  <si>
    <t>No Slip mph(kmh)</t>
  </si>
  <si>
    <t>Input Hp (kW)</t>
  </si>
  <si>
    <t>Soil CI,psi(kPa)</t>
  </si>
  <si>
    <t xml:space="preserve">    OUTPUT:</t>
  </si>
  <si>
    <t>Wt Static, Tot</t>
  </si>
  <si>
    <t xml:space="preserve"> Front, lb(kg)</t>
  </si>
  <si>
    <t xml:space="preserve">  Press,psi(kPa)</t>
  </si>
  <si>
    <t xml:space="preserve"> Rear, lb(kg)</t>
  </si>
  <si>
    <t>Lb/Axle Hp(kW)</t>
  </si>
  <si>
    <t>Lb/Input Hp(kW)</t>
  </si>
  <si>
    <t>Wt Dynamic, Tot</t>
  </si>
  <si>
    <t xml:space="preserve">  hp(kw)   -Rear</t>
  </si>
  <si>
    <t>DWC</t>
  </si>
  <si>
    <t>Wt Trans -Impl</t>
  </si>
  <si>
    <t xml:space="preserve">      -Tr Front</t>
  </si>
  <si>
    <t>PDE, dbhp/ptohp</t>
  </si>
  <si>
    <t>VTR, pull/tot static wt</t>
  </si>
  <si>
    <t>Wt*Speed/Power</t>
  </si>
  <si>
    <t xml:space="preserve"> Drawbar Hp(kw)</t>
  </si>
  <si>
    <t xml:space="preserve"> Db Pull, lb(kN)</t>
  </si>
  <si>
    <t xml:space="preserve"> Speed,mph(kmh)</t>
  </si>
  <si>
    <t>-</t>
  </si>
  <si>
    <t>data for  summary chart</t>
  </si>
  <si>
    <t>SI / inch (1=SI, 2=inch):</t>
  </si>
  <si>
    <t>Axis labels</t>
  </si>
  <si>
    <t>conversion factors</t>
  </si>
  <si>
    <t>General:</t>
  </si>
  <si>
    <r>
      <t>This spreadsheet can be used to calculate the expected</t>
    </r>
    <r>
      <rPr>
        <b/>
        <sz val="10"/>
        <rFont val="Courier"/>
      </rPr>
      <t xml:space="preserve"> </t>
    </r>
    <r>
      <rPr>
        <b/>
        <u/>
        <sz val="10"/>
        <rFont val="Courier"/>
      </rPr>
      <t>Performance</t>
    </r>
    <r>
      <rPr>
        <b/>
        <sz val="10"/>
        <rFont val="Courier"/>
      </rPr>
      <t xml:space="preserve"> </t>
    </r>
    <r>
      <rPr>
        <sz val="10"/>
        <rFont val="Courier"/>
      </rPr>
      <t xml:space="preserve">of a tractor with given front and rear weights and tires or alternatively, be used to determine tractor </t>
    </r>
    <r>
      <rPr>
        <b/>
        <u/>
        <sz val="10"/>
        <rFont val="Courier"/>
      </rPr>
      <t>Weight</t>
    </r>
    <r>
      <rPr>
        <sz val="10"/>
        <rFont val="Courier"/>
      </rPr>
      <t xml:space="preserve"> requirements. A database of  tractors is available from NTTL, with initial</t>
    </r>
  </si>
  <si>
    <t xml:space="preserve">data taken from Nebraska Tests for tractors tested since 1980. </t>
  </si>
  <si>
    <t>INPUTS</t>
  </si>
  <si>
    <t>TRACPERF MENU</t>
  </si>
  <si>
    <t>Most of the features of the spreadsheet can be accessed from the special "TRACPERF MENU" located within the normal EXCEL menu list. This includes selecting a tractor, changing front or rear tires,selecting implement type, and changing the calculation</t>
  </si>
  <si>
    <t xml:space="preserve">mode. </t>
  </si>
  <si>
    <t>Choose a tractor</t>
  </si>
  <si>
    <t>Select a tractor from the pull down list accessed from the TRACPERF MENU and the spreadsheet will be populated with the default information for the front and rear tires, as well as the other inputs necessary for calculations.</t>
  </si>
  <si>
    <t>Tire Size</t>
  </si>
  <si>
    <t>Choose the appropriate size for you tractor from the pull-down list. The initial value shown was that which was on the tractor tested at Nebraska. Only the most popular tire sizes are listed.</t>
  </si>
  <si>
    <t>Tire Number</t>
  </si>
  <si>
    <t>Choose singles, duals, or triples from the Tire menu. The initial value is that which was on the Nebraska Test tractor.</t>
  </si>
  <si>
    <t>PTO Power</t>
  </si>
  <si>
    <t>Pto power is the maximum value from Nebraska Tests. PTO(Input) Power and power efficiency combine to determine the axle power.</t>
  </si>
  <si>
    <t>Distance Behind Rear Axle</t>
  </si>
  <si>
    <t>This refers to the approximate horizontal distance from the rear axle to the drawbar hitch point for drawbar equipment; the location of the drawbar pin. For Semi-Integral or fully hitch mounted equipment,  a point in space thru which the line of draft pas</t>
  </si>
  <si>
    <t>Drawbar Height</t>
  </si>
  <si>
    <t>Drawbar height is the vertical distance from the ground to the point where the implement is attached to the tractor. In the case of hitch mounted equipment, it is the vertical distance to a point along the line of action of the resultant implement force.</t>
  </si>
  <si>
    <t>Draft Angle</t>
  </si>
  <si>
    <t>Draft angle is the effective angle below horizontal of the imaginary line between the hitch point on the tractor to the center of the ground engaging elements of the implement. For drawbar implements this generally ranges from 5 to 15 degrees.</t>
  </si>
  <si>
    <t>Draft angle, drawbar height, and rear distance affect the weight transfer from the front to the rear of the tractor; draft angle determines the weight transfered from the implement. The amount of transfer depends upon drawbar pull.</t>
  </si>
  <si>
    <t xml:space="preserve">No-Slip speed is the travel speed that would result from no pull at rated engine speed, that is, with no slip. This is the specified speed for the given tire and gear or speed of the tractor. These speeds are usually listed in the specifications or </t>
  </si>
  <si>
    <t>operators' manual. Speeds may need to be adjusted for different tire sizes. For tractors with radar speed measurement, this speed would be that measured with the engine at the proper speed and no drawbar load on the tractor.</t>
  </si>
  <si>
    <t>Front Weight</t>
  </si>
  <si>
    <t>Front weight is the reaction at the front axle of the total weight added to the front (and rear) of the tractor. Note that weights that are not directly over the axle may add more (usually) or less than the actual weight to the axle of the tractor.</t>
  </si>
  <si>
    <t>Rear Weight</t>
  </si>
  <si>
    <t>Rear weight is the reaction at the rear axle of the total weight added to the rear (and front) of the tractor. Since rear ballast is usually applied to the wheels (cast ballast) or tires (liquid ballast), the rear reaction is usually equal to the amount</t>
  </si>
  <si>
    <t>of weight added. Weight of implements in transport position usually do not need to be considered as ballast as the reaction on the tractor will likely be quite different with the implement is in the ground.</t>
  </si>
  <si>
    <t>Load factors more or less than 100% are allowed. This effectively changes the effective pto power at which the tractor is operating.</t>
  </si>
  <si>
    <t>Soil Strength, Cone Index</t>
  </si>
  <si>
    <t>Strength of the soil as measured by a soil cone penetrometer. Good, medium, and poor tractive conditions are indicated. Actual soil cone penetrometer measurements are highly variable and depend upon the soil moisture content as well as previous tillage.</t>
  </si>
  <si>
    <t>Implement Type</t>
  </si>
  <si>
    <t>Selecting implement type on the TRACPERF MENU inserts approximate implement hitch points into the spreadsheet for the distance bethind rear axle, hitch height, and draft angle. These are starting points only and can and should be varied.</t>
  </si>
  <si>
    <t>Calculation Mode, Performance or Weight</t>
  </si>
  <si>
    <t>This spreadsheet can be used to calculate the expected Performance of a tractor with given front and rear weights and tires or alternatively, be used to determine tractor Weight requirements. Switch to/from Performance/Weight is done from the TRACPERF</t>
  </si>
  <si>
    <t>MENU. In the performance mode, tractor static weights are input and the performance is calculated for different speeds, soils, tires, etc., and the expected slip is calculated. In the Weight mode, slip becomes an input along with desired dynamic front wei</t>
  </si>
  <si>
    <t xml:space="preserve">front weight (%) and the necessary static weights are calculated for given soil strength, power input, travel speed, etc. </t>
  </si>
  <si>
    <t>OUTPUTS:</t>
  </si>
  <si>
    <t>Drawbar power is the product of drawbar pull and actual travel speed. It depends upon the input power and the transmission and tractive (tire) efficiencies. Power is lost both through slip and motion resistance.</t>
  </si>
  <si>
    <t>Drawbar Pull</t>
  </si>
  <si>
    <t>Drawbar pull refers to the horizontal force in the direction of travel required to pull an implement. The amount of pull is affected by all the input variables and the tractive performance of the tires.</t>
  </si>
  <si>
    <t>Travel Reduction is the expected slip of the drive wheels under drawbar load and affects the actual travel speed obtained. Ballasting may be required to obtain slips in the best range of 8 to 15%.</t>
  </si>
  <si>
    <t>Actual Travel Speed</t>
  </si>
  <si>
    <t>The actual travel speed of the tractor depends upon the No-Slip speed and the wheel slip.</t>
  </si>
  <si>
    <t>Tire Pressures</t>
  </si>
  <si>
    <t>Tire pressures are calculated for the number, size, and type of tire along with the total static weight. Minimum pressures for radials is 6 psi and for bias ply, 12 psi; maximum pressure depends on ply or star rating.</t>
  </si>
  <si>
    <t>PDE, Power Delivery Efficiency</t>
  </si>
  <si>
    <t>Power delivery efficiency is the ratio of drawbar power to input power. It depends upon the pto and transmission drivetrain efficiency and the tractive efficiency.</t>
  </si>
  <si>
    <t>VTR, Vehicle Traction Ratio</t>
  </si>
  <si>
    <t>Vehicle Traction Ratio, VTR, is the ratio of the drawbar pull to the total vehicle static weight. Best tractive efficiency is usually obtained in the range of VTR = 0.35 to 0.45 for all soil strengths.</t>
  </si>
  <si>
    <t>tractor selected</t>
  </si>
  <si>
    <t>_____________________________________________________________</t>
  </si>
  <si>
    <t>index number</t>
  </si>
  <si>
    <t>name</t>
  </si>
  <si>
    <t>power</t>
  </si>
  <si>
    <t>p.power</t>
  </si>
  <si>
    <t>make</t>
  </si>
  <si>
    <t>p.make</t>
  </si>
  <si>
    <t>p.model</t>
  </si>
  <si>
    <t>chassis</t>
  </si>
  <si>
    <t>p.chassis</t>
  </si>
  <si>
    <t>tranny</t>
  </si>
  <si>
    <t>p.tran</t>
  </si>
  <si>
    <t>PTO To Axle Efficiency</t>
  </si>
  <si>
    <t>test#</t>
  </si>
  <si>
    <t>?</t>
  </si>
  <si>
    <t>front axle weight (lb)</t>
  </si>
  <si>
    <t>p.SFAF</t>
  </si>
  <si>
    <t>rear axle weight (lb)</t>
  </si>
  <si>
    <t>p.SRAF</t>
  </si>
  <si>
    <t>front tires</t>
  </si>
  <si>
    <t xml:space="preserve">   number of</t>
  </si>
  <si>
    <t>p.numF</t>
  </si>
  <si>
    <t>per side:</t>
  </si>
  <si>
    <t>desig</t>
  </si>
  <si>
    <t>index</t>
  </si>
  <si>
    <t xml:space="preserve">   section width</t>
  </si>
  <si>
    <t>p.widF</t>
  </si>
  <si>
    <t xml:space="preserve">   type</t>
  </si>
  <si>
    <t>p.typeF</t>
  </si>
  <si>
    <t xml:space="preserve">   rimSize</t>
  </si>
  <si>
    <t>p.rimF</t>
  </si>
  <si>
    <t>index#</t>
  </si>
  <si>
    <t>p.Findex</t>
  </si>
  <si>
    <t>p.Fdesig</t>
  </si>
  <si>
    <t>Tpick_error.F</t>
  </si>
  <si>
    <t>back tires</t>
  </si>
  <si>
    <t xml:space="preserve">   number</t>
  </si>
  <si>
    <t>p.numR</t>
  </si>
  <si>
    <t xml:space="preserve">   width</t>
  </si>
  <si>
    <t>p.widR</t>
  </si>
  <si>
    <t>p.typeR</t>
  </si>
  <si>
    <t>p.rimR</t>
  </si>
  <si>
    <t>drawbar height</t>
  </si>
  <si>
    <t>p.DBht</t>
  </si>
  <si>
    <t>p.Rdesig</t>
  </si>
  <si>
    <t>wheelbase</t>
  </si>
  <si>
    <t>p.WB</t>
  </si>
  <si>
    <t>efficiency</t>
  </si>
  <si>
    <t>p.eff</t>
  </si>
  <si>
    <t>p.Rindex</t>
  </si>
  <si>
    <t>error check</t>
  </si>
  <si>
    <t>Tpick_error.R</t>
  </si>
  <si>
    <t>TRACTOR DATA (English Units):</t>
  </si>
  <si>
    <t>FRONT TIRES</t>
  </si>
  <si>
    <t>REAR TIRES</t>
  </si>
  <si>
    <t>HGHT</t>
  </si>
  <si>
    <t>BASE</t>
  </si>
  <si>
    <t>Ahp/PTO</t>
  </si>
  <si>
    <t>max pto hp at rated rpm</t>
  </si>
  <si>
    <t>transmission type</t>
  </si>
  <si>
    <t>official test number</t>
  </si>
  <si>
    <t>R</t>
  </si>
  <si>
    <t>front axle weightunballasted axle weight (lb)</t>
  </si>
  <si>
    <t>No Size Type</t>
  </si>
  <si>
    <t>radial or bia ply</t>
  </si>
  <si>
    <t>drawbar ht (in)</t>
  </si>
  <si>
    <t>wheelbase (in)</t>
  </si>
  <si>
    <t>Ahp/PTO  @te=.925</t>
  </si>
  <si>
    <t>frontWT</t>
  </si>
  <si>
    <t>rearWT</t>
  </si>
  <si>
    <t>number</t>
  </si>
  <si>
    <t>width</t>
  </si>
  <si>
    <t>type</t>
  </si>
  <si>
    <t>rimSize</t>
  </si>
  <si>
    <t>DBht</t>
  </si>
  <si>
    <t>JOHN DEERE</t>
  </si>
  <si>
    <t>1250</t>
  </si>
  <si>
    <t>MFWD</t>
  </si>
  <si>
    <t>Manual Shift</t>
  </si>
  <si>
    <t>F</t>
  </si>
  <si>
    <t>B</t>
  </si>
  <si>
    <t xml:space="preserve">750 </t>
  </si>
  <si>
    <t xml:space="preserve">2WD </t>
  </si>
  <si>
    <t>2040</t>
  </si>
  <si>
    <t>5200-9 SP</t>
  </si>
  <si>
    <t>5200</t>
  </si>
  <si>
    <t>1660</t>
  </si>
  <si>
    <t>2WD</t>
  </si>
  <si>
    <t>2155</t>
  </si>
  <si>
    <t>Partial PowerShift</t>
  </si>
  <si>
    <t>D</t>
  </si>
  <si>
    <t>2150</t>
  </si>
  <si>
    <t>5300</t>
  </si>
  <si>
    <t>1661</t>
  </si>
  <si>
    <t>5300-9 SP</t>
  </si>
  <si>
    <t>2240</t>
  </si>
  <si>
    <t>1450</t>
  </si>
  <si>
    <t>2355</t>
  </si>
  <si>
    <t>2350</t>
  </si>
  <si>
    <t>5400-9 SP</t>
  </si>
  <si>
    <t>5400</t>
  </si>
  <si>
    <t>1662</t>
  </si>
  <si>
    <t>1650</t>
  </si>
  <si>
    <t>2555</t>
  </si>
  <si>
    <t>2550</t>
  </si>
  <si>
    <t>6200-16 SP PQ</t>
  </si>
  <si>
    <t>6200</t>
  </si>
  <si>
    <t>/1</t>
  </si>
  <si>
    <t>6110, 16 SP</t>
  </si>
  <si>
    <t>UF</t>
  </si>
  <si>
    <t>6200-12 SP SYN</t>
  </si>
  <si>
    <t>5500-9 SP</t>
  </si>
  <si>
    <t>BF</t>
  </si>
  <si>
    <t>5500</t>
  </si>
  <si>
    <t>6210, 16 SP-PPS</t>
  </si>
  <si>
    <t>2750</t>
  </si>
  <si>
    <t>6300</t>
  </si>
  <si>
    <t>6300-16 SP PQ</t>
  </si>
  <si>
    <t>2755</t>
  </si>
  <si>
    <t>6300-12 SP SYN</t>
  </si>
  <si>
    <t>2940</t>
  </si>
  <si>
    <t>6310, 16 SP-PPS</t>
  </si>
  <si>
    <t>6310, 12 SP, Syncr</t>
  </si>
  <si>
    <t>6400-16 SP PQ</t>
  </si>
  <si>
    <t>6400</t>
  </si>
  <si>
    <t>2950</t>
  </si>
  <si>
    <t>2955</t>
  </si>
  <si>
    <t>6400-12 SP SYN</t>
  </si>
  <si>
    <t>Synchronized Shift</t>
  </si>
  <si>
    <t>/2</t>
  </si>
  <si>
    <t>4040</t>
  </si>
  <si>
    <t>6410, 16 SP-PPS</t>
  </si>
  <si>
    <t>PowerShift</t>
  </si>
  <si>
    <t>7200-12 SP SYNCR</t>
  </si>
  <si>
    <t>7200-16 SP PQ</t>
  </si>
  <si>
    <t>3055-16 SP</t>
  </si>
  <si>
    <t>S</t>
  </si>
  <si>
    <t>7210, 12 SP-SYNC</t>
  </si>
  <si>
    <t>7210, 16 SP-PQUAD</t>
  </si>
  <si>
    <t>3155</t>
  </si>
  <si>
    <t>4050</t>
  </si>
  <si>
    <t>7400-16 SP PQ</t>
  </si>
  <si>
    <t>7400-12 SP SYNCR</t>
  </si>
  <si>
    <t>3255-16 SP</t>
  </si>
  <si>
    <t>7410, 16 SP-PQUAD</t>
  </si>
  <si>
    <t>7410, 12 SP-SYNC</t>
  </si>
  <si>
    <t>4055</t>
  </si>
  <si>
    <t>4240</t>
  </si>
  <si>
    <t>7600</t>
  </si>
  <si>
    <t>7600-QD 16 SP</t>
  </si>
  <si>
    <t>7600-PS 19 SP</t>
  </si>
  <si>
    <t>7510, 16 SP,Quad-PPS</t>
  </si>
  <si>
    <t>7610</t>
  </si>
  <si>
    <t>7610, 16 SP-PPS</t>
  </si>
  <si>
    <t>7610-PS, 19-SP</t>
  </si>
  <si>
    <t>4250</t>
  </si>
  <si>
    <t>7610, 20-SP,Quad-PPS</t>
  </si>
  <si>
    <t>4255</t>
  </si>
  <si>
    <t>7700</t>
  </si>
  <si>
    <t>7700-PS 19 SP</t>
  </si>
  <si>
    <t>7700-QD 16 SP</t>
  </si>
  <si>
    <t>4440</t>
  </si>
  <si>
    <t>7710, 16 SP-PPS</t>
  </si>
  <si>
    <t>BD</t>
  </si>
  <si>
    <t>7710</t>
  </si>
  <si>
    <t>7710-PS, 19-SP</t>
  </si>
  <si>
    <t>7710, 20-SP,Quad-PPS</t>
  </si>
  <si>
    <t>4450</t>
  </si>
  <si>
    <t>4455</t>
  </si>
  <si>
    <t>7800</t>
  </si>
  <si>
    <t>7800-PS 19 SP</t>
  </si>
  <si>
    <t>7800-QD 16 SP</t>
  </si>
  <si>
    <t>7810-PS, 19-SP</t>
  </si>
  <si>
    <t>7810</t>
  </si>
  <si>
    <t>7810, 16-SP-PPS</t>
  </si>
  <si>
    <t>4640</t>
  </si>
  <si>
    <t>4555</t>
  </si>
  <si>
    <t>8100-PS 16 SP</t>
  </si>
  <si>
    <t>8100</t>
  </si>
  <si>
    <t>8110, 16 PS</t>
  </si>
  <si>
    <t>BE</t>
  </si>
  <si>
    <t>4650</t>
  </si>
  <si>
    <t>4755</t>
  </si>
  <si>
    <t>8200-PS 16 SP</t>
  </si>
  <si>
    <t>8200</t>
  </si>
  <si>
    <t>8450</t>
  </si>
  <si>
    <t>4WD</t>
  </si>
  <si>
    <t>8210, 16 PS</t>
  </si>
  <si>
    <t>4850</t>
  </si>
  <si>
    <t>8560</t>
  </si>
  <si>
    <t>4955</t>
  </si>
  <si>
    <t>8300</t>
  </si>
  <si>
    <t>8300-PS 16 SP</t>
  </si>
  <si>
    <t>8310, 16 PS</t>
  </si>
  <si>
    <t>/70R</t>
  </si>
  <si>
    <t>8570-PS 24/12 PPS</t>
  </si>
  <si>
    <t>8570</t>
  </si>
  <si>
    <t>9100-PS 24/12 PPS</t>
  </si>
  <si>
    <t>9100</t>
  </si>
  <si>
    <t>8400</t>
  </si>
  <si>
    <t>8400-PS 16 SP</t>
  </si>
  <si>
    <t>8410, 16-SP-PPS</t>
  </si>
  <si>
    <t>/75R</t>
  </si>
  <si>
    <t>8650</t>
  </si>
  <si>
    <t>E</t>
  </si>
  <si>
    <t>8760</t>
  </si>
  <si>
    <t>8770-PS 24/12 PPS</t>
  </si>
  <si>
    <t>8770</t>
  </si>
  <si>
    <t>9200-PS 24/12 PPS</t>
  </si>
  <si>
    <t>9200</t>
  </si>
  <si>
    <t>8870-PS 24/12 PPS</t>
  </si>
  <si>
    <t>8870</t>
  </si>
  <si>
    <t>8850</t>
  </si>
  <si>
    <t>9400</t>
  </si>
  <si>
    <t>9400-PS 24/12 PPS</t>
  </si>
  <si>
    <t>9300-PS 24/12 PPS</t>
  </si>
  <si>
    <t>9300</t>
  </si>
  <si>
    <t>8960</t>
  </si>
  <si>
    <t>8970-PS 24/12 PPS</t>
  </si>
  <si>
    <t>8970</t>
  </si>
  <si>
    <t>Table information on the tires selected</t>
  </si>
  <si>
    <t>Derating factors for 
tires used in multiples</t>
  </si>
  <si>
    <t xml:space="preserve"> Front tires</t>
  </si>
  <si>
    <t xml:space="preserve"> Rear tires</t>
  </si>
  <si>
    <t># tires</t>
  </si>
  <si>
    <t>load capacity</t>
  </si>
  <si>
    <t>inch</t>
  </si>
  <si>
    <t>SI</t>
  </si>
  <si>
    <t>singles</t>
  </si>
  <si>
    <t>sort column</t>
  </si>
  <si>
    <t>doubles</t>
  </si>
  <si>
    <t>triples</t>
  </si>
  <si>
    <t>sized designation</t>
  </si>
  <si>
    <t>load capacity (lb, kg)</t>
  </si>
  <si>
    <t>section width (in)</t>
  </si>
  <si>
    <t>radial / bias ply</t>
  </si>
  <si>
    <t>nominal rim diameter</t>
  </si>
  <si>
    <t>rating</t>
  </si>
  <si>
    <t>tread code</t>
  </si>
  <si>
    <t>static loaded radius</t>
  </si>
  <si>
    <t>outside diameter</t>
  </si>
  <si>
    <t>d</t>
  </si>
  <si>
    <t>section width (mm)</t>
  </si>
  <si>
    <t>b</t>
  </si>
  <si>
    <t>used for tire pressure - C1</t>
  </si>
  <si>
    <t>used for tire pressure - C2</t>
  </si>
  <si>
    <t>used for tire pressure - C3</t>
  </si>
  <si>
    <t>max tire pressure - Pmax</t>
  </si>
  <si>
    <t>rim diameter</t>
  </si>
  <si>
    <t>section height</t>
  </si>
  <si>
    <t>h</t>
  </si>
  <si>
    <t>loaded tire deflection</t>
  </si>
  <si>
    <t>delta</t>
  </si>
  <si>
    <t>rolling radius, hard surface</t>
  </si>
  <si>
    <t>r</t>
  </si>
  <si>
    <t>total load capacity, each side (lb, kg)</t>
  </si>
  <si>
    <t>tire pressure for inch data</t>
  </si>
  <si>
    <t>psi, kPa</t>
  </si>
  <si>
    <t>min psi for Radial tires</t>
  </si>
  <si>
    <t>tire pressure for metric data</t>
  </si>
  <si>
    <t>min psi for bias ply tires</t>
  </si>
  <si>
    <t>calculated tire pressure</t>
  </si>
  <si>
    <t>tire pressure to use</t>
  </si>
  <si>
    <t>used by macros for selecting tires</t>
  </si>
  <si>
    <t>used by macro</t>
  </si>
  <si>
    <t>bias/radial code</t>
  </si>
  <si>
    <t>bias=1, radial = 2</t>
  </si>
  <si>
    <t>number of tires, each axle</t>
  </si>
  <si>
    <t>selection number</t>
  </si>
  <si>
    <t>Used with tractor select</t>
  </si>
  <si>
    <t>AREA</t>
  </si>
  <si>
    <t>tire deisignation</t>
  </si>
  <si>
    <t>tire load capacity in kg</t>
  </si>
  <si>
    <t>nominal Section width (inch)</t>
  </si>
  <si>
    <t>bias ply or radial</t>
  </si>
  <si>
    <t>Nominal rim size (inch)</t>
  </si>
  <si>
    <t>rating (ply or star)</t>
  </si>
  <si>
    <t>tread style</t>
  </si>
  <si>
    <t>static loaded radius (mm)</t>
  </si>
  <si>
    <t>outside diameter (mm)</t>
  </si>
  <si>
    <t>used for tire pressure</t>
  </si>
  <si>
    <t>max tire pressure
?</t>
  </si>
  <si>
    <t xml:space="preserve">R1 Bias Tires </t>
  </si>
  <si>
    <t>Kg</t>
  </si>
  <si>
    <t>(Firestone Data)</t>
  </si>
  <si>
    <t>R-1</t>
  </si>
  <si>
    <t xml:space="preserve"> R1 Radial Ply Tires</t>
  </si>
  <si>
    <t>(Goodyear Data)</t>
  </si>
  <si>
    <t>LR</t>
  </si>
  <si>
    <t>/80R</t>
  </si>
  <si>
    <t>/85R</t>
  </si>
  <si>
    <t>/65R</t>
  </si>
  <si>
    <t>/50R</t>
  </si>
  <si>
    <t xml:space="preserve"> F2 Tires (Bias Ply)</t>
  </si>
  <si>
    <t>F-2</t>
  </si>
  <si>
    <t>F-3</t>
  </si>
  <si>
    <t>R-3</t>
  </si>
  <si>
    <t>MY OWN</t>
  </si>
  <si>
    <t xml:space="preserve">This sheet stores data for your own (MY_OWN) tractors. Data on this page can be edited, tractors added and/or deleted. </t>
  </si>
  <si>
    <t>DIS</t>
  </si>
  <si>
    <t>JD</t>
  </si>
  <si>
    <t>JD   4055   PowerShift,            MFWD,   109 pto hp</t>
  </si>
  <si>
    <t>JD   9400   Partial PowerShift,   4WD,   312 pto hp</t>
  </si>
  <si>
    <t>JD   8970   Partial PowerShift,   4WD,   354 pto hp</t>
  </si>
  <si>
    <t>John Deere</t>
  </si>
  <si>
    <t>AGCO</t>
  </si>
  <si>
    <t>AGCO ALLIS</t>
  </si>
  <si>
    <t>4650-12 SP</t>
  </si>
  <si>
    <t>5650-12 SP</t>
  </si>
  <si>
    <t>4660-12 SP</t>
  </si>
  <si>
    <t>5660-12 SP</t>
  </si>
  <si>
    <t>5670/6670-12 SP</t>
  </si>
  <si>
    <t>8745-16 SP</t>
  </si>
  <si>
    <t>5680/6680-12 SP</t>
  </si>
  <si>
    <t>6690-12 SP</t>
  </si>
  <si>
    <t>8765-16 SP</t>
  </si>
  <si>
    <t>7600(A,C,CA)-24 SP</t>
  </si>
  <si>
    <t>8775-32 SP, PPS</t>
  </si>
  <si>
    <t>8610-24 SP</t>
  </si>
  <si>
    <t>8785-32 SP, PPS</t>
  </si>
  <si>
    <t>8630CA-48 SP</t>
  </si>
  <si>
    <t>9735-32-SP, PPS</t>
  </si>
  <si>
    <t>7650CA-12 SP</t>
  </si>
  <si>
    <t>9635-18 SP</t>
  </si>
  <si>
    <t>9435-PPS 32 SP</t>
  </si>
  <si>
    <t>9630-18 SP</t>
  </si>
  <si>
    <t>9745-18-SP, PPS</t>
  </si>
  <si>
    <t>9455-PPS 32 SP</t>
  </si>
  <si>
    <t>9655-18 SP</t>
  </si>
  <si>
    <t>9650-18 SP</t>
  </si>
  <si>
    <t>9755-18-SP, PPS</t>
  </si>
  <si>
    <t>1781A</t>
  </si>
  <si>
    <t>9670-18 SP</t>
  </si>
  <si>
    <t>9675-18 SP</t>
  </si>
  <si>
    <t>9765-18-SP, PPS</t>
  </si>
  <si>
    <t>1782A</t>
  </si>
  <si>
    <t>9690-18 SP</t>
  </si>
  <si>
    <t>9695-18 SP</t>
  </si>
  <si>
    <t>EBF</t>
  </si>
  <si>
    <t>AGCOSTAR (AGCO)</t>
  </si>
  <si>
    <t>8360-18 SP</t>
  </si>
  <si>
    <t>EB</t>
  </si>
  <si>
    <t>8425-18 SP</t>
  </si>
  <si>
    <t>ALLIS CHALMERS</t>
  </si>
  <si>
    <t>6140</t>
  </si>
  <si>
    <t>7010</t>
  </si>
  <si>
    <t>7045-PS</t>
  </si>
  <si>
    <t>DEUTZ</t>
  </si>
  <si>
    <t>D4507</t>
  </si>
  <si>
    <t>6206/07</t>
  </si>
  <si>
    <t>6806/07</t>
  </si>
  <si>
    <t>DX-90</t>
  </si>
  <si>
    <t>DX-110</t>
  </si>
  <si>
    <t>DX120</t>
  </si>
  <si>
    <t>DX130</t>
  </si>
  <si>
    <t>DX-160</t>
  </si>
  <si>
    <t>DEUTZ-ALLIS</t>
  </si>
  <si>
    <t>6240-16 SP</t>
  </si>
  <si>
    <t>6250-16 SP</t>
  </si>
  <si>
    <t>6260/DX-3.50-8 SP</t>
  </si>
  <si>
    <t>6060</t>
  </si>
  <si>
    <t>6265-12 SP</t>
  </si>
  <si>
    <t>6070-12 SP</t>
  </si>
  <si>
    <t>6275-12 SP</t>
  </si>
  <si>
    <t>6080</t>
  </si>
  <si>
    <t>7085/DX-4.70-15 SP</t>
  </si>
  <si>
    <t>8010</t>
  </si>
  <si>
    <t>7120/DX-6.50-24 SP</t>
  </si>
  <si>
    <t>8030</t>
  </si>
  <si>
    <t>7145-36 SP</t>
  </si>
  <si>
    <t>9150-18 SP</t>
  </si>
  <si>
    <t>8050</t>
  </si>
  <si>
    <t>8070</t>
  </si>
  <si>
    <t>9170-18 SP</t>
  </si>
  <si>
    <t>9190-18 SP</t>
  </si>
  <si>
    <t>WHITE</t>
  </si>
  <si>
    <t>2-30</t>
  </si>
  <si>
    <t>2-35</t>
  </si>
  <si>
    <t>2-45</t>
  </si>
  <si>
    <t>6045-16 SP</t>
  </si>
  <si>
    <t>2-55</t>
  </si>
  <si>
    <t>60-18 SP</t>
  </si>
  <si>
    <t>2-62</t>
  </si>
  <si>
    <t>2-65</t>
  </si>
  <si>
    <t>6065C(A)-24 SP</t>
  </si>
  <si>
    <t>6065(A)-12 SP</t>
  </si>
  <si>
    <t>6410-12 SP</t>
  </si>
  <si>
    <t>2-75</t>
  </si>
  <si>
    <t>6085(A,C,CA)-24 SP</t>
  </si>
  <si>
    <t>80-18 SP</t>
  </si>
  <si>
    <t>6510-12 SP</t>
  </si>
  <si>
    <t>2-88</t>
  </si>
  <si>
    <t>100-18 SP</t>
  </si>
  <si>
    <t>6710-32 SP</t>
  </si>
  <si>
    <t>6105C(A)-24 SP</t>
  </si>
  <si>
    <t>2-110</t>
  </si>
  <si>
    <t>6810-32-SP, PPS</t>
  </si>
  <si>
    <t>U</t>
  </si>
  <si>
    <t>120/125-18 SP</t>
  </si>
  <si>
    <t>6125-18 SP</t>
  </si>
  <si>
    <t>8310-32-SP, PPS</t>
  </si>
  <si>
    <t>140/145-18 SP</t>
  </si>
  <si>
    <t>6145-18 SP</t>
  </si>
  <si>
    <t>8410-18-SP, PPS</t>
  </si>
  <si>
    <t>4-175</t>
  </si>
  <si>
    <t>160/170-18 SP</t>
  </si>
  <si>
    <t>8510-18-SP, PPS</t>
  </si>
  <si>
    <t>4-210</t>
  </si>
  <si>
    <t>8610-18-SP, PPS</t>
  </si>
  <si>
    <t>185/195-18 SP</t>
  </si>
  <si>
    <t>4-225-18 SP</t>
  </si>
  <si>
    <t>4-270-16 SP</t>
  </si>
  <si>
    <t>White (AGCO)</t>
  </si>
  <si>
    <t>6215-18 SP</t>
  </si>
  <si>
    <t>WHITE, AGCO-ALLIS</t>
  </si>
  <si>
    <t>6124-PPS 32 SP</t>
  </si>
  <si>
    <t>6144-PPS 32 SP</t>
  </si>
  <si>
    <t>6175-18 SP</t>
  </si>
  <si>
    <t>6195-18 SP</t>
  </si>
  <si>
    <t>CASE</t>
  </si>
  <si>
    <t>MX 100,  16-SP, PPS</t>
  </si>
  <si>
    <t>MX 110,  16-SP, PPS</t>
  </si>
  <si>
    <t>MX 120,  16-SP, PPS</t>
  </si>
  <si>
    <t>2090-M</t>
  </si>
  <si>
    <t>MX 135,  16-SP, PPS</t>
  </si>
  <si>
    <t>MX 150,  16-SP, PPS</t>
  </si>
  <si>
    <t>MX 170,  16-SP, PPS</t>
  </si>
  <si>
    <t>2390-PS</t>
  </si>
  <si>
    <t>2590-PS</t>
  </si>
  <si>
    <t>CASE-IH</t>
  </si>
  <si>
    <t>CX 50 &amp; C-50,  16-SP, PPS</t>
  </si>
  <si>
    <t>495/485-8 SP</t>
  </si>
  <si>
    <t>595/585/584-8 SP</t>
  </si>
  <si>
    <t>CX 60 &amp; C-60,  16-SP, PPS</t>
  </si>
  <si>
    <t>CX 70 &amp; C-70,  16-SP, PPS</t>
  </si>
  <si>
    <t>695-8/16 SP</t>
  </si>
  <si>
    <t>CX 80 &amp; C-80,  16-SP, PPS</t>
  </si>
  <si>
    <t>895/885-8 SP</t>
  </si>
  <si>
    <t>5120-24 SP</t>
  </si>
  <si>
    <t>CX 90 &amp; C-90,  16-SP, PPS</t>
  </si>
  <si>
    <t>5220-PS 16 SP</t>
  </si>
  <si>
    <t>1594-PS</t>
  </si>
  <si>
    <t>1594-12 SP</t>
  </si>
  <si>
    <t>CX 100 &amp; C-100,  16-SP, PPS</t>
  </si>
  <si>
    <t>5130-16 SP</t>
  </si>
  <si>
    <t>5230-PS 16 SP</t>
  </si>
  <si>
    <t>1896-PS</t>
  </si>
  <si>
    <t>5140-24 SP</t>
  </si>
  <si>
    <t>5240-PS 16 SP</t>
  </si>
  <si>
    <t>1896-12 SP</t>
  </si>
  <si>
    <t>5250-PS 16 SP</t>
  </si>
  <si>
    <t>2096-PS</t>
  </si>
  <si>
    <t>2294-PS/12 SP</t>
  </si>
  <si>
    <t>7110/7210-18 SP</t>
  </si>
  <si>
    <t>8910-18 SP PPS</t>
  </si>
  <si>
    <t>MX-180-18 SP PS</t>
  </si>
  <si>
    <t>7120-18 SP</t>
  </si>
  <si>
    <t>7220-18 SP PPS</t>
  </si>
  <si>
    <t>7220/8920-18 SP PPS</t>
  </si>
  <si>
    <t>2394-PS/24 SP</t>
  </si>
  <si>
    <t>3294-PS/12 SP</t>
  </si>
  <si>
    <t>3394-PS</t>
  </si>
  <si>
    <t>2394-PS</t>
  </si>
  <si>
    <t>MX-200-18 SP PS</t>
  </si>
  <si>
    <t>9110-12 SP</t>
  </si>
  <si>
    <t>7230-18 SP PPS</t>
  </si>
  <si>
    <t>7130/7230-18 SP</t>
  </si>
  <si>
    <t>4494/4490, 12-SP, PS</t>
  </si>
  <si>
    <t>2594-24 SP</t>
  </si>
  <si>
    <t>8930-18 SP PPS</t>
  </si>
  <si>
    <t>3594-PS</t>
  </si>
  <si>
    <t>MX-220-18 SP PS</t>
  </si>
  <si>
    <t>9130-12 SP</t>
  </si>
  <si>
    <t>7240-18 SP PPS</t>
  </si>
  <si>
    <t>7140/7240-18 SP</t>
  </si>
  <si>
    <t>9230-12 SP</t>
  </si>
  <si>
    <t>9240-12 SP</t>
  </si>
  <si>
    <t>9330-12 SP</t>
  </si>
  <si>
    <t>MX-240-18 SP PS</t>
  </si>
  <si>
    <t>8940-18 SP PPS</t>
  </si>
  <si>
    <t>7150/7250-18 SP</t>
  </si>
  <si>
    <t>7250-18 SP PPS</t>
  </si>
  <si>
    <t>4694/4690, 12-SP, PS</t>
  </si>
  <si>
    <t>8950-18 SP PPS</t>
  </si>
  <si>
    <t>MX-270-18 SP PS</t>
  </si>
  <si>
    <t>9150-12 SP</t>
  </si>
  <si>
    <t>4894/4890, 12-SP, PS</t>
  </si>
  <si>
    <t>9260-12 SP</t>
  </si>
  <si>
    <t>9250-12 SP</t>
  </si>
  <si>
    <t>9350-12 SP</t>
  </si>
  <si>
    <t>9270-12 SP</t>
  </si>
  <si>
    <t>9270/9170-12 SP</t>
  </si>
  <si>
    <t>9370-12 SP</t>
  </si>
  <si>
    <t>STX 375-16 SP</t>
  </si>
  <si>
    <t>4994-PS/12 SP</t>
  </si>
  <si>
    <t>9280/9180-12 SP</t>
  </si>
  <si>
    <t>9380-12 SP</t>
  </si>
  <si>
    <t>STX 440-16 SP</t>
  </si>
  <si>
    <t>INTERNATIONAL</t>
  </si>
  <si>
    <t>284</t>
  </si>
  <si>
    <t>484</t>
  </si>
  <si>
    <t>584</t>
  </si>
  <si>
    <t>84</t>
  </si>
  <si>
    <t>684</t>
  </si>
  <si>
    <t>784</t>
  </si>
  <si>
    <t>686</t>
  </si>
  <si>
    <t>86</t>
  </si>
  <si>
    <t>884</t>
  </si>
  <si>
    <t>786</t>
  </si>
  <si>
    <t>3088-16 SP</t>
  </si>
  <si>
    <t>886</t>
  </si>
  <si>
    <t>3288</t>
  </si>
  <si>
    <t>3488</t>
  </si>
  <si>
    <t>3688</t>
  </si>
  <si>
    <t>3388-16 SP</t>
  </si>
  <si>
    <t>5088</t>
  </si>
  <si>
    <t>3588-16 SP</t>
  </si>
  <si>
    <t>5288</t>
  </si>
  <si>
    <t>5488</t>
  </si>
  <si>
    <t>JI CASE</t>
  </si>
  <si>
    <t>1194</t>
  </si>
  <si>
    <t>1290</t>
  </si>
  <si>
    <t>1390</t>
  </si>
  <si>
    <t>1490</t>
  </si>
  <si>
    <t>1690</t>
  </si>
  <si>
    <t>2094-12 SP</t>
  </si>
  <si>
    <t>STEIGER</t>
  </si>
  <si>
    <t>CR-1225-20 SP</t>
  </si>
  <si>
    <t>BEARCAT 1000-12 SP</t>
  </si>
  <si>
    <t>CR-1280-20 SP</t>
  </si>
  <si>
    <t>23.1</t>
  </si>
  <si>
    <t>COUGAR 1000-12 SP</t>
  </si>
  <si>
    <t>CP-1325</t>
  </si>
  <si>
    <t>PNTHR KP1325</t>
  </si>
  <si>
    <t>PNTHR KP1360</t>
  </si>
  <si>
    <t>CP-1360</t>
  </si>
  <si>
    <t>PANTHER-III-PTA-325/PANTHER-VI-CS-325</t>
  </si>
  <si>
    <t>ST280</t>
  </si>
  <si>
    <t>PTA 280</t>
  </si>
  <si>
    <t>ST-280/CM280</t>
  </si>
  <si>
    <t>PTA 280/CS-280</t>
  </si>
  <si>
    <t>ST-225/CM-225</t>
  </si>
  <si>
    <t>ST-250/CM-250</t>
  </si>
  <si>
    <t>KP-1400</t>
  </si>
  <si>
    <t>CP-1400</t>
  </si>
  <si>
    <t>KM-225-20 SP</t>
  </si>
  <si>
    <t>KM-325-20 SP</t>
  </si>
  <si>
    <t>CM-360-20 SP</t>
  </si>
  <si>
    <t>SM-325-20 SP</t>
  </si>
  <si>
    <t>NEW HOLLAND</t>
  </si>
  <si>
    <t>FORD</t>
  </si>
  <si>
    <t>1510(12X4)</t>
  </si>
  <si>
    <t>1700-12 SP</t>
  </si>
  <si>
    <t>1710(12X4)</t>
  </si>
  <si>
    <t>1900-12 SP</t>
  </si>
  <si>
    <t>1910 (12X4)</t>
  </si>
  <si>
    <t>3230 (8X2)-8 SP</t>
  </si>
  <si>
    <t>2810(8X2)-8 SP</t>
  </si>
  <si>
    <t>2110 (12X4)</t>
  </si>
  <si>
    <t>2910 (8X4)</t>
  </si>
  <si>
    <t>2910 (8X2)</t>
  </si>
  <si>
    <t>2610 (8X2)</t>
  </si>
  <si>
    <t>3430 (8X2)-8 SP</t>
  </si>
  <si>
    <t>3430 (8X8)-8 SP</t>
  </si>
  <si>
    <t>3610 (8X2)</t>
  </si>
  <si>
    <t>3610 (8X4)</t>
  </si>
  <si>
    <t>3910 (8X2)</t>
  </si>
  <si>
    <t>3910 (8X4)</t>
  </si>
  <si>
    <t>3930 (8X8)-8 SP</t>
  </si>
  <si>
    <t xml:space="preserve">3930-8 SP 8X2 </t>
  </si>
  <si>
    <t>3930 (8X2)-8 SP</t>
  </si>
  <si>
    <t xml:space="preserve">3930-8 SP 8X8 </t>
  </si>
  <si>
    <t>4110 (8X2)</t>
  </si>
  <si>
    <t>4110 (8X4)</t>
  </si>
  <si>
    <t>4610(8X4)</t>
  </si>
  <si>
    <t>4610(8X2)</t>
  </si>
  <si>
    <t>4630 (8X2)-8 SP</t>
  </si>
  <si>
    <t xml:space="preserve">4630-16 SP 16X8 PPS </t>
  </si>
  <si>
    <t>4630 (8X8)-8 SP</t>
  </si>
  <si>
    <t xml:space="preserve">4835-12 SP </t>
  </si>
  <si>
    <t>5610(16X4)</t>
  </si>
  <si>
    <t>5610(16X8)</t>
  </si>
  <si>
    <t xml:space="preserve">5030-16 SP 16X8 PPS </t>
  </si>
  <si>
    <t>5640 (16X4)-16 SP</t>
  </si>
  <si>
    <t xml:space="preserve">5635-24 SP </t>
  </si>
  <si>
    <t>5640-12 SP 12x12</t>
  </si>
  <si>
    <t>6610(16X4)</t>
  </si>
  <si>
    <t>6610(16X8)</t>
  </si>
  <si>
    <t xml:space="preserve">6635-24 SP </t>
  </si>
  <si>
    <t>6640 (16X4)-16 SP</t>
  </si>
  <si>
    <t>6640-12 SP 12x12</t>
  </si>
  <si>
    <t>7740-12 SP 12x12</t>
  </si>
  <si>
    <t>7710(16X8)</t>
  </si>
  <si>
    <t>7740 (16X4)-16 SP</t>
  </si>
  <si>
    <t>7610(16X4)</t>
  </si>
  <si>
    <t xml:space="preserve">7740-16 SP 16X8 PPS </t>
  </si>
  <si>
    <t>7840-16 SP</t>
  </si>
  <si>
    <t>8210-16 SP</t>
  </si>
  <si>
    <t>8240-16 SP PPS</t>
  </si>
  <si>
    <t>TW-5/8530</t>
  </si>
  <si>
    <t>TW-10</t>
  </si>
  <si>
    <t>8340-16 SP PPS</t>
  </si>
  <si>
    <t>TW-15/8630</t>
  </si>
  <si>
    <t>TW-15-16 SP</t>
  </si>
  <si>
    <t>8630-PS 18 SP</t>
  </si>
  <si>
    <t>TW-20</t>
  </si>
  <si>
    <t>TW-25/8730</t>
  </si>
  <si>
    <t>8730-PS 18 SP</t>
  </si>
  <si>
    <t>TW-35-16 SP</t>
  </si>
  <si>
    <t>8830-PS 18 SP</t>
  </si>
  <si>
    <t>TW-35/8830</t>
  </si>
  <si>
    <t>FORD-VERSATILE</t>
  </si>
  <si>
    <t>9030-HYDRO</t>
  </si>
  <si>
    <t>276-HYDRO</t>
  </si>
  <si>
    <t>846-15 SP</t>
  </si>
  <si>
    <t>946-12 SP</t>
  </si>
  <si>
    <t xml:space="preserve">TN-55D &amp; 55S, 8-SP </t>
  </si>
  <si>
    <t xml:space="preserve">TN-65D &amp; 65S, 8-SP </t>
  </si>
  <si>
    <t xml:space="preserve">TL-70D 24-SP </t>
  </si>
  <si>
    <t xml:space="preserve">TN-75D &amp; 75S, 8-SP </t>
  </si>
  <si>
    <t xml:space="preserve">TL-80D 24-SP </t>
  </si>
  <si>
    <t>TS90-24 SP</t>
  </si>
  <si>
    <t xml:space="preserve">TL-90D 24-SP </t>
  </si>
  <si>
    <t xml:space="preserve">TL-100D 24-SP </t>
  </si>
  <si>
    <t>TS100-16 SP</t>
  </si>
  <si>
    <t>8160-23 SP, PPS</t>
  </si>
  <si>
    <t>8160-18 SP, PPS</t>
  </si>
  <si>
    <t>TM-115, 18-SP</t>
  </si>
  <si>
    <t>TS110-24 SP</t>
  </si>
  <si>
    <t>TV-140, Hydro PS</t>
  </si>
  <si>
    <t>TM-125, 18-SP</t>
  </si>
  <si>
    <t>8260-18 SP, PPS</t>
  </si>
  <si>
    <t>8260-23 SP, PPS</t>
  </si>
  <si>
    <t>TM-135, 18-SP</t>
  </si>
  <si>
    <t>8360-18 SP, PPS</t>
  </si>
  <si>
    <t>8360-23 SP, PPS</t>
  </si>
  <si>
    <t>TM-150, 18-SP</t>
  </si>
  <si>
    <t>TM-165, 18-SP</t>
  </si>
  <si>
    <t>8560-18 SP, PPS</t>
  </si>
  <si>
    <t>8670-16 SP</t>
  </si>
  <si>
    <t>8770-16 SP</t>
  </si>
  <si>
    <t>8870-16 SP</t>
  </si>
  <si>
    <t>9282-QuadraSync,12 SP</t>
  </si>
  <si>
    <t>8970-16 SP</t>
  </si>
  <si>
    <t>9482-QuadraSync,12 SP</t>
  </si>
  <si>
    <t>9682-QuadraSync,12 SP</t>
  </si>
  <si>
    <t>9882-QuadraSync,12 SP</t>
  </si>
  <si>
    <t>VERSATILE</t>
  </si>
  <si>
    <t>256-HYDRO</t>
  </si>
  <si>
    <t>836-PS</t>
  </si>
  <si>
    <t>555-15 SP</t>
  </si>
  <si>
    <t>836-15 SP</t>
  </si>
  <si>
    <t>835</t>
  </si>
  <si>
    <t>856-PS</t>
  </si>
  <si>
    <t>875-12 SP</t>
  </si>
  <si>
    <t>875</t>
  </si>
  <si>
    <t>895-12 SP</t>
  </si>
  <si>
    <t>1150</t>
  </si>
  <si>
    <t>30.5L</t>
  </si>
  <si>
    <t>876-12 SP</t>
  </si>
  <si>
    <t>936-12 SP</t>
  </si>
  <si>
    <t>MASSEY FERGUSON</t>
  </si>
  <si>
    <t>MF205-4</t>
  </si>
  <si>
    <t>MF205</t>
  </si>
  <si>
    <t>1020-12 SP</t>
  </si>
  <si>
    <t>MF210-4</t>
  </si>
  <si>
    <t>MF210</t>
  </si>
  <si>
    <t>1030-12 SP</t>
  </si>
  <si>
    <t>MF220</t>
  </si>
  <si>
    <t>MF220-4</t>
  </si>
  <si>
    <t>1040-12 SP</t>
  </si>
  <si>
    <t>MF240-8 SP</t>
  </si>
  <si>
    <t>MF250-8 SP</t>
  </si>
  <si>
    <t>154-4</t>
  </si>
  <si>
    <t>240-8 SP</t>
  </si>
  <si>
    <t>MF254</t>
  </si>
  <si>
    <t>253-8 SP</t>
  </si>
  <si>
    <t>243, 8-SP</t>
  </si>
  <si>
    <t>UE</t>
  </si>
  <si>
    <t>360-8 SP</t>
  </si>
  <si>
    <t>263, 8-SP</t>
  </si>
  <si>
    <t>362-8 SP</t>
  </si>
  <si>
    <t>MF274</t>
  </si>
  <si>
    <t>670/270-12 SP</t>
  </si>
  <si>
    <t>MF270-8 SP</t>
  </si>
  <si>
    <t>4225, 12-SP</t>
  </si>
  <si>
    <t>375-24 MULT SP</t>
  </si>
  <si>
    <t>184-4</t>
  </si>
  <si>
    <t>375-12 SYNC SP</t>
  </si>
  <si>
    <t>4235, 18-SP</t>
  </si>
  <si>
    <t>690-12 SP</t>
  </si>
  <si>
    <t>MF290-12 SP</t>
  </si>
  <si>
    <t>MF294</t>
  </si>
  <si>
    <t>3060-32 SP</t>
  </si>
  <si>
    <t>390-12 SYNC SP</t>
  </si>
  <si>
    <t>390-12 MULT SP</t>
  </si>
  <si>
    <t>4245, 12-SP</t>
  </si>
  <si>
    <t>6245, 32-SP</t>
  </si>
  <si>
    <t>698-12 SP</t>
  </si>
  <si>
    <t>298-12 SP</t>
  </si>
  <si>
    <t>298-8 SP</t>
  </si>
  <si>
    <t>390T-SYNC 12 SP</t>
  </si>
  <si>
    <t>398-12 SP</t>
  </si>
  <si>
    <t>3070-32 SP</t>
  </si>
  <si>
    <t>3050-32 SP</t>
  </si>
  <si>
    <t>393-8 SP</t>
  </si>
  <si>
    <t>6255, 32-SP</t>
  </si>
  <si>
    <t>699-12 SP</t>
  </si>
  <si>
    <t>6150-Dyna-32 SP</t>
  </si>
  <si>
    <t>3075-32 SP</t>
  </si>
  <si>
    <t>396-12 SP</t>
  </si>
  <si>
    <t>399-12 SP</t>
  </si>
  <si>
    <t>2640</t>
  </si>
  <si>
    <t>3505-16 SP</t>
  </si>
  <si>
    <t>4263, 12-SP</t>
  </si>
  <si>
    <t>6265, 32-SP</t>
  </si>
  <si>
    <t>3095-DYNA 32-SP</t>
  </si>
  <si>
    <t>6270, 32-SP</t>
  </si>
  <si>
    <t>4270, 12-SP</t>
  </si>
  <si>
    <t>3090-32 SP</t>
  </si>
  <si>
    <t>2675-8 SP</t>
  </si>
  <si>
    <t>2675-24 SP</t>
  </si>
  <si>
    <t>3120-32 SP</t>
  </si>
  <si>
    <t>3525-16 SP</t>
  </si>
  <si>
    <t>6180-DYNA 32-SP</t>
  </si>
  <si>
    <t>3120T-32 SP</t>
  </si>
  <si>
    <t>6280, 32-SP</t>
  </si>
  <si>
    <t>4255, 12-SP</t>
  </si>
  <si>
    <t>3140-16 SP</t>
  </si>
  <si>
    <t>3630-16 SP</t>
  </si>
  <si>
    <t>6290, 32-SP</t>
  </si>
  <si>
    <t>2705-8 SP</t>
  </si>
  <si>
    <t>2705-24 SP</t>
  </si>
  <si>
    <t>3545-16 SP</t>
  </si>
  <si>
    <t>8120-DYNA 32-SP</t>
  </si>
  <si>
    <t>3650-16 SP</t>
  </si>
  <si>
    <t>8220, 18-SP, PS</t>
  </si>
  <si>
    <t>3660-16 SP</t>
  </si>
  <si>
    <t>2745-24 SP</t>
  </si>
  <si>
    <t>8140-DYNA 32-SP</t>
  </si>
  <si>
    <t>8240, 18-SP, PS</t>
  </si>
  <si>
    <t>3670-32 SP,DYNA</t>
  </si>
  <si>
    <t>8150-DYNA 32-SP</t>
  </si>
  <si>
    <t>3680-16 SP</t>
  </si>
  <si>
    <t>2775</t>
  </si>
  <si>
    <t>8245-18-SP, PPS</t>
  </si>
  <si>
    <t>1781B</t>
  </si>
  <si>
    <t>3690-32 SP</t>
  </si>
  <si>
    <t>MF4800</t>
  </si>
  <si>
    <t>8160-DYNA 32-SP</t>
  </si>
  <si>
    <t>8260-18-SP, PPS</t>
  </si>
  <si>
    <t>1782B</t>
  </si>
  <si>
    <t>2805</t>
  </si>
  <si>
    <t>8170 &amp; 8270, 18-SP, PS</t>
  </si>
  <si>
    <t>9240-PS 18 SP</t>
  </si>
  <si>
    <t>MF4840</t>
  </si>
  <si>
    <t>8280, 18-SP, PS</t>
  </si>
  <si>
    <t>MF4880</t>
  </si>
  <si>
    <t>MF4900</t>
  </si>
  <si>
    <t>OTHERS</t>
  </si>
  <si>
    <t>YANMAR</t>
  </si>
  <si>
    <t>YM226D</t>
  </si>
  <si>
    <t>KUBOTA</t>
  </si>
  <si>
    <t>L235 4WD</t>
  </si>
  <si>
    <t>L2250-8 SP</t>
  </si>
  <si>
    <t>YM276D</t>
  </si>
  <si>
    <t>L275 4WD</t>
  </si>
  <si>
    <t>L2550-8 SP</t>
  </si>
  <si>
    <t>BELARUS</t>
  </si>
  <si>
    <t>250</t>
  </si>
  <si>
    <t>L305DT</t>
  </si>
  <si>
    <t>L295DT</t>
  </si>
  <si>
    <t>YM336D</t>
  </si>
  <si>
    <t>L2850-8 SP</t>
  </si>
  <si>
    <t>L345DT</t>
  </si>
  <si>
    <t>L3350-8 SP</t>
  </si>
  <si>
    <t>MITSUBISHI</t>
  </si>
  <si>
    <t>S750D</t>
  </si>
  <si>
    <t>L3750-8 SP</t>
  </si>
  <si>
    <t>HESSTON</t>
  </si>
  <si>
    <t>45-66DT-12 SP</t>
  </si>
  <si>
    <t>L4150-8 SP</t>
  </si>
  <si>
    <t>LONG</t>
  </si>
  <si>
    <t>U460</t>
  </si>
  <si>
    <t>ZETOR</t>
  </si>
  <si>
    <t>5245/5211-10 SP</t>
  </si>
  <si>
    <t>480-8 DT</t>
  </si>
  <si>
    <t>M4030DT-8 SP</t>
  </si>
  <si>
    <t>466DT</t>
  </si>
  <si>
    <t>M4050DT</t>
  </si>
  <si>
    <t>55-66-12 SP</t>
  </si>
  <si>
    <t>510</t>
  </si>
  <si>
    <t>510 DTC</t>
  </si>
  <si>
    <t>M4950DT</t>
  </si>
  <si>
    <t>M4500DT</t>
  </si>
  <si>
    <t>M5030DT-16 SP</t>
  </si>
  <si>
    <t>400A\420A-11 SP</t>
  </si>
  <si>
    <t>60-66DT/12 SP</t>
  </si>
  <si>
    <t>6245/6211-10 SP</t>
  </si>
  <si>
    <t>M5500DT</t>
  </si>
  <si>
    <t>532/530 9-SP</t>
  </si>
  <si>
    <t>M6030DT-16 SP</t>
  </si>
  <si>
    <t>M5950DT</t>
  </si>
  <si>
    <t>7245/7211-10 SP</t>
  </si>
  <si>
    <t>505/525/570/572/6311/6345-18 SP</t>
  </si>
  <si>
    <t>70-90-12 SP</t>
  </si>
  <si>
    <t>666DT</t>
  </si>
  <si>
    <t>680DT</t>
  </si>
  <si>
    <t>70-66DT-12 SP</t>
  </si>
  <si>
    <t>LEYLAND</t>
  </si>
  <si>
    <t>472</t>
  </si>
  <si>
    <t>610</t>
  </si>
  <si>
    <t>7745/7711-10 SP</t>
  </si>
  <si>
    <t>M6950DT</t>
  </si>
  <si>
    <t>M7030DT-16 SP</t>
  </si>
  <si>
    <t>80-66DT/12 SP</t>
  </si>
  <si>
    <t>780DT</t>
  </si>
  <si>
    <t>80-90-12 SP</t>
  </si>
  <si>
    <t>M7500DT</t>
  </si>
  <si>
    <t>7341 &amp; 7321-10 SP</t>
  </si>
  <si>
    <t>910</t>
  </si>
  <si>
    <t>482</t>
  </si>
  <si>
    <t>820\822-18 SP</t>
  </si>
  <si>
    <t>8345/8011/8045/8311-14 SP</t>
  </si>
  <si>
    <t>M7950DT</t>
  </si>
  <si>
    <t>M8030DT-16 SP</t>
  </si>
  <si>
    <t>880DT-5</t>
  </si>
  <si>
    <t>M8950DT-24 SP</t>
  </si>
  <si>
    <t>9540-PS 18 SP</t>
  </si>
  <si>
    <t>10145-16 SP</t>
  </si>
  <si>
    <t>980DT</t>
  </si>
  <si>
    <t>100-90-15 SP</t>
  </si>
  <si>
    <t>925/900/905/920 18-SP</t>
  </si>
  <si>
    <t>9345/9011/9045/9311-14 SP</t>
  </si>
  <si>
    <t>12111-16 SP</t>
  </si>
  <si>
    <t>12145-16 SP</t>
  </si>
  <si>
    <t>130-90DT-16 SP</t>
  </si>
  <si>
    <t>1180DT</t>
  </si>
  <si>
    <t>1380DT</t>
  </si>
  <si>
    <t>140-90DT/16 SP</t>
  </si>
  <si>
    <t>HURLIMANN</t>
  </si>
  <si>
    <t>6135 VDT, 48-SP, PPS</t>
  </si>
  <si>
    <t>VALMET</t>
  </si>
  <si>
    <t>148 4X4-12 SP</t>
  </si>
  <si>
    <t>16145-12 SP</t>
  </si>
  <si>
    <t>1580DT</t>
  </si>
  <si>
    <t>8550 36 SP</t>
  </si>
  <si>
    <t>160-90DT/16 SP</t>
  </si>
  <si>
    <t>160-90-TURBO-16 SP</t>
  </si>
  <si>
    <t>8150-36 SP</t>
  </si>
  <si>
    <t>180-90-16 SP</t>
  </si>
  <si>
    <t>1880DT</t>
  </si>
  <si>
    <t>180-90DT/16 SP</t>
  </si>
  <si>
    <t>1770-12 SP</t>
  </si>
  <si>
    <t>1500-12 SP</t>
  </si>
  <si>
    <t>7100-16 SP</t>
  </si>
  <si>
    <t>BIG BUD</t>
  </si>
  <si>
    <t>525/50</t>
  </si>
  <si>
    <t>Predicting Tractor Field Performance</t>
  </si>
  <si>
    <t>Frank M. Zoz, PE</t>
  </si>
  <si>
    <t>Dr Robert (Bobby) Grisso, PE</t>
  </si>
  <si>
    <t>Retired, John Deere PEC</t>
  </si>
  <si>
    <t>Professor, Biological Systems Engineering,</t>
  </si>
  <si>
    <t>6531 Eldora Rd</t>
  </si>
  <si>
    <t>211 Seitz Hall, Virginia Tech</t>
  </si>
  <si>
    <t>Waterloo, Ia 50701</t>
  </si>
  <si>
    <t>Blacksburg, Virginia 24061-0303</t>
  </si>
  <si>
    <t>FMZoz@FBX.COM</t>
  </si>
  <si>
    <t>rGrisso@exchange.VT.Edu</t>
  </si>
  <si>
    <t>319-988-4532</t>
  </si>
  <si>
    <t>540-231-6538</t>
  </si>
  <si>
    <t>Version</t>
  </si>
  <si>
    <t>Press "START" Button and</t>
  </si>
  <si>
    <t>use "TRACPERF MENU" on Excel Toolbar.</t>
  </si>
  <si>
    <t>Note:</t>
  </si>
  <si>
    <t>Calculated Tire Pressures are an Estimate Only.</t>
  </si>
  <si>
    <t>Use Tire Company Load/Pressure Tables.</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</si>
</sst>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64" formatCode="dd\-mmm_)"/>
    <numFmt numFmtId="165" formatCode="mmm\-yy_)"/>
    <numFmt numFmtId="166" formatCode="0.00_)"/>
    <numFmt numFmtId="167" formatCode="dd\-mmm\-yy_)"/>
    <numFmt numFmtId="168" formatCode="0.0_)"/>
    <numFmt numFmtId="169" formatCode="0.000_)"/>
    <numFmt numFmtId="170" formatCode="0_)"/>
    <numFmt numFmtId="171" formatCode="0.000000000000000_)"/>
    <numFmt numFmtId="172" formatCode="0.0%"/>
    <numFmt numFmtId="174" formatCode="0.0"/>
    <numFmt numFmtId="176" formatCode="0.000"/>
    <numFmt numFmtId="177" formatCode="0.00000"/>
    <numFmt numFmtId="178" formatCode="0.0000"/>
    <numFmt numFmtId="191" formatCode="0.0000000_)"/>
  </numFmts>
  <fonts count="43">
    <font>
      <sz val="10"/>
      <name val="Courier"/>
    </font>
    <font>
      <b/>
      <sz val="10"/>
      <name val="Arial"/>
    </font>
    <font>
      <sz val="10"/>
      <name val="Arial"/>
    </font>
    <font>
      <sz val="10"/>
      <color indexed="12"/>
      <name val="Courier"/>
    </font>
    <font>
      <sz val="10"/>
      <name val="Geneva"/>
    </font>
    <font>
      <b/>
      <sz val="10"/>
      <color indexed="12"/>
      <name val="Geneva"/>
    </font>
    <font>
      <b/>
      <sz val="10"/>
      <name val="Geneva"/>
    </font>
    <font>
      <sz val="10"/>
      <color indexed="12"/>
      <name val="Geneva"/>
    </font>
    <font>
      <b/>
      <sz val="12"/>
      <color indexed="10"/>
      <name val="Geneva"/>
    </font>
    <font>
      <b/>
      <sz val="10"/>
      <color indexed="10"/>
      <name val="Courier"/>
      <family val="3"/>
    </font>
    <font>
      <sz val="9"/>
      <name val="Arial"/>
      <family val="2"/>
    </font>
    <font>
      <sz val="10"/>
      <name val="Arial"/>
      <family val="2"/>
    </font>
    <font>
      <sz val="10"/>
      <name val="Courier"/>
    </font>
    <font>
      <b/>
      <sz val="10"/>
      <color indexed="10"/>
      <name val="Geneva"/>
    </font>
    <font>
      <b/>
      <sz val="10"/>
      <name val="Arial"/>
      <family val="2"/>
    </font>
    <font>
      <b/>
      <sz val="8"/>
      <color indexed="10"/>
      <name val="Courier"/>
      <family val="3"/>
    </font>
    <font>
      <b/>
      <sz val="10"/>
      <color indexed="12"/>
      <name val="Arial"/>
      <family val="2"/>
    </font>
    <font>
      <b/>
      <sz val="10"/>
      <color indexed="10"/>
      <name val="Arial"/>
      <family val="2"/>
    </font>
    <font>
      <sz val="10"/>
      <color indexed="12"/>
      <name val="Arial"/>
      <family val="2"/>
    </font>
    <font>
      <b/>
      <sz val="10"/>
      <color indexed="18"/>
      <name val="Arial"/>
      <family val="2"/>
    </font>
    <font>
      <b/>
      <sz val="10"/>
      <color indexed="8"/>
      <name val="Arial"/>
      <family val="2"/>
    </font>
    <font>
      <sz val="10"/>
      <color indexed="8"/>
      <name val="Arial"/>
      <family val="2"/>
    </font>
    <font>
      <b/>
      <sz val="10"/>
      <color indexed="12"/>
      <name val="Arial"/>
    </font>
    <font>
      <b/>
      <sz val="9"/>
      <name val="Arial"/>
      <family val="2"/>
    </font>
    <font>
      <b/>
      <sz val="9"/>
      <color indexed="18"/>
      <name val="Arial"/>
      <family val="2"/>
    </font>
    <font>
      <b/>
      <sz val="14"/>
      <name val="Geneva"/>
    </font>
    <font>
      <sz val="10"/>
      <color indexed="50"/>
      <name val="Geneva"/>
    </font>
    <font>
      <sz val="10"/>
      <color indexed="23"/>
      <name val="Geneva"/>
    </font>
    <font>
      <sz val="9"/>
      <name val="Geneva"/>
    </font>
    <font>
      <b/>
      <sz val="10"/>
      <name val="Courier"/>
    </font>
    <font>
      <b/>
      <sz val="10"/>
      <color indexed="16"/>
      <name val="Arial"/>
      <family val="2"/>
    </font>
    <font>
      <b/>
      <sz val="12"/>
      <color indexed="18"/>
      <name val="Arial"/>
      <family val="2"/>
    </font>
    <font>
      <sz val="10"/>
      <name val="Courier"/>
      <family val="3"/>
    </font>
    <font>
      <b/>
      <sz val="10"/>
      <color indexed="17"/>
      <name val="Geneva"/>
    </font>
    <font>
      <b/>
      <u/>
      <sz val="10"/>
      <name val="Courier"/>
    </font>
    <font>
      <b/>
      <sz val="20"/>
      <name val="Arial"/>
      <family val="2"/>
    </font>
    <font>
      <sz val="14"/>
      <name val="Arial"/>
      <family val="2"/>
    </font>
    <font>
      <sz val="14"/>
      <name val="Courier"/>
    </font>
    <font>
      <b/>
      <sz val="14"/>
      <name val="Arial"/>
    </font>
    <font>
      <i/>
      <sz val="10"/>
      <name val="Arial"/>
      <family val="2"/>
    </font>
    <font>
      <b/>
      <sz val="10"/>
      <color indexed="10"/>
      <name val="Courier"/>
    </font>
    <font>
      <sz val="8"/>
      <name val="Tahoma"/>
      <family val="2"/>
    </font>
    <font>
      <sz val="9"/>
      <color indexed="81"/>
      <name val="Tahoma"/>
      <charset val="1"/>
    </font>
  </fonts>
  <fills count="11">
    <fill>
      <patternFill patternType="none"/>
    </fill>
    <fill>
      <patternFill patternType="gray125"/>
    </fill>
    <fill>
      <patternFill patternType="solid">
        <fgColor indexed="11"/>
        <bgColor indexed="64"/>
      </patternFill>
    </fill>
    <fill>
      <patternFill patternType="gray0625"/>
    </fill>
    <fill>
      <patternFill patternType="solid">
        <fgColor indexed="65"/>
        <bgColor indexed="64"/>
      </patternFill>
    </fill>
    <fill>
      <patternFill patternType="solid">
        <fgColor indexed="27"/>
        <bgColor indexed="64"/>
      </patternFill>
    </fill>
    <fill>
      <patternFill patternType="solid">
        <fgColor indexed="45"/>
        <bgColor indexed="64"/>
      </patternFill>
    </fill>
    <fill>
      <patternFill patternType="solid">
        <fgColor indexed="8"/>
        <bgColor indexed="64"/>
      </patternFill>
    </fill>
    <fill>
      <patternFill patternType="solid">
        <fgColor indexed="9"/>
        <bgColor indexed="64"/>
      </patternFill>
    </fill>
    <fill>
      <patternFill patternType="solid">
        <fgColor indexed="10"/>
        <bgColor indexed="64"/>
      </patternFill>
    </fill>
    <fill>
      <patternFill patternType="solid">
        <fgColor indexed="65"/>
        <bgColor indexed="22"/>
      </patternFill>
    </fill>
  </fills>
  <borders count="41">
    <border>
      <left/>
      <right/>
      <top/>
      <bottom/>
      <diagonal/>
    </border>
    <border>
      <left/>
      <right/>
      <top/>
      <bottom style="thin">
        <color indexed="64"/>
      </bottom>
      <diagonal/>
    </border>
    <border>
      <left/>
      <right/>
      <top style="thick">
        <color indexed="64"/>
      </top>
      <bottom/>
      <diagonal/>
    </border>
    <border>
      <left/>
      <right/>
      <top/>
      <bottom style="medium">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ck">
        <color indexed="64"/>
      </top>
      <bottom/>
      <diagonal/>
    </border>
    <border>
      <left/>
      <right style="thick">
        <color indexed="64"/>
      </right>
      <top style="thick">
        <color indexed="64"/>
      </top>
      <bottom/>
      <diagonal/>
    </border>
    <border>
      <left/>
      <right style="thick">
        <color indexed="64"/>
      </right>
      <top/>
      <bottom/>
      <diagonal/>
    </border>
    <border>
      <left style="thick">
        <color indexed="64"/>
      </left>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style="thick">
        <color indexed="64"/>
      </left>
      <right style="thick">
        <color indexed="64"/>
      </right>
      <top style="thick">
        <color indexed="64"/>
      </top>
      <bottom/>
      <diagonal/>
    </border>
    <border>
      <left/>
      <right/>
      <top style="medium">
        <color indexed="64"/>
      </top>
      <bottom/>
      <diagonal/>
    </border>
    <border>
      <left style="medium">
        <color indexed="17"/>
      </left>
      <right/>
      <top style="medium">
        <color indexed="17"/>
      </top>
      <bottom/>
      <diagonal/>
    </border>
    <border>
      <left/>
      <right/>
      <top style="medium">
        <color indexed="17"/>
      </top>
      <bottom/>
      <diagonal/>
    </border>
    <border>
      <left/>
      <right style="medium">
        <color indexed="17"/>
      </right>
      <top style="medium">
        <color indexed="17"/>
      </top>
      <bottom/>
      <diagonal/>
    </border>
    <border>
      <left style="medium">
        <color indexed="17"/>
      </left>
      <right/>
      <top/>
      <bottom/>
      <diagonal/>
    </border>
    <border>
      <left/>
      <right style="medium">
        <color indexed="17"/>
      </right>
      <top/>
      <bottom/>
      <diagonal/>
    </border>
    <border>
      <left style="medium">
        <color indexed="17"/>
      </left>
      <right/>
      <top/>
      <bottom style="medium">
        <color indexed="17"/>
      </bottom>
      <diagonal/>
    </border>
    <border>
      <left/>
      <right/>
      <top/>
      <bottom style="medium">
        <color indexed="17"/>
      </bottom>
      <diagonal/>
    </border>
    <border>
      <left/>
      <right style="medium">
        <color indexed="17"/>
      </right>
      <top/>
      <bottom style="medium">
        <color indexed="17"/>
      </bottom>
      <diagonal/>
    </border>
  </borders>
  <cellStyleXfs count="16">
    <xf numFmtId="0" fontId="0" fillId="0" borderId="0"/>
    <xf numFmtId="0" fontId="5" fillId="0" borderId="0" applyNumberFormat="0" applyFill="0" applyBorder="0" applyAlignment="0">
      <protection locked="0"/>
    </xf>
    <xf numFmtId="170" fontId="12" fillId="0" borderId="0"/>
    <xf numFmtId="0" fontId="4" fillId="0" borderId="0"/>
    <xf numFmtId="0" fontId="4" fillId="0" borderId="0"/>
    <xf numFmtId="0" fontId="4" fillId="0" borderId="0"/>
    <xf numFmtId="0" fontId="4" fillId="0" borderId="0"/>
    <xf numFmtId="0" fontId="4" fillId="0" borderId="0"/>
    <xf numFmtId="170" fontId="12" fillId="0" borderId="0"/>
    <xf numFmtId="170" fontId="12" fillId="0" borderId="0"/>
    <xf numFmtId="170" fontId="12" fillId="0" borderId="0"/>
    <xf numFmtId="0" fontId="4" fillId="0" borderId="0"/>
    <xf numFmtId="0" fontId="4" fillId="0" borderId="0"/>
    <xf numFmtId="0" fontId="4" fillId="0" borderId="0"/>
    <xf numFmtId="0" fontId="4" fillId="0" borderId="0" applyNumberFormat="0" applyFill="0" applyBorder="0" applyAlignment="0"/>
    <xf numFmtId="9" fontId="2" fillId="0" borderId="0" applyFont="0" applyFill="0" applyBorder="0" applyAlignment="0" applyProtection="0"/>
  </cellStyleXfs>
  <cellXfs count="560">
    <xf numFmtId="0" fontId="0" fillId="0" borderId="0" xfId="0"/>
    <xf numFmtId="0" fontId="0" fillId="0" borderId="0" xfId="0" applyAlignment="1" applyProtection="1">
      <alignment horizontal="left"/>
    </xf>
    <xf numFmtId="0" fontId="0" fillId="0" borderId="0" xfId="0" applyProtection="1"/>
    <xf numFmtId="164" fontId="0" fillId="0" borderId="0" xfId="0" applyNumberFormat="1" applyProtection="1"/>
    <xf numFmtId="0" fontId="0" fillId="0" borderId="0" xfId="0" applyAlignment="1" applyProtection="1">
      <alignment horizontal="right"/>
    </xf>
    <xf numFmtId="166" fontId="0" fillId="0" borderId="0" xfId="0" applyNumberFormat="1" applyProtection="1"/>
    <xf numFmtId="0" fontId="3" fillId="0" borderId="0" xfId="0" applyFont="1" applyAlignment="1" applyProtection="1">
      <alignment horizontal="left"/>
      <protection locked="0"/>
    </xf>
    <xf numFmtId="0" fontId="3" fillId="0" borderId="0" xfId="0" applyFont="1" applyProtection="1">
      <protection locked="0"/>
    </xf>
    <xf numFmtId="168" fontId="0" fillId="0" borderId="0" xfId="0" applyNumberFormat="1" applyProtection="1"/>
    <xf numFmtId="169" fontId="0" fillId="0" borderId="0" xfId="0" applyNumberFormat="1" applyProtection="1"/>
    <xf numFmtId="166" fontId="3" fillId="0" borderId="0" xfId="0" applyNumberFormat="1" applyFont="1" applyProtection="1">
      <protection locked="0"/>
    </xf>
    <xf numFmtId="168" fontId="0" fillId="0" borderId="0" xfId="0" applyNumberFormat="1" applyAlignment="1" applyProtection="1">
      <alignment horizontal="right"/>
    </xf>
    <xf numFmtId="170" fontId="0" fillId="0" borderId="0" xfId="0" applyNumberFormat="1" applyProtection="1"/>
    <xf numFmtId="170" fontId="3" fillId="0" borderId="0" xfId="0" applyNumberFormat="1" applyFont="1" applyProtection="1">
      <protection locked="0"/>
    </xf>
    <xf numFmtId="171" fontId="0" fillId="0" borderId="0" xfId="0" applyNumberFormat="1" applyAlignment="1" applyProtection="1">
      <alignment horizontal="left"/>
    </xf>
    <xf numFmtId="0" fontId="0" fillId="0" borderId="0" xfId="0" applyAlignment="1" applyProtection="1">
      <alignment horizontal="center"/>
    </xf>
    <xf numFmtId="168" fontId="3" fillId="0" borderId="0" xfId="0" applyNumberFormat="1" applyFont="1" applyProtection="1">
      <protection locked="0"/>
    </xf>
    <xf numFmtId="0" fontId="0" fillId="0" borderId="0" xfId="0" applyAlignment="1" applyProtection="1">
      <alignment horizontal="fill"/>
    </xf>
    <xf numFmtId="0" fontId="3" fillId="0" borderId="0" xfId="0" applyFont="1" applyAlignment="1" applyProtection="1">
      <alignment horizontal="right"/>
      <protection locked="0"/>
    </xf>
    <xf numFmtId="166" fontId="3" fillId="0" borderId="0" xfId="0" applyNumberFormat="1" applyFont="1" applyAlignment="1" applyProtection="1">
      <alignment horizontal="right"/>
      <protection locked="0"/>
    </xf>
    <xf numFmtId="0" fontId="0" fillId="0" borderId="0" xfId="0" quotePrefix="1" applyAlignment="1" applyProtection="1">
      <alignment horizontal="left"/>
    </xf>
    <xf numFmtId="0" fontId="4" fillId="0" borderId="0" xfId="3"/>
    <xf numFmtId="0" fontId="4" fillId="0" borderId="0" xfId="4"/>
    <xf numFmtId="0" fontId="4" fillId="0" borderId="0" xfId="5"/>
    <xf numFmtId="0" fontId="4" fillId="0" borderId="0" xfId="6"/>
    <xf numFmtId="0" fontId="4" fillId="0" borderId="0" xfId="7"/>
    <xf numFmtId="0" fontId="3" fillId="0" borderId="0" xfId="0" applyFont="1" applyAlignment="1" applyProtection="1">
      <protection locked="0"/>
    </xf>
    <xf numFmtId="0" fontId="4" fillId="0" borderId="0" xfId="13" applyBorder="1"/>
    <xf numFmtId="0" fontId="4" fillId="0" borderId="0" xfId="13"/>
    <xf numFmtId="0" fontId="4" fillId="0" borderId="0" xfId="13" applyBorder="1" applyAlignment="1">
      <alignment wrapText="1"/>
    </xf>
    <xf numFmtId="0" fontId="4" fillId="0" borderId="0" xfId="13" applyAlignment="1" applyProtection="1">
      <alignment horizontal="left"/>
      <protection locked="0"/>
    </xf>
    <xf numFmtId="0" fontId="4" fillId="0" borderId="0" xfId="13" applyAlignment="1">
      <alignment horizontal="left"/>
    </xf>
    <xf numFmtId="0" fontId="4" fillId="0" borderId="0" xfId="13" applyBorder="1" applyAlignment="1" applyProtection="1">
      <alignment horizontal="left" wrapText="1"/>
    </xf>
    <xf numFmtId="0" fontId="4" fillId="2" borderId="0" xfId="13" applyFill="1" applyAlignment="1">
      <alignment horizontal="left"/>
    </xf>
    <xf numFmtId="0" fontId="4" fillId="0" borderId="0" xfId="13" applyBorder="1" applyAlignment="1" applyProtection="1">
      <alignment wrapText="1"/>
    </xf>
    <xf numFmtId="0" fontId="6" fillId="0" borderId="1" xfId="13" applyFont="1" applyBorder="1" applyAlignment="1" applyProtection="1">
      <alignment horizontal="left" wrapText="1"/>
    </xf>
    <xf numFmtId="0" fontId="4" fillId="0" borderId="1" xfId="13" applyBorder="1" applyAlignment="1">
      <alignment horizontal="left"/>
    </xf>
    <xf numFmtId="0" fontId="4" fillId="0" borderId="1" xfId="13" applyBorder="1"/>
    <xf numFmtId="0" fontId="4" fillId="0" borderId="0" xfId="13" applyBorder="1" applyAlignment="1">
      <alignment horizontal="center"/>
    </xf>
    <xf numFmtId="0" fontId="4" fillId="0" borderId="0" xfId="13" applyAlignment="1">
      <alignment horizontal="right"/>
    </xf>
    <xf numFmtId="0" fontId="4" fillId="0" borderId="0" xfId="13" applyBorder="1" applyAlignment="1">
      <alignment horizontal="right"/>
    </xf>
    <xf numFmtId="0" fontId="4" fillId="0" borderId="0" xfId="13" applyBorder="1" applyAlignment="1" applyProtection="1">
      <alignment horizontal="right"/>
    </xf>
    <xf numFmtId="0" fontId="4" fillId="0" borderId="0" xfId="13" applyBorder="1" applyAlignment="1" applyProtection="1">
      <alignment horizontal="left"/>
    </xf>
    <xf numFmtId="0" fontId="4" fillId="0" borderId="0" xfId="13" applyBorder="1" applyAlignment="1">
      <alignment horizontal="right" wrapText="1"/>
    </xf>
    <xf numFmtId="0" fontId="4" fillId="2" borderId="0" xfId="13" applyFill="1" applyAlignment="1">
      <alignment horizontal="right"/>
    </xf>
    <xf numFmtId="0" fontId="6" fillId="0" borderId="1" xfId="13" applyFont="1" applyBorder="1" applyAlignment="1">
      <alignment wrapText="1"/>
    </xf>
    <xf numFmtId="174" fontId="4" fillId="0" borderId="0" xfId="13" applyNumberFormat="1" applyBorder="1" applyProtection="1"/>
    <xf numFmtId="2" fontId="4" fillId="0" borderId="0" xfId="13" applyNumberFormat="1" applyBorder="1" applyProtection="1"/>
    <xf numFmtId="0" fontId="7" fillId="0" borderId="0" xfId="13" applyFont="1" applyBorder="1" applyProtection="1">
      <protection locked="0"/>
    </xf>
    <xf numFmtId="0" fontId="4" fillId="0" borderId="2" xfId="13" applyBorder="1"/>
    <xf numFmtId="0" fontId="8" fillId="0" borderId="2" xfId="13" applyFont="1" applyBorder="1" applyAlignment="1" applyProtection="1">
      <alignment horizontal="left"/>
    </xf>
    <xf numFmtId="0" fontId="4" fillId="0" borderId="2" xfId="13" applyBorder="1" applyAlignment="1" applyProtection="1">
      <alignment horizontal="left"/>
    </xf>
    <xf numFmtId="0" fontId="4" fillId="0" borderId="2" xfId="13" applyBorder="1" applyAlignment="1" applyProtection="1">
      <alignment horizontal="centerContinuous"/>
    </xf>
    <xf numFmtId="0" fontId="4" fillId="0" borderId="2" xfId="13" applyBorder="1" applyAlignment="1">
      <alignment horizontal="centerContinuous"/>
    </xf>
    <xf numFmtId="0" fontId="4" fillId="0" borderId="0" xfId="13" applyBorder="1" applyAlignment="1" applyProtection="1">
      <alignment horizontal="centerContinuous" wrapText="1"/>
    </xf>
    <xf numFmtId="0" fontId="4" fillId="0" borderId="3" xfId="13" applyBorder="1" applyAlignment="1">
      <alignment wrapText="1"/>
    </xf>
    <xf numFmtId="0" fontId="4" fillId="0" borderId="3" xfId="13" applyBorder="1" applyAlignment="1" applyProtection="1">
      <alignment horizontal="left" wrapText="1"/>
    </xf>
    <xf numFmtId="0" fontId="4" fillId="0" borderId="3" xfId="13" applyBorder="1" applyAlignment="1" applyProtection="1">
      <alignment wrapText="1"/>
    </xf>
    <xf numFmtId="1" fontId="4" fillId="0" borderId="0" xfId="13" applyNumberFormat="1" applyBorder="1" applyProtection="1"/>
    <xf numFmtId="0" fontId="4" fillId="0" borderId="0" xfId="13" applyFont="1"/>
    <xf numFmtId="0" fontId="4" fillId="0" borderId="0" xfId="13" quotePrefix="1" applyFont="1" applyAlignment="1">
      <alignment horizontal="left"/>
    </xf>
    <xf numFmtId="167" fontId="3" fillId="0" borderId="0" xfId="0" applyNumberFormat="1" applyFont="1" applyProtection="1">
      <protection locked="0"/>
    </xf>
    <xf numFmtId="0" fontId="12" fillId="0" borderId="0" xfId="0" applyFont="1" applyProtection="1"/>
    <xf numFmtId="165" fontId="12" fillId="0" borderId="0" xfId="0" applyNumberFormat="1" applyFont="1" applyProtection="1"/>
    <xf numFmtId="0" fontId="12" fillId="0" borderId="0" xfId="0" applyFont="1" applyAlignment="1" applyProtection="1">
      <alignment horizontal="left"/>
    </xf>
    <xf numFmtId="0" fontId="12" fillId="0" borderId="0" xfId="0" applyFont="1" applyAlignment="1" applyProtection="1">
      <alignment horizontal="right"/>
    </xf>
    <xf numFmtId="9" fontId="12" fillId="0" borderId="0" xfId="0" applyNumberFormat="1" applyFont="1" applyProtection="1"/>
    <xf numFmtId="166" fontId="12" fillId="0" borderId="0" xfId="0" applyNumberFormat="1" applyFont="1" applyProtection="1"/>
    <xf numFmtId="0" fontId="14" fillId="3" borderId="4" xfId="0" applyFont="1" applyFill="1" applyBorder="1" applyAlignment="1" applyProtection="1">
      <alignment horizontal="left"/>
    </xf>
    <xf numFmtId="0" fontId="11" fillId="4" borderId="4" xfId="0" applyFont="1" applyFill="1" applyBorder="1" applyAlignment="1" applyProtection="1">
      <alignment horizontal="left"/>
    </xf>
    <xf numFmtId="0" fontId="11" fillId="4" borderId="4" xfId="0" applyFont="1" applyFill="1" applyBorder="1" applyAlignment="1" applyProtection="1">
      <alignment horizontal="right"/>
    </xf>
    <xf numFmtId="0" fontId="14" fillId="3" borderId="0" xfId="0" quotePrefix="1" applyFont="1" applyFill="1" applyBorder="1" applyAlignment="1" applyProtection="1">
      <alignment horizontal="left"/>
    </xf>
    <xf numFmtId="0" fontId="11" fillId="0" borderId="4" xfId="0" quotePrefix="1" applyFont="1" applyBorder="1" applyAlignment="1" applyProtection="1">
      <alignment horizontal="right"/>
    </xf>
    <xf numFmtId="0" fontId="14" fillId="5" borderId="0" xfId="0" applyFont="1" applyFill="1" applyBorder="1" applyAlignment="1" applyProtection="1">
      <alignment horizontal="center"/>
    </xf>
    <xf numFmtId="170" fontId="16" fillId="5" borderId="0" xfId="0" applyNumberFormat="1" applyFont="1" applyFill="1" applyBorder="1" applyAlignment="1" applyProtection="1">
      <protection locked="0"/>
    </xf>
    <xf numFmtId="166" fontId="16" fillId="5" borderId="0" xfId="0" applyNumberFormat="1" applyFont="1" applyFill="1" applyBorder="1" applyAlignment="1" applyProtection="1">
      <protection locked="0"/>
    </xf>
    <xf numFmtId="0" fontId="11" fillId="5" borderId="0" xfId="0" applyFont="1" applyFill="1" applyBorder="1"/>
    <xf numFmtId="0" fontId="17" fillId="0" borderId="5" xfId="0" quotePrefix="1" applyFont="1" applyBorder="1" applyAlignment="1" applyProtection="1">
      <alignment horizontal="left"/>
    </xf>
    <xf numFmtId="0" fontId="11" fillId="0" borderId="6" xfId="0" applyFont="1" applyBorder="1"/>
    <xf numFmtId="0" fontId="11" fillId="0" borderId="6" xfId="0" applyFont="1" applyBorder="1" applyProtection="1"/>
    <xf numFmtId="0" fontId="11" fillId="0" borderId="0" xfId="0" applyFont="1" applyBorder="1"/>
    <xf numFmtId="0" fontId="14" fillId="6" borderId="0" xfId="0" applyFont="1" applyFill="1" applyBorder="1" applyAlignment="1" applyProtection="1">
      <alignment horizontal="center"/>
    </xf>
    <xf numFmtId="167" fontId="16" fillId="0" borderId="0" xfId="0" applyNumberFormat="1" applyFont="1" applyBorder="1" applyAlignment="1" applyProtection="1">
      <alignment horizontal="right"/>
      <protection locked="0"/>
    </xf>
    <xf numFmtId="1" fontId="16" fillId="0" borderId="0" xfId="0" applyNumberFormat="1" applyFont="1" applyBorder="1" applyAlignment="1" applyProtection="1">
      <alignment horizontal="left"/>
      <protection locked="0"/>
    </xf>
    <xf numFmtId="166" fontId="16" fillId="0" borderId="7" xfId="0" applyNumberFormat="1" applyFont="1" applyBorder="1" applyAlignment="1" applyProtection="1">
      <protection locked="0"/>
    </xf>
    <xf numFmtId="166" fontId="11" fillId="6" borderId="0" xfId="0" applyNumberFormat="1" applyFont="1" applyFill="1" applyBorder="1" applyProtection="1"/>
    <xf numFmtId="0" fontId="11" fillId="0" borderId="0" xfId="0" applyFont="1" applyBorder="1" applyAlignment="1" applyProtection="1">
      <alignment horizontal="left"/>
    </xf>
    <xf numFmtId="166" fontId="16" fillId="0" borderId="0" xfId="0" applyNumberFormat="1" applyFont="1" applyBorder="1" applyAlignment="1" applyProtection="1">
      <protection locked="0"/>
    </xf>
    <xf numFmtId="0" fontId="11" fillId="0" borderId="7" xfId="0" applyFont="1" applyBorder="1" applyAlignment="1" applyProtection="1">
      <alignment horizontal="left"/>
    </xf>
    <xf numFmtId="0" fontId="11" fillId="4" borderId="0" xfId="0" applyFont="1" applyFill="1" applyBorder="1" applyProtection="1"/>
    <xf numFmtId="0" fontId="11" fillId="4" borderId="0" xfId="0" applyFont="1" applyFill="1" applyBorder="1"/>
    <xf numFmtId="0" fontId="11" fillId="4" borderId="0" xfId="0" applyFont="1" applyFill="1" applyBorder="1" applyAlignment="1" applyProtection="1">
      <alignment horizontal="left"/>
    </xf>
    <xf numFmtId="0" fontId="11" fillId="6" borderId="0" xfId="0" applyFont="1" applyFill="1" applyBorder="1" applyProtection="1"/>
    <xf numFmtId="0" fontId="11" fillId="6" borderId="0" xfId="0" applyFont="1" applyFill="1" applyBorder="1"/>
    <xf numFmtId="0" fontId="16" fillId="0" borderId="0" xfId="0" applyFont="1" applyBorder="1" applyAlignment="1" applyProtection="1">
      <protection locked="0"/>
    </xf>
    <xf numFmtId="170" fontId="16" fillId="0" borderId="0" xfId="0" applyNumberFormat="1" applyFont="1" applyBorder="1" applyAlignment="1" applyProtection="1">
      <protection locked="0"/>
    </xf>
    <xf numFmtId="0" fontId="11" fillId="0" borderId="7" xfId="0" applyFont="1" applyBorder="1"/>
    <xf numFmtId="0" fontId="11" fillId="0" borderId="0" xfId="0" quotePrefix="1" applyFont="1" applyBorder="1" applyAlignment="1" applyProtection="1">
      <alignment horizontal="left"/>
    </xf>
    <xf numFmtId="0" fontId="11" fillId="6" borderId="0" xfId="0" applyFont="1" applyFill="1" applyBorder="1" applyAlignment="1" applyProtection="1">
      <alignment horizontal="right"/>
    </xf>
    <xf numFmtId="0" fontId="14" fillId="2" borderId="0" xfId="0" applyFont="1" applyFill="1" applyBorder="1" applyAlignment="1" applyProtection="1">
      <alignment horizontal="left"/>
    </xf>
    <xf numFmtId="170" fontId="14" fillId="2" borderId="0" xfId="0" applyNumberFormat="1" applyFont="1" applyFill="1" applyBorder="1" applyProtection="1"/>
    <xf numFmtId="0" fontId="14" fillId="2" borderId="7" xfId="0" applyFont="1" applyFill="1" applyBorder="1" applyAlignment="1" applyProtection="1">
      <alignment horizontal="left"/>
    </xf>
    <xf numFmtId="166" fontId="14" fillId="2" borderId="0" xfId="0" applyNumberFormat="1" applyFont="1" applyFill="1" applyBorder="1" applyProtection="1"/>
    <xf numFmtId="0" fontId="14" fillId="2" borderId="0" xfId="0" applyFont="1" applyFill="1" applyBorder="1" applyProtection="1"/>
    <xf numFmtId="168" fontId="11" fillId="0" borderId="0" xfId="0" applyNumberFormat="1" applyFont="1" applyBorder="1" applyProtection="1"/>
    <xf numFmtId="168" fontId="14" fillId="2" borderId="0" xfId="0" applyNumberFormat="1" applyFont="1" applyFill="1" applyBorder="1" applyProtection="1"/>
    <xf numFmtId="172" fontId="11" fillId="2" borderId="0" xfId="0" applyNumberFormat="1" applyFont="1" applyFill="1" applyBorder="1" applyProtection="1"/>
    <xf numFmtId="9" fontId="11" fillId="2" borderId="0" xfId="0" applyNumberFormat="1" applyFont="1" applyFill="1" applyBorder="1" applyProtection="1"/>
    <xf numFmtId="170" fontId="11" fillId="2" borderId="0" xfId="0" applyNumberFormat="1" applyFont="1" applyFill="1" applyBorder="1" applyProtection="1"/>
    <xf numFmtId="168" fontId="11" fillId="2" borderId="0" xfId="0" applyNumberFormat="1" applyFont="1" applyFill="1" applyBorder="1" applyProtection="1"/>
    <xf numFmtId="166" fontId="11" fillId="2" borderId="0" xfId="0" applyNumberFormat="1" applyFont="1" applyFill="1" applyBorder="1" applyProtection="1"/>
    <xf numFmtId="169" fontId="11" fillId="2" borderId="0" xfId="0" applyNumberFormat="1" applyFont="1" applyFill="1" applyBorder="1" applyProtection="1"/>
    <xf numFmtId="0" fontId="11" fillId="0" borderId="0" xfId="11" applyFont="1"/>
    <xf numFmtId="0" fontId="11" fillId="0" borderId="0" xfId="11" applyFont="1" applyAlignment="1" applyProtection="1">
      <alignment horizontal="left"/>
    </xf>
    <xf numFmtId="0" fontId="11" fillId="0" borderId="0" xfId="11" applyFont="1" applyProtection="1">
      <protection locked="0"/>
    </xf>
    <xf numFmtId="0" fontId="18" fillId="0" borderId="0" xfId="11" applyFont="1" applyAlignment="1" applyProtection="1">
      <alignment horizontal="right"/>
      <protection locked="0"/>
    </xf>
    <xf numFmtId="0" fontId="18" fillId="0" borderId="0" xfId="11" applyFont="1" applyProtection="1">
      <protection locked="0"/>
    </xf>
    <xf numFmtId="1" fontId="18" fillId="0" borderId="0" xfId="11" applyNumberFormat="1" applyFont="1" applyAlignment="1" applyProtection="1">
      <alignment horizontal="right"/>
      <protection locked="0"/>
    </xf>
    <xf numFmtId="1" fontId="18" fillId="0" borderId="0" xfId="11" applyNumberFormat="1" applyFont="1" applyProtection="1">
      <protection locked="0"/>
    </xf>
    <xf numFmtId="2" fontId="18" fillId="0" borderId="0" xfId="11" applyNumberFormat="1" applyFont="1" applyAlignment="1" applyProtection="1">
      <alignment horizontal="right"/>
      <protection locked="0"/>
    </xf>
    <xf numFmtId="0" fontId="11" fillId="0" borderId="0" xfId="11" quotePrefix="1" applyFont="1" applyAlignment="1" applyProtection="1">
      <alignment horizontal="left"/>
    </xf>
    <xf numFmtId="2" fontId="18" fillId="0" borderId="0" xfId="11" applyNumberFormat="1" applyFont="1" applyProtection="1">
      <protection locked="0"/>
    </xf>
    <xf numFmtId="174" fontId="11" fillId="0" borderId="0" xfId="11" applyNumberFormat="1" applyFont="1"/>
    <xf numFmtId="174" fontId="18" fillId="0" borderId="0" xfId="11" applyNumberFormat="1" applyFont="1" applyProtection="1">
      <protection locked="0"/>
    </xf>
    <xf numFmtId="176" fontId="18" fillId="0" borderId="0" xfId="11" applyNumberFormat="1" applyFont="1" applyProtection="1">
      <protection locked="0"/>
    </xf>
    <xf numFmtId="174" fontId="11" fillId="0" borderId="0" xfId="11" applyNumberFormat="1" applyFont="1" applyAlignment="1" applyProtection="1">
      <alignment horizontal="left"/>
    </xf>
    <xf numFmtId="0" fontId="18" fillId="0" borderId="0" xfId="11" applyFont="1" applyAlignment="1" applyProtection="1">
      <alignment horizontal="fill"/>
      <protection locked="0"/>
    </xf>
    <xf numFmtId="0" fontId="11" fillId="2" borderId="0" xfId="0" applyFont="1" applyFill="1" applyBorder="1" applyProtection="1"/>
    <xf numFmtId="170" fontId="21" fillId="2" borderId="0" xfId="0" applyNumberFormat="1" applyFont="1" applyFill="1" applyBorder="1" applyAlignment="1" applyProtection="1"/>
    <xf numFmtId="0" fontId="20" fillId="0" borderId="6" xfId="0" applyFont="1" applyBorder="1" applyAlignment="1" applyProtection="1">
      <alignment horizontal="left"/>
    </xf>
    <xf numFmtId="0" fontId="22" fillId="0" borderId="0" xfId="0" applyFont="1" applyBorder="1" applyAlignment="1" applyProtection="1">
      <protection locked="0"/>
    </xf>
    <xf numFmtId="0" fontId="11" fillId="0" borderId="0" xfId="0" applyFont="1" applyAlignment="1">
      <alignment horizontal="right"/>
    </xf>
    <xf numFmtId="0" fontId="11" fillId="0" borderId="7" xfId="0" quotePrefix="1" applyFont="1" applyBorder="1" applyAlignment="1" applyProtection="1">
      <alignment horizontal="left"/>
    </xf>
    <xf numFmtId="0" fontId="11" fillId="0" borderId="0" xfId="0" applyFont="1" applyFill="1" applyBorder="1"/>
    <xf numFmtId="0" fontId="10" fillId="0" borderId="0" xfId="0" quotePrefix="1" applyFont="1" applyBorder="1" applyAlignment="1" applyProtection="1">
      <alignment horizontal="left"/>
    </xf>
    <xf numFmtId="0" fontId="11" fillId="0" borderId="0" xfId="0" applyFont="1" applyFill="1" applyBorder="1" applyAlignment="1" applyProtection="1">
      <alignment horizontal="center"/>
    </xf>
    <xf numFmtId="1" fontId="4" fillId="0" borderId="0" xfId="12" applyNumberFormat="1" applyBorder="1"/>
    <xf numFmtId="0" fontId="4" fillId="0" borderId="4" xfId="12" applyBorder="1"/>
    <xf numFmtId="0" fontId="4" fillId="0" borderId="0" xfId="12" applyBorder="1"/>
    <xf numFmtId="0" fontId="4" fillId="0" borderId="0" xfId="12" applyBorder="1" applyAlignment="1" applyProtection="1">
      <alignment horizontal="left"/>
    </xf>
    <xf numFmtId="1" fontId="4" fillId="0" borderId="0" xfId="12" applyNumberFormat="1" applyBorder="1" applyProtection="1"/>
    <xf numFmtId="0" fontId="4" fillId="0" borderId="0" xfId="12" applyBorder="1" applyProtection="1"/>
    <xf numFmtId="0" fontId="4" fillId="0" borderId="0" xfId="12"/>
    <xf numFmtId="0" fontId="4" fillId="0" borderId="7" xfId="12" applyBorder="1" applyProtection="1"/>
    <xf numFmtId="0" fontId="25" fillId="0" borderId="0" xfId="12" applyFont="1" applyBorder="1"/>
    <xf numFmtId="0" fontId="6" fillId="0" borderId="8" xfId="12" applyFont="1" applyBorder="1" applyAlignment="1" applyProtection="1">
      <alignment horizontal="centerContinuous" wrapText="1"/>
    </xf>
    <xf numFmtId="0" fontId="4" fillId="0" borderId="9" xfId="12" applyBorder="1" applyAlignment="1" applyProtection="1">
      <alignment horizontal="centerContinuous" wrapText="1"/>
    </xf>
    <xf numFmtId="0" fontId="4" fillId="0" borderId="10" xfId="12" applyBorder="1" applyAlignment="1" applyProtection="1">
      <alignment horizontal="centerContinuous" wrapText="1"/>
    </xf>
    <xf numFmtId="0" fontId="4" fillId="0" borderId="11" xfId="12" applyBorder="1"/>
    <xf numFmtId="0" fontId="4" fillId="0" borderId="9" xfId="12" applyBorder="1" applyAlignment="1" applyProtection="1">
      <alignment horizontal="centerContinuous"/>
    </xf>
    <xf numFmtId="0" fontId="4" fillId="0" borderId="10" xfId="12" applyBorder="1" applyAlignment="1">
      <alignment horizontal="centerContinuous"/>
    </xf>
    <xf numFmtId="0" fontId="4" fillId="0" borderId="12" xfId="12" applyBorder="1"/>
    <xf numFmtId="0" fontId="4" fillId="0" borderId="0" xfId="12" applyBorder="1" applyAlignment="1" applyProtection="1">
      <alignment wrapText="1"/>
    </xf>
    <xf numFmtId="0" fontId="4" fillId="0" borderId="13" xfId="12" applyBorder="1" applyProtection="1"/>
    <xf numFmtId="0" fontId="4" fillId="0" borderId="14" xfId="12" applyBorder="1" applyAlignment="1">
      <alignment horizontal="center"/>
    </xf>
    <xf numFmtId="0" fontId="4" fillId="0" borderId="15" xfId="12" applyBorder="1" applyAlignment="1">
      <alignment horizontal="center"/>
    </xf>
    <xf numFmtId="0" fontId="4" fillId="0" borderId="12" xfId="12" applyBorder="1" applyAlignment="1">
      <alignment wrapText="1"/>
    </xf>
    <xf numFmtId="2" fontId="4" fillId="0" borderId="4" xfId="12" applyNumberFormat="1" applyBorder="1" applyAlignment="1" applyProtection="1"/>
    <xf numFmtId="0" fontId="4" fillId="0" borderId="0" xfId="12" applyBorder="1" applyAlignment="1"/>
    <xf numFmtId="0" fontId="4" fillId="0" borderId="13" xfId="12" applyBorder="1"/>
    <xf numFmtId="0" fontId="4" fillId="0" borderId="13" xfId="12" applyBorder="1" applyAlignment="1" applyProtection="1"/>
    <xf numFmtId="0" fontId="4" fillId="0" borderId="16" xfId="12" applyBorder="1"/>
    <xf numFmtId="0" fontId="4" fillId="0" borderId="3" xfId="12" applyBorder="1" applyProtection="1"/>
    <xf numFmtId="0" fontId="4" fillId="0" borderId="17" xfId="12" applyBorder="1" applyProtection="1"/>
    <xf numFmtId="2" fontId="4" fillId="0" borderId="4" xfId="12" applyNumberFormat="1" applyBorder="1" applyAlignment="1" applyProtection="1">
      <alignment horizontal="centerContinuous"/>
    </xf>
    <xf numFmtId="0" fontId="4" fillId="0" borderId="0" xfId="12" applyBorder="1" applyAlignment="1">
      <alignment horizontal="centerContinuous"/>
    </xf>
    <xf numFmtId="0" fontId="4" fillId="0" borderId="13" xfId="12" applyBorder="1" applyAlignment="1" applyProtection="1">
      <alignment horizontal="centerContinuous"/>
    </xf>
    <xf numFmtId="1" fontId="26" fillId="0" borderId="4" xfId="12" applyNumberFormat="1" applyFont="1" applyBorder="1"/>
    <xf numFmtId="1" fontId="4" fillId="0" borderId="0" xfId="12" applyNumberFormat="1" applyBorder="1" applyAlignment="1" applyProtection="1"/>
    <xf numFmtId="1" fontId="26" fillId="0" borderId="0" xfId="12" applyNumberFormat="1" applyFont="1" applyBorder="1"/>
    <xf numFmtId="1" fontId="4" fillId="0" borderId="13" xfId="12" applyNumberFormat="1" applyBorder="1" applyAlignment="1" applyProtection="1"/>
    <xf numFmtId="1" fontId="26" fillId="0" borderId="0" xfId="12" applyNumberFormat="1" applyFont="1" applyBorder="1" applyAlignment="1"/>
    <xf numFmtId="1" fontId="26" fillId="0" borderId="13" xfId="12" applyNumberFormat="1" applyFont="1" applyBorder="1" applyAlignment="1"/>
    <xf numFmtId="2" fontId="4" fillId="0" borderId="4" xfId="12" applyNumberFormat="1" applyBorder="1" applyAlignment="1" applyProtection="1">
      <alignment horizontal="right"/>
    </xf>
    <xf numFmtId="1" fontId="4" fillId="0" borderId="0" xfId="12" applyNumberFormat="1" applyBorder="1" applyAlignment="1">
      <alignment horizontal="right"/>
    </xf>
    <xf numFmtId="1" fontId="4" fillId="0" borderId="13" xfId="12" applyNumberFormat="1" applyBorder="1" applyAlignment="1"/>
    <xf numFmtId="0" fontId="4" fillId="0" borderId="4" xfId="12" applyNumberFormat="1" applyBorder="1" applyAlignment="1" applyProtection="1"/>
    <xf numFmtId="1" fontId="4" fillId="0" borderId="0" xfId="12" applyNumberFormat="1" applyBorder="1" applyAlignment="1"/>
    <xf numFmtId="1" fontId="4" fillId="0" borderId="13" xfId="12" applyNumberFormat="1" applyBorder="1" applyProtection="1"/>
    <xf numFmtId="1" fontId="4" fillId="0" borderId="13" xfId="12" applyNumberFormat="1" applyBorder="1" applyAlignment="1" applyProtection="1">
      <alignment horizontal="right"/>
    </xf>
    <xf numFmtId="0" fontId="4" fillId="0" borderId="12" xfId="12" applyBorder="1" applyAlignment="1" applyProtection="1">
      <alignment horizontal="left"/>
    </xf>
    <xf numFmtId="174" fontId="26" fillId="0" borderId="4" xfId="12" applyNumberFormat="1" applyFont="1" applyBorder="1"/>
    <xf numFmtId="0" fontId="26" fillId="0" borderId="0" xfId="12" applyFont="1" applyBorder="1" applyProtection="1"/>
    <xf numFmtId="0" fontId="4" fillId="0" borderId="12" xfId="12" quotePrefix="1" applyBorder="1" applyAlignment="1">
      <alignment horizontal="left" wrapText="1"/>
    </xf>
    <xf numFmtId="0" fontId="4" fillId="0" borderId="7" xfId="12" applyBorder="1"/>
    <xf numFmtId="0" fontId="4" fillId="0" borderId="0" xfId="12" applyNumberFormat="1" applyBorder="1" applyAlignment="1" applyProtection="1"/>
    <xf numFmtId="0" fontId="4" fillId="0" borderId="0" xfId="12" applyNumberFormat="1" applyBorder="1" applyAlignment="1"/>
    <xf numFmtId="0" fontId="4" fillId="0" borderId="3" xfId="12" applyNumberFormat="1" applyBorder="1" applyAlignment="1"/>
    <xf numFmtId="0" fontId="4" fillId="0" borderId="18" xfId="12" applyNumberFormat="1" applyBorder="1" applyAlignment="1" applyProtection="1"/>
    <xf numFmtId="2" fontId="4" fillId="0" borderId="0" xfId="12" applyNumberFormat="1" applyBorder="1" applyAlignment="1" applyProtection="1">
      <alignment horizontal="right"/>
    </xf>
    <xf numFmtId="2" fontId="4" fillId="0" borderId="0" xfId="12" applyNumberFormat="1"/>
    <xf numFmtId="1" fontId="4" fillId="0" borderId="0" xfId="12" applyNumberFormat="1"/>
    <xf numFmtId="2" fontId="27" fillId="0" borderId="0" xfId="12" applyNumberFormat="1" applyFont="1"/>
    <xf numFmtId="0" fontId="4" fillId="0" borderId="0" xfId="12" applyBorder="1" applyAlignment="1">
      <alignment wrapText="1"/>
    </xf>
    <xf numFmtId="1" fontId="4" fillId="0" borderId="0" xfId="12" applyNumberFormat="1" applyBorder="1" applyAlignment="1" applyProtection="1">
      <alignment horizontal="right"/>
    </xf>
    <xf numFmtId="174" fontId="4" fillId="0" borderId="0" xfId="12" applyNumberFormat="1" applyFont="1" applyBorder="1" applyAlignment="1" applyProtection="1">
      <alignment horizontal="right"/>
    </xf>
    <xf numFmtId="174" fontId="28" fillId="0" borderId="0" xfId="12" applyNumberFormat="1" applyFont="1" applyBorder="1" applyAlignment="1" applyProtection="1">
      <alignment horizontal="right"/>
    </xf>
    <xf numFmtId="174" fontId="4" fillId="0" borderId="0" xfId="12" applyNumberFormat="1" applyFont="1"/>
    <xf numFmtId="0" fontId="4" fillId="0" borderId="5" xfId="12" applyBorder="1"/>
    <xf numFmtId="0" fontId="4" fillId="0" borderId="19" xfId="12" applyBorder="1"/>
    <xf numFmtId="0" fontId="4" fillId="0" borderId="6" xfId="12" applyBorder="1" applyProtection="1"/>
    <xf numFmtId="0" fontId="4" fillId="0" borderId="0" xfId="12" applyBorder="1" applyAlignment="1" applyProtection="1">
      <alignment horizontal="right"/>
      <protection locked="0"/>
    </xf>
    <xf numFmtId="0" fontId="4" fillId="0" borderId="4" xfId="12" applyBorder="1" applyProtection="1">
      <protection locked="0"/>
    </xf>
    <xf numFmtId="0" fontId="4" fillId="0" borderId="20" xfId="12" applyBorder="1" applyAlignment="1" applyProtection="1">
      <alignment horizontal="left"/>
    </xf>
    <xf numFmtId="0" fontId="4" fillId="0" borderId="1" xfId="12" applyBorder="1" applyAlignment="1" applyProtection="1">
      <protection locked="0"/>
    </xf>
    <xf numFmtId="0" fontId="4" fillId="0" borderId="1" xfId="12" applyBorder="1" applyAlignment="1"/>
    <xf numFmtId="0" fontId="4" fillId="0" borderId="1" xfId="12" applyBorder="1"/>
    <xf numFmtId="0" fontId="4" fillId="0" borderId="20" xfId="12" applyBorder="1" applyProtection="1">
      <protection locked="0"/>
    </xf>
    <xf numFmtId="0" fontId="4" fillId="0" borderId="21" xfId="12" applyBorder="1" applyProtection="1"/>
    <xf numFmtId="0" fontId="4" fillId="0" borderId="2" xfId="12" applyBorder="1" applyAlignment="1">
      <alignment wrapText="1"/>
    </xf>
    <xf numFmtId="0" fontId="4" fillId="0" borderId="2" xfId="12" applyBorder="1" applyAlignment="1" applyProtection="1">
      <alignment horizontal="left" wrapText="1"/>
    </xf>
    <xf numFmtId="0" fontId="4" fillId="0" borderId="2" xfId="12" applyBorder="1"/>
    <xf numFmtId="1" fontId="4" fillId="0" borderId="2" xfId="12" applyNumberFormat="1" applyBorder="1" applyAlignment="1" applyProtection="1">
      <alignment wrapText="1"/>
    </xf>
    <xf numFmtId="0" fontId="4" fillId="0" borderId="2" xfId="12" applyBorder="1" applyAlignment="1" applyProtection="1">
      <alignment wrapText="1"/>
    </xf>
    <xf numFmtId="1" fontId="4" fillId="0" borderId="2" xfId="12" applyNumberFormat="1" applyBorder="1" applyAlignment="1" applyProtection="1">
      <alignment horizontal="right" wrapText="1"/>
    </xf>
    <xf numFmtId="0" fontId="4" fillId="0" borderId="1" xfId="12" applyBorder="1" applyAlignment="1">
      <alignment horizontal="right"/>
    </xf>
    <xf numFmtId="0" fontId="4" fillId="0" borderId="1" xfId="12" applyBorder="1" applyAlignment="1" applyProtection="1">
      <alignment horizontal="right"/>
    </xf>
    <xf numFmtId="0" fontId="4" fillId="0" borderId="0" xfId="12" applyBorder="1" applyAlignment="1">
      <alignment horizontal="right"/>
    </xf>
    <xf numFmtId="0" fontId="4" fillId="0" borderId="0" xfId="12" applyBorder="1" applyAlignment="1" applyProtection="1">
      <alignment horizontal="right"/>
    </xf>
    <xf numFmtId="0" fontId="4" fillId="0" borderId="0" xfId="12" applyBorder="1" applyAlignment="1" applyProtection="1">
      <alignment horizontal="center"/>
    </xf>
    <xf numFmtId="2" fontId="4" fillId="0" borderId="0" xfId="12" applyNumberFormat="1" applyBorder="1" applyProtection="1"/>
    <xf numFmtId="176" fontId="4" fillId="0" borderId="0" xfId="12" applyNumberFormat="1" applyBorder="1" applyProtection="1"/>
    <xf numFmtId="2" fontId="4" fillId="0" borderId="0" xfId="12" applyNumberFormat="1" applyFill="1" applyBorder="1" applyProtection="1"/>
    <xf numFmtId="0" fontId="4" fillId="0" borderId="0" xfId="12" applyFill="1" applyBorder="1" applyProtection="1"/>
    <xf numFmtId="0" fontId="4" fillId="0" borderId="0" xfId="12" applyFill="1" applyBorder="1" applyAlignment="1" applyProtection="1">
      <alignment horizontal="left"/>
    </xf>
    <xf numFmtId="0" fontId="4" fillId="0" borderId="0" xfId="12" applyFill="1" applyBorder="1" applyAlignment="1" applyProtection="1">
      <alignment horizontal="center"/>
    </xf>
    <xf numFmtId="176" fontId="4" fillId="0" borderId="0" xfId="12" applyNumberFormat="1" applyFill="1" applyBorder="1" applyProtection="1"/>
    <xf numFmtId="0" fontId="4" fillId="0" borderId="0" xfId="12" applyFill="1" applyBorder="1"/>
    <xf numFmtId="174" fontId="4" fillId="0" borderId="0" xfId="12" applyNumberFormat="1" applyBorder="1" applyProtection="1"/>
    <xf numFmtId="0" fontId="4" fillId="7" borderId="0" xfId="12" applyFill="1" applyBorder="1"/>
    <xf numFmtId="0" fontId="4" fillId="0" borderId="0" xfId="12" applyFont="1" applyBorder="1" applyAlignment="1" applyProtection="1">
      <alignment horizontal="right"/>
      <protection locked="0"/>
    </xf>
    <xf numFmtId="0" fontId="6" fillId="0" borderId="0" xfId="12" applyFont="1"/>
    <xf numFmtId="0" fontId="6" fillId="0" borderId="5" xfId="12" applyFont="1" applyBorder="1"/>
    <xf numFmtId="15" fontId="11" fillId="0" borderId="6" xfId="0" applyNumberFormat="1" applyFont="1" applyBorder="1" applyProtection="1"/>
    <xf numFmtId="0" fontId="21" fillId="0" borderId="19" xfId="0" applyFont="1" applyBorder="1" applyAlignment="1" applyProtection="1">
      <alignment horizontal="center"/>
    </xf>
    <xf numFmtId="168" fontId="21" fillId="2" borderId="0" xfId="0" applyNumberFormat="1" applyFont="1" applyFill="1" applyBorder="1" applyAlignment="1" applyProtection="1"/>
    <xf numFmtId="166" fontId="20" fillId="2" borderId="0" xfId="0" applyNumberFormat="1" applyFont="1" applyFill="1" applyBorder="1" applyAlignment="1" applyProtection="1"/>
    <xf numFmtId="168" fontId="16" fillId="5" borderId="0" xfId="0" applyNumberFormat="1" applyFont="1" applyFill="1" applyBorder="1" applyAlignment="1" applyProtection="1"/>
    <xf numFmtId="166" fontId="16" fillId="4" borderId="0" xfId="0" applyNumberFormat="1" applyFont="1" applyFill="1" applyBorder="1" applyAlignment="1" applyProtection="1">
      <alignment horizontal="center" vertical="center"/>
    </xf>
    <xf numFmtId="170" fontId="16" fillId="4" borderId="0" xfId="0" applyNumberFormat="1" applyFont="1" applyFill="1" applyBorder="1" applyAlignment="1" applyProtection="1"/>
    <xf numFmtId="170" fontId="16" fillId="5" borderId="0" xfId="0" applyNumberFormat="1" applyFont="1" applyFill="1" applyBorder="1" applyAlignment="1" applyProtection="1"/>
    <xf numFmtId="166" fontId="16" fillId="4" borderId="0" xfId="0" applyNumberFormat="1" applyFont="1" applyFill="1" applyBorder="1" applyAlignment="1" applyProtection="1">
      <alignment horizontal="center"/>
      <protection locked="0"/>
    </xf>
    <xf numFmtId="0" fontId="1" fillId="0" borderId="4" xfId="0" applyFont="1" applyBorder="1" applyAlignment="1" applyProtection="1">
      <alignment horizontal="left"/>
    </xf>
    <xf numFmtId="0" fontId="29" fillId="0" borderId="0" xfId="0" quotePrefix="1" applyFont="1" applyAlignment="1" applyProtection="1">
      <alignment horizontal="left"/>
      <protection hidden="1"/>
    </xf>
    <xf numFmtId="0" fontId="29" fillId="0" borderId="0" xfId="0" quotePrefix="1" applyFont="1" applyAlignment="1" applyProtection="1">
      <alignment horizontal="left"/>
    </xf>
    <xf numFmtId="0" fontId="17" fillId="0" borderId="22" xfId="0" quotePrefix="1" applyFont="1" applyBorder="1" applyAlignment="1" applyProtection="1">
      <alignment horizontal="left"/>
    </xf>
    <xf numFmtId="0" fontId="11" fillId="0" borderId="2" xfId="0" applyFont="1" applyBorder="1"/>
    <xf numFmtId="0" fontId="11" fillId="0" borderId="2" xfId="0" applyFont="1" applyBorder="1" applyProtection="1"/>
    <xf numFmtId="15" fontId="11" fillId="0" borderId="2" xfId="0" applyNumberFormat="1" applyFont="1" applyBorder="1" applyProtection="1"/>
    <xf numFmtId="0" fontId="21" fillId="0" borderId="23" xfId="0" applyFont="1" applyBorder="1" applyAlignment="1" applyProtection="1">
      <alignment horizontal="center"/>
    </xf>
    <xf numFmtId="166" fontId="16" fillId="0" borderId="24" xfId="0" applyNumberFormat="1" applyFont="1" applyBorder="1" applyAlignment="1" applyProtection="1">
      <protection locked="0"/>
    </xf>
    <xf numFmtId="0" fontId="11" fillId="0" borderId="24" xfId="0" applyFont="1" applyBorder="1" applyAlignment="1" applyProtection="1">
      <alignment horizontal="left"/>
    </xf>
    <xf numFmtId="0" fontId="11" fillId="4" borderId="25" xfId="0" applyFont="1" applyFill="1" applyBorder="1" applyAlignment="1" applyProtection="1">
      <alignment horizontal="left"/>
    </xf>
    <xf numFmtId="0" fontId="11" fillId="4" borderId="25" xfId="0" applyFont="1" applyFill="1" applyBorder="1" applyAlignment="1" applyProtection="1">
      <alignment horizontal="right"/>
    </xf>
    <xf numFmtId="0" fontId="11" fillId="0" borderId="0" xfId="0" applyFont="1" applyBorder="1" applyAlignment="1">
      <alignment horizontal="right"/>
    </xf>
    <xf numFmtId="0" fontId="11" fillId="0" borderId="24" xfId="0" quotePrefix="1" applyFont="1" applyBorder="1" applyAlignment="1" applyProtection="1">
      <alignment horizontal="left"/>
    </xf>
    <xf numFmtId="0" fontId="0" fillId="0" borderId="0" xfId="0" applyBorder="1"/>
    <xf numFmtId="0" fontId="0" fillId="0" borderId="24" xfId="0" applyBorder="1"/>
    <xf numFmtId="0" fontId="11" fillId="0" borderId="24" xfId="0" applyFont="1" applyBorder="1"/>
    <xf numFmtId="0" fontId="14" fillId="2" borderId="24" xfId="0" applyFont="1" applyFill="1" applyBorder="1" applyAlignment="1" applyProtection="1">
      <alignment horizontal="left"/>
    </xf>
    <xf numFmtId="0" fontId="11" fillId="0" borderId="25" xfId="0" quotePrefix="1" applyFont="1" applyBorder="1" applyAlignment="1" applyProtection="1">
      <alignment horizontal="right"/>
    </xf>
    <xf numFmtId="0" fontId="0" fillId="0" borderId="26" xfId="0" applyBorder="1" applyAlignment="1" applyProtection="1">
      <alignment horizontal="fill"/>
    </xf>
    <xf numFmtId="0" fontId="0" fillId="0" borderId="27" xfId="0" applyBorder="1" applyAlignment="1" applyProtection="1">
      <alignment horizontal="fill"/>
    </xf>
    <xf numFmtId="191" fontId="0" fillId="0" borderId="27" xfId="0" applyNumberFormat="1" applyBorder="1" applyAlignment="1" applyProtection="1"/>
    <xf numFmtId="0" fontId="0" fillId="0" borderId="28" xfId="0" applyBorder="1" applyAlignment="1" applyProtection="1">
      <alignment horizontal="fill"/>
    </xf>
    <xf numFmtId="0" fontId="20" fillId="0" borderId="2" xfId="0" quotePrefix="1" applyFont="1" applyBorder="1" applyAlignment="1" applyProtection="1">
      <alignment horizontal="left"/>
    </xf>
    <xf numFmtId="169" fontId="0" fillId="0" borderId="0" xfId="0" applyNumberFormat="1"/>
    <xf numFmtId="0" fontId="11" fillId="0" borderId="26" xfId="0" quotePrefix="1" applyFont="1" applyBorder="1" applyAlignment="1" applyProtection="1">
      <alignment horizontal="right"/>
    </xf>
    <xf numFmtId="168" fontId="11" fillId="0" borderId="27" xfId="0" applyNumberFormat="1" applyFont="1" applyBorder="1" applyProtection="1"/>
    <xf numFmtId="0" fontId="11" fillId="0" borderId="27" xfId="0" applyFont="1" applyBorder="1" applyAlignment="1" applyProtection="1">
      <alignment horizontal="left"/>
    </xf>
    <xf numFmtId="168" fontId="14" fillId="2" borderId="27" xfId="0" applyNumberFormat="1" applyFont="1" applyFill="1" applyBorder="1" applyProtection="1"/>
    <xf numFmtId="0" fontId="14" fillId="2" borderId="28" xfId="0" applyFont="1" applyFill="1" applyBorder="1" applyAlignment="1" applyProtection="1">
      <alignment horizontal="left"/>
    </xf>
    <xf numFmtId="0" fontId="30" fillId="0" borderId="25" xfId="0" applyFont="1" applyBorder="1" applyAlignment="1" applyProtection="1">
      <alignment horizontal="left"/>
    </xf>
    <xf numFmtId="0" fontId="11" fillId="0" borderId="0" xfId="0" applyFont="1" applyBorder="1" applyProtection="1"/>
    <xf numFmtId="0" fontId="11" fillId="0" borderId="0" xfId="0" applyFont="1" applyFill="1" applyBorder="1" applyProtection="1"/>
    <xf numFmtId="0" fontId="11" fillId="0" borderId="24" xfId="0" applyFont="1" applyBorder="1" applyProtection="1"/>
    <xf numFmtId="1" fontId="16" fillId="0" borderId="0" xfId="0" applyNumberFormat="1" applyFont="1" applyBorder="1" applyAlignment="1" applyProtection="1">
      <alignment horizontal="left"/>
    </xf>
    <xf numFmtId="166" fontId="16" fillId="0" borderId="24" xfId="0" applyNumberFormat="1" applyFont="1" applyBorder="1" applyAlignment="1" applyProtection="1"/>
    <xf numFmtId="166" fontId="16" fillId="0" borderId="0" xfId="0" applyNumberFormat="1" applyFont="1" applyBorder="1" applyAlignment="1" applyProtection="1"/>
    <xf numFmtId="0" fontId="22" fillId="0" borderId="0" xfId="0" applyFont="1" applyBorder="1" applyAlignment="1" applyProtection="1"/>
    <xf numFmtId="0" fontId="16" fillId="0" borderId="0" xfId="0" applyFont="1" applyBorder="1" applyAlignment="1" applyProtection="1"/>
    <xf numFmtId="170" fontId="16" fillId="0" borderId="0" xfId="0" applyNumberFormat="1" applyFont="1" applyBorder="1" applyAlignment="1" applyProtection="1"/>
    <xf numFmtId="0" fontId="11" fillId="0" borderId="0" xfId="0" quotePrefix="1" applyFont="1" applyBorder="1" applyAlignment="1" applyProtection="1">
      <alignment horizontal="right"/>
    </xf>
    <xf numFmtId="176" fontId="0" fillId="0" borderId="0" xfId="0" applyNumberFormat="1" applyBorder="1" applyProtection="1"/>
    <xf numFmtId="0" fontId="20" fillId="0" borderId="2" xfId="0" applyFont="1" applyBorder="1" applyAlignment="1" applyProtection="1">
      <alignment horizontal="left"/>
    </xf>
    <xf numFmtId="0" fontId="0" fillId="0" borderId="0" xfId="0" applyAlignment="1">
      <alignment wrapText="1"/>
    </xf>
    <xf numFmtId="0" fontId="17" fillId="0" borderId="0" xfId="0" quotePrefix="1" applyFont="1" applyAlignment="1">
      <alignment horizontal="left"/>
    </xf>
    <xf numFmtId="0" fontId="0" fillId="0" borderId="0" xfId="0" applyAlignment="1">
      <alignment horizontal="justify"/>
    </xf>
    <xf numFmtId="49" fontId="29" fillId="0" borderId="0" xfId="0" applyNumberFormat="1" applyFont="1" applyAlignment="1">
      <alignment horizontal="left" wrapText="1"/>
    </xf>
    <xf numFmtId="0" fontId="0" fillId="0" borderId="0" xfId="0" quotePrefix="1" applyAlignment="1">
      <alignment horizontal="justify" vertical="top"/>
    </xf>
    <xf numFmtId="0" fontId="4" fillId="0" borderId="0" xfId="13" applyFont="1" applyBorder="1" applyAlignment="1" applyProtection="1">
      <alignment horizontal="left"/>
    </xf>
    <xf numFmtId="0" fontId="4" fillId="0" borderId="0" xfId="13" quotePrefix="1" applyFont="1" applyBorder="1" applyAlignment="1" applyProtection="1">
      <alignment horizontal="left"/>
    </xf>
    <xf numFmtId="167" fontId="16" fillId="0" borderId="0" xfId="0" applyNumberFormat="1" applyFont="1" applyBorder="1" applyAlignment="1" applyProtection="1">
      <alignment horizontal="left"/>
      <protection locked="0"/>
    </xf>
    <xf numFmtId="167" fontId="16" fillId="0" borderId="0" xfId="0" applyNumberFormat="1" applyFont="1" applyBorder="1" applyAlignment="1" applyProtection="1">
      <alignment horizontal="left"/>
    </xf>
    <xf numFmtId="168" fontId="11" fillId="2" borderId="29" xfId="0" applyNumberFormat="1" applyFont="1" applyFill="1" applyBorder="1" applyProtection="1"/>
    <xf numFmtId="0" fontId="11" fillId="0" borderId="23" xfId="0" applyFont="1" applyBorder="1"/>
    <xf numFmtId="0" fontId="11" fillId="4" borderId="24" xfId="0" applyFont="1" applyFill="1" applyBorder="1"/>
    <xf numFmtId="168" fontId="11" fillId="2" borderId="25" xfId="0" applyNumberFormat="1" applyFont="1" applyFill="1" applyBorder="1" applyProtection="1"/>
    <xf numFmtId="170" fontId="16" fillId="4" borderId="24" xfId="0" applyNumberFormat="1" applyFont="1" applyFill="1" applyBorder="1" applyAlignment="1" applyProtection="1"/>
    <xf numFmtId="0" fontId="11" fillId="4" borderId="24" xfId="0" applyFont="1" applyFill="1" applyBorder="1" applyProtection="1"/>
    <xf numFmtId="0" fontId="11" fillId="4" borderId="24" xfId="0" applyFont="1" applyFill="1" applyBorder="1" applyAlignment="1" applyProtection="1">
      <alignment horizontal="left"/>
    </xf>
    <xf numFmtId="170" fontId="11" fillId="2" borderId="25" xfId="0" applyNumberFormat="1" applyFont="1" applyFill="1" applyBorder="1" applyProtection="1"/>
    <xf numFmtId="168" fontId="11" fillId="2" borderId="26" xfId="0" applyNumberFormat="1" applyFont="1" applyFill="1" applyBorder="1" applyProtection="1"/>
    <xf numFmtId="168" fontId="11" fillId="0" borderId="28" xfId="0" applyNumberFormat="1" applyFont="1" applyBorder="1" applyProtection="1"/>
    <xf numFmtId="170" fontId="21" fillId="2" borderId="30" xfId="0" applyNumberFormat="1" applyFont="1" applyFill="1" applyBorder="1" applyAlignment="1" applyProtection="1"/>
    <xf numFmtId="168" fontId="21" fillId="2" borderId="30" xfId="0" applyNumberFormat="1" applyFont="1" applyFill="1" applyBorder="1" applyAlignment="1" applyProtection="1"/>
    <xf numFmtId="0" fontId="14" fillId="3" borderId="22" xfId="0" applyFont="1" applyFill="1" applyBorder="1" applyAlignment="1" applyProtection="1">
      <alignment horizontal="left"/>
    </xf>
    <xf numFmtId="0" fontId="11" fillId="0" borderId="2" xfId="0" applyFont="1" applyFill="1" applyBorder="1" applyAlignment="1" applyProtection="1">
      <alignment horizontal="center"/>
    </xf>
    <xf numFmtId="0" fontId="11" fillId="0" borderId="23" xfId="0" applyFont="1" applyFill="1" applyBorder="1" applyAlignment="1" applyProtection="1">
      <alignment horizontal="center"/>
    </xf>
    <xf numFmtId="0" fontId="11" fillId="4" borderId="26" xfId="0" applyFont="1" applyFill="1" applyBorder="1" applyAlignment="1" applyProtection="1">
      <alignment horizontal="left"/>
    </xf>
    <xf numFmtId="0" fontId="11" fillId="4" borderId="27" xfId="0" applyFont="1" applyFill="1" applyBorder="1"/>
    <xf numFmtId="0" fontId="11" fillId="4" borderId="28" xfId="0" applyFont="1" applyFill="1" applyBorder="1"/>
    <xf numFmtId="0" fontId="11" fillId="4" borderId="27" xfId="0" applyFont="1" applyFill="1" applyBorder="1" applyProtection="1"/>
    <xf numFmtId="0" fontId="14" fillId="3" borderId="22" xfId="0" quotePrefix="1" applyFont="1" applyFill="1" applyBorder="1" applyAlignment="1" applyProtection="1">
      <alignment horizontal="left"/>
    </xf>
    <xf numFmtId="0" fontId="11" fillId="0" borderId="2" xfId="0" applyFont="1" applyFill="1" applyBorder="1"/>
    <xf numFmtId="0" fontId="11" fillId="0" borderId="23" xfId="0" applyFont="1" applyFill="1" applyBorder="1"/>
    <xf numFmtId="166" fontId="11" fillId="2" borderId="31" xfId="0" applyNumberFormat="1" applyFont="1" applyFill="1" applyBorder="1" applyProtection="1"/>
    <xf numFmtId="0" fontId="14" fillId="8" borderId="22" xfId="0" applyFont="1" applyFill="1" applyBorder="1" applyAlignment="1" applyProtection="1">
      <alignment horizontal="center"/>
    </xf>
    <xf numFmtId="9" fontId="11" fillId="8" borderId="22" xfId="0" applyNumberFormat="1" applyFont="1" applyFill="1" applyBorder="1" applyProtection="1"/>
    <xf numFmtId="170" fontId="16" fillId="8" borderId="25" xfId="0" applyNumberFormat="1" applyFont="1" applyFill="1" applyBorder="1" applyAlignment="1" applyProtection="1">
      <protection locked="0"/>
    </xf>
    <xf numFmtId="168" fontId="11" fillId="8" borderId="25" xfId="0" applyNumberFormat="1" applyFont="1" applyFill="1" applyBorder="1" applyProtection="1"/>
    <xf numFmtId="168" fontId="16" fillId="8" borderId="25" xfId="0" applyNumberFormat="1" applyFont="1" applyFill="1" applyBorder="1" applyAlignment="1" applyProtection="1"/>
    <xf numFmtId="170" fontId="16" fillId="8" borderId="25" xfId="0" applyNumberFormat="1" applyFont="1" applyFill="1" applyBorder="1" applyAlignment="1" applyProtection="1"/>
    <xf numFmtId="166" fontId="16" fillId="8" borderId="25" xfId="0" applyNumberFormat="1" applyFont="1" applyFill="1" applyBorder="1" applyAlignment="1" applyProtection="1">
      <protection locked="0"/>
    </xf>
    <xf numFmtId="0" fontId="11" fillId="8" borderId="26" xfId="0" applyFont="1" applyFill="1" applyBorder="1"/>
    <xf numFmtId="0" fontId="11" fillId="8" borderId="22" xfId="0" applyFont="1" applyFill="1" applyBorder="1"/>
    <xf numFmtId="0" fontId="14" fillId="8" borderId="31" xfId="0" applyFont="1" applyFill="1" applyBorder="1" applyAlignment="1" applyProtection="1">
      <alignment horizontal="center"/>
    </xf>
    <xf numFmtId="166" fontId="11" fillId="8" borderId="31" xfId="0" applyNumberFormat="1" applyFont="1" applyFill="1" applyBorder="1" applyProtection="1"/>
    <xf numFmtId="0" fontId="11" fillId="8" borderId="30" xfId="0" applyFont="1" applyFill="1" applyBorder="1" applyProtection="1"/>
    <xf numFmtId="0" fontId="11" fillId="8" borderId="30" xfId="0" applyFont="1" applyFill="1" applyBorder="1"/>
    <xf numFmtId="0" fontId="11" fillId="8" borderId="30" xfId="0" applyFont="1" applyFill="1" applyBorder="1" applyAlignment="1" applyProtection="1">
      <alignment horizontal="right"/>
    </xf>
    <xf numFmtId="168" fontId="16" fillId="0" borderId="0" xfId="0" applyNumberFormat="1" applyFont="1" applyBorder="1" applyAlignment="1" applyProtection="1">
      <protection locked="0"/>
    </xf>
    <xf numFmtId="0" fontId="2" fillId="0" borderId="0" xfId="0" applyFont="1" applyBorder="1" applyAlignment="1" applyProtection="1">
      <alignment horizontal="left"/>
    </xf>
    <xf numFmtId="0" fontId="1" fillId="0" borderId="0" xfId="0" quotePrefix="1" applyFont="1" applyBorder="1" applyAlignment="1" applyProtection="1">
      <alignment horizontal="left"/>
    </xf>
    <xf numFmtId="0" fontId="10" fillId="0" borderId="0" xfId="0" quotePrefix="1" applyFont="1" applyBorder="1" applyAlignment="1" applyProtection="1">
      <alignment horizontal="right"/>
    </xf>
    <xf numFmtId="0" fontId="11" fillId="8" borderId="24" xfId="0" applyFont="1" applyFill="1" applyBorder="1"/>
    <xf numFmtId="168" fontId="29" fillId="8" borderId="25" xfId="0" applyNumberFormat="1" applyFont="1" applyFill="1" applyBorder="1" applyAlignment="1" applyProtection="1"/>
    <xf numFmtId="166" fontId="29" fillId="4" borderId="0" xfId="0" applyNumberFormat="1" applyFont="1" applyFill="1" applyBorder="1" applyAlignment="1" applyProtection="1">
      <alignment horizontal="center" vertical="center"/>
    </xf>
    <xf numFmtId="170" fontId="29" fillId="4" borderId="24" xfId="0" applyNumberFormat="1" applyFont="1" applyFill="1" applyBorder="1" applyAlignment="1" applyProtection="1"/>
    <xf numFmtId="170" fontId="29" fillId="4" borderId="25" xfId="0" applyNumberFormat="1" applyFont="1" applyFill="1" applyBorder="1" applyAlignment="1" applyProtection="1"/>
    <xf numFmtId="49" fontId="0" fillId="0" borderId="0" xfId="0" quotePrefix="1" applyNumberFormat="1" applyAlignment="1">
      <alignment horizontal="left" vertical="top"/>
    </xf>
    <xf numFmtId="170" fontId="11" fillId="2" borderId="30" xfId="0" applyNumberFormat="1" applyFont="1" applyFill="1" applyBorder="1" applyProtection="1"/>
    <xf numFmtId="168" fontId="11" fillId="2" borderId="30" xfId="0" applyNumberFormat="1" applyFont="1" applyFill="1" applyBorder="1" applyProtection="1"/>
    <xf numFmtId="0" fontId="0" fillId="0" borderId="0" xfId="0" applyAlignment="1">
      <alignment horizontal="justify" vertical="top"/>
    </xf>
    <xf numFmtId="0" fontId="12" fillId="0" borderId="0" xfId="0" applyFont="1" applyAlignment="1">
      <alignment horizontal="justify" vertical="top"/>
    </xf>
    <xf numFmtId="0" fontId="29" fillId="0" borderId="0" xfId="0" applyFont="1" applyAlignment="1">
      <alignment horizontal="center" vertical="top"/>
    </xf>
    <xf numFmtId="0" fontId="29" fillId="0" borderId="0" xfId="0" applyFont="1" applyAlignment="1">
      <alignment horizontal="center"/>
    </xf>
    <xf numFmtId="0" fontId="29" fillId="0" borderId="0" xfId="0" applyFont="1"/>
    <xf numFmtId="0" fontId="29" fillId="0" borderId="0" xfId="0" quotePrefix="1" applyFont="1" applyAlignment="1">
      <alignment horizontal="center"/>
    </xf>
    <xf numFmtId="0" fontId="17" fillId="0" borderId="0" xfId="0" applyFont="1" applyAlignment="1">
      <alignment horizontal="left"/>
    </xf>
    <xf numFmtId="0" fontId="12" fillId="0" borderId="0" xfId="0" quotePrefix="1" applyFont="1" applyAlignment="1" applyProtection="1">
      <alignment horizontal="left"/>
    </xf>
    <xf numFmtId="0" fontId="0" fillId="0" borderId="0" xfId="0" quotePrefix="1" applyAlignment="1">
      <alignment horizontal="left"/>
    </xf>
    <xf numFmtId="2" fontId="4" fillId="0" borderId="0" xfId="13" applyNumberFormat="1" applyBorder="1" applyAlignment="1" applyProtection="1">
      <alignment horizontal="right"/>
    </xf>
    <xf numFmtId="0" fontId="4" fillId="0" borderId="0" xfId="13" applyBorder="1" applyAlignment="1" applyProtection="1">
      <alignment horizontal="center"/>
    </xf>
    <xf numFmtId="0" fontId="4" fillId="0" borderId="0" xfId="13" applyFont="1" applyBorder="1" applyAlignment="1" applyProtection="1">
      <alignment horizontal="right"/>
    </xf>
    <xf numFmtId="2" fontId="4" fillId="0" borderId="0" xfId="13" applyNumberFormat="1" applyFont="1" applyBorder="1" applyAlignment="1" applyProtection="1">
      <alignment horizontal="right"/>
    </xf>
    <xf numFmtId="0" fontId="4" fillId="0" borderId="2" xfId="13" applyBorder="1" applyAlignment="1">
      <alignment horizontal="right"/>
    </xf>
    <xf numFmtId="0" fontId="4" fillId="0" borderId="2" xfId="13" applyBorder="1" applyAlignment="1" applyProtection="1">
      <alignment horizontal="right"/>
    </xf>
    <xf numFmtId="0" fontId="4" fillId="0" borderId="0" xfId="13" applyBorder="1" applyAlignment="1" applyProtection="1">
      <alignment horizontal="right" wrapText="1"/>
    </xf>
    <xf numFmtId="0" fontId="4" fillId="0" borderId="3" xfId="13" applyBorder="1" applyAlignment="1">
      <alignment horizontal="right" wrapText="1"/>
    </xf>
    <xf numFmtId="0" fontId="4" fillId="0" borderId="3" xfId="13" applyBorder="1" applyAlignment="1" applyProtection="1">
      <alignment horizontal="right" wrapText="1"/>
    </xf>
    <xf numFmtId="170" fontId="12" fillId="0" borderId="0" xfId="2" applyAlignment="1">
      <alignment horizontal="right"/>
    </xf>
    <xf numFmtId="170" fontId="12" fillId="0" borderId="0" xfId="2" quotePrefix="1" applyAlignment="1">
      <alignment horizontal="left"/>
    </xf>
    <xf numFmtId="170" fontId="12" fillId="0" borderId="0" xfId="2"/>
    <xf numFmtId="176" fontId="12" fillId="0" borderId="0" xfId="2" applyNumberFormat="1"/>
    <xf numFmtId="172" fontId="12" fillId="0" borderId="0" xfId="2" applyNumberFormat="1"/>
    <xf numFmtId="2" fontId="4" fillId="0" borderId="0" xfId="13" applyNumberFormat="1" applyBorder="1" applyAlignment="1" applyProtection="1">
      <alignment horizontal="left"/>
    </xf>
    <xf numFmtId="170" fontId="12" fillId="0" borderId="0" xfId="9"/>
    <xf numFmtId="170" fontId="12" fillId="0" borderId="0" xfId="9" quotePrefix="1" applyAlignment="1">
      <alignment horizontal="left"/>
    </xf>
    <xf numFmtId="170" fontId="12" fillId="0" borderId="0" xfId="9" applyAlignment="1">
      <alignment horizontal="right"/>
    </xf>
    <xf numFmtId="176" fontId="12" fillId="0" borderId="0" xfId="9" applyNumberFormat="1"/>
    <xf numFmtId="172" fontId="12" fillId="0" borderId="0" xfId="9" applyNumberFormat="1"/>
    <xf numFmtId="170" fontId="12" fillId="0" borderId="0" xfId="8"/>
    <xf numFmtId="170" fontId="12" fillId="0" borderId="0" xfId="8" quotePrefix="1" applyAlignment="1">
      <alignment horizontal="left"/>
    </xf>
    <xf numFmtId="170" fontId="12" fillId="0" borderId="0" xfId="8" applyAlignment="1">
      <alignment horizontal="right"/>
    </xf>
    <xf numFmtId="176" fontId="12" fillId="0" borderId="0" xfId="8" applyNumberFormat="1"/>
    <xf numFmtId="9" fontId="12" fillId="0" borderId="0" xfId="8" applyNumberFormat="1"/>
    <xf numFmtId="170" fontId="12" fillId="0" borderId="0" xfId="10"/>
    <xf numFmtId="170" fontId="12" fillId="0" borderId="0" xfId="10" quotePrefix="1" applyAlignment="1">
      <alignment horizontal="left"/>
    </xf>
    <xf numFmtId="170" fontId="12" fillId="0" borderId="0" xfId="10" applyAlignment="1">
      <alignment horizontal="right"/>
    </xf>
    <xf numFmtId="176" fontId="12" fillId="0" borderId="0" xfId="10" applyNumberFormat="1"/>
    <xf numFmtId="172" fontId="12" fillId="0" borderId="0" xfId="10" applyNumberFormat="1"/>
    <xf numFmtId="0" fontId="6" fillId="0" borderId="0" xfId="13" applyFont="1" applyBorder="1" applyAlignment="1">
      <alignment horizontal="center"/>
    </xf>
    <xf numFmtId="166" fontId="11" fillId="8" borderId="23" xfId="0" applyNumberFormat="1" applyFont="1" applyFill="1" applyBorder="1" applyProtection="1"/>
    <xf numFmtId="2" fontId="32" fillId="0" borderId="0" xfId="13" applyNumberFormat="1" applyFont="1" applyBorder="1" applyProtection="1"/>
    <xf numFmtId="174" fontId="32" fillId="0" borderId="0" xfId="13" applyNumberFormat="1" applyFont="1" applyBorder="1" applyProtection="1"/>
    <xf numFmtId="0" fontId="32" fillId="0" borderId="0" xfId="0" applyFont="1" applyProtection="1"/>
    <xf numFmtId="169" fontId="32" fillId="0" borderId="0" xfId="0" applyNumberFormat="1" applyFont="1" applyProtection="1"/>
    <xf numFmtId="0" fontId="13" fillId="0" borderId="0" xfId="12" applyFont="1" applyBorder="1"/>
    <xf numFmtId="0" fontId="13" fillId="0" borderId="1" xfId="12" applyFont="1" applyBorder="1"/>
    <xf numFmtId="0" fontId="13" fillId="0" borderId="1" xfId="12" applyFont="1" applyBorder="1" applyAlignment="1" applyProtection="1">
      <alignment horizontal="left"/>
    </xf>
    <xf numFmtId="0" fontId="13" fillId="0" borderId="1" xfId="12" applyFont="1" applyBorder="1" applyAlignment="1" applyProtection="1">
      <alignment horizontal="fill"/>
    </xf>
    <xf numFmtId="0" fontId="5" fillId="0" borderId="0" xfId="12" applyFont="1" applyBorder="1"/>
    <xf numFmtId="0" fontId="5" fillId="0" borderId="0" xfId="12" applyFont="1" applyBorder="1" applyAlignment="1" applyProtection="1">
      <alignment horizontal="fill"/>
    </xf>
    <xf numFmtId="0" fontId="5" fillId="0" borderId="0" xfId="12" quotePrefix="1" applyFont="1" applyBorder="1" applyAlignment="1" applyProtection="1">
      <alignment horizontal="left"/>
    </xf>
    <xf numFmtId="0" fontId="5" fillId="0" borderId="0" xfId="12" applyFont="1"/>
    <xf numFmtId="0" fontId="5" fillId="0" borderId="0" xfId="12" applyFont="1" applyBorder="1" applyAlignment="1" applyProtection="1">
      <alignment horizontal="center"/>
    </xf>
    <xf numFmtId="0" fontId="33" fillId="0" borderId="0" xfId="12" applyFont="1" applyBorder="1"/>
    <xf numFmtId="0" fontId="33" fillId="0" borderId="0" xfId="12" applyFont="1"/>
    <xf numFmtId="0" fontId="33" fillId="0" borderId="0" xfId="12" applyFont="1" applyBorder="1" applyAlignment="1" applyProtection="1">
      <alignment horizontal="left"/>
    </xf>
    <xf numFmtId="0" fontId="33" fillId="0" borderId="0" xfId="12" applyFont="1" applyBorder="1" applyAlignment="1" applyProtection="1">
      <alignment horizontal="fill"/>
    </xf>
    <xf numFmtId="0" fontId="33" fillId="0" borderId="0" xfId="12" applyFont="1" applyBorder="1" applyAlignment="1" applyProtection="1">
      <alignment horizontal="center"/>
    </xf>
    <xf numFmtId="0" fontId="4" fillId="0" borderId="32" xfId="12" applyBorder="1"/>
    <xf numFmtId="1" fontId="4" fillId="0" borderId="0" xfId="12" applyNumberFormat="1" applyBorder="1" applyAlignment="1" applyProtection="1">
      <alignment horizontal="center"/>
    </xf>
    <xf numFmtId="0" fontId="5" fillId="0" borderId="0" xfId="12" applyFont="1" applyBorder="1" applyAlignment="1">
      <alignment horizontal="center"/>
    </xf>
    <xf numFmtId="0" fontId="4" fillId="7" borderId="0" xfId="12" applyFill="1" applyBorder="1" applyAlignment="1">
      <alignment horizontal="center"/>
    </xf>
    <xf numFmtId="0" fontId="4" fillId="0" borderId="2" xfId="12" applyBorder="1" applyAlignment="1" applyProtection="1">
      <alignment horizontal="center" wrapText="1"/>
    </xf>
    <xf numFmtId="0" fontId="4" fillId="0" borderId="2" xfId="12" quotePrefix="1" applyFont="1" applyBorder="1" applyAlignment="1">
      <alignment horizontal="left" wrapText="1"/>
    </xf>
    <xf numFmtId="0" fontId="33" fillId="0" borderId="0" xfId="12" applyFont="1" applyBorder="1" applyAlignment="1" applyProtection="1">
      <alignment horizontal="center"/>
      <protection locked="0"/>
    </xf>
    <xf numFmtId="0" fontId="33" fillId="0" borderId="0" xfId="12" quotePrefix="1" applyFont="1" applyBorder="1" applyAlignment="1" applyProtection="1">
      <alignment horizontal="left"/>
    </xf>
    <xf numFmtId="0" fontId="4" fillId="0" borderId="0" xfId="12" quotePrefix="1" applyFont="1" applyBorder="1" applyAlignment="1" applyProtection="1">
      <alignment horizontal="center"/>
    </xf>
    <xf numFmtId="2" fontId="11" fillId="4" borderId="24" xfId="0" applyNumberFormat="1" applyFont="1" applyFill="1" applyBorder="1" applyProtection="1"/>
    <xf numFmtId="2" fontId="11" fillId="4" borderId="24" xfId="0" applyNumberFormat="1" applyFont="1" applyFill="1" applyBorder="1" applyAlignment="1" applyProtection="1">
      <alignment horizontal="left"/>
    </xf>
    <xf numFmtId="1" fontId="4" fillId="0" borderId="0" xfId="12" quotePrefix="1" applyNumberFormat="1" applyFont="1" applyBorder="1" applyAlignment="1" applyProtection="1">
      <alignment horizontal="left"/>
    </xf>
    <xf numFmtId="174" fontId="11" fillId="2" borderId="30" xfId="0" applyNumberFormat="1" applyFont="1" applyFill="1" applyBorder="1" applyProtection="1"/>
    <xf numFmtId="174" fontId="11" fillId="8" borderId="25" xfId="0" applyNumberFormat="1" applyFont="1" applyFill="1" applyBorder="1" applyProtection="1"/>
    <xf numFmtId="0" fontId="4" fillId="0" borderId="3" xfId="13" applyFont="1" applyBorder="1" applyAlignment="1">
      <alignment wrapText="1"/>
    </xf>
    <xf numFmtId="0" fontId="17" fillId="0" borderId="22" xfId="0" applyFont="1" applyBorder="1" applyAlignment="1" applyProtection="1">
      <alignment horizontal="left"/>
      <protection locked="0"/>
    </xf>
    <xf numFmtId="0" fontId="0" fillId="9" borderId="0" xfId="0" applyFill="1"/>
    <xf numFmtId="0" fontId="4" fillId="9" borderId="0" xfId="12" applyFill="1" applyBorder="1" applyAlignment="1" applyProtection="1">
      <alignment horizontal="center"/>
    </xf>
    <xf numFmtId="0" fontId="4" fillId="0" borderId="0" xfId="12" applyFont="1" applyBorder="1" applyAlignment="1" applyProtection="1">
      <alignment horizontal="left"/>
    </xf>
    <xf numFmtId="174" fontId="29" fillId="4" borderId="24" xfId="0" applyNumberFormat="1" applyFont="1" applyFill="1" applyBorder="1" applyAlignment="1" applyProtection="1"/>
    <xf numFmtId="174" fontId="16" fillId="4" borderId="24" xfId="0" applyNumberFormat="1" applyFont="1" applyFill="1" applyBorder="1" applyAlignment="1" applyProtection="1"/>
    <xf numFmtId="174" fontId="0" fillId="0" borderId="0" xfId="0" applyNumberFormat="1"/>
    <xf numFmtId="176" fontId="0" fillId="0" borderId="0" xfId="0" applyNumberFormat="1"/>
    <xf numFmtId="172" fontId="0" fillId="0" borderId="0" xfId="0" applyNumberFormat="1"/>
    <xf numFmtId="0" fontId="36" fillId="0" borderId="0" xfId="0" applyFont="1"/>
    <xf numFmtId="0" fontId="37" fillId="0" borderId="0" xfId="0" applyFont="1"/>
    <xf numFmtId="0" fontId="38" fillId="0" borderId="0" xfId="0" applyFont="1"/>
    <xf numFmtId="0" fontId="38" fillId="0" borderId="0" xfId="0" quotePrefix="1" applyFont="1" applyAlignment="1">
      <alignment horizontal="left"/>
    </xf>
    <xf numFmtId="15" fontId="29" fillId="0" borderId="0" xfId="0" quotePrefix="1" applyNumberFormat="1" applyFont="1" applyAlignment="1">
      <alignment horizontal="center"/>
    </xf>
    <xf numFmtId="0" fontId="32" fillId="0" borderId="0" xfId="13" applyFont="1" applyBorder="1" applyAlignment="1" applyProtection="1">
      <alignment horizontal="left"/>
      <protection locked="0"/>
    </xf>
    <xf numFmtId="2" fontId="32" fillId="0" borderId="0" xfId="13" applyNumberFormat="1" applyFont="1" applyBorder="1" applyProtection="1">
      <protection locked="0"/>
    </xf>
    <xf numFmtId="0" fontId="32" fillId="0" borderId="0" xfId="13" quotePrefix="1" applyFont="1" applyBorder="1" applyAlignment="1" applyProtection="1">
      <alignment horizontal="left"/>
      <protection locked="0"/>
    </xf>
    <xf numFmtId="0" fontId="32" fillId="0" borderId="0" xfId="13" applyFont="1" applyBorder="1" applyProtection="1">
      <protection locked="0"/>
    </xf>
    <xf numFmtId="1" fontId="32" fillId="0" borderId="0" xfId="13" applyNumberFormat="1" applyFont="1" applyBorder="1" applyProtection="1">
      <protection locked="0"/>
    </xf>
    <xf numFmtId="174" fontId="32" fillId="0" borderId="0" xfId="13" applyNumberFormat="1" applyFont="1" applyBorder="1" applyProtection="1">
      <protection locked="0"/>
    </xf>
    <xf numFmtId="0" fontId="4" fillId="0" borderId="0" xfId="13" applyBorder="1" applyProtection="1">
      <protection locked="0"/>
    </xf>
    <xf numFmtId="0" fontId="32" fillId="0" borderId="0" xfId="0" applyFont="1" applyProtection="1">
      <protection locked="0"/>
    </xf>
    <xf numFmtId="0" fontId="32" fillId="0" borderId="0" xfId="0" applyFont="1" applyAlignment="1" applyProtection="1">
      <alignment horizontal="left"/>
      <protection locked="0"/>
    </xf>
    <xf numFmtId="0" fontId="32" fillId="0" borderId="0" xfId="0" applyFont="1" applyAlignment="1" applyProtection="1">
      <alignment horizontal="right"/>
      <protection locked="0"/>
    </xf>
    <xf numFmtId="0" fontId="32" fillId="0" borderId="0" xfId="13" applyFont="1" applyFill="1" applyBorder="1" applyProtection="1">
      <protection locked="0"/>
    </xf>
    <xf numFmtId="0" fontId="32" fillId="0" borderId="0" xfId="13" applyFont="1" applyFill="1" applyBorder="1" applyAlignment="1" applyProtection="1">
      <alignment horizontal="left"/>
      <protection locked="0"/>
    </xf>
    <xf numFmtId="166" fontId="32" fillId="0" borderId="0" xfId="0" applyNumberFormat="1" applyFont="1" applyProtection="1">
      <protection locked="0"/>
    </xf>
    <xf numFmtId="168" fontId="32" fillId="0" borderId="0" xfId="0" applyNumberFormat="1" applyFont="1" applyProtection="1">
      <protection locked="0"/>
    </xf>
    <xf numFmtId="170" fontId="32" fillId="0" borderId="0" xfId="0" applyNumberFormat="1" applyFont="1" applyProtection="1">
      <protection locked="0"/>
    </xf>
    <xf numFmtId="170" fontId="32" fillId="0" borderId="0" xfId="0" applyNumberFormat="1" applyFont="1" applyAlignment="1" applyProtection="1">
      <alignment horizontal="left"/>
      <protection locked="0"/>
    </xf>
    <xf numFmtId="0" fontId="0" fillId="0" borderId="0" xfId="0" applyProtection="1">
      <protection locked="0"/>
    </xf>
    <xf numFmtId="0" fontId="6" fillId="0" borderId="0" xfId="13" applyFont="1" applyBorder="1" applyAlignment="1">
      <alignment vertical="top" wrapText="1"/>
    </xf>
    <xf numFmtId="0" fontId="0" fillId="0" borderId="0" xfId="0" applyAlignment="1" applyProtection="1">
      <alignment horizontal="left"/>
      <protection hidden="1"/>
    </xf>
    <xf numFmtId="0" fontId="0" fillId="0" borderId="0" xfId="0" quotePrefix="1" applyAlignment="1" applyProtection="1">
      <alignment horizontal="left"/>
      <protection hidden="1"/>
    </xf>
    <xf numFmtId="0" fontId="0" fillId="0" borderId="0" xfId="0" applyAlignment="1" applyProtection="1">
      <alignment horizontal="right"/>
      <protection hidden="1"/>
    </xf>
    <xf numFmtId="0" fontId="29" fillId="0" borderId="0" xfId="0" applyFont="1" applyAlignment="1" applyProtection="1">
      <alignment horizontal="left"/>
      <protection hidden="1"/>
    </xf>
    <xf numFmtId="0" fontId="0" fillId="0" borderId="0" xfId="0" applyAlignment="1" applyProtection="1">
      <alignment horizontal="center"/>
      <protection hidden="1"/>
    </xf>
    <xf numFmtId="166" fontId="0" fillId="0" borderId="0" xfId="0" applyNumberFormat="1" applyAlignment="1" applyProtection="1">
      <alignment horizontal="center"/>
    </xf>
    <xf numFmtId="169" fontId="0" fillId="0" borderId="0" xfId="0" applyNumberFormat="1" applyAlignment="1" applyProtection="1">
      <alignment horizontal="center"/>
    </xf>
    <xf numFmtId="0" fontId="0" fillId="0" borderId="0" xfId="0" applyAlignment="1">
      <alignment horizontal="center"/>
    </xf>
    <xf numFmtId="170" fontId="3" fillId="0" borderId="0" xfId="0" applyNumberFormat="1" applyFont="1" applyAlignment="1" applyProtection="1">
      <alignment horizontal="center"/>
      <protection locked="0"/>
    </xf>
    <xf numFmtId="0" fontId="3" fillId="0" borderId="0" xfId="0" applyFont="1" applyAlignment="1" applyProtection="1">
      <alignment horizontal="center"/>
      <protection locked="0"/>
    </xf>
    <xf numFmtId="170" fontId="0" fillId="0" borderId="0" xfId="0" applyNumberFormat="1" applyAlignment="1" applyProtection="1">
      <alignment horizontal="center"/>
    </xf>
    <xf numFmtId="0" fontId="12" fillId="0" borderId="0" xfId="0" applyFont="1" applyAlignment="1" applyProtection="1">
      <alignment horizontal="center"/>
    </xf>
    <xf numFmtId="170" fontId="12" fillId="0" borderId="0" xfId="0" applyNumberFormat="1" applyFont="1" applyAlignment="1" applyProtection="1">
      <alignment horizontal="center"/>
    </xf>
    <xf numFmtId="176" fontId="0" fillId="0" borderId="0" xfId="0" applyNumberFormat="1" applyAlignment="1" applyProtection="1">
      <alignment horizontal="center"/>
      <protection hidden="1"/>
    </xf>
    <xf numFmtId="168" fontId="12" fillId="0" borderId="0" xfId="0" applyNumberFormat="1" applyFont="1" applyAlignment="1" applyProtection="1">
      <alignment horizontal="center"/>
    </xf>
    <xf numFmtId="168" fontId="3" fillId="0" borderId="0" xfId="0" applyNumberFormat="1" applyFont="1" applyAlignment="1" applyProtection="1">
      <alignment horizontal="center"/>
      <protection locked="0"/>
    </xf>
    <xf numFmtId="172" fontId="3" fillId="0" borderId="0" xfId="0" applyNumberFormat="1" applyFont="1" applyAlignment="1" applyProtection="1">
      <alignment horizontal="center"/>
      <protection locked="0"/>
    </xf>
    <xf numFmtId="166" fontId="0" fillId="0" borderId="0" xfId="0" applyNumberFormat="1" applyAlignment="1" applyProtection="1">
      <alignment horizontal="center"/>
      <protection hidden="1"/>
    </xf>
    <xf numFmtId="166" fontId="3" fillId="0" borderId="0" xfId="0" applyNumberFormat="1" applyFont="1" applyAlignment="1" applyProtection="1">
      <alignment horizontal="center"/>
      <protection locked="0"/>
    </xf>
    <xf numFmtId="166" fontId="12" fillId="0" borderId="0" xfId="0" applyNumberFormat="1" applyFont="1" applyAlignment="1" applyProtection="1">
      <alignment horizontal="center"/>
    </xf>
    <xf numFmtId="168" fontId="0" fillId="0" borderId="0" xfId="0" applyNumberFormat="1" applyAlignment="1" applyProtection="1">
      <alignment horizontal="center"/>
    </xf>
    <xf numFmtId="9" fontId="12" fillId="0" borderId="0" xfId="0" applyNumberFormat="1" applyFont="1" applyAlignment="1" applyProtection="1">
      <alignment horizontal="center"/>
    </xf>
    <xf numFmtId="169" fontId="12" fillId="0" borderId="0" xfId="0" applyNumberFormat="1" applyFont="1" applyAlignment="1" applyProtection="1">
      <alignment horizontal="center"/>
    </xf>
    <xf numFmtId="172" fontId="12" fillId="0" borderId="0" xfId="0" applyNumberFormat="1" applyFont="1" applyAlignment="1" applyProtection="1">
      <alignment horizontal="center"/>
    </xf>
    <xf numFmtId="169" fontId="3" fillId="0" borderId="0" xfId="0" applyNumberFormat="1" applyFont="1" applyAlignment="1" applyProtection="1">
      <alignment horizontal="center"/>
      <protection locked="0"/>
    </xf>
    <xf numFmtId="165" fontId="0" fillId="0" borderId="0" xfId="0" applyNumberFormat="1" applyAlignment="1" applyProtection="1">
      <alignment horizontal="center"/>
    </xf>
    <xf numFmtId="167" fontId="0" fillId="0" borderId="0" xfId="0" applyNumberFormat="1" applyAlignment="1" applyProtection="1">
      <alignment horizontal="center"/>
    </xf>
    <xf numFmtId="0" fontId="9" fillId="0" borderId="0" xfId="0" applyFont="1" applyAlignment="1" applyProtection="1">
      <alignment horizontal="center"/>
    </xf>
    <xf numFmtId="0" fontId="9" fillId="0" borderId="0" xfId="0" applyFont="1" applyAlignment="1">
      <alignment horizontal="center"/>
    </xf>
    <xf numFmtId="170" fontId="0" fillId="0" borderId="0" xfId="0" applyNumberFormat="1" applyAlignment="1" applyProtection="1">
      <alignment horizontal="left"/>
      <protection hidden="1"/>
    </xf>
    <xf numFmtId="191" fontId="0" fillId="0" borderId="0" xfId="0" applyNumberFormat="1" applyAlignment="1" applyProtection="1">
      <alignment horizontal="left"/>
      <protection hidden="1"/>
    </xf>
    <xf numFmtId="166" fontId="0" fillId="0" borderId="0" xfId="0" applyNumberFormat="1" applyAlignment="1" applyProtection="1">
      <alignment horizontal="left"/>
      <protection hidden="1"/>
    </xf>
    <xf numFmtId="169" fontId="0" fillId="0" borderId="0" xfId="0" applyNumberFormat="1" applyAlignment="1" applyProtection="1">
      <alignment horizontal="left"/>
      <protection hidden="1"/>
    </xf>
    <xf numFmtId="0" fontId="0" fillId="0" borderId="0" xfId="0" applyAlignment="1">
      <alignment horizontal="left"/>
    </xf>
    <xf numFmtId="0" fontId="0" fillId="0" borderId="0" xfId="0" quotePrefix="1" applyAlignment="1" applyProtection="1">
      <alignment horizontal="fill"/>
      <protection hidden="1"/>
    </xf>
    <xf numFmtId="0" fontId="4" fillId="0" borderId="0" xfId="13" applyFont="1" applyBorder="1" applyProtection="1">
      <protection locked="0"/>
    </xf>
    <xf numFmtId="0" fontId="32" fillId="0" borderId="0" xfId="0" quotePrefix="1" applyFont="1" applyAlignment="1" applyProtection="1">
      <alignment horizontal="left"/>
      <protection locked="0"/>
    </xf>
    <xf numFmtId="0" fontId="20" fillId="0" borderId="0" xfId="0" applyFont="1" applyProtection="1"/>
    <xf numFmtId="0" fontId="32" fillId="4" borderId="0" xfId="13" applyFont="1" applyFill="1" applyBorder="1" applyAlignment="1" applyProtection="1">
      <alignment horizontal="left"/>
      <protection locked="0"/>
    </xf>
    <xf numFmtId="0" fontId="32" fillId="10" borderId="0" xfId="13" applyFont="1" applyFill="1" applyBorder="1" applyAlignment="1" applyProtection="1">
      <alignment horizontal="left"/>
      <protection locked="0"/>
    </xf>
    <xf numFmtId="2" fontId="32" fillId="4" borderId="0" xfId="13" applyNumberFormat="1" applyFont="1" applyFill="1" applyBorder="1" applyProtection="1">
      <protection locked="0"/>
    </xf>
    <xf numFmtId="0" fontId="32" fillId="4" borderId="0" xfId="13" quotePrefix="1" applyFont="1" applyFill="1" applyBorder="1" applyAlignment="1" applyProtection="1">
      <alignment horizontal="left"/>
      <protection locked="0"/>
    </xf>
    <xf numFmtId="0" fontId="32" fillId="4" borderId="0" xfId="13" applyFont="1" applyFill="1" applyBorder="1" applyProtection="1">
      <protection locked="0"/>
    </xf>
    <xf numFmtId="1" fontId="32" fillId="4" borderId="0" xfId="13" applyNumberFormat="1" applyFont="1" applyFill="1" applyBorder="1" applyProtection="1">
      <protection locked="0"/>
    </xf>
    <xf numFmtId="174" fontId="32" fillId="4" borderId="0" xfId="13" applyNumberFormat="1" applyFont="1" applyFill="1" applyBorder="1" applyProtection="1">
      <protection locked="0"/>
    </xf>
    <xf numFmtId="0" fontId="32" fillId="4" borderId="0" xfId="0" applyFont="1" applyFill="1" applyProtection="1">
      <protection locked="0"/>
    </xf>
    <xf numFmtId="0" fontId="32" fillId="4" borderId="0" xfId="0" applyFont="1" applyFill="1" applyAlignment="1" applyProtection="1">
      <alignment horizontal="left"/>
      <protection locked="0"/>
    </xf>
    <xf numFmtId="0" fontId="32" fillId="4" borderId="0" xfId="0" applyFont="1" applyFill="1" applyAlignment="1" applyProtection="1">
      <alignment horizontal="right"/>
      <protection locked="0"/>
    </xf>
    <xf numFmtId="166" fontId="32" fillId="4" borderId="0" xfId="0" applyNumberFormat="1" applyFont="1" applyFill="1" applyProtection="1">
      <protection locked="0"/>
    </xf>
    <xf numFmtId="168" fontId="32" fillId="4" borderId="0" xfId="0" applyNumberFormat="1" applyFont="1" applyFill="1" applyProtection="1">
      <protection locked="0"/>
    </xf>
    <xf numFmtId="169" fontId="32" fillId="4" borderId="0" xfId="0" applyNumberFormat="1" applyFont="1" applyFill="1" applyProtection="1">
      <protection locked="0"/>
    </xf>
    <xf numFmtId="170" fontId="32" fillId="4" borderId="0" xfId="0" applyNumberFormat="1" applyFont="1" applyFill="1" applyProtection="1">
      <protection locked="0"/>
    </xf>
    <xf numFmtId="170" fontId="32" fillId="4" borderId="0" xfId="0" applyNumberFormat="1" applyFont="1" applyFill="1" applyAlignment="1" applyProtection="1">
      <alignment horizontal="left"/>
      <protection locked="0"/>
    </xf>
    <xf numFmtId="0" fontId="0" fillId="4" borderId="0" xfId="0" applyFill="1" applyProtection="1">
      <protection locked="0"/>
    </xf>
    <xf numFmtId="0" fontId="4" fillId="4" borderId="0" xfId="13" applyFill="1" applyBorder="1" applyProtection="1">
      <protection locked="0"/>
    </xf>
    <xf numFmtId="0" fontId="4" fillId="4" borderId="0" xfId="13" applyFont="1" applyFill="1" applyBorder="1" applyProtection="1">
      <protection locked="0"/>
    </xf>
    <xf numFmtId="0" fontId="30" fillId="0" borderId="22" xfId="0" applyFont="1" applyBorder="1" applyAlignment="1" applyProtection="1">
      <alignment horizontal="left"/>
    </xf>
    <xf numFmtId="1" fontId="11" fillId="0" borderId="0" xfId="11" applyNumberFormat="1" applyFont="1" applyProtection="1">
      <protection locked="0"/>
    </xf>
    <xf numFmtId="2" fontId="11" fillId="0" borderId="0" xfId="11" applyNumberFormat="1" applyFont="1" applyAlignment="1" applyProtection="1">
      <alignment horizontal="right"/>
      <protection locked="0"/>
    </xf>
    <xf numFmtId="2" fontId="11" fillId="0" borderId="0" xfId="11" applyNumberFormat="1" applyFont="1" applyProtection="1">
      <protection locked="0"/>
    </xf>
    <xf numFmtId="174" fontId="11" fillId="0" borderId="0" xfId="11" applyNumberFormat="1" applyFont="1" applyProtection="1">
      <protection locked="0"/>
    </xf>
    <xf numFmtId="174" fontId="11" fillId="0" borderId="0" xfId="15" applyNumberFormat="1" applyFont="1" applyProtection="1">
      <protection locked="0"/>
    </xf>
    <xf numFmtId="176" fontId="11" fillId="0" borderId="0" xfId="11" applyNumberFormat="1" applyFont="1" applyProtection="1">
      <protection locked="0"/>
    </xf>
    <xf numFmtId="0" fontId="11" fillId="0" borderId="0" xfId="11" applyFont="1" applyBorder="1" applyProtection="1">
      <protection locked="0"/>
    </xf>
    <xf numFmtId="0" fontId="38" fillId="0" borderId="0" xfId="0" applyFont="1" applyAlignment="1">
      <alignment horizontal="left"/>
    </xf>
    <xf numFmtId="0" fontId="0" fillId="0" borderId="0" xfId="0" quotePrefix="1" applyAlignment="1">
      <alignment horizontal="justify"/>
    </xf>
    <xf numFmtId="176" fontId="0" fillId="0" borderId="0" xfId="0" applyNumberFormat="1" applyAlignment="1">
      <alignment horizontal="center"/>
    </xf>
    <xf numFmtId="176" fontId="0" fillId="9" borderId="0" xfId="0" applyNumberFormat="1" applyFill="1" applyAlignment="1">
      <alignment horizontal="center"/>
    </xf>
    <xf numFmtId="0" fontId="0" fillId="9" borderId="0" xfId="0" applyFill="1" applyAlignment="1">
      <alignment horizontal="center"/>
    </xf>
    <xf numFmtId="176" fontId="39" fillId="0" borderId="0" xfId="0" applyNumberFormat="1" applyFont="1" applyAlignment="1">
      <alignment horizontal="center"/>
    </xf>
    <xf numFmtId="0" fontId="39" fillId="0" borderId="0" xfId="0" applyFont="1" applyAlignment="1">
      <alignment horizontal="center"/>
    </xf>
    <xf numFmtId="0" fontId="40" fillId="0" borderId="0" xfId="0" applyFont="1"/>
    <xf numFmtId="0" fontId="40" fillId="0" borderId="0" xfId="0" quotePrefix="1" applyFont="1" applyAlignment="1">
      <alignment horizontal="left"/>
    </xf>
    <xf numFmtId="1" fontId="32" fillId="0" borderId="0" xfId="0" applyNumberFormat="1" applyFont="1" applyProtection="1">
      <protection locked="0"/>
    </xf>
    <xf numFmtId="0" fontId="4" fillId="0" borderId="0" xfId="13" quotePrefix="1" applyFont="1" applyBorder="1" applyAlignment="1" applyProtection="1">
      <alignment horizontal="left"/>
      <protection locked="0"/>
    </xf>
    <xf numFmtId="174" fontId="32" fillId="0" borderId="0" xfId="0" applyNumberFormat="1" applyFont="1" applyProtection="1"/>
    <xf numFmtId="0" fontId="32" fillId="0" borderId="0" xfId="13" applyFont="1" applyBorder="1" applyAlignment="1" applyProtection="1">
      <alignment horizontal="left"/>
    </xf>
    <xf numFmtId="1" fontId="4" fillId="0" borderId="0" xfId="13" applyNumberFormat="1" applyFont="1" applyBorder="1" applyAlignment="1" applyProtection="1">
      <alignment horizontal="right"/>
    </xf>
    <xf numFmtId="0" fontId="35" fillId="0" borderId="0" xfId="0" applyFont="1" applyAlignment="1">
      <alignment horizontal="left"/>
    </xf>
    <xf numFmtId="0" fontId="11" fillId="0" borderId="0" xfId="0" applyFont="1" applyProtection="1"/>
    <xf numFmtId="0" fontId="11" fillId="0" borderId="0" xfId="11" applyFont="1" applyProtection="1"/>
    <xf numFmtId="1" fontId="11" fillId="0" borderId="0" xfId="11" applyNumberFormat="1" applyFont="1" applyProtection="1"/>
    <xf numFmtId="0" fontId="11" fillId="0" borderId="33" xfId="11" applyFont="1" applyBorder="1" applyProtection="1">
      <protection locked="0"/>
    </xf>
    <xf numFmtId="0" fontId="11" fillId="0" borderId="34" xfId="11" applyFont="1" applyBorder="1" applyProtection="1">
      <protection locked="0"/>
    </xf>
    <xf numFmtId="0" fontId="11" fillId="0" borderId="34" xfId="11" applyFont="1" applyBorder="1" applyAlignment="1" applyProtection="1">
      <alignment wrapText="1"/>
      <protection locked="0"/>
    </xf>
    <xf numFmtId="0" fontId="11" fillId="0" borderId="34" xfId="11" quotePrefix="1" applyFont="1" applyBorder="1" applyAlignment="1" applyProtection="1">
      <alignment horizontal="left" wrapText="1"/>
      <protection locked="0"/>
    </xf>
    <xf numFmtId="0" fontId="11" fillId="0" borderId="35" xfId="11" applyFont="1" applyBorder="1" applyAlignment="1" applyProtection="1">
      <alignment wrapText="1"/>
      <protection locked="0"/>
    </xf>
    <xf numFmtId="0" fontId="11" fillId="0" borderId="36" xfId="11" applyFont="1" applyBorder="1" applyProtection="1">
      <protection locked="0"/>
    </xf>
    <xf numFmtId="0" fontId="11" fillId="0" borderId="0" xfId="11" quotePrefix="1" applyFont="1" applyBorder="1" applyAlignment="1" applyProtection="1">
      <alignment horizontal="left"/>
      <protection locked="0"/>
    </xf>
    <xf numFmtId="178" fontId="11" fillId="0" borderId="37" xfId="11" applyNumberFormat="1" applyFont="1" applyBorder="1" applyAlignment="1" applyProtection="1">
      <alignment horizontal="center"/>
      <protection locked="0"/>
    </xf>
    <xf numFmtId="0" fontId="11" fillId="0" borderId="0" xfId="11" applyFont="1" applyBorder="1" applyAlignment="1" applyProtection="1">
      <alignment horizontal="left"/>
      <protection locked="0"/>
    </xf>
    <xf numFmtId="0" fontId="11" fillId="0" borderId="37" xfId="11" applyFont="1" applyBorder="1" applyAlignment="1" applyProtection="1">
      <alignment horizontal="center"/>
      <protection locked="0"/>
    </xf>
    <xf numFmtId="0" fontId="11" fillId="0" borderId="38" xfId="11" applyFont="1" applyBorder="1" applyProtection="1">
      <protection locked="0"/>
    </xf>
    <xf numFmtId="0" fontId="11" fillId="0" borderId="39" xfId="11" applyFont="1" applyBorder="1" applyProtection="1">
      <protection locked="0"/>
    </xf>
    <xf numFmtId="0" fontId="11" fillId="0" borderId="39" xfId="11" quotePrefix="1" applyFont="1" applyBorder="1" applyAlignment="1" applyProtection="1">
      <alignment horizontal="left"/>
      <protection locked="0"/>
    </xf>
    <xf numFmtId="177" fontId="11" fillId="0" borderId="40" xfId="11" applyNumberFormat="1" applyFont="1" applyBorder="1" applyAlignment="1" applyProtection="1">
      <alignment horizontal="center"/>
      <protection locked="0"/>
    </xf>
    <xf numFmtId="0" fontId="11" fillId="0" borderId="35" xfId="11" applyFont="1" applyBorder="1" applyProtection="1">
      <protection locked="0"/>
    </xf>
    <xf numFmtId="0" fontId="18" fillId="0" borderId="36" xfId="11" applyFont="1" applyBorder="1" applyProtection="1">
      <protection locked="0"/>
    </xf>
    <xf numFmtId="0" fontId="11" fillId="0" borderId="37" xfId="11" applyFont="1" applyBorder="1" applyProtection="1">
      <protection locked="0"/>
    </xf>
    <xf numFmtId="0" fontId="18" fillId="0" borderId="38" xfId="11" applyFont="1" applyBorder="1" applyProtection="1">
      <protection locked="0"/>
    </xf>
    <xf numFmtId="0" fontId="11" fillId="0" borderId="40" xfId="11" applyFont="1" applyBorder="1" applyProtection="1">
      <protection locked="0"/>
    </xf>
    <xf numFmtId="0" fontId="11" fillId="0" borderId="33" xfId="11" quotePrefix="1" applyFont="1" applyBorder="1" applyAlignment="1" applyProtection="1">
      <alignment horizontal="left"/>
      <protection locked="0"/>
    </xf>
    <xf numFmtId="0" fontId="11" fillId="0" borderId="39" xfId="0" applyFont="1" applyBorder="1" applyProtection="1"/>
    <xf numFmtId="0" fontId="11" fillId="0" borderId="0" xfId="11" applyFont="1" applyBorder="1" applyProtection="1"/>
    <xf numFmtId="0" fontId="11" fillId="0" borderId="37" xfId="11" applyFont="1" applyBorder="1" applyProtection="1"/>
    <xf numFmtId="0" fontId="11" fillId="0" borderId="39" xfId="11" applyFont="1" applyBorder="1" applyProtection="1"/>
    <xf numFmtId="0" fontId="11" fillId="0" borderId="40" xfId="11" applyFont="1" applyBorder="1" applyProtection="1"/>
    <xf numFmtId="170" fontId="16" fillId="0" borderId="0" xfId="0" applyNumberFormat="1" applyFont="1" applyAlignment="1" applyProtection="1">
      <alignment horizontal="center"/>
      <protection locked="0"/>
    </xf>
    <xf numFmtId="168" fontId="21" fillId="0" borderId="0" xfId="0" applyNumberFormat="1" applyFont="1" applyAlignment="1" applyProtection="1">
      <alignment horizontal="center"/>
    </xf>
    <xf numFmtId="166" fontId="21" fillId="0" borderId="0" xfId="0" applyNumberFormat="1" applyFont="1" applyAlignment="1" applyProtection="1">
      <alignment horizontal="center"/>
    </xf>
    <xf numFmtId="0" fontId="11" fillId="0" borderId="0" xfId="0" applyFont="1" applyProtection="1">
      <protection locked="0"/>
    </xf>
  </cellXfs>
  <cellStyles count="16">
    <cellStyle name="InputData" xfId="1"/>
    <cellStyle name="Normal" xfId="0" builtinId="0"/>
    <cellStyle name="Normal_CASE" xfId="2"/>
    <cellStyle name="Normal_Dialog1" xfId="3"/>
    <cellStyle name="Normal_Dialog2" xfId="4"/>
    <cellStyle name="Normal_Dialog3" xfId="5"/>
    <cellStyle name="Normal_Dialog4" xfId="6"/>
    <cellStyle name="Normal_Dialog5" xfId="7"/>
    <cellStyle name="Normal_MF" xfId="8"/>
    <cellStyle name="Normal_NEW HOLLAND" xfId="9"/>
    <cellStyle name="Normal_OTHERS" xfId="10"/>
    <cellStyle name="Normal_Summary" xfId="11"/>
    <cellStyle name="Normal_tire" xfId="12"/>
    <cellStyle name="Normal_tractor" xfId="13"/>
    <cellStyle name="Normaldata" xfId="14"/>
    <cellStyle name="Percent" xfId="15"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dialogsheet" Target="dialogsheets/sheet3.xml"/><Relationship Id="rId26" Type="http://schemas.openxmlformats.org/officeDocument/2006/relationships/dialogsheet" Target="dialogsheets/sheet5.xml"/><Relationship Id="rId3" Type="http://schemas.openxmlformats.org/officeDocument/2006/relationships/worksheet" Target="worksheets/sheet3.xml"/><Relationship Id="rId21" Type="http://schemas.openxmlformats.org/officeDocument/2006/relationships/chartsheet" Target="chartsheets/sheet5.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dialogsheet" Target="dialogsheets/sheet2.xml"/><Relationship Id="rId25" Type="http://schemas.openxmlformats.org/officeDocument/2006/relationships/dialogsheet" Target="dialogsheets/sheet4.xml"/><Relationship Id="rId2" Type="http://schemas.openxmlformats.org/officeDocument/2006/relationships/worksheet" Target="worksheets/sheet2.xml"/><Relationship Id="rId16" Type="http://schemas.openxmlformats.org/officeDocument/2006/relationships/dialogsheet" Target="dialogsheets/sheet1.xml"/><Relationship Id="rId20" Type="http://schemas.openxmlformats.org/officeDocument/2006/relationships/chartsheet" Target="chartsheets/sheet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chartsheet" Target="chartsheets/sheet7.xml"/><Relationship Id="rId5" Type="http://schemas.openxmlformats.org/officeDocument/2006/relationships/worksheet" Target="worksheets/sheet4.xml"/><Relationship Id="rId15" Type="http://schemas.openxmlformats.org/officeDocument/2006/relationships/chartsheet" Target="chartsheets/sheet2.xml"/><Relationship Id="rId23" Type="http://schemas.openxmlformats.org/officeDocument/2006/relationships/worksheet" Target="worksheets/sheet14.xml"/><Relationship Id="rId28" Type="http://schemas.openxmlformats.org/officeDocument/2006/relationships/styles" Target="styles.xml"/><Relationship Id="rId10" Type="http://schemas.openxmlformats.org/officeDocument/2006/relationships/worksheet" Target="worksheets/sheet9.xml"/><Relationship Id="rId19" Type="http://schemas.openxmlformats.org/officeDocument/2006/relationships/chartsheet" Target="chartsheets/sheet3.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chartsheet" Target="chartsheets/sheet6.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SUMMARY DATA CHART</a:t>
            </a:r>
          </a:p>
        </c:rich>
      </c:tx>
      <c:layout>
        <c:manualLayout>
          <c:xMode val="edge"/>
          <c:yMode val="edge"/>
          <c:x val="0.38956714761376249"/>
          <c:y val="0"/>
        </c:manualLayout>
      </c:layout>
      <c:overlay val="0"/>
      <c:spPr>
        <a:noFill/>
        <a:ln w="25400">
          <a:noFill/>
        </a:ln>
      </c:spPr>
    </c:title>
    <c:autoTitleDeleted val="0"/>
    <c:plotArea>
      <c:layout>
        <c:manualLayout>
          <c:layoutTarget val="inner"/>
          <c:xMode val="edge"/>
          <c:yMode val="edge"/>
          <c:x val="9.1009988901220862E-2"/>
          <c:y val="9.1353996737357265E-2"/>
          <c:w val="0.81687014428412874"/>
          <c:h val="0.69983686786296906"/>
        </c:manualLayout>
      </c:layout>
      <c:scatterChart>
        <c:scatterStyle val="lineMarker"/>
        <c:varyColors val="0"/>
        <c:ser>
          <c:idx val="0"/>
          <c:order val="0"/>
          <c:tx>
            <c:strRef>
              <c:f>Summary!$C$64</c:f>
              <c:strCache>
                <c:ptCount val="1"/>
                <c:pt idx="0">
                  <c:v>PDE</c:v>
                </c:pt>
              </c:strCache>
            </c:strRef>
          </c:tx>
          <c:spPr>
            <a:ln w="19050">
              <a:noFill/>
            </a:ln>
          </c:spPr>
          <c:marker>
            <c:symbol val="diamond"/>
            <c:size val="5"/>
            <c:spPr>
              <a:solidFill>
                <a:srgbClr val="000080"/>
              </a:solidFill>
              <a:ln>
                <a:solidFill>
                  <a:srgbClr val="000080"/>
                </a:solidFill>
                <a:prstDash val="solid"/>
              </a:ln>
            </c:spPr>
          </c:marker>
          <c:xVal>
            <c:numRef>
              <c:f>Summary!$E$63:$W$63</c:f>
              <c:numCache>
                <c:formatCode>General</c:formatCode>
                <c:ptCount val="19"/>
                <c:pt idx="0">
                  <c:v>0.81926595434425797</c:v>
                </c:pt>
                <c:pt idx="1">
                  <c:v>0.71153589376471738</c:v>
                </c:pt>
                <c:pt idx="2">
                  <c:v>0.61953786931034083</c:v>
                </c:pt>
                <c:pt idx="3">
                  <c:v>0.5469149560795894</c:v>
                </c:pt>
                <c:pt idx="4">
                  <c:v>0.48845332939549785</c:v>
                </c:pt>
                <c:pt idx="5">
                  <c:v>0.44045434647501436</c:v>
                </c:pt>
                <c:pt idx="6">
                  <c:v>0.40036570380727327</c:v>
                </c:pt>
                <c:pt idx="7">
                  <c:v>0.33723745935400767</c:v>
                </c:pt>
                <c:pt idx="8">
                  <c:v>0.28980360783080744</c:v>
                </c:pt>
                <c:pt idx="9">
                  <c:v>0.25286693447179853</c:v>
                </c:pt>
                <c:pt idx="10">
                  <c:v>0.22329318134184217</c:v>
                </c:pt>
                <c:pt idx="11">
                  <c:v>0.17889699692926078</c:v>
                </c:pt>
                <c:pt idx="12">
                  <c:v>0.14716021315464786</c:v>
                </c:pt>
                <c:pt idx="13">
                  <c:v>0.12334533543220727</c:v>
                </c:pt>
                <c:pt idx="14">
                  <c:v>0.10481579526238721</c:v>
                </c:pt>
                <c:pt idx="15">
                  <c:v>8.9988033236788723E-2</c:v>
                </c:pt>
                <c:pt idx="16">
                  <c:v>0.44045343825367173</c:v>
                </c:pt>
                <c:pt idx="17">
                  <c:v>0.44045534342238446</c:v>
                </c:pt>
                <c:pt idx="18">
                  <c:v>0.4404541176779691</c:v>
                </c:pt>
              </c:numCache>
            </c:numRef>
          </c:xVal>
          <c:yVal>
            <c:numRef>
              <c:f>Summary!$E$64:$W$64</c:f>
              <c:numCache>
                <c:formatCode>General</c:formatCode>
                <c:ptCount val="19"/>
                <c:pt idx="0">
                  <c:v>0.30384248446999002</c:v>
                </c:pt>
                <c:pt idx="1">
                  <c:v>0.62513768788201152</c:v>
                </c:pt>
                <c:pt idx="2">
                  <c:v>0.68574751374909926</c:v>
                </c:pt>
                <c:pt idx="3">
                  <c:v>0.71419631007953388</c:v>
                </c:pt>
                <c:pt idx="4">
                  <c:v>0.72974545764392396</c:v>
                </c:pt>
                <c:pt idx="5">
                  <c:v>0.73851903330436852</c:v>
                </c:pt>
                <c:pt idx="6">
                  <c:v>0.743211351468135</c:v>
                </c:pt>
                <c:pt idx="7">
                  <c:v>0.74538080947615892</c:v>
                </c:pt>
                <c:pt idx="8">
                  <c:v>0.74196590309638311</c:v>
                </c:pt>
                <c:pt idx="9">
                  <c:v>0.73534699931964598</c:v>
                </c:pt>
                <c:pt idx="10">
                  <c:v>0.72670895326032481</c:v>
                </c:pt>
                <c:pt idx="11">
                  <c:v>0.70576025617443339</c:v>
                </c:pt>
                <c:pt idx="12">
                  <c:v>0.68191159096527698</c:v>
                </c:pt>
                <c:pt idx="13">
                  <c:v>0.65638344099554502</c:v>
                </c:pt>
                <c:pt idx="14">
                  <c:v>0.62979339903645093</c:v>
                </c:pt>
                <c:pt idx="15">
                  <c:v>0.60248874617868942</c:v>
                </c:pt>
                <c:pt idx="16">
                  <c:v>0.73851836056448339</c:v>
                </c:pt>
                <c:pt idx="17">
                  <c:v>0.73851977174131822</c:v>
                </c:pt>
                <c:pt idx="18">
                  <c:v>0.73851886383081655</c:v>
                </c:pt>
              </c:numCache>
            </c:numRef>
          </c:yVal>
          <c:smooth val="0"/>
        </c:ser>
        <c:dLbls>
          <c:showLegendKey val="0"/>
          <c:showVal val="0"/>
          <c:showCatName val="0"/>
          <c:showSerName val="0"/>
          <c:showPercent val="0"/>
          <c:showBubbleSize val="0"/>
        </c:dLbls>
        <c:axId val="454071016"/>
        <c:axId val="454071408"/>
      </c:scatterChart>
      <c:scatterChart>
        <c:scatterStyle val="lineMarker"/>
        <c:varyColors val="0"/>
        <c:ser>
          <c:idx val="1"/>
          <c:order val="1"/>
          <c:tx>
            <c:strRef>
              <c:f>Summary!$C$65</c:f>
              <c:strCache>
                <c:ptCount val="1"/>
                <c:pt idx="0">
                  <c:v>Speed</c:v>
                </c:pt>
              </c:strCache>
            </c:strRef>
          </c:tx>
          <c:spPr>
            <a:ln w="19050">
              <a:noFill/>
            </a:ln>
          </c:spPr>
          <c:marker>
            <c:symbol val="circle"/>
            <c:size val="5"/>
            <c:spPr>
              <a:noFill/>
              <a:ln>
                <a:solidFill>
                  <a:srgbClr val="FF0000"/>
                </a:solidFill>
                <a:prstDash val="solid"/>
              </a:ln>
            </c:spPr>
          </c:marker>
          <c:xVal>
            <c:numRef>
              <c:f>Summary!$E$63:$W$63</c:f>
              <c:numCache>
                <c:formatCode>General</c:formatCode>
                <c:ptCount val="19"/>
                <c:pt idx="0">
                  <c:v>0.81926595434425797</c:v>
                </c:pt>
                <c:pt idx="1">
                  <c:v>0.71153589376471738</c:v>
                </c:pt>
                <c:pt idx="2">
                  <c:v>0.61953786931034083</c:v>
                </c:pt>
                <c:pt idx="3">
                  <c:v>0.5469149560795894</c:v>
                </c:pt>
                <c:pt idx="4">
                  <c:v>0.48845332939549785</c:v>
                </c:pt>
                <c:pt idx="5">
                  <c:v>0.44045434647501436</c:v>
                </c:pt>
                <c:pt idx="6">
                  <c:v>0.40036570380727327</c:v>
                </c:pt>
                <c:pt idx="7">
                  <c:v>0.33723745935400767</c:v>
                </c:pt>
                <c:pt idx="8">
                  <c:v>0.28980360783080744</c:v>
                </c:pt>
                <c:pt idx="9">
                  <c:v>0.25286693447179853</c:v>
                </c:pt>
                <c:pt idx="10">
                  <c:v>0.22329318134184217</c:v>
                </c:pt>
                <c:pt idx="11">
                  <c:v>0.17889699692926078</c:v>
                </c:pt>
                <c:pt idx="12">
                  <c:v>0.14716021315464786</c:v>
                </c:pt>
                <c:pt idx="13">
                  <c:v>0.12334533543220727</c:v>
                </c:pt>
                <c:pt idx="14">
                  <c:v>0.10481579526238721</c:v>
                </c:pt>
                <c:pt idx="15">
                  <c:v>8.9988033236788723E-2</c:v>
                </c:pt>
                <c:pt idx="16">
                  <c:v>0.44045343825367173</c:v>
                </c:pt>
                <c:pt idx="17">
                  <c:v>0.44045534342238446</c:v>
                </c:pt>
                <c:pt idx="18">
                  <c:v>0.4404541176779691</c:v>
                </c:pt>
              </c:numCache>
            </c:numRef>
          </c:xVal>
          <c:yVal>
            <c:numRef>
              <c:f>Summary!$E$65:$W$65</c:f>
              <c:numCache>
                <c:formatCode>General</c:formatCode>
                <c:ptCount val="19"/>
                <c:pt idx="0">
                  <c:v>1.7505605240014688</c:v>
                </c:pt>
                <c:pt idx="1">
                  <c:v>4.1470402152782553</c:v>
                </c:pt>
                <c:pt idx="2">
                  <c:v>5.2246329029949106</c:v>
                </c:pt>
                <c:pt idx="3">
                  <c:v>6.1639233932397923</c:v>
                </c:pt>
                <c:pt idx="4">
                  <c:v>7.0519267402285504</c:v>
                </c:pt>
                <c:pt idx="5">
                  <c:v>7.9144418384282433</c:v>
                </c:pt>
                <c:pt idx="6">
                  <c:v>8.7622370009301065</c:v>
                </c:pt>
                <c:pt idx="7">
                  <c:v>10.432833917207883</c:v>
                </c:pt>
                <c:pt idx="8">
                  <c:v>12.084817932801792</c:v>
                </c:pt>
                <c:pt idx="9">
                  <c:v>13.726514069069989</c:v>
                </c:pt>
                <c:pt idx="10">
                  <c:v>15.361903535679092</c:v>
                </c:pt>
                <c:pt idx="11">
                  <c:v>18.621508890963753</c:v>
                </c:pt>
                <c:pt idx="12">
                  <c:v>21.872491943412403</c:v>
                </c:pt>
                <c:pt idx="13">
                  <c:v>25.118595872224255</c:v>
                </c:pt>
                <c:pt idx="14">
                  <c:v>28.361664905823176</c:v>
                </c:pt>
                <c:pt idx="15">
                  <c:v>31.602716816420067</c:v>
                </c:pt>
                <c:pt idx="16">
                  <c:v>7.9144342596883721</c:v>
                </c:pt>
                <c:pt idx="17">
                  <c:v>7.9144501576693473</c:v>
                </c:pt>
                <c:pt idx="18">
                  <c:v>7.9144399292059697</c:v>
                </c:pt>
              </c:numCache>
            </c:numRef>
          </c:yVal>
          <c:smooth val="0"/>
        </c:ser>
        <c:dLbls>
          <c:showLegendKey val="0"/>
          <c:showVal val="0"/>
          <c:showCatName val="0"/>
          <c:showSerName val="0"/>
          <c:showPercent val="0"/>
          <c:showBubbleSize val="0"/>
        </c:dLbls>
        <c:axId val="454071800"/>
        <c:axId val="454072192"/>
      </c:scatterChart>
      <c:valAx>
        <c:axId val="454071016"/>
        <c:scaling>
          <c:orientation val="minMax"/>
        </c:scaling>
        <c:delete val="0"/>
        <c:axPos val="b"/>
        <c:majorGridlines>
          <c:spPr>
            <a:ln w="3175">
              <a:solidFill>
                <a:srgbClr val="C0C0C0"/>
              </a:solidFill>
              <a:prstDash val="solid"/>
            </a:ln>
          </c:spPr>
        </c:majorGridlines>
        <c:title>
          <c:tx>
            <c:strRef>
              <c:f>Summary!$C$70</c:f>
              <c:strCache>
                <c:ptCount val="1"/>
                <c:pt idx="0">
                  <c:v>Vehicle Traction Ratio, VTR</c:v>
                </c:pt>
              </c:strCache>
            </c:strRef>
          </c:tx>
          <c:layout>
            <c:manualLayout>
              <c:xMode val="edge"/>
              <c:yMode val="edge"/>
              <c:x val="0.35516093229744727"/>
              <c:y val="0.84176182707993474"/>
            </c:manualLayout>
          </c:layout>
          <c:overlay val="0"/>
          <c:spPr>
            <a:noFill/>
            <a:ln w="25400">
              <a:noFill/>
            </a:ln>
          </c:spPr>
          <c:txPr>
            <a:bodyPr/>
            <a:lstStyle/>
            <a:p>
              <a:pPr>
                <a:defRPr sz="1400" b="1" i="0" u="none" strike="noStrike" baseline="0">
                  <a:solidFill>
                    <a:srgbClr val="000000"/>
                  </a:solidFill>
                  <a:latin typeface="Arial"/>
                  <a:ea typeface="Arial"/>
                  <a:cs typeface="Arial"/>
                </a:defRPr>
              </a:pPr>
              <a:endParaRPr lang="en-US"/>
            </a:p>
          </c:tx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54071408"/>
        <c:crosses val="autoZero"/>
        <c:crossBetween val="midCat"/>
      </c:valAx>
      <c:valAx>
        <c:axId val="454071408"/>
        <c:scaling>
          <c:orientation val="minMax"/>
        </c:scaling>
        <c:delete val="0"/>
        <c:axPos val="l"/>
        <c:majorGridlines>
          <c:spPr>
            <a:ln w="3175">
              <a:solidFill>
                <a:srgbClr val="C0C0C0"/>
              </a:solidFill>
              <a:prstDash val="solid"/>
            </a:ln>
          </c:spPr>
        </c:majorGridlines>
        <c:title>
          <c:tx>
            <c:strRef>
              <c:f>Summary!$C$71</c:f>
              <c:strCache>
                <c:ptCount val="1"/>
                <c:pt idx="0">
                  <c:v>Power Delivery Efficiency</c:v>
                </c:pt>
              </c:strCache>
            </c:strRef>
          </c:tx>
          <c:layout>
            <c:manualLayout>
              <c:xMode val="edge"/>
              <c:yMode val="edge"/>
              <c:x val="2.1087680355160933E-2"/>
              <c:y val="0.31321370309951058"/>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en-US"/>
            </a:p>
          </c:tx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54071016"/>
        <c:crosses val="autoZero"/>
        <c:crossBetween val="midCat"/>
      </c:valAx>
      <c:valAx>
        <c:axId val="454071800"/>
        <c:scaling>
          <c:orientation val="minMax"/>
        </c:scaling>
        <c:delete val="1"/>
        <c:axPos val="b"/>
        <c:numFmt formatCode="General" sourceLinked="1"/>
        <c:majorTickMark val="out"/>
        <c:minorTickMark val="none"/>
        <c:tickLblPos val="nextTo"/>
        <c:crossAx val="454072192"/>
        <c:crosses val="autoZero"/>
        <c:crossBetween val="midCat"/>
      </c:valAx>
      <c:valAx>
        <c:axId val="454072192"/>
        <c:scaling>
          <c:orientation val="minMax"/>
        </c:scaling>
        <c:delete val="0"/>
        <c:axPos val="r"/>
        <c:title>
          <c:tx>
            <c:strRef>
              <c:f>Summary!$C$72</c:f>
              <c:strCache>
                <c:ptCount val="1"/>
                <c:pt idx="0">
                  <c:v>Ground Speed (kph)</c:v>
                </c:pt>
              </c:strCache>
            </c:strRef>
          </c:tx>
          <c:layout>
            <c:manualLayout>
              <c:xMode val="edge"/>
              <c:yMode val="edge"/>
              <c:x val="0.93784683684794667"/>
              <c:y val="0.32463295269168024"/>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en-US"/>
            </a:p>
          </c:txPr>
        </c:title>
        <c:numFmt formatCode="General"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54071800"/>
        <c:crosses val="max"/>
        <c:crossBetween val="midCat"/>
      </c:valAx>
      <c:spPr>
        <a:noFill/>
        <a:ln w="12700">
          <a:solidFill>
            <a:srgbClr val="808080"/>
          </a:solidFill>
          <a:prstDash val="solid"/>
        </a:ln>
      </c:spPr>
    </c:plotArea>
    <c:legend>
      <c:legendPos val="r"/>
      <c:legendEntry>
        <c:idx val="0"/>
        <c:txPr>
          <a:bodyPr/>
          <a:lstStyle/>
          <a:p>
            <a:pPr>
              <a:defRPr sz="1100" b="0" i="0" u="none" strike="noStrike" baseline="0">
                <a:solidFill>
                  <a:srgbClr val="000000"/>
                </a:solidFill>
                <a:latin typeface="Arial"/>
                <a:ea typeface="Arial"/>
                <a:cs typeface="Arial"/>
              </a:defRPr>
            </a:pPr>
            <a:endParaRPr lang="en-US"/>
          </a:p>
        </c:txPr>
      </c:legendEntry>
      <c:legendEntry>
        <c:idx val="1"/>
        <c:txPr>
          <a:bodyPr/>
          <a:lstStyle/>
          <a:p>
            <a:pPr>
              <a:defRPr sz="1100" b="0" i="0" u="none" strike="noStrike" baseline="0">
                <a:solidFill>
                  <a:srgbClr val="000000"/>
                </a:solidFill>
                <a:latin typeface="Arial"/>
                <a:ea typeface="Arial"/>
                <a:cs typeface="Arial"/>
              </a:defRPr>
            </a:pPr>
            <a:endParaRPr lang="en-US"/>
          </a:p>
        </c:txPr>
      </c:legendEntry>
      <c:layout>
        <c:manualLayout>
          <c:xMode val="edge"/>
          <c:yMode val="edge"/>
          <c:x val="9.4339622641509441E-2"/>
          <c:y val="0.87438825448613378"/>
          <c:w val="0.1853496115427303"/>
          <c:h val="9.7879282218597069E-2"/>
        </c:manualLayout>
      </c:layout>
      <c:overlay val="0"/>
      <c:spPr>
        <a:solidFill>
          <a:srgbClr val="C0C0C0"/>
        </a:solidFill>
        <a:ln w="3175">
          <a:solidFill>
            <a:srgbClr val="000000"/>
          </a:solidFill>
          <a:prstDash val="solid"/>
        </a:ln>
      </c:spPr>
      <c:txPr>
        <a:bodyPr/>
        <a:lstStyle/>
        <a:p>
          <a:pPr>
            <a:defRPr sz="920" b="0" i="0" u="none" strike="noStrike" baseline="0">
              <a:solidFill>
                <a:srgbClr val="000000"/>
              </a:solidFill>
              <a:latin typeface="Arial"/>
              <a:ea typeface="Arial"/>
              <a:cs typeface="Arial"/>
            </a:defRPr>
          </a:pPr>
          <a:endParaRPr lang="en-US"/>
        </a:p>
      </c:txPr>
    </c:legend>
    <c:plotVisOnly val="1"/>
    <c:dispBlanksAs val="gap"/>
    <c:showDLblsOverMax val="0"/>
  </c:chart>
  <c:spPr>
    <a:noFill/>
    <a:ln w="6350">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sz="1200" b="1" i="0" u="none" strike="noStrike" baseline="0">
                <a:solidFill>
                  <a:srgbClr val="000000"/>
                </a:solidFill>
                <a:latin typeface="Arial"/>
                <a:ea typeface="Arial"/>
                <a:cs typeface="Arial"/>
              </a:defRPr>
            </a:pPr>
            <a:r>
              <a:rPr lang="en-US"/>
              <a:t>Input to Axle Efficiency</a:t>
            </a:r>
          </a:p>
        </c:rich>
      </c:tx>
      <c:layout>
        <c:manualLayout>
          <c:xMode val="edge"/>
          <c:yMode val="edge"/>
          <c:x val="0.3995560488346282"/>
          <c:y val="1.9575856443719411E-2"/>
        </c:manualLayout>
      </c:layout>
      <c:overlay val="0"/>
      <c:spPr>
        <a:noFill/>
        <a:ln w="25400">
          <a:noFill/>
        </a:ln>
      </c:spPr>
    </c:title>
    <c:autoTitleDeleted val="0"/>
    <c:plotArea>
      <c:layout>
        <c:manualLayout>
          <c:layoutTarget val="inner"/>
          <c:xMode val="edge"/>
          <c:yMode val="edge"/>
          <c:x val="6.8812430632630414E-2"/>
          <c:y val="0.12724306688417619"/>
          <c:w val="0.85016648168701447"/>
          <c:h val="0.75693311582381728"/>
        </c:manualLayout>
      </c:layout>
      <c:barChart>
        <c:barDir val="col"/>
        <c:grouping val="clustered"/>
        <c:varyColors val="0"/>
        <c:ser>
          <c:idx val="1"/>
          <c:order val="0"/>
          <c:spPr>
            <a:solidFill>
              <a:srgbClr val="802060"/>
            </a:solidFill>
            <a:ln w="12700">
              <a:solidFill>
                <a:srgbClr val="000000"/>
              </a:solidFill>
              <a:prstDash val="solid"/>
            </a:ln>
          </c:spPr>
          <c:invertIfNegative val="0"/>
          <c:dLbls>
            <c:spPr>
              <a:noFill/>
              <a:ln w="25400">
                <a:noFill/>
              </a:ln>
            </c:spPr>
            <c:txPr>
              <a:bodyPr wrap="square" lIns="38100" tIns="19050" rIns="38100" bIns="19050" anchor="ctr">
                <a:spAutoFit/>
              </a:bodyPr>
              <a:lstStyle/>
              <a:p>
                <a:pPr>
                  <a:defRPr sz="1000" b="1" i="0" u="none" strike="noStrike" baseline="0">
                    <a:solidFill>
                      <a:srgbClr val="000000"/>
                    </a:solidFill>
                    <a:latin typeface="Arial"/>
                    <a:ea typeface="Arial"/>
                    <a:cs typeface="Arial"/>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tractor!$J$13:$J$26</c:f>
              <c:numCache>
                <c:formatCode>0.000</c:formatCode>
                <c:ptCount val="14"/>
                <c:pt idx="0">
                  <c:v>0.8</c:v>
                </c:pt>
                <c:pt idx="1">
                  <c:v>0.82</c:v>
                </c:pt>
                <c:pt idx="2">
                  <c:v>0.84</c:v>
                </c:pt>
                <c:pt idx="3">
                  <c:v>0.86</c:v>
                </c:pt>
                <c:pt idx="4">
                  <c:v>0.88</c:v>
                </c:pt>
                <c:pt idx="5">
                  <c:v>0.9</c:v>
                </c:pt>
                <c:pt idx="6">
                  <c:v>0.91999999999999904</c:v>
                </c:pt>
                <c:pt idx="7">
                  <c:v>0.93999999999999895</c:v>
                </c:pt>
                <c:pt idx="8">
                  <c:v>0.95999999999999897</c:v>
                </c:pt>
                <c:pt idx="9">
                  <c:v>0.97999999999999898</c:v>
                </c:pt>
                <c:pt idx="10">
                  <c:v>0.999999999999999</c:v>
                </c:pt>
                <c:pt idx="11">
                  <c:v>1.02</c:v>
                </c:pt>
                <c:pt idx="12">
                  <c:v>1.04</c:v>
                </c:pt>
                <c:pt idx="13">
                  <c:v>1.06</c:v>
                </c:pt>
              </c:numCache>
            </c:numRef>
          </c:cat>
          <c:val>
            <c:numRef>
              <c:f>tractor!$K$13:$K$26</c:f>
              <c:numCache>
                <c:formatCode>General</c:formatCode>
                <c:ptCount val="14"/>
                <c:pt idx="0">
                  <c:v>0</c:v>
                </c:pt>
                <c:pt idx="1">
                  <c:v>0</c:v>
                </c:pt>
                <c:pt idx="2">
                  <c:v>0</c:v>
                </c:pt>
                <c:pt idx="3">
                  <c:v>3</c:v>
                </c:pt>
                <c:pt idx="4">
                  <c:v>6</c:v>
                </c:pt>
                <c:pt idx="5">
                  <c:v>9</c:v>
                </c:pt>
                <c:pt idx="6">
                  <c:v>17</c:v>
                </c:pt>
                <c:pt idx="7">
                  <c:v>28</c:v>
                </c:pt>
                <c:pt idx="8">
                  <c:v>29</c:v>
                </c:pt>
                <c:pt idx="9">
                  <c:v>24</c:v>
                </c:pt>
                <c:pt idx="10">
                  <c:v>17</c:v>
                </c:pt>
                <c:pt idx="11">
                  <c:v>9</c:v>
                </c:pt>
                <c:pt idx="12">
                  <c:v>0</c:v>
                </c:pt>
                <c:pt idx="13">
                  <c:v>0</c:v>
                </c:pt>
              </c:numCache>
            </c:numRef>
          </c:val>
        </c:ser>
        <c:dLbls>
          <c:showLegendKey val="0"/>
          <c:showVal val="0"/>
          <c:showCatName val="0"/>
          <c:showSerName val="0"/>
          <c:showPercent val="0"/>
          <c:showBubbleSize val="0"/>
        </c:dLbls>
        <c:gapWidth val="150"/>
        <c:axId val="420207688"/>
        <c:axId val="420208080"/>
      </c:barChart>
      <c:catAx>
        <c:axId val="42020768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Axle Power/Input (PTO) Power</a:t>
                </a:r>
              </a:p>
            </c:rich>
          </c:tx>
          <c:layout>
            <c:manualLayout>
              <c:xMode val="edge"/>
              <c:yMode val="edge"/>
              <c:x val="0.38401775804661487"/>
              <c:y val="0.93474714518760194"/>
            </c:manualLayout>
          </c:layout>
          <c:overlay val="0"/>
          <c:spPr>
            <a:noFill/>
            <a:ln w="25400">
              <a:noFill/>
            </a:ln>
          </c:spPr>
        </c:title>
        <c:numFmt formatCode="0.000" sourceLinked="1"/>
        <c:majorTickMark val="cross"/>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20208080"/>
        <c:crosses val="autoZero"/>
        <c:auto val="0"/>
        <c:lblAlgn val="ctr"/>
        <c:lblOffset val="100"/>
        <c:tickLblSkip val="1"/>
        <c:tickMarkSkip val="1"/>
        <c:noMultiLvlLbl val="0"/>
      </c:catAx>
      <c:valAx>
        <c:axId val="420208080"/>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Number of Tractors</a:t>
                </a:r>
              </a:p>
            </c:rich>
          </c:tx>
          <c:layout>
            <c:manualLayout>
              <c:xMode val="edge"/>
              <c:yMode val="edge"/>
              <c:x val="1.4428412874583796E-2"/>
              <c:y val="0.4045676998368678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20207688"/>
        <c:crosses val="autoZero"/>
        <c:crossBetween val="between"/>
      </c:valAx>
      <c:spPr>
        <a:solidFill>
          <a:srgbClr val="E3E3E3"/>
        </a:solidFill>
        <a:ln w="12700">
          <a:solidFill>
            <a:srgbClr val="808080"/>
          </a:solidFill>
          <a:prstDash val="solid"/>
        </a:ln>
      </c:spPr>
    </c:plotArea>
    <c:plotVisOnly val="1"/>
    <c:dispBlanksAs val="gap"/>
    <c:showDLblsOverMax val="0"/>
  </c:chart>
  <c:spPr>
    <a:noFill/>
    <a:ln w="6350">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sz="1000" b="1" i="0" u="none" strike="noStrike" baseline="0">
                <a:solidFill>
                  <a:srgbClr val="000000"/>
                </a:solidFill>
                <a:latin typeface="Arial"/>
                <a:ea typeface="Arial"/>
                <a:cs typeface="Arial"/>
              </a:defRPr>
            </a:pPr>
            <a:r>
              <a:rPr lang="en-US"/>
              <a:t>TRACTION EQUATION PLOT WITH CURRENT Bn</a:t>
            </a:r>
          </a:p>
        </c:rich>
      </c:tx>
      <c:layout>
        <c:manualLayout>
          <c:xMode val="edge"/>
          <c:yMode val="edge"/>
          <c:x val="0.33074361820199777"/>
          <c:y val="1.9575856443719411E-2"/>
        </c:manualLayout>
      </c:layout>
      <c:overlay val="0"/>
      <c:spPr>
        <a:noFill/>
        <a:ln w="25400">
          <a:noFill/>
        </a:ln>
      </c:spPr>
    </c:title>
    <c:autoTitleDeleted val="0"/>
    <c:plotArea>
      <c:layout>
        <c:manualLayout>
          <c:layoutTarget val="inner"/>
          <c:xMode val="edge"/>
          <c:yMode val="edge"/>
          <c:x val="9.4339622641509441E-2"/>
          <c:y val="0.15497553017944535"/>
          <c:w val="0.87236403995560485"/>
          <c:h val="0.73898858075040785"/>
        </c:manualLayout>
      </c:layout>
      <c:scatterChart>
        <c:scatterStyle val="lineMarker"/>
        <c:varyColors val="0"/>
        <c:ser>
          <c:idx val="0"/>
          <c:order val="0"/>
          <c:spPr>
            <a:ln w="25400">
              <a:solidFill>
                <a:srgbClr val="0000FF"/>
              </a:solidFill>
              <a:prstDash val="solid"/>
            </a:ln>
          </c:spPr>
          <c:marker>
            <c:symbol val="none"/>
          </c:marker>
          <c:dLbls>
            <c:dLbl>
              <c:idx val="0"/>
              <c:tx>
                <c:strRef>
                  <c:f>tracperf!$BX$7</c:f>
                  <c:strCache>
                    <c:ptCount val="1"/>
                    <c:pt idx="0">
                      <c:v>TE</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{D89737D0-66C4-4758-AA0F-CD104B4EF036}</c15:txfldGUID>
                      <c15:f>tracperf!$BX$7</c15:f>
                      <c15:dlblFieldTableCache>
                        <c:ptCount val="1"/>
                        <c:pt idx="0">
                          <c:v>TE</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xVal>
          <c:yVal>
            <c:numRef>
              <c:f>tracperf!$BX$8:$BX$35</c:f>
              <c:numCache>
                <c:formatCode>0.000_)</c:formatCode>
                <c:ptCount val="28"/>
                <c:pt idx="0">
                  <c:v>0.49051398824734005</c:v>
                </c:pt>
                <c:pt idx="1">
                  <c:v>0.67097787386067831</c:v>
                </c:pt>
                <c:pt idx="2">
                  <c:v>0.74182716433814633</c:v>
                </c:pt>
                <c:pt idx="3">
                  <c:v>0.79474750126257099</c:v>
                </c:pt>
                <c:pt idx="4">
                  <c:v>0.80844504414615714</c:v>
                </c:pt>
                <c:pt idx="5">
                  <c:v>0.80461181110082314</c:v>
                </c:pt>
                <c:pt idx="6">
                  <c:v>0.78235719020714578</c:v>
                </c:pt>
                <c:pt idx="7">
                  <c:v>0.7679284154277759</c:v>
                </c:pt>
                <c:pt idx="8">
                  <c:v>0.75227088473958603</c:v>
                </c:pt>
                <c:pt idx="9">
                  <c:v>0.73575873711327322</c:v>
                </c:pt>
                <c:pt idx="10">
                  <c:v>0.71863362652027518</c:v>
                </c:pt>
                <c:pt idx="11">
                  <c:v>0.70105877828987206</c:v>
                </c:pt>
                <c:pt idx="12">
                  <c:v>0.68314854695903549</c:v>
                </c:pt>
                <c:pt idx="13">
                  <c:v>0.66498551969179809</c:v>
                </c:pt>
                <c:pt idx="14">
                  <c:v>0.64663088681664926</c:v>
                </c:pt>
                <c:pt idx="15">
                  <c:v>0.62813098239622833</c:v>
                </c:pt>
                <c:pt idx="16">
                  <c:v>0.60952155056077884</c:v>
                </c:pt>
                <c:pt idx="17">
                  <c:v>0.59083061088369515</c:v>
                </c:pt>
                <c:pt idx="18">
                  <c:v>0.5720804328609348</c:v>
                </c:pt>
                <c:pt idx="19">
                  <c:v>0.55328892785257378</c:v>
                </c:pt>
                <c:pt idx="20">
                  <c:v>0.53447065061469112</c:v>
                </c:pt>
                <c:pt idx="21">
                  <c:v>0.51563753336269369</c:v>
                </c:pt>
                <c:pt idx="22">
                  <c:v>0.49679943292226519</c:v>
                </c:pt>
                <c:pt idx="23">
                  <c:v>0.47796454488515921</c:v>
                </c:pt>
                <c:pt idx="24">
                  <c:v>0.45913972155592531</c:v>
                </c:pt>
              </c:numCache>
            </c:numRef>
          </c:yVal>
          <c:smooth val="0"/>
        </c:ser>
        <c:ser>
          <c:idx val="1"/>
          <c:order val="1"/>
          <c:spPr>
            <a:ln w="3175">
              <a:solidFill>
                <a:srgbClr val="000000"/>
              </a:solidFill>
              <a:prstDash val="solid"/>
            </a:ln>
          </c:spPr>
          <c:marker>
            <c:symbol val="none"/>
          </c:marker>
          <c:dLbls>
            <c:dLbl>
              <c:idx val="0"/>
              <c:tx>
                <c:strRef>
                  <c:f>tracperf!$CF$8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{2A1A75ED-3E3D-4BDF-9321-7818AA289941}</c15:txfldGUID>
                      <c15:f>tracperf!$CF$8</c15:f>
                      <c15:dlblFieldTableCache>
                        <c:ptCount val="1"/>
                      </c15:dlblFieldTableCache>
                    </c15:dlblFTEntry>
                  </c15:dlblFieldTable>
                  <c15:showDataLabelsRange val="0"/>
                </c:ext>
              </c:extLst>
            </c:dLbl>
            <c:dLbl>
              <c:idx val="1"/>
              <c:tx>
                <c:strRef>
                  <c:f>tracperf!$CF$9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{673AD251-1352-48AA-B5A9-C22E3DF265C5}</c15:txfldGUID>
                      <c15:f>tracperf!$CF$9</c15:f>
                      <c15:dlblFieldTableCache>
                        <c:ptCount val="1"/>
                      </c15:dlblFieldTableCache>
                    </c15:dlblFTEntry>
                  </c15:dlblFieldTable>
                  <c15:showDataLabelsRange val="0"/>
                </c:ext>
              </c:extLst>
            </c:dLbl>
            <c:dLbl>
              <c:idx val="2"/>
              <c:tx>
                <c:strRef>
                  <c:f>tracperf!$CF$10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{4E076C89-5422-44B6-BE1C-F2A0BC6A2536}</c15:txfldGUID>
                      <c15:f>tracperf!$CF$10</c15:f>
                      <c15:dlblFieldTableCache>
                        <c:ptCount val="1"/>
                      </c15:dlblFieldTableCache>
                    </c15:dlblFTEntry>
                  </c15:dlblFieldTable>
                  <c15:showDataLabelsRange val="0"/>
                </c:ext>
              </c:extLst>
            </c:dLbl>
            <c:dLbl>
              <c:idx val="3"/>
              <c:tx>
                <c:strRef>
                  <c:f>tracperf!$CF$11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{E1DBEBCA-303F-4F1B-A3A3-6A62C1D4FD5B}</c15:txfldGUID>
                      <c15:f>tracperf!$CF$11</c15:f>
                      <c15:dlblFieldTableCache>
                        <c:ptCount val="1"/>
                      </c15:dlblFieldTableCache>
                    </c15:dlblFTEntry>
                  </c15:dlblFieldTable>
                  <c15:showDataLabelsRange val="0"/>
                </c:ext>
              </c:extLst>
            </c:dLbl>
            <c:dLbl>
              <c:idx val="4"/>
              <c:tx>
                <c:strRef>
                  <c:f>tracperf!$CF$12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{C146F241-6DB9-4672-B5C2-F1F55035DBAD}</c15:txfldGUID>
                      <c15:f>tracperf!$CF$12</c15:f>
                      <c15:dlblFieldTableCache>
                        <c:ptCount val="1"/>
                      </c15:dlblFieldTableCache>
                    </c15:dlblFTEntry>
                  </c15:dlblFieldTable>
                  <c15:showDataLabelsRange val="0"/>
                </c:ext>
              </c:extLst>
            </c:dLbl>
            <c:dLbl>
              <c:idx val="5"/>
              <c:tx>
                <c:strRef>
                  <c:f>tracperf!$CF$13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{84DA3E72-4382-49DC-8896-D90DD41737E3}</c15:txfldGUID>
                      <c15:f>tracperf!$CF$13</c15:f>
                      <c15:dlblFieldTableCache>
                        <c:ptCount val="1"/>
                      </c15:dlblFieldTableCache>
                    </c15:dlblFTEntry>
                  </c15:dlblFieldTable>
                  <c15:showDataLabelsRange val="0"/>
                </c:ext>
              </c:extLst>
            </c:dLbl>
            <c:dLbl>
              <c:idx val="6"/>
              <c:tx>
                <c:strRef>
                  <c:f>tracperf!$CF$14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{FF2EA45A-5F36-48EA-87E6-60C32F3F9B9F}</c15:txfldGUID>
                      <c15:f>tracperf!$CF$14</c15:f>
                      <c15:dlblFieldTableCache>
                        <c:ptCount val="1"/>
                      </c15:dlblFieldTableCache>
                    </c15:dlblFTEntry>
                  </c15:dlblFieldTable>
                  <c15:showDataLabelsRange val="0"/>
                </c:ext>
              </c:extLst>
            </c:dLbl>
            <c:dLbl>
              <c:idx val="7"/>
              <c:tx>
                <c:strRef>
                  <c:f>tracperf!$CF$15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{AD30CA33-20E5-4022-9C97-47EB968128C7}</c15:txfldGUID>
                      <c15:f>tracperf!$CF$15</c15:f>
                      <c15:dlblFieldTableCache>
                        <c:ptCount val="1"/>
                      </c15:dlblFieldTableCache>
                    </c15:dlblFTEntry>
                  </c15:dlblFieldTable>
                  <c15:showDataLabelsRange val="0"/>
                </c:ext>
              </c:extLst>
            </c:dLbl>
            <c:dLbl>
              <c:idx val="8"/>
              <c:tx>
                <c:strRef>
                  <c:f>tracperf!$CF$16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{27970C1D-A4E7-4010-819E-7DDC167AEE96}</c15:txfldGUID>
                      <c15:f>tracperf!$CF$16</c15:f>
                      <c15:dlblFieldTableCache>
                        <c:ptCount val="1"/>
                      </c15:dlblFieldTableCache>
                    </c15:dlblFTEntry>
                  </c15:dlblFieldTable>
                  <c15:showDataLabelsRange val="0"/>
                </c:ext>
              </c:extLst>
            </c:dLbl>
            <c:dLbl>
              <c:idx val="9"/>
              <c:tx>
                <c:strRef>
                  <c:f>tracperf!$CF$17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{178EE955-A583-4C28-A860-5B262CF9CAFD}</c15:txfldGUID>
                      <c15:f>tracperf!$CF$17</c15:f>
                      <c15:dlblFieldTableCache>
                        <c:ptCount val="1"/>
                      </c15:dlblFieldTableCache>
                    </c15:dlblFTEntry>
                  </c15:dlblFieldTable>
                  <c15:showDataLabelsRange val="0"/>
                </c:ext>
              </c:extLst>
            </c:dLbl>
            <c:dLbl>
              <c:idx val="10"/>
              <c:tx>
                <c:strRef>
                  <c:f>tracperf!$CF$18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{D8B82320-377D-4129-A2C5-B21B0FA45F38}</c15:txfldGUID>
                      <c15:f>tracperf!$CF$18</c15:f>
                      <c15:dlblFieldTableCache>
                        <c:ptCount val="1"/>
                      </c15:dlblFieldTableCache>
                    </c15:dlblFTEntry>
                  </c15:dlblFieldTable>
                  <c15:showDataLabelsRange val="0"/>
                </c:ext>
              </c:extLst>
            </c:dLbl>
            <c:dLbl>
              <c:idx val="11"/>
              <c:tx>
                <c:strRef>
                  <c:f>tracperf!$CF$19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{FC1A5F07-C904-42DD-862F-843C020FA5BC}</c15:txfldGUID>
                      <c15:f>tracperf!$CF$19</c15:f>
                      <c15:dlblFieldTableCache>
                        <c:ptCount val="1"/>
                      </c15:dlblFieldTableCache>
                    </c15:dlblFTEntry>
                  </c15:dlblFieldTable>
                  <c15:showDataLabelsRange val="0"/>
                </c:ext>
              </c:extLst>
            </c:dLbl>
            <c:dLbl>
              <c:idx val="12"/>
              <c:tx>
                <c:strRef>
                  <c:f>tracperf!$CF$20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{AA58BA33-FA9E-4056-B4B0-27CD73EC68FE}</c15:txfldGUID>
                      <c15:f>tracperf!$CF$20</c15:f>
                      <c15:dlblFieldTableCache>
                        <c:ptCount val="1"/>
                      </c15:dlblFieldTableCache>
                    </c15:dlblFTEntry>
                  </c15:dlblFieldTable>
                  <c15:showDataLabelsRange val="0"/>
                </c:ext>
              </c:extLst>
            </c:dLbl>
            <c:dLbl>
              <c:idx val="13"/>
              <c:tx>
                <c:strRef>
                  <c:f>tracperf!$CF$21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{661EAFED-C214-45A7-9770-842A7FA3E5D3}</c15:txfldGUID>
                      <c15:f>tracperf!$CF$21</c15:f>
                      <c15:dlblFieldTableCache>
                        <c:ptCount val="1"/>
                      </c15:dlblFieldTableCache>
                    </c15:dlblFTEntry>
                  </c15:dlblFieldTable>
                  <c15:showDataLabelsRange val="0"/>
                </c:ext>
              </c:extLst>
            </c:dLbl>
            <c:dLbl>
              <c:idx val="14"/>
              <c:tx>
                <c:strRef>
                  <c:f>tracperf!$CF$22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{6E1BBEC2-75E6-49F1-9794-839F000A2650}</c15:txfldGUID>
                      <c15:f>tracperf!$CF$22</c15:f>
                      <c15:dlblFieldTableCache>
                        <c:ptCount val="1"/>
                      </c15:dlblFieldTableCache>
                    </c15:dlblFTEntry>
                  </c15:dlblFieldTable>
                  <c15:showDataLabelsRange val="0"/>
                </c:ext>
              </c:extLst>
            </c:dLbl>
            <c:dLbl>
              <c:idx val="15"/>
              <c:tx>
                <c:strRef>
                  <c:f>tracperf!$CF$23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{EED41CAF-F447-4046-AA97-7E8E98260543}</c15:txfldGUID>
                      <c15:f>tracperf!$CF$23</c15:f>
                      <c15:dlblFieldTableCache>
                        <c:ptCount val="1"/>
                      </c15:dlblFieldTableCache>
                    </c15:dlblFTEntry>
                  </c15:dlblFieldTable>
                  <c15:showDataLabelsRange val="0"/>
                </c:ext>
              </c:extLst>
            </c:dLbl>
            <c:dLbl>
              <c:idx val="16"/>
              <c:tx>
                <c:strRef>
                  <c:f>tracperf!$CF$24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{B8D951BC-34B3-4D36-8903-755A668A68C9}</c15:txfldGUID>
                      <c15:f>tracperf!$CF$24</c15:f>
                      <c15:dlblFieldTableCache>
                        <c:ptCount val="1"/>
                      </c15:dlblFieldTableCache>
                    </c15:dlblFTEntry>
                  </c15:dlblFieldTable>
                  <c15:showDataLabelsRange val="0"/>
                </c:ext>
              </c:extLst>
            </c:dLbl>
            <c:dLbl>
              <c:idx val="17"/>
              <c:tx>
                <c:strRef>
                  <c:f>tracperf!$CF$25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{A0D6479B-8BD5-4233-8F06-3C14A760A335}</c15:txfldGUID>
                      <c15:f>tracperf!$CF$25</c15:f>
                      <c15:dlblFieldTableCache>
                        <c:ptCount val="1"/>
                      </c15:dlblFieldTableCache>
                    </c15:dlblFTEntry>
                  </c15:dlblFieldTable>
                  <c15:showDataLabelsRange val="0"/>
                </c:ext>
              </c:extLst>
            </c:dLbl>
            <c:dLbl>
              <c:idx val="18"/>
              <c:tx>
                <c:strRef>
                  <c:f>tracperf!$CF$26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{8A6411C9-1608-4317-B5CE-D07D169EDCD9}</c15:txfldGUID>
                      <c15:f>tracperf!$CF$26</c15:f>
                      <c15:dlblFieldTableCache>
                        <c:ptCount val="1"/>
                      </c15:dlblFieldTableCache>
                    </c15:dlblFTEntry>
                  </c15:dlblFieldTable>
                  <c15:showDataLabelsRange val="0"/>
                </c:ext>
              </c:extLst>
            </c:dLbl>
            <c:dLbl>
              <c:idx val="19"/>
              <c:tx>
                <c:strRef>
                  <c:f>tracperf!$CF$27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{38645820-6278-4FEA-8388-12AC51CD55F8}</c15:txfldGUID>
                      <c15:f>tracperf!$CF$27</c15:f>
                      <c15:dlblFieldTableCache>
                        <c:ptCount val="1"/>
                      </c15:dlblFieldTableCache>
                    </c15:dlblFTEntry>
                  </c15:dlblFieldTable>
                  <c15:showDataLabelsRange val="0"/>
                </c:ext>
              </c:extLst>
            </c:dLbl>
            <c:dLbl>
              <c:idx val="20"/>
              <c:tx>
                <c:strRef>
                  <c:f>tracperf!$CF$28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{F08487EE-06A7-4D24-85EB-A213EA717D61}</c15:txfldGUID>
                      <c15:f>tracperf!$CF$28</c15:f>
                      <c15:dlblFieldTableCache>
                        <c:ptCount val="1"/>
                      </c15:dlblFieldTableCache>
                    </c15:dlblFTEntry>
                  </c15:dlblFieldTable>
                  <c15:showDataLabelsRange val="0"/>
                </c:ext>
              </c:extLst>
            </c:dLbl>
            <c:dLbl>
              <c:idx val="21"/>
              <c:tx>
                <c:strRef>
                  <c:f>tracperf!$CF$29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{637A36D5-037A-40FF-9F4C-F0362ECDEB21}</c15:txfldGUID>
                      <c15:f>tracperf!$CF$29</c15:f>
                      <c15:dlblFieldTableCache>
                        <c:ptCount val="1"/>
                      </c15:dlblFieldTableCache>
                    </c15:dlblFTEntry>
                  </c15:dlblFieldTable>
                  <c15:showDataLabelsRange val="0"/>
                </c:ext>
              </c:extLst>
            </c:dLbl>
            <c:dLbl>
              <c:idx val="22"/>
              <c:tx>
                <c:strRef>
                  <c:f>tracperf!$CF$30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{782EE643-3180-42D7-B3B6-43FD0B8A0FAE}</c15:txfldGUID>
                      <c15:f>tracperf!$CF$30</c15:f>
                      <c15:dlblFieldTableCache>
                        <c:ptCount val="1"/>
                      </c15:dlblFieldTableCache>
                    </c15:dlblFTEntry>
                  </c15:dlblFieldTable>
                  <c15:showDataLabelsRange val="0"/>
                </c:ext>
              </c:extLst>
            </c:dLbl>
            <c:dLbl>
              <c:idx val="23"/>
              <c:tx>
                <c:strRef>
                  <c:f>tracperf!$CF$31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{56DE9D52-E24C-4EC7-A132-9C514B3160C4}</c15:txfldGUID>
                      <c15:f>tracperf!$CF$31</c15:f>
                      <c15:dlblFieldTableCache>
                        <c:ptCount val="1"/>
                      </c15:dlblFieldTableCache>
                    </c15:dlblFTEntry>
                  </c15:dlblFieldTable>
                  <c15:showDataLabelsRange val="0"/>
                </c:ext>
              </c:extLst>
            </c:dLbl>
            <c:dLbl>
              <c:idx val="24"/>
              <c:tx>
                <c:strRef>
                  <c:f>tracperf!$CF$32</c:f>
                  <c:strCache>
                    <c:ptCount val="1"/>
                    <c:pt idx="0">
                      <c:v>GTR</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{D15A12E8-67DF-45F2-AEDB-24240440DACE}</c15:txfldGUID>
                      <c15:f>tracperf!$CF$32</c15:f>
                      <c15:dlblFieldTableCache>
                        <c:ptCount val="1"/>
                        <c:pt idx="0">
                          <c:v>GTR</c:v>
                        </c:pt>
                      </c15:dlblFieldTableCache>
                    </c15:dlblFTEntry>
                  </c15:dlblFieldTable>
                  <c15:showDataLabelsRange val="0"/>
                </c:ext>
              </c:extLst>
            </c:dLbl>
            <c:dLbl>
              <c:idx val="25"/>
              <c:tx>
                <c:strRef>
                  <c:f>tracperf!$CF$33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{16B09308-602E-4382-9AF8-44E33AF3E3B7}</c15:txfldGUID>
                      <c15:f>tracperf!$CF$33</c15:f>
                      <c15:dlblFieldTableCache>
                        <c:ptCount val="1"/>
                      </c15:dlblFieldTableCache>
                    </c15:dlblFTEntry>
                  </c15:dlblFieldTable>
                  <c15:showDataLabelsRange val="0"/>
                </c:ext>
              </c:extLst>
            </c:dLbl>
            <c:dLbl>
              <c:idx val="26"/>
              <c:tx>
                <c:strRef>
                  <c:f>tracperf!$CF$34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{C610FE2D-8FB3-4FE5-9254-EF73CEF3E26D}</c15:txfldGUID>
                      <c15:f>tracperf!$CF$34</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tracperf!$BW$8:$BW$34</c:f>
              <c:numCache>
                <c:formatCode>0.000_)</c:formatCode>
                <c:ptCount val="27"/>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numCache>
            </c:numRef>
          </c:xVal>
          <c:yVal>
            <c:numRef>
              <c:f>tracperf!$BU$8:$BU$34</c:f>
              <c:numCache>
                <c:formatCode>0.000_)</c:formatCode>
                <c:ptCount val="27"/>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numCache>
            </c:numRef>
          </c:yVal>
          <c:smooth val="0"/>
        </c:ser>
        <c:ser>
          <c:idx val="2"/>
          <c:order val="2"/>
          <c:spPr>
            <a:ln w="3175">
              <a:solidFill>
                <a:srgbClr val="000000"/>
              </a:solidFill>
              <a:prstDash val="solid"/>
            </a:ln>
          </c:spPr>
          <c:marker>
            <c:symbol val="none"/>
          </c:marker>
          <c:dLbls>
            <c:dLbl>
              <c:idx val="0"/>
              <c:tx>
                <c:strRef>
                  <c:f>tracperf!$CC$8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{280BC6F3-CC29-402C-A365-48489037073D}</c15:txfldGUID>
                      <c15:f>tracperf!$CC$8</c15:f>
                      <c15:dlblFieldTableCache>
                        <c:ptCount val="1"/>
                      </c15:dlblFieldTableCache>
                    </c15:dlblFTEntry>
                  </c15:dlblFieldTable>
                  <c15:showDataLabelsRange val="0"/>
                </c:ext>
              </c:extLst>
            </c:dLbl>
            <c:dLbl>
              <c:idx val="1"/>
              <c:tx>
                <c:strRef>
                  <c:f>tracperf!$CC$9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{3DF27081-8F92-4854-A8F7-960C62C9BE6B}</c15:txfldGUID>
                      <c15:f>tracperf!$CC$9</c15:f>
                      <c15:dlblFieldTableCache>
                        <c:ptCount val="1"/>
                      </c15:dlblFieldTableCache>
                    </c15:dlblFTEntry>
                  </c15:dlblFieldTable>
                  <c15:showDataLabelsRange val="0"/>
                </c:ext>
              </c:extLst>
            </c:dLbl>
            <c:dLbl>
              <c:idx val="2"/>
              <c:tx>
                <c:strRef>
                  <c:f>tracperf!$CC$10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{90A4C11C-9C8D-48F8-B6CC-11E4A1A71351}</c15:txfldGUID>
                      <c15:f>tracperf!$CC$10</c15:f>
                      <c15:dlblFieldTableCache>
                        <c:ptCount val="1"/>
                      </c15:dlblFieldTableCache>
                    </c15:dlblFTEntry>
                  </c15:dlblFieldTable>
                  <c15:showDataLabelsRange val="0"/>
                </c:ext>
              </c:extLst>
            </c:dLbl>
            <c:dLbl>
              <c:idx val="3"/>
              <c:tx>
                <c:strRef>
                  <c:f>tracperf!$CC$11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{469B8C2B-0FF2-449A-AB54-20CAE0D634AC}</c15:txfldGUID>
                      <c15:f>tracperf!$CC$11</c15:f>
                      <c15:dlblFieldTableCache>
                        <c:ptCount val="1"/>
                      </c15:dlblFieldTableCache>
                    </c15:dlblFTEntry>
                  </c15:dlblFieldTable>
                  <c15:showDataLabelsRange val="0"/>
                </c:ext>
              </c:extLst>
            </c:dLbl>
            <c:dLbl>
              <c:idx val="4"/>
              <c:tx>
                <c:strRef>
                  <c:f>tracperf!$CC$12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{DE131E48-5226-46E3-9332-0AA26B241057}</c15:txfldGUID>
                      <c15:f>tracperf!$CC$12</c15:f>
                      <c15:dlblFieldTableCache>
                        <c:ptCount val="1"/>
                      </c15:dlblFieldTableCache>
                    </c15:dlblFTEntry>
                  </c15:dlblFieldTable>
                  <c15:showDataLabelsRange val="0"/>
                </c:ext>
              </c:extLst>
            </c:dLbl>
            <c:dLbl>
              <c:idx val="5"/>
              <c:tx>
                <c:strRef>
                  <c:f>tracperf!$CC$13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{DD4B260E-5AD4-4910-8B59-170CC0D6B217}</c15:txfldGUID>
                      <c15:f>tracperf!$CC$13</c15:f>
                      <c15:dlblFieldTableCache>
                        <c:ptCount val="1"/>
                      </c15:dlblFieldTableCache>
                    </c15:dlblFTEntry>
                  </c15:dlblFieldTable>
                  <c15:showDataLabelsRange val="0"/>
                </c:ext>
              </c:extLst>
            </c:dLbl>
            <c:dLbl>
              <c:idx val="6"/>
              <c:tx>
                <c:strRef>
                  <c:f>tracperf!$CC$14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{3D5D1638-49A5-48D9-8A92-AE181643DF58}</c15:txfldGUID>
                      <c15:f>tracperf!$CC$14</c15:f>
                      <c15:dlblFieldTableCache>
                        <c:ptCount val="1"/>
                      </c15:dlblFieldTableCache>
                    </c15:dlblFTEntry>
                  </c15:dlblFieldTable>
                  <c15:showDataLabelsRange val="0"/>
                </c:ext>
              </c:extLst>
            </c:dLbl>
            <c:dLbl>
              <c:idx val="7"/>
              <c:tx>
                <c:strRef>
                  <c:f>tracperf!$CC$15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{B4B63244-4A28-4962-8691-F4D36FE97622}</c15:txfldGUID>
                      <c15:f>tracperf!$CC$15</c15:f>
                      <c15:dlblFieldTableCache>
                        <c:ptCount val="1"/>
                      </c15:dlblFieldTableCache>
                    </c15:dlblFTEntry>
                  </c15:dlblFieldTable>
                  <c15:showDataLabelsRange val="0"/>
                </c:ext>
              </c:extLst>
            </c:dLbl>
            <c:dLbl>
              <c:idx val="8"/>
              <c:tx>
                <c:strRef>
                  <c:f>tracperf!$CC$16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{D539E13F-3A51-4996-856D-8764E74AAE1F}</c15:txfldGUID>
                      <c15:f>tracperf!$CC$16</c15:f>
                      <c15:dlblFieldTableCache>
                        <c:ptCount val="1"/>
                      </c15:dlblFieldTableCache>
                    </c15:dlblFTEntry>
                  </c15:dlblFieldTable>
                  <c15:showDataLabelsRange val="0"/>
                </c:ext>
              </c:extLst>
            </c:dLbl>
            <c:dLbl>
              <c:idx val="9"/>
              <c:tx>
                <c:strRef>
                  <c:f>tracperf!$CC$17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{8D88A8AF-453D-42C1-BDA9-5E2DB85768FE}</c15:txfldGUID>
                      <c15:f>tracperf!$CC$17</c15:f>
                      <c15:dlblFieldTableCache>
                        <c:ptCount val="1"/>
                      </c15:dlblFieldTableCache>
                    </c15:dlblFTEntry>
                  </c15:dlblFieldTable>
                  <c15:showDataLabelsRange val="0"/>
                </c:ext>
              </c:extLst>
            </c:dLbl>
            <c:dLbl>
              <c:idx val="10"/>
              <c:tx>
                <c:strRef>
                  <c:f>tracperf!$CC$18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{C8E8AA26-2D55-458A-994C-DEFBE2E4592A}</c15:txfldGUID>
                      <c15:f>tracperf!$CC$18</c15:f>
                      <c15:dlblFieldTableCache>
                        <c:ptCount val="1"/>
                      </c15:dlblFieldTableCache>
                    </c15:dlblFTEntry>
                  </c15:dlblFieldTable>
                  <c15:showDataLabelsRange val="0"/>
                </c:ext>
              </c:extLst>
            </c:dLbl>
            <c:dLbl>
              <c:idx val="11"/>
              <c:tx>
                <c:strRef>
                  <c:f>tracperf!$CC$19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{D10A7F0A-C472-482F-A00E-F827C41E3DCB}</c15:txfldGUID>
                      <c15:f>tracperf!$CC$19</c15:f>
                      <c15:dlblFieldTableCache>
                        <c:ptCount val="1"/>
                      </c15:dlblFieldTableCache>
                    </c15:dlblFTEntry>
                  </c15:dlblFieldTable>
                  <c15:showDataLabelsRange val="0"/>
                </c:ext>
              </c:extLst>
            </c:dLbl>
            <c:dLbl>
              <c:idx val="12"/>
              <c:tx>
                <c:strRef>
                  <c:f>tracperf!$CC$20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{F3F3E625-0FF5-4E53-A40B-4823E93CD51E}</c15:txfldGUID>
                      <c15:f>tracperf!$CC$20</c15:f>
                      <c15:dlblFieldTableCache>
                        <c:ptCount val="1"/>
                      </c15:dlblFieldTableCache>
                    </c15:dlblFTEntry>
                  </c15:dlblFieldTable>
                  <c15:showDataLabelsRange val="0"/>
                </c:ext>
              </c:extLst>
            </c:dLbl>
            <c:dLbl>
              <c:idx val="13"/>
              <c:tx>
                <c:strRef>
                  <c:f>tracperf!$CC$21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{CF595680-A6CE-48F5-8A19-F759100091BB}</c15:txfldGUID>
                      <c15:f>tracperf!$CC$21</c15:f>
                      <c15:dlblFieldTableCache>
                        <c:ptCount val="1"/>
                      </c15:dlblFieldTableCache>
                    </c15:dlblFTEntry>
                  </c15:dlblFieldTable>
                  <c15:showDataLabelsRange val="0"/>
                </c:ext>
              </c:extLst>
            </c:dLbl>
            <c:dLbl>
              <c:idx val="14"/>
              <c:tx>
                <c:strRef>
                  <c:f>tracperf!$CC$22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{ED1FBEE4-6B2F-4903-949E-BF08FD4BFD05}</c15:txfldGUID>
                      <c15:f>tracperf!$CC$22</c15:f>
                      <c15:dlblFieldTableCache>
                        <c:ptCount val="1"/>
                      </c15:dlblFieldTableCache>
                    </c15:dlblFTEntry>
                  </c15:dlblFieldTable>
                  <c15:showDataLabelsRange val="0"/>
                </c:ext>
              </c:extLst>
            </c:dLbl>
            <c:dLbl>
              <c:idx val="15"/>
              <c:tx>
                <c:strRef>
                  <c:f>tracperf!$CC$23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{F0B8C02E-E122-4A48-8E10-52BEFA4C0DBC}</c15:txfldGUID>
                      <c15:f>tracperf!$CC$23</c15:f>
                      <c15:dlblFieldTableCache>
                        <c:ptCount val="1"/>
                      </c15:dlblFieldTableCache>
                    </c15:dlblFTEntry>
                  </c15:dlblFieldTable>
                  <c15:showDataLabelsRange val="0"/>
                </c:ext>
              </c:extLst>
            </c:dLbl>
            <c:dLbl>
              <c:idx val="16"/>
              <c:tx>
                <c:strRef>
                  <c:f>tracperf!$CC$24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{6257DDC7-1A01-4389-9505-0BB5E9F53CF7}</c15:txfldGUID>
                      <c15:f>tracperf!$CC$24</c15:f>
                      <c15:dlblFieldTableCache>
                        <c:ptCount val="1"/>
                      </c15:dlblFieldTableCache>
                    </c15:dlblFTEntry>
                  </c15:dlblFieldTable>
                  <c15:showDataLabelsRange val="0"/>
                </c:ext>
              </c:extLst>
            </c:dLbl>
            <c:dLbl>
              <c:idx val="17"/>
              <c:tx>
                <c:strRef>
                  <c:f>tracperf!$CC$25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{341823B4-53D7-440F-A906-BD2037393DEB}</c15:txfldGUID>
                      <c15:f>tracperf!$CC$25</c15:f>
                      <c15:dlblFieldTableCache>
                        <c:ptCount val="1"/>
                      </c15:dlblFieldTableCache>
                    </c15:dlblFTEntry>
                  </c15:dlblFieldTable>
                  <c15:showDataLabelsRange val="0"/>
                </c:ext>
              </c:extLst>
            </c:dLbl>
            <c:dLbl>
              <c:idx val="18"/>
              <c:tx>
                <c:strRef>
                  <c:f>tracperf!$CC$26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{D2FDE170-D000-46C0-8F8F-433068B873C0}</c15:txfldGUID>
                      <c15:f>tracperf!$CC$26</c15:f>
                      <c15:dlblFieldTableCache>
                        <c:ptCount val="1"/>
                      </c15:dlblFieldTableCache>
                    </c15:dlblFTEntry>
                  </c15:dlblFieldTable>
                  <c15:showDataLabelsRange val="0"/>
                </c:ext>
              </c:extLst>
            </c:dLbl>
            <c:dLbl>
              <c:idx val="19"/>
              <c:tx>
                <c:strRef>
                  <c:f>tracperf!$CC$27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{F724F0E6-CA9E-4F95-AA1A-39B3771F4367}</c15:txfldGUID>
                      <c15:f>tracperf!$CC$27</c15:f>
                      <c15:dlblFieldTableCache>
                        <c:ptCount val="1"/>
                      </c15:dlblFieldTableCache>
                    </c15:dlblFTEntry>
                  </c15:dlblFieldTable>
                  <c15:showDataLabelsRange val="0"/>
                </c:ext>
              </c:extLst>
            </c:dLbl>
            <c:dLbl>
              <c:idx val="20"/>
              <c:tx>
                <c:strRef>
                  <c:f>tracperf!$CC$28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{413D914F-8887-420B-B78E-13C70F04D49A}</c15:txfldGUID>
                      <c15:f>tracperf!$CC$28</c15:f>
                      <c15:dlblFieldTableCache>
                        <c:ptCount val="1"/>
                      </c15:dlblFieldTableCache>
                    </c15:dlblFTEntry>
                  </c15:dlblFieldTable>
                  <c15:showDataLabelsRange val="0"/>
                </c:ext>
              </c:extLst>
            </c:dLbl>
            <c:dLbl>
              <c:idx val="21"/>
              <c:tx>
                <c:strRef>
                  <c:f>tracperf!$CC$29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{B352E9CC-10EF-45C9-948B-C419058D2BA4}</c15:txfldGUID>
                      <c15:f>tracperf!$CC$29</c15:f>
                      <c15:dlblFieldTableCache>
                        <c:ptCount val="1"/>
                      </c15:dlblFieldTableCache>
                    </c15:dlblFTEntry>
                  </c15:dlblFieldTable>
                  <c15:showDataLabelsRange val="0"/>
                </c:ext>
              </c:extLst>
            </c:dLbl>
            <c:dLbl>
              <c:idx val="22"/>
              <c:tx>
                <c:strRef>
                  <c:f>tracperf!$CC$30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{6359E444-B7E5-4272-BD6D-BA30C661A14A}</c15:txfldGUID>
                      <c15:f>tracperf!$CC$30</c15:f>
                      <c15:dlblFieldTableCache>
                        <c:ptCount val="1"/>
                      </c15:dlblFieldTableCache>
                    </c15:dlblFTEntry>
                  </c15:dlblFieldTable>
                  <c15:showDataLabelsRange val="0"/>
                </c:ext>
              </c:extLst>
            </c:dLbl>
            <c:dLbl>
              <c:idx val="23"/>
              <c:tx>
                <c:strRef>
                  <c:f>tracperf!$CC$31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{AB2CCD1B-D993-42E5-A26F-35063E4F0165}</c15:txfldGUID>
                      <c15:f>tracperf!$CC$31</c15:f>
                      <c15:dlblFieldTableCache>
                        <c:ptCount val="1"/>
                      </c15:dlblFieldTableCache>
                    </c15:dlblFTEntry>
                  </c15:dlblFieldTable>
                  <c15:showDataLabelsRange val="0"/>
                </c:ext>
              </c:extLst>
            </c:dLbl>
            <c:dLbl>
              <c:idx val="24"/>
              <c:tx>
                <c:strRef>
                  <c:f>tracperf!$CC$32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{97C9FFCE-6BD7-4F62-8951-729C243CCE32}</c15:txfldGUID>
                      <c15:f>tracperf!$CC$32</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xVal>
          <c:yVal>
            <c:numRef>
              <c:f>tracperf!$BW$8:$BW$32</c:f>
              <c:numCache>
                <c:formatCode>0.000_)</c:formatCode>
                <c:ptCount val="25"/>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numCache>
            </c:numRef>
          </c:yVal>
          <c:smooth val="0"/>
        </c:ser>
        <c:ser>
          <c:idx val="3"/>
          <c:order val="3"/>
          <c:spPr>
            <a:ln w="25400">
              <a:solidFill>
                <a:srgbClr val="00FF00"/>
              </a:solidFill>
              <a:prstDash val="solid"/>
            </a:ln>
          </c:spPr>
          <c:marker>
            <c:symbol val="none"/>
          </c:marker>
          <c:dLbls>
            <c:dLbl>
              <c:idx val="0"/>
              <c:tx>
                <c:strRef>
                  <c:f>tracperf!$BY$7</c:f>
                  <c:strCache>
                    <c:ptCount val="1"/>
                    <c:pt idx="0">
                      <c:v>Slip Ratio</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{9511E8F7-278E-4DA9-816B-6F81F1D49F0F}</c15:txfldGUID>
                      <c15:f>tracperf!$BY$7</c15:f>
                      <c15:dlblFieldTableCache>
                        <c:ptCount val="1"/>
                        <c:pt idx="0">
                          <c:v>Slip Ratio</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xVal>
          <c:yVal>
            <c:numRef>
              <c:f>tracperf!$BY$8:$BY$35</c:f>
              <c:numCache>
                <c:formatCode>General</c:formatCode>
                <c:ptCount val="28"/>
                <c:pt idx="0">
                  <c:v>0.01</c:v>
                </c:pt>
                <c:pt idx="1">
                  <c:v>0.02</c:v>
                </c:pt>
                <c:pt idx="2">
                  <c:v>0.03</c:v>
                </c:pt>
                <c:pt idx="3">
                  <c:v>0.05</c:v>
                </c:pt>
                <c:pt idx="4">
                  <c:v>7.0000000000000007E-2</c:v>
                </c:pt>
                <c:pt idx="5">
                  <c:v>0.1</c:v>
                </c:pt>
                <c:pt idx="6">
                  <c:v>0.14000000000000001</c:v>
                </c:pt>
                <c:pt idx="7">
                  <c:v>0.16</c:v>
                </c:pt>
                <c:pt idx="8">
                  <c:v>0.18</c:v>
                </c:pt>
                <c:pt idx="9">
                  <c:v>0.2</c:v>
                </c:pt>
                <c:pt idx="10">
                  <c:v>0.22</c:v>
                </c:pt>
                <c:pt idx="11">
                  <c:v>0.24</c:v>
                </c:pt>
                <c:pt idx="12">
                  <c:v>0.26</c:v>
                </c:pt>
                <c:pt idx="13">
                  <c:v>0.28000000000000003</c:v>
                </c:pt>
                <c:pt idx="14">
                  <c:v>0.3</c:v>
                </c:pt>
                <c:pt idx="15">
                  <c:v>0.32</c:v>
                </c:pt>
                <c:pt idx="16">
                  <c:v>0.34</c:v>
                </c:pt>
                <c:pt idx="17">
                  <c:v>0.36</c:v>
                </c:pt>
                <c:pt idx="18">
                  <c:v>0.38</c:v>
                </c:pt>
                <c:pt idx="19">
                  <c:v>0.4</c:v>
                </c:pt>
                <c:pt idx="20">
                  <c:v>0.42</c:v>
                </c:pt>
                <c:pt idx="21">
                  <c:v>0.44</c:v>
                </c:pt>
                <c:pt idx="22">
                  <c:v>0.46</c:v>
                </c:pt>
                <c:pt idx="23">
                  <c:v>0.48</c:v>
                </c:pt>
                <c:pt idx="24">
                  <c:v>0.5</c:v>
                </c:pt>
              </c:numCache>
            </c:numRef>
          </c:yVal>
          <c:smooth val="0"/>
        </c:ser>
        <c:ser>
          <c:idx val="4"/>
          <c:order val="4"/>
          <c:spPr>
            <a:ln w="25400">
              <a:solidFill>
                <a:srgbClr val="800000"/>
              </a:solidFill>
              <a:prstDash val="solid"/>
            </a:ln>
          </c:spPr>
          <c:marker>
            <c:symbol val="none"/>
          </c:marker>
          <c:dLbls>
            <c:dLbl>
              <c:idx val="0"/>
              <c:tx>
                <c:strRef>
                  <c:f>tracperf!$CE$8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{69816053-DC47-4598-ACEE-B1DFA717C28A}</c15:txfldGUID>
                      <c15:f>tracperf!$CE$8</c15:f>
                      <c15:dlblFieldTableCache>
                        <c:ptCount val="1"/>
                      </c15:dlblFieldTableCache>
                    </c15:dlblFTEntry>
                  </c15:dlblFieldTable>
                  <c15:showDataLabelsRange val="0"/>
                </c:ext>
              </c:extLst>
            </c:dLbl>
            <c:dLbl>
              <c:idx val="1"/>
              <c:tx>
                <c:strRef>
                  <c:f>tracperf!$CE$9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{7FF1A097-AB27-4ED3-BAC9-A04C8F75534E}</c15:txfldGUID>
                      <c15:f>tracperf!$CE$9</c15:f>
                      <c15:dlblFieldTableCache>
                        <c:ptCount val="1"/>
                      </c15:dlblFieldTableCache>
                    </c15:dlblFTEntry>
                  </c15:dlblFieldTable>
                  <c15:showDataLabelsRange val="0"/>
                </c:ext>
              </c:extLst>
            </c:dLbl>
            <c:dLbl>
              <c:idx val="2"/>
              <c:tx>
                <c:strRef>
                  <c:f>tracperf!$CE$10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{024DC428-3DA8-46CC-B0E4-51180CDC9629}</c15:txfldGUID>
                      <c15:f>tracperf!$CE$10</c15:f>
                      <c15:dlblFieldTableCache>
                        <c:ptCount val="1"/>
                      </c15:dlblFieldTableCache>
                    </c15:dlblFTEntry>
                  </c15:dlblFieldTable>
                  <c15:showDataLabelsRange val="0"/>
                </c:ext>
              </c:extLst>
            </c:dLbl>
            <c:dLbl>
              <c:idx val="3"/>
              <c:tx>
                <c:strRef>
                  <c:f>tracperf!$CE$11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{D1B068F0-AA86-432C-92C1-E950E3AA6D31}</c15:txfldGUID>
                      <c15:f>tracperf!$CE$11</c15:f>
                      <c15:dlblFieldTableCache>
                        <c:ptCount val="1"/>
                      </c15:dlblFieldTableCache>
                    </c15:dlblFTEntry>
                  </c15:dlblFieldTable>
                  <c15:showDataLabelsRange val="0"/>
                </c:ext>
              </c:extLst>
            </c:dLbl>
            <c:dLbl>
              <c:idx val="4"/>
              <c:tx>
                <c:strRef>
                  <c:f>tracperf!$CE$12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{61505B87-DB5B-483B-9615-B0068CF834AE}</c15:txfldGUID>
                      <c15:f>tracperf!$CE$12</c15:f>
                      <c15:dlblFieldTableCache>
                        <c:ptCount val="1"/>
                      </c15:dlblFieldTableCache>
                    </c15:dlblFTEntry>
                  </c15:dlblFieldTable>
                  <c15:showDataLabelsRange val="0"/>
                </c:ext>
              </c:extLst>
            </c:dLbl>
            <c:dLbl>
              <c:idx val="5"/>
              <c:tx>
                <c:strRef>
                  <c:f>tracperf!$CE$13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{FC14B5D2-62CA-4E1C-9078-B1A90DBCBC79}</c15:txfldGUID>
                      <c15:f>tracperf!$CE$13</c15:f>
                      <c15:dlblFieldTableCache>
                        <c:ptCount val="1"/>
                      </c15:dlblFieldTableCache>
                    </c15:dlblFTEntry>
                  </c15:dlblFieldTable>
                  <c15:showDataLabelsRange val="0"/>
                </c:ext>
              </c:extLst>
            </c:dLbl>
            <c:dLbl>
              <c:idx val="6"/>
              <c:tx>
                <c:strRef>
                  <c:f>tracperf!$CE$14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{CB41F6B5-5206-42B0-8B91-4EF35EFA1553}</c15:txfldGUID>
                      <c15:f>tracperf!$CE$14</c15:f>
                      <c15:dlblFieldTableCache>
                        <c:ptCount val="1"/>
                      </c15:dlblFieldTableCache>
                    </c15:dlblFTEntry>
                  </c15:dlblFieldTable>
                  <c15:showDataLabelsRange val="0"/>
                </c:ext>
              </c:extLst>
            </c:dLbl>
            <c:dLbl>
              <c:idx val="7"/>
              <c:tx>
                <c:strRef>
                  <c:f>tracperf!$CE$15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{677CF0A7-A467-44A4-BE4E-A2844258BA4B}</c15:txfldGUID>
                      <c15:f>tracperf!$CE$15</c15:f>
                      <c15:dlblFieldTableCache>
                        <c:ptCount val="1"/>
                      </c15:dlblFieldTableCache>
                    </c15:dlblFTEntry>
                  </c15:dlblFieldTable>
                  <c15:showDataLabelsRange val="0"/>
                </c:ext>
              </c:extLst>
            </c:dLbl>
            <c:dLbl>
              <c:idx val="8"/>
              <c:tx>
                <c:strRef>
                  <c:f>tracperf!$CE$16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{11A26555-EB2D-4DDB-B6B0-E752850BCC7C}</c15:txfldGUID>
                      <c15:f>tracperf!$CE$16</c15:f>
                      <c15:dlblFieldTableCache>
                        <c:ptCount val="1"/>
                      </c15:dlblFieldTableCache>
                    </c15:dlblFTEntry>
                  </c15:dlblFieldTable>
                  <c15:showDataLabelsRange val="0"/>
                </c:ext>
              </c:extLst>
            </c:dLbl>
            <c:dLbl>
              <c:idx val="9"/>
              <c:tx>
                <c:strRef>
                  <c:f>tracperf!$CE$17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{BCFDB3EA-AF72-4CCD-BD0A-7765AF12E6AA}</c15:txfldGUID>
                      <c15:f>tracperf!$CE$17</c15:f>
                      <c15:dlblFieldTableCache>
                        <c:ptCount val="1"/>
                      </c15:dlblFieldTableCache>
                    </c15:dlblFTEntry>
                  </c15:dlblFieldTable>
                  <c15:showDataLabelsRange val="0"/>
                </c:ext>
              </c:extLst>
            </c:dLbl>
            <c:dLbl>
              <c:idx val="10"/>
              <c:tx>
                <c:strRef>
                  <c:f>tracperf!$CE$18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{37A0EEAC-BA58-4B4F-BC75-9F4184EAD7E2}</c15:txfldGUID>
                      <c15:f>tracperf!$CE$18</c15:f>
                      <c15:dlblFieldTableCache>
                        <c:ptCount val="1"/>
                      </c15:dlblFieldTableCache>
                    </c15:dlblFTEntry>
                  </c15:dlblFieldTable>
                  <c15:showDataLabelsRange val="0"/>
                </c:ext>
              </c:extLst>
            </c:dLbl>
            <c:dLbl>
              <c:idx val="11"/>
              <c:tx>
                <c:strRef>
                  <c:f>tracperf!$CE$19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{62CEA798-2098-496C-A6AD-168648DCCA61}</c15:txfldGUID>
                      <c15:f>tracperf!$CE$19</c15:f>
                      <c15:dlblFieldTableCache>
                        <c:ptCount val="1"/>
                      </c15:dlblFieldTableCache>
                    </c15:dlblFTEntry>
                  </c15:dlblFieldTable>
                  <c15:showDataLabelsRange val="0"/>
                </c:ext>
              </c:extLst>
            </c:dLbl>
            <c:dLbl>
              <c:idx val="12"/>
              <c:tx>
                <c:strRef>
                  <c:f>tracperf!$CE$20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{2D53CFAD-9A9A-4852-9DAA-B28B8EA60E07}</c15:txfldGUID>
                      <c15:f>tracperf!$CE$20</c15:f>
                      <c15:dlblFieldTableCache>
                        <c:ptCount val="1"/>
                      </c15:dlblFieldTableCache>
                    </c15:dlblFTEntry>
                  </c15:dlblFieldTable>
                  <c15:showDataLabelsRange val="0"/>
                </c:ext>
              </c:extLst>
            </c:dLbl>
            <c:dLbl>
              <c:idx val="13"/>
              <c:tx>
                <c:strRef>
                  <c:f>tracperf!$CE$21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{8A8361B9-4BCA-4AAF-9F00-DD052DCEDBF4}</c15:txfldGUID>
                      <c15:f>tracperf!$CE$21</c15:f>
                      <c15:dlblFieldTableCache>
                        <c:ptCount val="1"/>
                      </c15:dlblFieldTableCache>
                    </c15:dlblFTEntry>
                  </c15:dlblFieldTable>
                  <c15:showDataLabelsRange val="0"/>
                </c:ext>
              </c:extLst>
            </c:dLbl>
            <c:dLbl>
              <c:idx val="14"/>
              <c:tx>
                <c:strRef>
                  <c:f>tracperf!$CE$22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{335CE66E-461E-4E6E-B4AA-0849D989E41B}</c15:txfldGUID>
                      <c15:f>tracperf!$CE$22</c15:f>
                      <c15:dlblFieldTableCache>
                        <c:ptCount val="1"/>
                      </c15:dlblFieldTableCache>
                    </c15:dlblFTEntry>
                  </c15:dlblFieldTable>
                  <c15:showDataLabelsRange val="0"/>
                </c:ext>
              </c:extLst>
            </c:dLbl>
            <c:dLbl>
              <c:idx val="15"/>
              <c:tx>
                <c:strRef>
                  <c:f>tracperf!$CE$23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{1FFF1DB4-4C5F-4A18-8AF9-3864B99DB6F7}</c15:txfldGUID>
                      <c15:f>tracperf!$CE$23</c15:f>
                      <c15:dlblFieldTableCache>
                        <c:ptCount val="1"/>
                      </c15:dlblFieldTableCache>
                    </c15:dlblFTEntry>
                  </c15:dlblFieldTable>
                  <c15:showDataLabelsRange val="0"/>
                </c:ext>
              </c:extLst>
            </c:dLbl>
            <c:dLbl>
              <c:idx val="16"/>
              <c:tx>
                <c:strRef>
                  <c:f>tracperf!$CE$24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{366B9ACA-AA9E-43D1-86BD-0B1F7FA5D9ED}</c15:txfldGUID>
                      <c15:f>tracperf!$CE$24</c15:f>
                      <c15:dlblFieldTableCache>
                        <c:ptCount val="1"/>
                      </c15:dlblFieldTableCache>
                    </c15:dlblFTEntry>
                  </c15:dlblFieldTable>
                  <c15:showDataLabelsRange val="0"/>
                </c:ext>
              </c:extLst>
            </c:dLbl>
            <c:dLbl>
              <c:idx val="17"/>
              <c:tx>
                <c:strRef>
                  <c:f>tracperf!$CE$25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{0386B82B-DD37-4A43-AFD5-D4C93AC4BBEE}</c15:txfldGUID>
                      <c15:f>tracperf!$CE$25</c15:f>
                      <c15:dlblFieldTableCache>
                        <c:ptCount val="1"/>
                      </c15:dlblFieldTableCache>
                    </c15:dlblFTEntry>
                  </c15:dlblFieldTable>
                  <c15:showDataLabelsRange val="0"/>
                </c:ext>
              </c:extLst>
            </c:dLbl>
            <c:dLbl>
              <c:idx val="18"/>
              <c:tx>
                <c:strRef>
                  <c:f>tracperf!$CE$26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{F4FFF461-BE1A-40EA-A9AD-7C4EAA33BBFF}</c15:txfldGUID>
                      <c15:f>tracperf!$CE$26</c15:f>
                      <c15:dlblFieldTableCache>
                        <c:ptCount val="1"/>
                      </c15:dlblFieldTableCache>
                    </c15:dlblFTEntry>
                  </c15:dlblFieldTable>
                  <c15:showDataLabelsRange val="0"/>
                </c:ext>
              </c:extLst>
            </c:dLbl>
            <c:dLbl>
              <c:idx val="19"/>
              <c:tx>
                <c:strRef>
                  <c:f>tracperf!$CE$27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{1C17FBC4-A241-45FD-9E70-C3903A1301C5}</c15:txfldGUID>
                      <c15:f>tracperf!$CE$27</c15:f>
                      <c15:dlblFieldTableCache>
                        <c:ptCount val="1"/>
                      </c15:dlblFieldTableCache>
                    </c15:dlblFTEntry>
                  </c15:dlblFieldTable>
                  <c15:showDataLabelsRange val="0"/>
                </c:ext>
              </c:extLst>
            </c:dLbl>
            <c:dLbl>
              <c:idx val="20"/>
              <c:tx>
                <c:strRef>
                  <c:f>tracperf!$CE$28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{262D844F-B818-49AD-9543-B91EC8BA3BA6}</c15:txfldGUID>
                      <c15:f>tracperf!$CE$28</c15:f>
                      <c15:dlblFieldTableCache>
                        <c:ptCount val="1"/>
                      </c15:dlblFieldTableCache>
                    </c15:dlblFTEntry>
                  </c15:dlblFieldTable>
                  <c15:showDataLabelsRange val="0"/>
                </c:ext>
              </c:extLst>
            </c:dLbl>
            <c:dLbl>
              <c:idx val="21"/>
              <c:tx>
                <c:strRef>
                  <c:f>tracperf!$CE$29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{FA2EB466-8AC6-4C5C-9A54-ABD455669DD7}</c15:txfldGUID>
                      <c15:f>tracperf!$CE$29</c15:f>
                      <c15:dlblFieldTableCache>
                        <c:ptCount val="1"/>
                      </c15:dlblFieldTableCache>
                    </c15:dlblFTEntry>
                  </c15:dlblFieldTable>
                  <c15:showDataLabelsRange val="0"/>
                </c:ext>
              </c:extLst>
            </c:dLbl>
            <c:dLbl>
              <c:idx val="22"/>
              <c:tx>
                <c:strRef>
                  <c:f>tracperf!$CE$30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{B743C692-977C-44E9-91F2-FBF28CE5FF1C}</c15:txfldGUID>
                      <c15:f>tracperf!$CE$30</c15:f>
                      <c15:dlblFieldTableCache>
                        <c:ptCount val="1"/>
                      </c15:dlblFieldTableCache>
                    </c15:dlblFTEntry>
                  </c15:dlblFieldTable>
                  <c15:showDataLabelsRange val="0"/>
                </c:ext>
              </c:extLst>
            </c:dLbl>
            <c:dLbl>
              <c:idx val="23"/>
              <c:tx>
                <c:strRef>
                  <c:f>tracperf!$CE$31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{3CB06C4C-241A-4E02-B22D-C4C0FDC583CA}</c15:txfldGUID>
                      <c15:f>tracperf!$CE$31</c15:f>
                      <c15:dlblFieldTableCache>
                        <c:ptCount val="1"/>
                      </c15:dlblFieldTableCache>
                    </c15:dlblFTEntry>
                  </c15:dlblFieldTable>
                  <c15:showDataLabelsRange val="0"/>
                </c:ext>
              </c:extLst>
            </c:dLbl>
            <c:dLbl>
              <c:idx val="24"/>
              <c:tx>
                <c:strRef>
                  <c:f>tracperf!$CE$32</c:f>
                  <c:strCache>
                    <c:ptCount val="1"/>
                    <c:pt idx="0">
                      <c:v>M/W</c:v>
                    </c:pt>
                  </c:strCache>
                </c:strRef>
              </c:tx>
              <c:spPr>
                <a:noFill/>
                <a:ln w="3175">
                  <a:solidFill>
                    <a:srgbClr val="800000"/>
                  </a:solidFill>
                  <a:prstDash val="solid"/>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{705EB2E1-CDD0-45BC-A889-ECD3D531542D}</c15:txfldGUID>
                      <c15:f>tracperf!$CE$32</c15:f>
                      <c15:dlblFieldTableCache>
                        <c:ptCount val="1"/>
                        <c:pt idx="0">
                          <c:v>M/W</c:v>
                        </c:pt>
                      </c15:dlblFieldTableCache>
                    </c15:dlblFTEntry>
                  </c15:dlblFieldTable>
                  <c15:showDataLabelsRange val="0"/>
                </c:ext>
              </c:extLst>
            </c:dLbl>
            <c:dLbl>
              <c:idx val="25"/>
              <c:tx>
                <c:strRef>
                  <c:f>tracperf!$CE$33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{288D6749-3A28-445E-A4AC-A7ACB743E2BA}</c15:txfldGUID>
                      <c15:f>tracperf!$CE$33</c15:f>
                      <c15:dlblFieldTableCache>
                        <c:ptCount val="1"/>
                      </c15:dlblFieldTableCache>
                    </c15:dlblFTEntry>
                  </c15:dlblFieldTable>
                  <c15:showDataLabelsRange val="0"/>
                </c:ext>
              </c:extLst>
            </c:dLbl>
            <c:dLbl>
              <c:idx val="26"/>
              <c:tx>
                <c:strRef>
                  <c:f>tracperf!$CE$34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{107D5EA6-8EEA-4875-8785-92327A9A000C}</c15:txfldGUID>
                      <c15:f>tracperf!$CE$34</c15:f>
                      <c15:dlblFieldTableCache>
                        <c:ptCount val="1"/>
                      </c15:dlblFieldTableCache>
                    </c15:dlblFTEntry>
                  </c15:dlblFieldTable>
                  <c15:showDataLabelsRange val="0"/>
                </c:ext>
              </c:extLst>
            </c:dLbl>
            <c:dLbl>
              <c:idx val="27"/>
              <c:tx>
                <c:strRef>
                  <c:f>tracperf!$CE$35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{CA089676-75B8-4069-AB45-E2D36D66C359}</c15:txfldGUID>
                      <c15:f>tracperf!$CE$35</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xVal>
          <c:yVal>
            <c:numRef>
              <c:f>tracperf!$BV$8:$BV$35</c:f>
              <c:numCache>
                <c:formatCode>0.000_)</c:formatCode>
                <c:ptCount val="28"/>
                <c:pt idx="0">
                  <c:v>4.5111132891390501E-2</c:v>
                </c:pt>
                <c:pt idx="1">
                  <c:v>4.5661896922463058E-2</c:v>
                </c:pt>
                <c:pt idx="2">
                  <c:v>4.6212660953535607E-2</c:v>
                </c:pt>
                <c:pt idx="3">
                  <c:v>4.731418901568072E-2</c:v>
                </c:pt>
                <c:pt idx="4">
                  <c:v>4.8415717077825833E-2</c:v>
                </c:pt>
                <c:pt idx="5">
                  <c:v>5.0068009171043495E-2</c:v>
                </c:pt>
                <c:pt idx="6">
                  <c:v>5.2271065295333721E-2</c:v>
                </c:pt>
                <c:pt idx="7">
                  <c:v>5.3372593357478827E-2</c:v>
                </c:pt>
                <c:pt idx="8">
                  <c:v>5.447412141962394E-2</c:v>
                </c:pt>
                <c:pt idx="9">
                  <c:v>5.5575649481769046E-2</c:v>
                </c:pt>
                <c:pt idx="10">
                  <c:v>5.6677177543914159E-2</c:v>
                </c:pt>
                <c:pt idx="11">
                  <c:v>5.7778705606059272E-2</c:v>
                </c:pt>
                <c:pt idx="12">
                  <c:v>5.8880233668204385E-2</c:v>
                </c:pt>
                <c:pt idx="13">
                  <c:v>5.9981761730349491E-2</c:v>
                </c:pt>
                <c:pt idx="14">
                  <c:v>6.1083289792494597E-2</c:v>
                </c:pt>
                <c:pt idx="15">
                  <c:v>6.218481785463971E-2</c:v>
                </c:pt>
                <c:pt idx="16">
                  <c:v>6.3286345916784822E-2</c:v>
                </c:pt>
                <c:pt idx="17">
                  <c:v>6.4387873978929935E-2</c:v>
                </c:pt>
                <c:pt idx="18">
                  <c:v>6.5489402041075048E-2</c:v>
                </c:pt>
                <c:pt idx="19">
                  <c:v>6.6590930103220203E-2</c:v>
                </c:pt>
                <c:pt idx="20">
                  <c:v>6.7692458165365316E-2</c:v>
                </c:pt>
                <c:pt idx="21">
                  <c:v>6.8793986227510429E-2</c:v>
                </c:pt>
                <c:pt idx="22">
                  <c:v>6.9895514289655541E-2</c:v>
                </c:pt>
                <c:pt idx="23">
                  <c:v>7.099704235180064E-2</c:v>
                </c:pt>
                <c:pt idx="24">
                  <c:v>7.2098570413945753E-2</c:v>
                </c:pt>
              </c:numCache>
            </c:numRef>
          </c:yVal>
          <c:smooth val="0"/>
        </c:ser>
        <c:dLbls>
          <c:showLegendKey val="0"/>
          <c:showVal val="0"/>
          <c:showCatName val="0"/>
          <c:showSerName val="0"/>
          <c:showPercent val="0"/>
          <c:showBubbleSize val="0"/>
        </c:dLbls>
        <c:axId val="453806088"/>
        <c:axId val="420224136"/>
      </c:scatterChart>
      <c:valAx>
        <c:axId val="453806088"/>
        <c:scaling>
          <c:orientation val="minMax"/>
          <c:max val="1"/>
          <c:min val="0"/>
        </c:scaling>
        <c:delete val="0"/>
        <c:axPos val="b"/>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Net Traction Ratio, NTR </a:t>
                </a:r>
              </a:p>
            </c:rich>
          </c:tx>
          <c:layout>
            <c:manualLayout>
              <c:xMode val="edge"/>
              <c:yMode val="edge"/>
              <c:x val="0.44617092119866814"/>
              <c:y val="0.94453507340946163"/>
            </c:manualLayout>
          </c:layout>
          <c:overlay val="0"/>
          <c:spPr>
            <a:noFill/>
            <a:ln w="25400">
              <a:noFill/>
            </a:ln>
          </c:spPr>
        </c:title>
        <c:numFmt formatCode="0.000_)" sourceLinked="1"/>
        <c:majorTickMark val="in"/>
        <c:minorTickMark val="none"/>
        <c:tickLblPos val="low"/>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20224136"/>
        <c:crosses val="autoZero"/>
        <c:crossBetween val="midCat"/>
      </c:valAx>
      <c:valAx>
        <c:axId val="420224136"/>
        <c:scaling>
          <c:orientation val="minMax"/>
          <c:max val="1"/>
          <c:min val="0"/>
        </c:scaling>
        <c:delete val="0"/>
        <c:axPos val="l"/>
        <c:majorGridlines>
          <c:spPr>
            <a:ln w="3175">
              <a:solidFill>
                <a:srgbClr val="000000"/>
              </a:solidFill>
              <a:prstDash val="solid"/>
            </a:ln>
          </c:spPr>
        </c:majorGridlines>
        <c:numFmt formatCode="0.000_)"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53806088"/>
        <c:crosses val="autoZero"/>
        <c:crossBetween val="midCat"/>
      </c:valAx>
      <c:spPr>
        <a:solidFill>
          <a:srgbClr val="C0C0C0"/>
        </a:solidFill>
        <a:ln w="12700">
          <a:solidFill>
            <a:srgbClr val="808080"/>
          </a:solidFill>
          <a:prstDash val="solid"/>
        </a:ln>
      </c:spPr>
    </c:plotArea>
    <c:plotVisOnly val="0"/>
    <c:dispBlanksAs val="gap"/>
    <c:showDLblsOverMax val="0"/>
  </c:chart>
  <c:spPr>
    <a:noFill/>
    <a:ln w="6350">
      <a:noFill/>
    </a:ln>
  </c:spPr>
  <c:txPr>
    <a:bodyPr/>
    <a:lstStyle/>
    <a:p>
      <a:pPr>
        <a:defRPr sz="1000" b="1"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sz="1000" b="1" i="0" u="none" strike="noStrike" baseline="0">
                <a:solidFill>
                  <a:srgbClr val="000000"/>
                </a:solidFill>
                <a:latin typeface="Arial"/>
                <a:ea typeface="Arial"/>
                <a:cs typeface="Arial"/>
              </a:defRPr>
            </a:pPr>
            <a:r>
              <a:rPr lang="en-US"/>
              <a:t>TRACTION LOSSES @ CURRENT Bn VALUE</a:t>
            </a:r>
          </a:p>
        </c:rich>
      </c:tx>
      <c:layout>
        <c:manualLayout>
          <c:xMode val="edge"/>
          <c:yMode val="edge"/>
          <c:x val="0.3462819089900111"/>
          <c:y val="1.9575856443719411E-2"/>
        </c:manualLayout>
      </c:layout>
      <c:overlay val="0"/>
      <c:spPr>
        <a:noFill/>
        <a:ln w="25400">
          <a:noFill/>
        </a:ln>
      </c:spPr>
    </c:title>
    <c:autoTitleDeleted val="0"/>
    <c:plotArea>
      <c:layout>
        <c:manualLayout>
          <c:layoutTarget val="inner"/>
          <c:xMode val="edge"/>
          <c:yMode val="edge"/>
          <c:x val="9.4339622641509441E-2"/>
          <c:y val="0.15660685154975529"/>
          <c:w val="0.87236403995560485"/>
          <c:h val="0.73735725938009788"/>
        </c:manualLayout>
      </c:layout>
      <c:scatterChart>
        <c:scatterStyle val="lineMarker"/>
        <c:varyColors val="0"/>
        <c:ser>
          <c:idx val="0"/>
          <c:order val="0"/>
          <c:spPr>
            <a:ln w="25400">
              <a:solidFill>
                <a:srgbClr val="0000FF"/>
              </a:solidFill>
              <a:prstDash val="solid"/>
            </a:ln>
          </c:spPr>
          <c:marker>
            <c:symbol val="none"/>
          </c:marker>
          <c:dLbls>
            <c:dLbl>
              <c:idx val="0"/>
              <c:tx>
                <c:strRef>
                  <c:f>tracperf!$BZ$8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{1E54ECE3-2E2E-46B9-AB4C-CBFDB6FDFABA}</c15:txfldGUID>
                      <c15:f>tracperf!$BZ$8</c15:f>
                      <c15:dlblFieldTableCache>
                        <c:ptCount val="1"/>
                      </c15:dlblFieldTableCache>
                    </c15:dlblFTEntry>
                  </c15:dlblFieldTable>
                  <c15:showDataLabelsRange val="0"/>
                </c:ext>
              </c:extLst>
            </c:dLbl>
            <c:dLbl>
              <c:idx val="1"/>
              <c:tx>
                <c:strRef>
                  <c:f>tracperf!$BZ$9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{642089DF-18A6-48E6-81F3-3989206DD373}</c15:txfldGUID>
                      <c15:f>tracperf!$BZ$9</c15:f>
                      <c15:dlblFieldTableCache>
                        <c:ptCount val="1"/>
                      </c15:dlblFieldTableCache>
                    </c15:dlblFTEntry>
                  </c15:dlblFieldTable>
                  <c15:showDataLabelsRange val="0"/>
                </c:ext>
              </c:extLst>
            </c:dLbl>
            <c:dLbl>
              <c:idx val="2"/>
              <c:tx>
                <c:strRef>
                  <c:f>tracperf!$BZ$10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{E3A15C8A-E67F-4E11-9D4D-1D49B71FC8A3}</c15:txfldGUID>
                      <c15:f>tracperf!$BZ$10</c15:f>
                      <c15:dlblFieldTableCache>
                        <c:ptCount val="1"/>
                      </c15:dlblFieldTableCache>
                    </c15:dlblFTEntry>
                  </c15:dlblFieldTable>
                  <c15:showDataLabelsRange val="0"/>
                </c:ext>
              </c:extLst>
            </c:dLbl>
            <c:dLbl>
              <c:idx val="3"/>
              <c:tx>
                <c:strRef>
                  <c:f>tracperf!$BZ$11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{E24ABEFC-EB05-4E4D-93D4-B09CA1800A75}</c15:txfldGUID>
                      <c15:f>tracperf!$BZ$11</c15:f>
                      <c15:dlblFieldTableCache>
                        <c:ptCount val="1"/>
                      </c15:dlblFieldTableCache>
                    </c15:dlblFTEntry>
                  </c15:dlblFieldTable>
                  <c15:showDataLabelsRange val="0"/>
                </c:ext>
              </c:extLst>
            </c:dLbl>
            <c:dLbl>
              <c:idx val="4"/>
              <c:tx>
                <c:strRef>
                  <c:f>tracperf!$BZ$12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{49465B10-87BD-4DDA-8FC5-ACF64D7A8EC9}</c15:txfldGUID>
                      <c15:f>tracperf!$BZ$12</c15:f>
                      <c15:dlblFieldTableCache>
                        <c:ptCount val="1"/>
                      </c15:dlblFieldTableCache>
                    </c15:dlblFTEntry>
                  </c15:dlblFieldTable>
                  <c15:showDataLabelsRange val="0"/>
                </c:ext>
              </c:extLst>
            </c:dLbl>
            <c:dLbl>
              <c:idx val="5"/>
              <c:tx>
                <c:strRef>
                  <c:f>tracperf!$BZ$13</c:f>
                  <c:strCache>
                    <c:ptCount val="1"/>
                    <c:pt idx="0">
                      <c:v>TE</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{0216F0BE-1698-4DF6-AD71-32D209EFCB27}</c15:txfldGUID>
                      <c15:f>tracperf!$BZ$13</c15:f>
                      <c15:dlblFieldTableCache>
                        <c:ptCount val="1"/>
                        <c:pt idx="0">
                          <c:v>TE</c:v>
                        </c:pt>
                      </c15:dlblFieldTableCache>
                    </c15:dlblFTEntry>
                  </c15:dlblFieldTable>
                  <c15:showDataLabelsRange val="0"/>
                </c:ext>
              </c:extLst>
            </c:dLbl>
            <c:dLbl>
              <c:idx val="6"/>
              <c:tx>
                <c:strRef>
                  <c:f>tracperf!$BZ$14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{4E4B9D05-7B1C-4298-A621-D47B65E9AC2E}</c15:txfldGUID>
                      <c15:f>tracperf!$BZ$14</c15:f>
                      <c15:dlblFieldTableCache>
                        <c:ptCount val="1"/>
                      </c15:dlblFieldTableCache>
                    </c15:dlblFTEntry>
                  </c15:dlblFieldTable>
                  <c15:showDataLabelsRange val="0"/>
                </c:ext>
              </c:extLst>
            </c:dLbl>
            <c:dLbl>
              <c:idx val="7"/>
              <c:tx>
                <c:strRef>
                  <c:f>tracperf!$BZ$15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{FEA7856E-F73A-4317-9524-F63301B7FEA2}</c15:txfldGUID>
                      <c15:f>tracperf!$BZ$15</c15:f>
                      <c15:dlblFieldTableCache>
                        <c:ptCount val="1"/>
                      </c15:dlblFieldTableCache>
                    </c15:dlblFTEntry>
                  </c15:dlblFieldTable>
                  <c15:showDataLabelsRange val="0"/>
                </c:ext>
              </c:extLst>
            </c:dLbl>
            <c:dLbl>
              <c:idx val="8"/>
              <c:tx>
                <c:strRef>
                  <c:f>tracperf!$BZ$16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{6DAE9488-2E74-49CC-902A-86D8756429BA}</c15:txfldGUID>
                      <c15:f>tracperf!$BZ$16</c15:f>
                      <c15:dlblFieldTableCache>
                        <c:ptCount val="1"/>
                      </c15:dlblFieldTableCache>
                    </c15:dlblFTEntry>
                  </c15:dlblFieldTable>
                  <c15:showDataLabelsRange val="0"/>
                </c:ext>
              </c:extLst>
            </c:dLbl>
            <c:dLbl>
              <c:idx val="9"/>
              <c:tx>
                <c:strRef>
                  <c:f>tracperf!$BZ$17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{ED568470-183B-408C-B277-4B6347978748}</c15:txfldGUID>
                      <c15:f>tracperf!$BZ$17</c15:f>
                      <c15:dlblFieldTableCache>
                        <c:ptCount val="1"/>
                      </c15:dlblFieldTableCache>
                    </c15:dlblFTEntry>
                  </c15:dlblFieldTable>
                  <c15:showDataLabelsRange val="0"/>
                </c:ext>
              </c:extLst>
            </c:dLbl>
            <c:dLbl>
              <c:idx val="10"/>
              <c:tx>
                <c:strRef>
                  <c:f>tracperf!$BZ$18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{E0D6C649-B33C-4695-A64E-C964A4C2FEA6}</c15:txfldGUID>
                      <c15:f>tracperf!$BZ$18</c15:f>
                      <c15:dlblFieldTableCache>
                        <c:ptCount val="1"/>
                      </c15:dlblFieldTableCache>
                    </c15:dlblFTEntry>
                  </c15:dlblFieldTable>
                  <c15:showDataLabelsRange val="0"/>
                </c:ext>
              </c:extLst>
            </c:dLbl>
            <c:dLbl>
              <c:idx val="11"/>
              <c:tx>
                <c:strRef>
                  <c:f>tracperf!$BZ$19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{215FF57E-CC54-49C6-A693-637E50C3E353}</c15:txfldGUID>
                      <c15:f>tracperf!$BZ$19</c15:f>
                      <c15:dlblFieldTableCache>
                        <c:ptCount val="1"/>
                      </c15:dlblFieldTableCache>
                    </c15:dlblFTEntry>
                  </c15:dlblFieldTable>
                  <c15:showDataLabelsRange val="0"/>
                </c:ext>
              </c:extLst>
            </c:dLbl>
            <c:dLbl>
              <c:idx val="12"/>
              <c:tx>
                <c:strRef>
                  <c:f>tracperf!$BZ$20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{62FFFBD7-BEED-42F1-A4B5-6366C026CC02}</c15:txfldGUID>
                      <c15:f>tracperf!$BZ$20</c15:f>
                      <c15:dlblFieldTableCache>
                        <c:ptCount val="1"/>
                      </c15:dlblFieldTableCache>
                    </c15:dlblFTEntry>
                  </c15:dlblFieldTable>
                  <c15:showDataLabelsRange val="0"/>
                </c:ext>
              </c:extLst>
            </c:dLbl>
            <c:dLbl>
              <c:idx val="13"/>
              <c:tx>
                <c:strRef>
                  <c:f>tracperf!$BZ$21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{50282292-A22A-4940-8669-0B54E51D0BC0}</c15:txfldGUID>
                      <c15:f>tracperf!$BZ$21</c15:f>
                      <c15:dlblFieldTableCache>
                        <c:ptCount val="1"/>
                      </c15:dlblFieldTableCache>
                    </c15:dlblFTEntry>
                  </c15:dlblFieldTable>
                  <c15:showDataLabelsRange val="0"/>
                </c:ext>
              </c:extLst>
            </c:dLbl>
            <c:dLbl>
              <c:idx val="14"/>
              <c:tx>
                <c:strRef>
                  <c:f>tracperf!$BZ$22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{8F99BC66-DB49-4EAC-9E14-9C24648F0577}</c15:txfldGUID>
                      <c15:f>tracperf!$BZ$22</c15:f>
                      <c15:dlblFieldTableCache>
                        <c:ptCount val="1"/>
                      </c15:dlblFieldTableCache>
                    </c15:dlblFTEntry>
                  </c15:dlblFieldTable>
                  <c15:showDataLabelsRange val="0"/>
                </c:ext>
              </c:extLst>
            </c:dLbl>
            <c:dLbl>
              <c:idx val="15"/>
              <c:tx>
                <c:strRef>
                  <c:f>tracperf!$BZ$23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{774C5127-E396-4147-A2FB-699ADB0817BD}</c15:txfldGUID>
                      <c15:f>tracperf!$BZ$23</c15:f>
                      <c15:dlblFieldTableCache>
                        <c:ptCount val="1"/>
                      </c15:dlblFieldTableCache>
                    </c15:dlblFTEntry>
                  </c15:dlblFieldTable>
                  <c15:showDataLabelsRange val="0"/>
                </c:ext>
              </c:extLst>
            </c:dLbl>
            <c:dLbl>
              <c:idx val="16"/>
              <c:tx>
                <c:strRef>
                  <c:f>tracperf!$BZ$24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{A88A20C6-360C-489C-BEC0-EA48DB826188}</c15:txfldGUID>
                      <c15:f>tracperf!$BZ$24</c15:f>
                      <c15:dlblFieldTableCache>
                        <c:ptCount val="1"/>
                      </c15:dlblFieldTableCache>
                    </c15:dlblFTEntry>
                  </c15:dlblFieldTable>
                  <c15:showDataLabelsRange val="0"/>
                </c:ext>
              </c:extLst>
            </c:dLbl>
            <c:dLbl>
              <c:idx val="17"/>
              <c:tx>
                <c:strRef>
                  <c:f>tracperf!$BZ$25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{8B5B6F5A-8DB2-49BD-ACAD-0ACFFF8EFAF3}</c15:txfldGUID>
                      <c15:f>tracperf!$BZ$25</c15:f>
                      <c15:dlblFieldTableCache>
                        <c:ptCount val="1"/>
                      </c15:dlblFieldTableCache>
                    </c15:dlblFTEntry>
                  </c15:dlblFieldTable>
                  <c15:showDataLabelsRange val="0"/>
                </c:ext>
              </c:extLst>
            </c:dLbl>
            <c:dLbl>
              <c:idx val="18"/>
              <c:tx>
                <c:strRef>
                  <c:f>tracperf!$BZ$26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{874EF507-164E-4FBE-98BA-69A46E698280}</c15:txfldGUID>
                      <c15:f>tracperf!$BZ$26</c15:f>
                      <c15:dlblFieldTableCache>
                        <c:ptCount val="1"/>
                      </c15:dlblFieldTableCache>
                    </c15:dlblFTEntry>
                  </c15:dlblFieldTable>
                  <c15:showDataLabelsRange val="0"/>
                </c:ext>
              </c:extLst>
            </c:dLbl>
            <c:dLbl>
              <c:idx val="19"/>
              <c:tx>
                <c:strRef>
                  <c:f>tracperf!$BZ$27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{E2F94523-717D-46B8-8FC3-37DBF4D1B9CD}</c15:txfldGUID>
                      <c15:f>tracperf!$BZ$27</c15:f>
                      <c15:dlblFieldTableCache>
                        <c:ptCount val="1"/>
                      </c15:dlblFieldTableCache>
                    </c15:dlblFTEntry>
                  </c15:dlblFieldTable>
                  <c15:showDataLabelsRange val="0"/>
                </c:ext>
              </c:extLst>
            </c:dLbl>
            <c:dLbl>
              <c:idx val="20"/>
              <c:tx>
                <c:strRef>
                  <c:f>tracperf!$BZ$28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{EEF384BA-99A5-40DD-9976-F79D8FEAC43C}</c15:txfldGUID>
                      <c15:f>tracperf!$BZ$28</c15:f>
                      <c15:dlblFieldTableCache>
                        <c:ptCount val="1"/>
                      </c15:dlblFieldTableCache>
                    </c15:dlblFTEntry>
                  </c15:dlblFieldTable>
                  <c15:showDataLabelsRange val="0"/>
                </c:ext>
              </c:extLst>
            </c:dLbl>
            <c:dLbl>
              <c:idx val="21"/>
              <c:tx>
                <c:strRef>
                  <c:f>tracperf!$BZ$29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{EDC7E803-1E56-41FC-9325-F8E3C75B7889}</c15:txfldGUID>
                      <c15:f>tracperf!$BZ$29</c15:f>
                      <c15:dlblFieldTableCache>
                        <c:ptCount val="1"/>
                      </c15:dlblFieldTableCache>
                    </c15:dlblFTEntry>
                  </c15:dlblFieldTable>
                  <c15:showDataLabelsRange val="0"/>
                </c:ext>
              </c:extLst>
            </c:dLbl>
            <c:dLbl>
              <c:idx val="22"/>
              <c:tx>
                <c:strRef>
                  <c:f>tracperf!$BZ$30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{749767BD-8D83-4C3A-B6A5-39C1EC7FE1F5}</c15:txfldGUID>
                      <c15:f>tracperf!$BZ$30</c15:f>
                      <c15:dlblFieldTableCache>
                        <c:ptCount val="1"/>
                      </c15:dlblFieldTableCache>
                    </c15:dlblFTEntry>
                  </c15:dlblFieldTable>
                  <c15:showDataLabelsRange val="0"/>
                </c:ext>
              </c:extLst>
            </c:dLbl>
            <c:dLbl>
              <c:idx val="23"/>
              <c:tx>
                <c:strRef>
                  <c:f>tracperf!$BZ$31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{E1EF5B60-B675-448B-9F49-5C2EA2EFB5D1}</c15:txfldGUID>
                      <c15:f>tracperf!$BZ$31</c15:f>
                      <c15:dlblFieldTableCache>
                        <c:ptCount val="1"/>
                      </c15:dlblFieldTableCache>
                    </c15:dlblFTEntry>
                  </c15:dlblFieldTable>
                  <c15:showDataLabelsRange val="0"/>
                </c:ext>
              </c:extLst>
            </c:dLbl>
            <c:dLbl>
              <c:idx val="24"/>
              <c:tx>
                <c:strRef>
                  <c:f>tracperf!$BZ$32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{91E4A843-4319-485D-B4A2-2AF7B4E33FA7}</c15:txfldGUID>
                      <c15:f>tracperf!$BZ$32</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xVal>
          <c:yVal>
            <c:numRef>
              <c:f>tracperf!$BX$8:$BX$35</c:f>
              <c:numCache>
                <c:formatCode>0.000_)</c:formatCode>
                <c:ptCount val="28"/>
                <c:pt idx="0">
                  <c:v>0.49051398824734005</c:v>
                </c:pt>
                <c:pt idx="1">
                  <c:v>0.67097787386067831</c:v>
                </c:pt>
                <c:pt idx="2">
                  <c:v>0.74182716433814633</c:v>
                </c:pt>
                <c:pt idx="3">
                  <c:v>0.79474750126257099</c:v>
                </c:pt>
                <c:pt idx="4">
                  <c:v>0.80844504414615714</c:v>
                </c:pt>
                <c:pt idx="5">
                  <c:v>0.80461181110082314</c:v>
                </c:pt>
                <c:pt idx="6">
                  <c:v>0.78235719020714578</c:v>
                </c:pt>
                <c:pt idx="7">
                  <c:v>0.7679284154277759</c:v>
                </c:pt>
                <c:pt idx="8">
                  <c:v>0.75227088473958603</c:v>
                </c:pt>
                <c:pt idx="9">
                  <c:v>0.73575873711327322</c:v>
                </c:pt>
                <c:pt idx="10">
                  <c:v>0.71863362652027518</c:v>
                </c:pt>
                <c:pt idx="11">
                  <c:v>0.70105877828987206</c:v>
                </c:pt>
                <c:pt idx="12">
                  <c:v>0.68314854695903549</c:v>
                </c:pt>
                <c:pt idx="13">
                  <c:v>0.66498551969179809</c:v>
                </c:pt>
                <c:pt idx="14">
                  <c:v>0.64663088681664926</c:v>
                </c:pt>
                <c:pt idx="15">
                  <c:v>0.62813098239622833</c:v>
                </c:pt>
                <c:pt idx="16">
                  <c:v>0.60952155056077884</c:v>
                </c:pt>
                <c:pt idx="17">
                  <c:v>0.59083061088369515</c:v>
                </c:pt>
                <c:pt idx="18">
                  <c:v>0.5720804328609348</c:v>
                </c:pt>
                <c:pt idx="19">
                  <c:v>0.55328892785257378</c:v>
                </c:pt>
                <c:pt idx="20">
                  <c:v>0.53447065061469112</c:v>
                </c:pt>
                <c:pt idx="21">
                  <c:v>0.51563753336269369</c:v>
                </c:pt>
                <c:pt idx="22">
                  <c:v>0.49679943292226519</c:v>
                </c:pt>
                <c:pt idx="23">
                  <c:v>0.47796454488515921</c:v>
                </c:pt>
                <c:pt idx="24">
                  <c:v>0.45913972155592531</c:v>
                </c:pt>
              </c:numCache>
            </c:numRef>
          </c:yVal>
          <c:smooth val="1"/>
        </c:ser>
        <c:ser>
          <c:idx val="1"/>
          <c:order val="1"/>
          <c:spPr>
            <a:ln w="25400">
              <a:solidFill>
                <a:srgbClr val="000000"/>
              </a:solidFill>
              <a:prstDash val="solid"/>
            </a:ln>
          </c:spPr>
          <c:marker>
            <c:symbol val="none"/>
          </c:marker>
          <c:dLbls>
            <c:dLbl>
              <c:idx val="0"/>
              <c:layout>
                <c:manualLayout>
                  <c:xMode val="edge"/>
                  <c:yMode val="edge"/>
                  <c:x val="0.14095449500554938"/>
                  <c:y val="0.10277324632952692"/>
                </c:manualLayout>
              </c:layout>
              <c:tx>
                <c:strRef>
                  <c:f>tracperf!$CL$8</c:f>
                  <c:strCache>
                    <c:ptCount val="1"/>
                    <c:pt idx="0">
                      <c:v>Va/Vt</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dlblFTEntry>
                      <c15:txfldGUID>{CA8AB5E2-776A-4E88-A9EE-C6F8A093992A}</c15:txfldGUID>
                      <c15:f>tracperf!$CL$8</c15:f>
                      <c15:dlblFieldTableCache>
                        <c:ptCount val="1"/>
                        <c:pt idx="0">
                          <c:v>Va/Vt</c:v>
                        </c:pt>
                      </c15:dlblFieldTableCache>
                    </c15:dlblFTEntry>
                  </c15:dlblFieldTable>
                  <c15:showDataLabelsRange val="0"/>
                </c:ext>
              </c:extLst>
            </c:dLbl>
            <c:dLbl>
              <c:idx val="1"/>
              <c:tx>
                <c:strRef>
                  <c:f>tracperf!$CL$9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{B41F830E-E54D-4F25-9FAD-A479FB12B474}</c15:txfldGUID>
                      <c15:f>tracperf!$CL$9</c15:f>
                      <c15:dlblFieldTableCache>
                        <c:ptCount val="1"/>
                      </c15:dlblFieldTableCache>
                    </c15:dlblFTEntry>
                  </c15:dlblFieldTable>
                  <c15:showDataLabelsRange val="0"/>
                </c:ext>
              </c:extLst>
            </c:dLbl>
            <c:dLbl>
              <c:idx val="2"/>
              <c:tx>
                <c:strRef>
                  <c:f>tracperf!$CL$10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{669E2E93-3B47-4383-86A8-B7253A6C6A92}</c15:txfldGUID>
                      <c15:f>tracperf!$CL$10</c15:f>
                      <c15:dlblFieldTableCache>
                        <c:ptCount val="1"/>
                      </c15:dlblFieldTableCache>
                    </c15:dlblFTEntry>
                  </c15:dlblFieldTable>
                  <c15:showDataLabelsRange val="0"/>
                </c:ext>
              </c:extLst>
            </c:dLbl>
            <c:dLbl>
              <c:idx val="3"/>
              <c:tx>
                <c:strRef>
                  <c:f>tracperf!$CL$11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{B267298D-0C02-48BD-AAB5-ACAD85806F8E}</c15:txfldGUID>
                      <c15:f>tracperf!$CL$11</c15:f>
                      <c15:dlblFieldTableCache>
                        <c:ptCount val="1"/>
                      </c15:dlblFieldTableCache>
                    </c15:dlblFTEntry>
                  </c15:dlblFieldTable>
                  <c15:showDataLabelsRange val="0"/>
                </c:ext>
              </c:extLst>
            </c:dLbl>
            <c:dLbl>
              <c:idx val="4"/>
              <c:tx>
                <c:strRef>
                  <c:f>tracperf!$CL$12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{71D94AC2-8385-490B-8765-8F8A82920384}</c15:txfldGUID>
                      <c15:f>tracperf!$CL$12</c15:f>
                      <c15:dlblFieldTableCache>
                        <c:ptCount val="1"/>
                      </c15:dlblFieldTableCache>
                    </c15:dlblFTEntry>
                  </c15:dlblFieldTable>
                  <c15:showDataLabelsRange val="0"/>
                </c:ext>
              </c:extLst>
            </c:dLbl>
            <c:dLbl>
              <c:idx val="5"/>
              <c:tx>
                <c:strRef>
                  <c:f>tracperf!$CL$13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{507C1FBB-83DB-4FCD-997B-36BDC202F7A6}</c15:txfldGUID>
                      <c15:f>tracperf!$CL$13</c15:f>
                      <c15:dlblFieldTableCache>
                        <c:ptCount val="1"/>
                      </c15:dlblFieldTableCache>
                    </c15:dlblFTEntry>
                  </c15:dlblFieldTable>
                  <c15:showDataLabelsRange val="0"/>
                </c:ext>
              </c:extLst>
            </c:dLbl>
            <c:dLbl>
              <c:idx val="6"/>
              <c:tx>
                <c:strRef>
                  <c:f>tracperf!$CL$14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{27A04C6F-8DB8-4177-9209-77257F9428CF}</c15:txfldGUID>
                      <c15:f>tracperf!$CL$14</c15:f>
                      <c15:dlblFieldTableCache>
                        <c:ptCount val="1"/>
                      </c15:dlblFieldTableCache>
                    </c15:dlblFTEntry>
                  </c15:dlblFieldTable>
                  <c15:showDataLabelsRange val="0"/>
                </c:ext>
              </c:extLst>
            </c:dLbl>
            <c:dLbl>
              <c:idx val="7"/>
              <c:tx>
                <c:strRef>
                  <c:f>tracperf!$CL$15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{75A05C76-16D8-4BF6-8308-146629CEEBB6}</c15:txfldGUID>
                      <c15:f>tracperf!$CL$15</c15:f>
                      <c15:dlblFieldTableCache>
                        <c:ptCount val="1"/>
                      </c15:dlblFieldTableCache>
                    </c15:dlblFTEntry>
                  </c15:dlblFieldTable>
                  <c15:showDataLabelsRange val="0"/>
                </c:ext>
              </c:extLst>
            </c:dLbl>
            <c:dLbl>
              <c:idx val="8"/>
              <c:tx>
                <c:strRef>
                  <c:f>tracperf!$CL$16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{C99F9437-EAF3-457A-A1A8-B5D3FEA2F133}</c15:txfldGUID>
                      <c15:f>tracperf!$CL$16</c15:f>
                      <c15:dlblFieldTableCache>
                        <c:ptCount val="1"/>
                      </c15:dlblFieldTableCache>
                    </c15:dlblFTEntry>
                  </c15:dlblFieldTable>
                  <c15:showDataLabelsRange val="0"/>
                </c:ext>
              </c:extLst>
            </c:dLbl>
            <c:dLbl>
              <c:idx val="9"/>
              <c:tx>
                <c:strRef>
                  <c:f>tracperf!$CL$17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{AF878F71-4BE2-4156-914F-B1D3D099B750}</c15:txfldGUID>
                      <c15:f>tracperf!$CL$17</c15:f>
                      <c15:dlblFieldTableCache>
                        <c:ptCount val="1"/>
                      </c15:dlblFieldTableCache>
                    </c15:dlblFTEntry>
                  </c15:dlblFieldTable>
                  <c15:showDataLabelsRange val="0"/>
                </c:ext>
              </c:extLst>
            </c:dLbl>
            <c:dLbl>
              <c:idx val="10"/>
              <c:tx>
                <c:strRef>
                  <c:f>tracperf!$CL$18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{6C56F7A9-3A53-44A0-B67C-F7AE0E28DD02}</c15:txfldGUID>
                      <c15:f>tracperf!$CL$18</c15:f>
                      <c15:dlblFieldTableCache>
                        <c:ptCount val="1"/>
                      </c15:dlblFieldTableCache>
                    </c15:dlblFTEntry>
                  </c15:dlblFieldTable>
                  <c15:showDataLabelsRange val="0"/>
                </c:ext>
              </c:extLst>
            </c:dLbl>
            <c:dLbl>
              <c:idx val="11"/>
              <c:tx>
                <c:strRef>
                  <c:f>tracperf!$CL$19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{738DAB39-80DB-42CE-9685-26109F030ECF}</c15:txfldGUID>
                      <c15:f>tracperf!$CL$19</c15:f>
                      <c15:dlblFieldTableCache>
                        <c:ptCount val="1"/>
                      </c15:dlblFieldTableCache>
                    </c15:dlblFTEntry>
                  </c15:dlblFieldTable>
                  <c15:showDataLabelsRange val="0"/>
                </c:ext>
              </c:extLst>
            </c:dLbl>
            <c:dLbl>
              <c:idx val="12"/>
              <c:tx>
                <c:strRef>
                  <c:f>tracperf!$CL$20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{E73E37E7-7A7E-4FBB-B396-AC6423B1A10E}</c15:txfldGUID>
                      <c15:f>tracperf!$CL$20</c15:f>
                      <c15:dlblFieldTableCache>
                        <c:ptCount val="1"/>
                      </c15:dlblFieldTableCache>
                    </c15:dlblFTEntry>
                  </c15:dlblFieldTable>
                  <c15:showDataLabelsRange val="0"/>
                </c:ext>
              </c:extLst>
            </c:dLbl>
            <c:dLbl>
              <c:idx val="13"/>
              <c:tx>
                <c:strRef>
                  <c:f>tracperf!$CL$21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{02A2B331-7CD6-4EA8-97CD-7E6CE91D29E3}</c15:txfldGUID>
                      <c15:f>tracperf!$CL$21</c15:f>
                      <c15:dlblFieldTableCache>
                        <c:ptCount val="1"/>
                      </c15:dlblFieldTableCache>
                    </c15:dlblFTEntry>
                  </c15:dlblFieldTable>
                  <c15:showDataLabelsRange val="0"/>
                </c:ext>
              </c:extLst>
            </c:dLbl>
            <c:dLbl>
              <c:idx val="14"/>
              <c:tx>
                <c:strRef>
                  <c:f>tracperf!$CL$22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{02179182-133E-467D-BA97-D7942B8360FB}</c15:txfldGUID>
                      <c15:f>tracperf!$CL$22</c15:f>
                      <c15:dlblFieldTableCache>
                        <c:ptCount val="1"/>
                      </c15:dlblFieldTableCache>
                    </c15:dlblFTEntry>
                  </c15:dlblFieldTable>
                  <c15:showDataLabelsRange val="0"/>
                </c:ext>
              </c:extLst>
            </c:dLbl>
            <c:dLbl>
              <c:idx val="15"/>
              <c:tx>
                <c:strRef>
                  <c:f>tracperf!$CL$23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{B7AC053C-B0BC-46A0-A39E-DE4FCC6EB17E}</c15:txfldGUID>
                      <c15:f>tracperf!$CL$23</c15:f>
                      <c15:dlblFieldTableCache>
                        <c:ptCount val="1"/>
                      </c15:dlblFieldTableCache>
                    </c15:dlblFTEntry>
                  </c15:dlblFieldTable>
                  <c15:showDataLabelsRange val="0"/>
                </c:ext>
              </c:extLst>
            </c:dLbl>
            <c:dLbl>
              <c:idx val="16"/>
              <c:tx>
                <c:strRef>
                  <c:f>tracperf!$CL$24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{709E7BE2-A100-46D2-A50F-F61CE947B01C}</c15:txfldGUID>
                      <c15:f>tracperf!$CL$24</c15:f>
                      <c15:dlblFieldTableCache>
                        <c:ptCount val="1"/>
                      </c15:dlblFieldTableCache>
                    </c15:dlblFTEntry>
                  </c15:dlblFieldTable>
                  <c15:showDataLabelsRange val="0"/>
                </c:ext>
              </c:extLst>
            </c:dLbl>
            <c:dLbl>
              <c:idx val="17"/>
              <c:tx>
                <c:strRef>
                  <c:f>tracperf!$CL$25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{4992F060-FA64-4A55-AB89-213AE2250900}</c15:txfldGUID>
                      <c15:f>tracperf!$CL$25</c15:f>
                      <c15:dlblFieldTableCache>
                        <c:ptCount val="1"/>
                      </c15:dlblFieldTableCache>
                    </c15:dlblFTEntry>
                  </c15:dlblFieldTable>
                  <c15:showDataLabelsRange val="0"/>
                </c:ext>
              </c:extLst>
            </c:dLbl>
            <c:dLbl>
              <c:idx val="18"/>
              <c:tx>
                <c:strRef>
                  <c:f>tracperf!$CL$26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{AC0A61AC-E9BA-4E15-8D41-C811541A2074}</c15:txfldGUID>
                      <c15:f>tracperf!$CL$26</c15:f>
                      <c15:dlblFieldTableCache>
                        <c:ptCount val="1"/>
                      </c15:dlblFieldTableCache>
                    </c15:dlblFTEntry>
                  </c15:dlblFieldTable>
                  <c15:showDataLabelsRange val="0"/>
                </c:ext>
              </c:extLst>
            </c:dLbl>
            <c:dLbl>
              <c:idx val="19"/>
              <c:tx>
                <c:strRef>
                  <c:f>tracperf!$CL$27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{F323AC89-B114-4043-A8D8-E2761672FC5F}</c15:txfldGUID>
                      <c15:f>tracperf!$CL$27</c15:f>
                      <c15:dlblFieldTableCache>
                        <c:ptCount val="1"/>
                      </c15:dlblFieldTableCache>
                    </c15:dlblFTEntry>
                  </c15:dlblFieldTable>
                  <c15:showDataLabelsRange val="0"/>
                </c:ext>
              </c:extLst>
            </c:dLbl>
            <c:dLbl>
              <c:idx val="20"/>
              <c:tx>
                <c:strRef>
                  <c:f>tracperf!$CL$28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{2D984E26-28CF-4B37-B2AB-747E6D7BA37E}</c15:txfldGUID>
                      <c15:f>tracperf!$CL$28</c15:f>
                      <c15:dlblFieldTableCache>
                        <c:ptCount val="1"/>
                      </c15:dlblFieldTableCache>
                    </c15:dlblFTEntry>
                  </c15:dlblFieldTable>
                  <c15:showDataLabelsRange val="0"/>
                </c:ext>
              </c:extLst>
            </c:dLbl>
            <c:dLbl>
              <c:idx val="21"/>
              <c:tx>
                <c:strRef>
                  <c:f>tracperf!$CL$29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{AB97E0A0-FFD4-40A6-A7AD-30713291BE17}</c15:txfldGUID>
                      <c15:f>tracperf!$CL$29</c15:f>
                      <c15:dlblFieldTableCache>
                        <c:ptCount val="1"/>
                      </c15:dlblFieldTableCache>
                    </c15:dlblFTEntry>
                  </c15:dlblFieldTable>
                  <c15:showDataLabelsRange val="0"/>
                </c:ext>
              </c:extLst>
            </c:dLbl>
            <c:dLbl>
              <c:idx val="22"/>
              <c:tx>
                <c:strRef>
                  <c:f>tracperf!$CL$30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{9EDDEF44-30D5-4953-A2F0-ED67294E1071}</c15:txfldGUID>
                      <c15:f>tracperf!$CL$30</c15:f>
                      <c15:dlblFieldTableCache>
                        <c:ptCount val="1"/>
                      </c15:dlblFieldTableCache>
                    </c15:dlblFTEntry>
                  </c15:dlblFieldTable>
                  <c15:showDataLabelsRange val="0"/>
                </c:ext>
              </c:extLst>
            </c:dLbl>
            <c:dLbl>
              <c:idx val="23"/>
              <c:tx>
                <c:strRef>
                  <c:f>tracperf!$CL$31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{452ABEFB-2CCB-42EB-9DE7-6B1A8E707D22}</c15:txfldGUID>
                      <c15:f>tracperf!$CL$31</c15:f>
                      <c15:dlblFieldTableCache>
                        <c:ptCount val="1"/>
                      </c15:dlblFieldTableCache>
                    </c15:dlblFTEntry>
                  </c15:dlblFieldTable>
                  <c15:showDataLabelsRange val="0"/>
                </c:ext>
              </c:extLst>
            </c:dLbl>
            <c:dLbl>
              <c:idx val="24"/>
              <c:tx>
                <c:strRef>
                  <c:f>tracperf!$CL$32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{2D0B4E3F-75F4-496C-A15F-98EA655BF9A6}</c15:txfldGUID>
                      <c15:f>tracperf!$CL$32</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xVal>
          <c:yVal>
            <c:numRef>
              <c:f>tracperf!$CK$8:$CK$32</c:f>
              <c:numCache>
                <c:formatCode>0.000_)</c:formatCode>
                <c:ptCount val="25"/>
                <c:pt idx="0">
                  <c:v>0.99</c:v>
                </c:pt>
                <c:pt idx="1">
                  <c:v>0.98</c:v>
                </c:pt>
                <c:pt idx="2">
                  <c:v>0.97</c:v>
                </c:pt>
                <c:pt idx="3">
                  <c:v>0.95</c:v>
                </c:pt>
                <c:pt idx="4">
                  <c:v>0.92999999999999994</c:v>
                </c:pt>
                <c:pt idx="5">
                  <c:v>0.9</c:v>
                </c:pt>
                <c:pt idx="6">
                  <c:v>0.86</c:v>
                </c:pt>
                <c:pt idx="7">
                  <c:v>0.84</c:v>
                </c:pt>
                <c:pt idx="8">
                  <c:v>0.82000000000000006</c:v>
                </c:pt>
                <c:pt idx="9">
                  <c:v>0.8</c:v>
                </c:pt>
                <c:pt idx="10">
                  <c:v>0.78</c:v>
                </c:pt>
                <c:pt idx="11">
                  <c:v>0.76</c:v>
                </c:pt>
                <c:pt idx="12">
                  <c:v>0.74</c:v>
                </c:pt>
                <c:pt idx="13">
                  <c:v>0.72</c:v>
                </c:pt>
                <c:pt idx="14">
                  <c:v>0.7</c:v>
                </c:pt>
                <c:pt idx="15">
                  <c:v>0.67999999999999994</c:v>
                </c:pt>
                <c:pt idx="16">
                  <c:v>0.65999999999999992</c:v>
                </c:pt>
                <c:pt idx="17">
                  <c:v>0.64</c:v>
                </c:pt>
                <c:pt idx="18">
                  <c:v>0.62</c:v>
                </c:pt>
                <c:pt idx="19">
                  <c:v>0.6</c:v>
                </c:pt>
                <c:pt idx="20">
                  <c:v>0.58000000000000007</c:v>
                </c:pt>
                <c:pt idx="21">
                  <c:v>0.56000000000000005</c:v>
                </c:pt>
                <c:pt idx="22">
                  <c:v>0.54</c:v>
                </c:pt>
                <c:pt idx="23">
                  <c:v>0.52</c:v>
                </c:pt>
                <c:pt idx="24">
                  <c:v>0.5</c:v>
                </c:pt>
              </c:numCache>
            </c:numRef>
          </c:yVal>
          <c:smooth val="0"/>
        </c:ser>
        <c:ser>
          <c:idx val="2"/>
          <c:order val="2"/>
          <c:spPr>
            <a:ln w="25400">
              <a:solidFill>
                <a:srgbClr val="00FF00"/>
              </a:solidFill>
              <a:prstDash val="solid"/>
            </a:ln>
          </c:spPr>
          <c:marker>
            <c:symbol val="none"/>
          </c:marker>
          <c:dLbls>
            <c:dLbl>
              <c:idx val="0"/>
              <c:layout>
                <c:manualLayout>
                  <c:xMode val="edge"/>
                  <c:yMode val="edge"/>
                  <c:x val="0.16537180910099888"/>
                  <c:y val="0.88417618270799347"/>
                </c:manualLayout>
              </c:layout>
              <c:tx>
                <c:strRef>
                  <c:f>tracperf!$BY$7</c:f>
                  <c:strCache>
                    <c:ptCount val="1"/>
                    <c:pt idx="0">
                      <c:v>Slip Ratio</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dlblFTEntry>
                      <c15:txfldGUID>{54720C00-3D21-4803-AFBF-DB9CF03E524A}</c15:txfldGUID>
                      <c15:f>tracperf!$BY$7</c15:f>
                      <c15:dlblFieldTableCache>
                        <c:ptCount val="1"/>
                        <c:pt idx="0">
                          <c:v>Slip Ratio</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xVal>
          <c:yVal>
            <c:numRef>
              <c:f>tracperf!$BY$8:$BY$35</c:f>
              <c:numCache>
                <c:formatCode>General</c:formatCode>
                <c:ptCount val="28"/>
                <c:pt idx="0">
                  <c:v>0.01</c:v>
                </c:pt>
                <c:pt idx="1">
                  <c:v>0.02</c:v>
                </c:pt>
                <c:pt idx="2">
                  <c:v>0.03</c:v>
                </c:pt>
                <c:pt idx="3">
                  <c:v>0.05</c:v>
                </c:pt>
                <c:pt idx="4">
                  <c:v>7.0000000000000007E-2</c:v>
                </c:pt>
                <c:pt idx="5">
                  <c:v>0.1</c:v>
                </c:pt>
                <c:pt idx="6">
                  <c:v>0.14000000000000001</c:v>
                </c:pt>
                <c:pt idx="7">
                  <c:v>0.16</c:v>
                </c:pt>
                <c:pt idx="8">
                  <c:v>0.18</c:v>
                </c:pt>
                <c:pt idx="9">
                  <c:v>0.2</c:v>
                </c:pt>
                <c:pt idx="10">
                  <c:v>0.22</c:v>
                </c:pt>
                <c:pt idx="11">
                  <c:v>0.24</c:v>
                </c:pt>
                <c:pt idx="12">
                  <c:v>0.26</c:v>
                </c:pt>
                <c:pt idx="13">
                  <c:v>0.28000000000000003</c:v>
                </c:pt>
                <c:pt idx="14">
                  <c:v>0.3</c:v>
                </c:pt>
                <c:pt idx="15">
                  <c:v>0.32</c:v>
                </c:pt>
                <c:pt idx="16">
                  <c:v>0.34</c:v>
                </c:pt>
                <c:pt idx="17">
                  <c:v>0.36</c:v>
                </c:pt>
                <c:pt idx="18">
                  <c:v>0.38</c:v>
                </c:pt>
                <c:pt idx="19">
                  <c:v>0.4</c:v>
                </c:pt>
                <c:pt idx="20">
                  <c:v>0.42</c:v>
                </c:pt>
                <c:pt idx="21">
                  <c:v>0.44</c:v>
                </c:pt>
                <c:pt idx="22">
                  <c:v>0.46</c:v>
                </c:pt>
                <c:pt idx="23">
                  <c:v>0.48</c:v>
                </c:pt>
                <c:pt idx="24">
                  <c:v>0.5</c:v>
                </c:pt>
              </c:numCache>
            </c:numRef>
          </c:yVal>
          <c:smooth val="0"/>
        </c:ser>
        <c:ser>
          <c:idx val="3"/>
          <c:order val="3"/>
          <c:spPr>
            <a:ln w="25400">
              <a:solidFill>
                <a:srgbClr val="800000"/>
              </a:solidFill>
              <a:prstDash val="solid"/>
            </a:ln>
          </c:spPr>
          <c:marker>
            <c:symbol val="none"/>
          </c:marker>
          <c:dLbls>
            <c:dLbl>
              <c:idx val="0"/>
              <c:tx>
                <c:strRef>
                  <c:f>tracperf!$CE$8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{5E06C103-5B7B-40DF-96CC-BCEDEF0ACE27}</c15:txfldGUID>
                      <c15:f>tracperf!$CE$8</c15:f>
                      <c15:dlblFieldTableCache>
                        <c:ptCount val="1"/>
                      </c15:dlblFieldTableCache>
                    </c15:dlblFTEntry>
                  </c15:dlblFieldTable>
                  <c15:showDataLabelsRange val="0"/>
                </c:ext>
              </c:extLst>
            </c:dLbl>
            <c:dLbl>
              <c:idx val="1"/>
              <c:tx>
                <c:strRef>
                  <c:f>tracperf!$CE$9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{0DC9A5F7-6228-4CFD-8E81-84B1477ED0CE}</c15:txfldGUID>
                      <c15:f>tracperf!$CE$9</c15:f>
                      <c15:dlblFieldTableCache>
                        <c:ptCount val="1"/>
                      </c15:dlblFieldTableCache>
                    </c15:dlblFTEntry>
                  </c15:dlblFieldTable>
                  <c15:showDataLabelsRange val="0"/>
                </c:ext>
              </c:extLst>
            </c:dLbl>
            <c:dLbl>
              <c:idx val="2"/>
              <c:tx>
                <c:strRef>
                  <c:f>tracperf!$CE$10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{70C1EB7F-39BB-4C0F-B295-F9ED4FC66638}</c15:txfldGUID>
                      <c15:f>tracperf!$CE$10</c15:f>
                      <c15:dlblFieldTableCache>
                        <c:ptCount val="1"/>
                      </c15:dlblFieldTableCache>
                    </c15:dlblFTEntry>
                  </c15:dlblFieldTable>
                  <c15:showDataLabelsRange val="0"/>
                </c:ext>
              </c:extLst>
            </c:dLbl>
            <c:dLbl>
              <c:idx val="3"/>
              <c:tx>
                <c:strRef>
                  <c:f>tracperf!$CE$11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{C8222D31-D2ED-41EE-A6B0-ED49710A0AFF}</c15:txfldGUID>
                      <c15:f>tracperf!$CE$11</c15:f>
                      <c15:dlblFieldTableCache>
                        <c:ptCount val="1"/>
                      </c15:dlblFieldTableCache>
                    </c15:dlblFTEntry>
                  </c15:dlblFieldTable>
                  <c15:showDataLabelsRange val="0"/>
                </c:ext>
              </c:extLst>
            </c:dLbl>
            <c:dLbl>
              <c:idx val="4"/>
              <c:tx>
                <c:strRef>
                  <c:f>tracperf!$CE$12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{C096DADC-27D3-404B-A1C1-822D2FDCC012}</c15:txfldGUID>
                      <c15:f>tracperf!$CE$12</c15:f>
                      <c15:dlblFieldTableCache>
                        <c:ptCount val="1"/>
                      </c15:dlblFieldTableCache>
                    </c15:dlblFTEntry>
                  </c15:dlblFieldTable>
                  <c15:showDataLabelsRange val="0"/>
                </c:ext>
              </c:extLst>
            </c:dLbl>
            <c:dLbl>
              <c:idx val="5"/>
              <c:tx>
                <c:strRef>
                  <c:f>tracperf!$CE$13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{8A73A097-D996-44FC-9DFF-C2C271856EDA}</c15:txfldGUID>
                      <c15:f>tracperf!$CE$13</c15:f>
                      <c15:dlblFieldTableCache>
                        <c:ptCount val="1"/>
                      </c15:dlblFieldTableCache>
                    </c15:dlblFTEntry>
                  </c15:dlblFieldTable>
                  <c15:showDataLabelsRange val="0"/>
                </c:ext>
              </c:extLst>
            </c:dLbl>
            <c:dLbl>
              <c:idx val="6"/>
              <c:tx>
                <c:strRef>
                  <c:f>tracperf!$CE$14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{CC084D18-96E2-40D3-A24F-D7097C9BAEB6}</c15:txfldGUID>
                      <c15:f>tracperf!$CE$14</c15:f>
                      <c15:dlblFieldTableCache>
                        <c:ptCount val="1"/>
                      </c15:dlblFieldTableCache>
                    </c15:dlblFTEntry>
                  </c15:dlblFieldTable>
                  <c15:showDataLabelsRange val="0"/>
                </c:ext>
              </c:extLst>
            </c:dLbl>
            <c:dLbl>
              <c:idx val="7"/>
              <c:tx>
                <c:strRef>
                  <c:f>tracperf!$CE$15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{3407C6A4-EA17-4402-8924-437296DF8B52}</c15:txfldGUID>
                      <c15:f>tracperf!$CE$15</c15:f>
                      <c15:dlblFieldTableCache>
                        <c:ptCount val="1"/>
                      </c15:dlblFieldTableCache>
                    </c15:dlblFTEntry>
                  </c15:dlblFieldTable>
                  <c15:showDataLabelsRange val="0"/>
                </c:ext>
              </c:extLst>
            </c:dLbl>
            <c:dLbl>
              <c:idx val="8"/>
              <c:tx>
                <c:strRef>
                  <c:f>tracperf!$CE$16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{46204FBF-1C88-4985-A5A5-5179025FE28D}</c15:txfldGUID>
                      <c15:f>tracperf!$CE$16</c15:f>
                      <c15:dlblFieldTableCache>
                        <c:ptCount val="1"/>
                      </c15:dlblFieldTableCache>
                    </c15:dlblFTEntry>
                  </c15:dlblFieldTable>
                  <c15:showDataLabelsRange val="0"/>
                </c:ext>
              </c:extLst>
            </c:dLbl>
            <c:dLbl>
              <c:idx val="9"/>
              <c:tx>
                <c:strRef>
                  <c:f>tracperf!$CE$17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{E2140295-EFF7-4C92-9D50-22FD6424012B}</c15:txfldGUID>
                      <c15:f>tracperf!$CE$17</c15:f>
                      <c15:dlblFieldTableCache>
                        <c:ptCount val="1"/>
                      </c15:dlblFieldTableCache>
                    </c15:dlblFTEntry>
                  </c15:dlblFieldTable>
                  <c15:showDataLabelsRange val="0"/>
                </c:ext>
              </c:extLst>
            </c:dLbl>
            <c:dLbl>
              <c:idx val="10"/>
              <c:tx>
                <c:strRef>
                  <c:f>tracperf!$CE$18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{9712B589-3A08-467F-9790-18F877D77389}</c15:txfldGUID>
                      <c15:f>tracperf!$CE$18</c15:f>
                      <c15:dlblFieldTableCache>
                        <c:ptCount val="1"/>
                      </c15:dlblFieldTableCache>
                    </c15:dlblFTEntry>
                  </c15:dlblFieldTable>
                  <c15:showDataLabelsRange val="0"/>
                </c:ext>
              </c:extLst>
            </c:dLbl>
            <c:dLbl>
              <c:idx val="11"/>
              <c:tx>
                <c:strRef>
                  <c:f>tracperf!$CE$19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{46BD0109-19F4-441E-A9E2-AA49AEFD91C6}</c15:txfldGUID>
                      <c15:f>tracperf!$CE$19</c15:f>
                      <c15:dlblFieldTableCache>
                        <c:ptCount val="1"/>
                      </c15:dlblFieldTableCache>
                    </c15:dlblFTEntry>
                  </c15:dlblFieldTable>
                  <c15:showDataLabelsRange val="0"/>
                </c:ext>
              </c:extLst>
            </c:dLbl>
            <c:dLbl>
              <c:idx val="12"/>
              <c:tx>
                <c:strRef>
                  <c:f>tracperf!$CE$20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{185F1D6C-9C65-4693-A365-7446FC1A5F8F}</c15:txfldGUID>
                      <c15:f>tracperf!$CE$20</c15:f>
                      <c15:dlblFieldTableCache>
                        <c:ptCount val="1"/>
                      </c15:dlblFieldTableCache>
                    </c15:dlblFTEntry>
                  </c15:dlblFieldTable>
                  <c15:showDataLabelsRange val="0"/>
                </c:ext>
              </c:extLst>
            </c:dLbl>
            <c:dLbl>
              <c:idx val="13"/>
              <c:tx>
                <c:strRef>
                  <c:f>tracperf!$CE$21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{90D29421-6A15-4737-A2B2-3A5A9F418D56}</c15:txfldGUID>
                      <c15:f>tracperf!$CE$21</c15:f>
                      <c15:dlblFieldTableCache>
                        <c:ptCount val="1"/>
                      </c15:dlblFieldTableCache>
                    </c15:dlblFTEntry>
                  </c15:dlblFieldTable>
                  <c15:showDataLabelsRange val="0"/>
                </c:ext>
              </c:extLst>
            </c:dLbl>
            <c:dLbl>
              <c:idx val="14"/>
              <c:tx>
                <c:strRef>
                  <c:f>tracperf!$CE$22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{967B25DB-87B6-45B3-872D-6602177CE140}</c15:txfldGUID>
                      <c15:f>tracperf!$CE$22</c15:f>
                      <c15:dlblFieldTableCache>
                        <c:ptCount val="1"/>
                      </c15:dlblFieldTableCache>
                    </c15:dlblFTEntry>
                  </c15:dlblFieldTable>
                  <c15:showDataLabelsRange val="0"/>
                </c:ext>
              </c:extLst>
            </c:dLbl>
            <c:dLbl>
              <c:idx val="15"/>
              <c:tx>
                <c:strRef>
                  <c:f>tracperf!$CE$23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{DFD19A06-52AD-4354-92E7-13A134F2F1B7}</c15:txfldGUID>
                      <c15:f>tracperf!$CE$23</c15:f>
                      <c15:dlblFieldTableCache>
                        <c:ptCount val="1"/>
                      </c15:dlblFieldTableCache>
                    </c15:dlblFTEntry>
                  </c15:dlblFieldTable>
                  <c15:showDataLabelsRange val="0"/>
                </c:ext>
              </c:extLst>
            </c:dLbl>
            <c:dLbl>
              <c:idx val="16"/>
              <c:tx>
                <c:strRef>
                  <c:f>tracperf!$CE$24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{31FB1510-CC50-48DF-975A-B7A81EE49C64}</c15:txfldGUID>
                      <c15:f>tracperf!$CE$24</c15:f>
                      <c15:dlblFieldTableCache>
                        <c:ptCount val="1"/>
                      </c15:dlblFieldTableCache>
                    </c15:dlblFTEntry>
                  </c15:dlblFieldTable>
                  <c15:showDataLabelsRange val="0"/>
                </c:ext>
              </c:extLst>
            </c:dLbl>
            <c:dLbl>
              <c:idx val="17"/>
              <c:tx>
                <c:strRef>
                  <c:f>tracperf!$CE$25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{11031542-4C9F-45FF-928A-BB59C00AAD6E}</c15:txfldGUID>
                      <c15:f>tracperf!$CE$25</c15:f>
                      <c15:dlblFieldTableCache>
                        <c:ptCount val="1"/>
                      </c15:dlblFieldTableCache>
                    </c15:dlblFTEntry>
                  </c15:dlblFieldTable>
                  <c15:showDataLabelsRange val="0"/>
                </c:ext>
              </c:extLst>
            </c:dLbl>
            <c:dLbl>
              <c:idx val="18"/>
              <c:tx>
                <c:strRef>
                  <c:f>tracperf!$CE$26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{25D45826-7397-4BF4-9DB6-984539DB3B4F}</c15:txfldGUID>
                      <c15:f>tracperf!$CE$26</c15:f>
                      <c15:dlblFieldTableCache>
                        <c:ptCount val="1"/>
                      </c15:dlblFieldTableCache>
                    </c15:dlblFTEntry>
                  </c15:dlblFieldTable>
                  <c15:showDataLabelsRange val="0"/>
                </c:ext>
              </c:extLst>
            </c:dLbl>
            <c:dLbl>
              <c:idx val="19"/>
              <c:tx>
                <c:strRef>
                  <c:f>tracperf!$CE$27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{5AEA6095-5FC4-433C-BE43-CA1F21DE8613}</c15:txfldGUID>
                      <c15:f>tracperf!$CE$27</c15:f>
                      <c15:dlblFieldTableCache>
                        <c:ptCount val="1"/>
                      </c15:dlblFieldTableCache>
                    </c15:dlblFTEntry>
                  </c15:dlblFieldTable>
                  <c15:showDataLabelsRange val="0"/>
                </c:ext>
              </c:extLst>
            </c:dLbl>
            <c:dLbl>
              <c:idx val="20"/>
              <c:tx>
                <c:strRef>
                  <c:f>tracperf!$CE$28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{08638C56-F66A-4C96-A99A-6B08255AD872}</c15:txfldGUID>
                      <c15:f>tracperf!$CE$28</c15:f>
                      <c15:dlblFieldTableCache>
                        <c:ptCount val="1"/>
                      </c15:dlblFieldTableCache>
                    </c15:dlblFTEntry>
                  </c15:dlblFieldTable>
                  <c15:showDataLabelsRange val="0"/>
                </c:ext>
              </c:extLst>
            </c:dLbl>
            <c:dLbl>
              <c:idx val="21"/>
              <c:tx>
                <c:strRef>
                  <c:f>tracperf!$CE$29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{6A577130-9F71-41E4-971F-6477851E138F}</c15:txfldGUID>
                      <c15:f>tracperf!$CE$29</c15:f>
                      <c15:dlblFieldTableCache>
                        <c:ptCount val="1"/>
                      </c15:dlblFieldTableCache>
                    </c15:dlblFTEntry>
                  </c15:dlblFieldTable>
                  <c15:showDataLabelsRange val="0"/>
                </c:ext>
              </c:extLst>
            </c:dLbl>
            <c:dLbl>
              <c:idx val="22"/>
              <c:tx>
                <c:strRef>
                  <c:f>tracperf!$CE$30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{11340C40-1B48-4B39-A0D2-0073D4DBAE7D}</c15:txfldGUID>
                      <c15:f>tracperf!$CE$30</c15:f>
                      <c15:dlblFieldTableCache>
                        <c:ptCount val="1"/>
                      </c15:dlblFieldTableCache>
                    </c15:dlblFTEntry>
                  </c15:dlblFieldTable>
                  <c15:showDataLabelsRange val="0"/>
                </c:ext>
              </c:extLst>
            </c:dLbl>
            <c:dLbl>
              <c:idx val="23"/>
              <c:tx>
                <c:strRef>
                  <c:f>tracperf!$CE$31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{1990298F-0998-4F5A-B361-AF7481049332}</c15:txfldGUID>
                      <c15:f>tracperf!$CE$31</c15:f>
                      <c15:dlblFieldTableCache>
                        <c:ptCount val="1"/>
                      </c15:dlblFieldTableCache>
                    </c15:dlblFTEntry>
                  </c15:dlblFieldTable>
                  <c15:showDataLabelsRange val="0"/>
                </c:ext>
              </c:extLst>
            </c:dLbl>
            <c:dLbl>
              <c:idx val="24"/>
              <c:layout>
                <c:manualLayout>
                  <c:xMode val="edge"/>
                  <c:yMode val="edge"/>
                  <c:x val="0.80799112097669257"/>
                  <c:y val="0.81892332789559541"/>
                </c:manualLayout>
              </c:layout>
              <c:tx>
                <c:strRef>
                  <c:f>tracperf!$CE$32</c:f>
                  <c:strCache>
                    <c:ptCount val="1"/>
                    <c:pt idx="0">
                      <c:v>M/W</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dlblFTEntry>
                      <c15:txfldGUID>{DFE85E31-83E1-4BB7-8D92-66A3CAE15103}</c15:txfldGUID>
                      <c15:f>tracperf!$CE$32</c15:f>
                      <c15:dlblFieldTableCache>
                        <c:ptCount val="1"/>
                        <c:pt idx="0">
                          <c:v>M/W</c:v>
                        </c:pt>
                      </c15:dlblFieldTableCache>
                    </c15:dlblFTEntry>
                  </c15:dlblFieldTable>
                  <c15:showDataLabelsRange val="0"/>
                </c:ext>
              </c:extLst>
            </c:dLbl>
            <c:dLbl>
              <c:idx val="25"/>
              <c:tx>
                <c:strRef>
                  <c:f>tracperf!$CE$33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{351A955C-9C22-452B-92C0-16A10A8F6EB0}</c15:txfldGUID>
                      <c15:f>tracperf!$CE$33</c15:f>
                      <c15:dlblFieldTableCache>
                        <c:ptCount val="1"/>
                      </c15:dlblFieldTableCache>
                    </c15:dlblFTEntry>
                  </c15:dlblFieldTable>
                  <c15:showDataLabelsRange val="0"/>
                </c:ext>
              </c:extLst>
            </c:dLbl>
            <c:dLbl>
              <c:idx val="26"/>
              <c:tx>
                <c:strRef>
                  <c:f>tracperf!$CE$34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{A5418202-A00A-474F-B79E-B64F8E89C94F}</c15:txfldGUID>
                      <c15:f>tracperf!$CE$34</c15:f>
                      <c15:dlblFieldTableCache>
                        <c:ptCount val="1"/>
                      </c15:dlblFieldTableCache>
                    </c15:dlblFTEntry>
                  </c15:dlblFieldTable>
                  <c15:showDataLabelsRange val="0"/>
                </c:ext>
              </c:extLst>
            </c:dLbl>
            <c:dLbl>
              <c:idx val="27"/>
              <c:tx>
                <c:strRef>
                  <c:f>tracperf!$CE$35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{95FEC2D5-FB96-454A-9EF0-808B078EC291}</c15:txfldGUID>
                      <c15:f>tracperf!$CE$35</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xVal>
          <c:yVal>
            <c:numRef>
              <c:f>tracperf!$BV$8:$BV$35</c:f>
              <c:numCache>
                <c:formatCode>0.000_)</c:formatCode>
                <c:ptCount val="28"/>
                <c:pt idx="0">
                  <c:v>4.5111132891390501E-2</c:v>
                </c:pt>
                <c:pt idx="1">
                  <c:v>4.5661896922463058E-2</c:v>
                </c:pt>
                <c:pt idx="2">
                  <c:v>4.6212660953535607E-2</c:v>
                </c:pt>
                <c:pt idx="3">
                  <c:v>4.731418901568072E-2</c:v>
                </c:pt>
                <c:pt idx="4">
                  <c:v>4.8415717077825833E-2</c:v>
                </c:pt>
                <c:pt idx="5">
                  <c:v>5.0068009171043495E-2</c:v>
                </c:pt>
                <c:pt idx="6">
                  <c:v>5.2271065295333721E-2</c:v>
                </c:pt>
                <c:pt idx="7">
                  <c:v>5.3372593357478827E-2</c:v>
                </c:pt>
                <c:pt idx="8">
                  <c:v>5.447412141962394E-2</c:v>
                </c:pt>
                <c:pt idx="9">
                  <c:v>5.5575649481769046E-2</c:v>
                </c:pt>
                <c:pt idx="10">
                  <c:v>5.6677177543914159E-2</c:v>
                </c:pt>
                <c:pt idx="11">
                  <c:v>5.7778705606059272E-2</c:v>
                </c:pt>
                <c:pt idx="12">
                  <c:v>5.8880233668204385E-2</c:v>
                </c:pt>
                <c:pt idx="13">
                  <c:v>5.9981761730349491E-2</c:v>
                </c:pt>
                <c:pt idx="14">
                  <c:v>6.1083289792494597E-2</c:v>
                </c:pt>
                <c:pt idx="15">
                  <c:v>6.218481785463971E-2</c:v>
                </c:pt>
                <c:pt idx="16">
                  <c:v>6.3286345916784822E-2</c:v>
                </c:pt>
                <c:pt idx="17">
                  <c:v>6.4387873978929935E-2</c:v>
                </c:pt>
                <c:pt idx="18">
                  <c:v>6.5489402041075048E-2</c:v>
                </c:pt>
                <c:pt idx="19">
                  <c:v>6.6590930103220203E-2</c:v>
                </c:pt>
                <c:pt idx="20">
                  <c:v>6.7692458165365316E-2</c:v>
                </c:pt>
                <c:pt idx="21">
                  <c:v>6.8793986227510429E-2</c:v>
                </c:pt>
                <c:pt idx="22">
                  <c:v>6.9895514289655541E-2</c:v>
                </c:pt>
                <c:pt idx="23">
                  <c:v>7.099704235180064E-2</c:v>
                </c:pt>
                <c:pt idx="24">
                  <c:v>7.2098570413945753E-2</c:v>
                </c:pt>
              </c:numCache>
            </c:numRef>
          </c:yVal>
          <c:smooth val="0"/>
        </c:ser>
        <c:ser>
          <c:idx val="4"/>
          <c:order val="4"/>
          <c:spPr>
            <a:ln w="25400">
              <a:solidFill>
                <a:srgbClr val="000000"/>
              </a:solidFill>
              <a:prstDash val="solid"/>
            </a:ln>
          </c:spPr>
          <c:marker>
            <c:symbol val="none"/>
          </c:marker>
          <c:dLbls>
            <c:dLbl>
              <c:idx val="0"/>
              <c:tx>
                <c:strRef>
                  <c:f>tracperf!$CI$8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{AC8635D8-126A-4460-B219-9BFB5D3A156E}</c15:txfldGUID>
                      <c15:f>tracperf!$CI$8</c15:f>
                      <c15:dlblFieldTableCache>
                        <c:ptCount val="1"/>
                      </c15:dlblFieldTableCache>
                    </c15:dlblFTEntry>
                  </c15:dlblFieldTable>
                  <c15:showDataLabelsRange val="0"/>
                </c:ext>
              </c:extLst>
            </c:dLbl>
            <c:dLbl>
              <c:idx val="1"/>
              <c:tx>
                <c:strRef>
                  <c:f>tracperf!$CI$9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{1F1462E3-A0E9-4282-87FE-C793E8CB8FE7}</c15:txfldGUID>
                      <c15:f>tracperf!$CI$9</c15:f>
                      <c15:dlblFieldTableCache>
                        <c:ptCount val="1"/>
                      </c15:dlblFieldTableCache>
                    </c15:dlblFTEntry>
                  </c15:dlblFieldTable>
                  <c15:showDataLabelsRange val="0"/>
                </c:ext>
              </c:extLst>
            </c:dLbl>
            <c:dLbl>
              <c:idx val="2"/>
              <c:tx>
                <c:strRef>
                  <c:f>tracperf!$CI$10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{1283C525-8501-4298-A2CD-C61203ABDBC6}</c15:txfldGUID>
                      <c15:f>tracperf!$CI$10</c15:f>
                      <c15:dlblFieldTableCache>
                        <c:ptCount val="1"/>
                      </c15:dlblFieldTableCache>
                    </c15:dlblFTEntry>
                  </c15:dlblFieldTable>
                  <c15:showDataLabelsRange val="0"/>
                </c:ext>
              </c:extLst>
            </c:dLbl>
            <c:dLbl>
              <c:idx val="3"/>
              <c:tx>
                <c:strRef>
                  <c:f>tracperf!$CI$11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{C6B39D81-A644-4E5B-A8ED-606557C9E0EB}</c15:txfldGUID>
                      <c15:f>tracperf!$CI$11</c15:f>
                      <c15:dlblFieldTableCache>
                        <c:ptCount val="1"/>
                      </c15:dlblFieldTableCache>
                    </c15:dlblFTEntry>
                  </c15:dlblFieldTable>
                  <c15:showDataLabelsRange val="0"/>
                </c:ext>
              </c:extLst>
            </c:dLbl>
            <c:dLbl>
              <c:idx val="4"/>
              <c:tx>
                <c:strRef>
                  <c:f>tracperf!$CI$12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{265593DD-2A72-4572-80FC-25563444B7B4}</c15:txfldGUID>
                      <c15:f>tracperf!$CI$12</c15:f>
                      <c15:dlblFieldTableCache>
                        <c:ptCount val="1"/>
                      </c15:dlblFieldTableCache>
                    </c15:dlblFTEntry>
                  </c15:dlblFieldTable>
                  <c15:showDataLabelsRange val="0"/>
                </c:ext>
              </c:extLst>
            </c:dLbl>
            <c:dLbl>
              <c:idx val="5"/>
              <c:tx>
                <c:strRef>
                  <c:f>tracperf!$CI$13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{1D85DC36-4B86-48EF-BA08-A3491D662E2B}</c15:txfldGUID>
                      <c15:f>tracperf!$CI$13</c15:f>
                      <c15:dlblFieldTableCache>
                        <c:ptCount val="1"/>
                      </c15:dlblFieldTableCache>
                    </c15:dlblFTEntry>
                  </c15:dlblFieldTable>
                  <c15:showDataLabelsRange val="0"/>
                </c:ext>
              </c:extLst>
            </c:dLbl>
            <c:dLbl>
              <c:idx val="6"/>
              <c:tx>
                <c:strRef>
                  <c:f>tracperf!$CI$14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{987B3C84-4AC1-4637-A26F-A6F67C0E964B}</c15:txfldGUID>
                      <c15:f>tracperf!$CI$14</c15:f>
                      <c15:dlblFieldTableCache>
                        <c:ptCount val="1"/>
                      </c15:dlblFieldTableCache>
                    </c15:dlblFTEntry>
                  </c15:dlblFieldTable>
                  <c15:showDataLabelsRange val="0"/>
                </c:ext>
              </c:extLst>
            </c:dLbl>
            <c:dLbl>
              <c:idx val="7"/>
              <c:tx>
                <c:strRef>
                  <c:f>tracperf!$CI$15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{84D78197-4141-49FF-8D62-FB5017B53DA2}</c15:txfldGUID>
                      <c15:f>tracperf!$CI$15</c15:f>
                      <c15:dlblFieldTableCache>
                        <c:ptCount val="1"/>
                      </c15:dlblFieldTableCache>
                    </c15:dlblFTEntry>
                  </c15:dlblFieldTable>
                  <c15:showDataLabelsRange val="0"/>
                </c:ext>
              </c:extLst>
            </c:dLbl>
            <c:dLbl>
              <c:idx val="8"/>
              <c:tx>
                <c:strRef>
                  <c:f>tracperf!$CI$16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{EDF6533C-06BC-4744-987C-183BA4DB4D7C}</c15:txfldGUID>
                      <c15:f>tracperf!$CI$16</c15:f>
                      <c15:dlblFieldTableCache>
                        <c:ptCount val="1"/>
                      </c15:dlblFieldTableCache>
                    </c15:dlblFTEntry>
                  </c15:dlblFieldTable>
                  <c15:showDataLabelsRange val="0"/>
                </c:ext>
              </c:extLst>
            </c:dLbl>
            <c:dLbl>
              <c:idx val="9"/>
              <c:tx>
                <c:strRef>
                  <c:f>tracperf!$CI$17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{5CA72365-842D-4829-B7C5-DD198A04E2DC}</c15:txfldGUID>
                      <c15:f>tracperf!$CI$17</c15:f>
                      <c15:dlblFieldTableCache>
                        <c:ptCount val="1"/>
                      </c15:dlblFieldTableCache>
                    </c15:dlblFTEntry>
                  </c15:dlblFieldTable>
                  <c15:showDataLabelsRange val="0"/>
                </c:ext>
              </c:extLst>
            </c:dLbl>
            <c:dLbl>
              <c:idx val="10"/>
              <c:tx>
                <c:strRef>
                  <c:f>tracperf!$CI$18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{192098F8-1298-4315-BE85-AC5577A1CC91}</c15:txfldGUID>
                      <c15:f>tracperf!$CI$18</c15:f>
                      <c15:dlblFieldTableCache>
                        <c:ptCount val="1"/>
                      </c15:dlblFieldTableCache>
                    </c15:dlblFTEntry>
                  </c15:dlblFieldTable>
                  <c15:showDataLabelsRange val="0"/>
                </c:ext>
              </c:extLst>
            </c:dLbl>
            <c:dLbl>
              <c:idx val="11"/>
              <c:tx>
                <c:strRef>
                  <c:f>tracperf!$CI$19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{7A79F7C9-6F2D-4D66-89A8-5DC4BE443DCE}</c15:txfldGUID>
                      <c15:f>tracperf!$CI$19</c15:f>
                      <c15:dlblFieldTableCache>
                        <c:ptCount val="1"/>
                      </c15:dlblFieldTableCache>
                    </c15:dlblFTEntry>
                  </c15:dlblFieldTable>
                  <c15:showDataLabelsRange val="0"/>
                </c:ext>
              </c:extLst>
            </c:dLbl>
            <c:dLbl>
              <c:idx val="12"/>
              <c:tx>
                <c:strRef>
                  <c:f>tracperf!$CI$20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{AC221FF2-7D6B-4B7B-BBD1-3DBF449DA7D8}</c15:txfldGUID>
                      <c15:f>tracperf!$CI$20</c15:f>
                      <c15:dlblFieldTableCache>
                        <c:ptCount val="1"/>
                      </c15:dlblFieldTableCache>
                    </c15:dlblFTEntry>
                  </c15:dlblFieldTable>
                  <c15:showDataLabelsRange val="0"/>
                </c:ext>
              </c:extLst>
            </c:dLbl>
            <c:dLbl>
              <c:idx val="13"/>
              <c:tx>
                <c:strRef>
                  <c:f>tracperf!$CI$21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{D52A2812-DA54-4A1E-967A-110CE75BB090}</c15:txfldGUID>
                      <c15:f>tracperf!$CI$21</c15:f>
                      <c15:dlblFieldTableCache>
                        <c:ptCount val="1"/>
                      </c15:dlblFieldTableCache>
                    </c15:dlblFTEntry>
                  </c15:dlblFieldTable>
                  <c15:showDataLabelsRange val="0"/>
                </c:ext>
              </c:extLst>
            </c:dLbl>
            <c:dLbl>
              <c:idx val="14"/>
              <c:tx>
                <c:strRef>
                  <c:f>tracperf!$CI$22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{B0F96C92-5DEE-4895-BD3C-FA233EA68F58}</c15:txfldGUID>
                      <c15:f>tracperf!$CI$22</c15:f>
                      <c15:dlblFieldTableCache>
                        <c:ptCount val="1"/>
                      </c15:dlblFieldTableCache>
                    </c15:dlblFTEntry>
                  </c15:dlblFieldTable>
                  <c15:showDataLabelsRange val="0"/>
                </c:ext>
              </c:extLst>
            </c:dLbl>
            <c:dLbl>
              <c:idx val="15"/>
              <c:tx>
                <c:strRef>
                  <c:f>tracperf!$CI$23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{192AB78E-5B3C-4D66-BD99-A7729E9AA996}</c15:txfldGUID>
                      <c15:f>tracperf!$CI$23</c15:f>
                      <c15:dlblFieldTableCache>
                        <c:ptCount val="1"/>
                      </c15:dlblFieldTableCache>
                    </c15:dlblFTEntry>
                  </c15:dlblFieldTable>
                  <c15:showDataLabelsRange val="0"/>
                </c:ext>
              </c:extLst>
            </c:dLbl>
            <c:dLbl>
              <c:idx val="16"/>
              <c:tx>
                <c:strRef>
                  <c:f>tracperf!$CI$24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{66D2600C-194A-430F-A1B7-48491E91503A}</c15:txfldGUID>
                      <c15:f>tracperf!$CI$24</c15:f>
                      <c15:dlblFieldTableCache>
                        <c:ptCount val="1"/>
                      </c15:dlblFieldTableCache>
                    </c15:dlblFTEntry>
                  </c15:dlblFieldTable>
                  <c15:showDataLabelsRange val="0"/>
                </c:ext>
              </c:extLst>
            </c:dLbl>
            <c:dLbl>
              <c:idx val="17"/>
              <c:tx>
                <c:strRef>
                  <c:f>tracperf!$CI$25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{742DB5C4-D8F1-4531-9EBE-7F9FEF4A262D}</c15:txfldGUID>
                      <c15:f>tracperf!$CI$25</c15:f>
                      <c15:dlblFieldTableCache>
                        <c:ptCount val="1"/>
                      </c15:dlblFieldTableCache>
                    </c15:dlblFTEntry>
                  </c15:dlblFieldTable>
                  <c15:showDataLabelsRange val="0"/>
                </c:ext>
              </c:extLst>
            </c:dLbl>
            <c:dLbl>
              <c:idx val="18"/>
              <c:tx>
                <c:strRef>
                  <c:f>tracperf!$CI$26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{CE969C54-6A8F-4AEA-8BCC-F305618D3116}</c15:txfldGUID>
                      <c15:f>tracperf!$CI$26</c15:f>
                      <c15:dlblFieldTableCache>
                        <c:ptCount val="1"/>
                      </c15:dlblFieldTableCache>
                    </c15:dlblFTEntry>
                  </c15:dlblFieldTable>
                  <c15:showDataLabelsRange val="0"/>
                </c:ext>
              </c:extLst>
            </c:dLbl>
            <c:dLbl>
              <c:idx val="19"/>
              <c:tx>
                <c:strRef>
                  <c:f>tracperf!$CI$27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{448226A3-9349-410B-92B1-46786DBE36ED}</c15:txfldGUID>
                      <c15:f>tracperf!$CI$27</c15:f>
                      <c15:dlblFieldTableCache>
                        <c:ptCount val="1"/>
                      </c15:dlblFieldTableCache>
                    </c15:dlblFTEntry>
                  </c15:dlblFieldTable>
                  <c15:showDataLabelsRange val="0"/>
                </c:ext>
              </c:extLst>
            </c:dLbl>
            <c:dLbl>
              <c:idx val="20"/>
              <c:tx>
                <c:strRef>
                  <c:f>tracperf!$CI$28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{06CBCAB3-8AFF-4151-A1B2-0F269B659A0B}</c15:txfldGUID>
                      <c15:f>tracperf!$CI$28</c15:f>
                      <c15:dlblFieldTableCache>
                        <c:ptCount val="1"/>
                      </c15:dlblFieldTableCache>
                    </c15:dlblFTEntry>
                  </c15:dlblFieldTable>
                  <c15:showDataLabelsRange val="0"/>
                </c:ext>
              </c:extLst>
            </c:dLbl>
            <c:dLbl>
              <c:idx val="21"/>
              <c:tx>
                <c:strRef>
                  <c:f>tracperf!$CI$29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{25557028-2E07-4D52-89DF-A4BAF0EC5CFA}</c15:txfldGUID>
                      <c15:f>tracperf!$CI$29</c15:f>
                      <c15:dlblFieldTableCache>
                        <c:ptCount val="1"/>
                      </c15:dlblFieldTableCache>
                    </c15:dlblFTEntry>
                  </c15:dlblFieldTable>
                  <c15:showDataLabelsRange val="0"/>
                </c:ext>
              </c:extLst>
            </c:dLbl>
            <c:dLbl>
              <c:idx val="22"/>
              <c:tx>
                <c:strRef>
                  <c:f>tracperf!$CI$30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{E5906836-988F-43DC-A368-0AA1904080BD}</c15:txfldGUID>
                      <c15:f>tracperf!$CI$30</c15:f>
                      <c15:dlblFieldTableCache>
                        <c:ptCount val="1"/>
                      </c15:dlblFieldTableCache>
                    </c15:dlblFTEntry>
                  </c15:dlblFieldTable>
                  <c15:showDataLabelsRange val="0"/>
                </c:ext>
              </c:extLst>
            </c:dLbl>
            <c:dLbl>
              <c:idx val="23"/>
              <c:tx>
                <c:strRef>
                  <c:f>tracperf!$CI$31</c:f>
                  <c:strCache>
                    <c:ptCount val="1"/>
                    <c:pt idx="0">
                      <c:v>   NTR/GTR</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{EDA98F36-C2BA-4DB5-BD19-30CBAB4111C5}</c15:txfldGUID>
                      <c15:f>tracperf!$CI$31</c15:f>
                      <c15:dlblFieldTableCache>
                        <c:ptCount val="1"/>
                        <c:pt idx="0">
                          <c:v>   NTR/GTR</c:v>
                        </c:pt>
                      </c15:dlblFieldTableCache>
                    </c15:dlblFTEntry>
                  </c15:dlblFieldTable>
                  <c15:showDataLabelsRange val="0"/>
                </c:ext>
              </c:extLst>
            </c:dLbl>
            <c:dLbl>
              <c:idx val="24"/>
              <c:tx>
                <c:strRef>
                  <c:f>tracperf!$CI$32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{24D4A979-11C5-44A5-982F-4FF5D613CBFB}</c15:txfldGUID>
                      <c15:f>tracperf!$CI$32</c15:f>
                      <c15:dlblFieldTableCache>
                        <c:ptCount val="1"/>
                      </c15:dlblFieldTableCache>
                    </c15:dlblFTEntry>
                  </c15:dlblFieldTable>
                  <c15:showDataLabelsRange val="0"/>
                </c:ext>
              </c:extLst>
            </c:dLbl>
            <c:dLbl>
              <c:idx val="25"/>
              <c:tx>
                <c:strRef>
                  <c:f>tracperf!$CI$33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{92BDBA14-B6B5-46DE-B347-62FF3825196C}</c15:txfldGUID>
                      <c15:f>tracperf!$CI$33</c15:f>
                      <c15:dlblFieldTableCache>
                        <c:ptCount val="1"/>
                      </c15:dlblFieldTableCache>
                    </c15:dlblFTEntry>
                  </c15:dlblFieldTable>
                  <c15:showDataLabelsRange val="0"/>
                </c:ext>
              </c:extLst>
            </c:dLbl>
            <c:dLbl>
              <c:idx val="26"/>
              <c:tx>
                <c:strRef>
                  <c:f>tracperf!$CI$34</c:f>
                  <c:strCache>
                    <c:ptCount val="1"/>
                    <c:pt idx="0">
                      <c:v>Current Value</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{BD538B11-48E6-4494-A1DA-0DDCC5BB147E}</c15:txfldGUID>
                      <c15:f>tracperf!$CI$34</c15:f>
                      <c15:dlblFieldTableCache>
                        <c:ptCount val="1"/>
                        <c:pt idx="0">
                          <c:v>Current Value</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xVal>
          <c:yVal>
            <c:numRef>
              <c:f>tracperf!$CH$8:$CH$34</c:f>
              <c:numCache>
                <c:formatCode>0.000_)</c:formatCode>
                <c:ptCount val="27"/>
                <c:pt idx="0">
                  <c:v>0.49546867499731317</c:v>
                </c:pt>
                <c:pt idx="1">
                  <c:v>0.68467129985783504</c:v>
                </c:pt>
                <c:pt idx="2">
                  <c:v>0.7647702725135529</c:v>
                </c:pt>
                <c:pt idx="3">
                  <c:v>0.83657631711849578</c:v>
                </c:pt>
                <c:pt idx="4">
                  <c:v>0.86929574639371743</c:v>
                </c:pt>
                <c:pt idx="5">
                  <c:v>0.89401312344535899</c:v>
                </c:pt>
                <c:pt idx="6">
                  <c:v>0.90971766303156498</c:v>
                </c:pt>
                <c:pt idx="7">
                  <c:v>0.91420049455687602</c:v>
                </c:pt>
                <c:pt idx="8">
                  <c:v>0.91740351797510489</c:v>
                </c:pt>
                <c:pt idx="9">
                  <c:v>0.91969842139159141</c:v>
                </c:pt>
                <c:pt idx="10">
                  <c:v>0.92132516220548077</c:v>
                </c:pt>
                <c:pt idx="11">
                  <c:v>0.92244576090772623</c:v>
                </c:pt>
                <c:pt idx="12">
                  <c:v>0.92317371210680477</c:v>
                </c:pt>
                <c:pt idx="13">
                  <c:v>0.92359099957194202</c:v>
                </c:pt>
                <c:pt idx="14">
                  <c:v>0.92375840973807044</c:v>
                </c:pt>
                <c:pt idx="15">
                  <c:v>0.92372203293562993</c:v>
                </c:pt>
                <c:pt idx="16">
                  <c:v>0.923517500849665</c:v>
                </c:pt>
                <c:pt idx="17">
                  <c:v>0.92317282950577373</c:v>
                </c:pt>
                <c:pt idx="18">
                  <c:v>0.92271037558215285</c:v>
                </c:pt>
                <c:pt idx="19">
                  <c:v>0.92214821308762296</c:v>
                </c:pt>
                <c:pt idx="20">
                  <c:v>0.92150112174946719</c:v>
                </c:pt>
                <c:pt idx="21">
                  <c:v>0.9207813095762386</c:v>
                </c:pt>
                <c:pt idx="22">
                  <c:v>0.91999894985604669</c:v>
                </c:pt>
                <c:pt idx="23">
                  <c:v>0.91916258631761383</c:v>
                </c:pt>
                <c:pt idx="25" formatCode="General">
                  <c:v>0</c:v>
                </c:pt>
                <c:pt idx="26" formatCode="General">
                  <c:v>1</c:v>
                </c:pt>
              </c:numCache>
            </c:numRef>
          </c:yVal>
          <c:smooth val="1"/>
        </c:ser>
        <c:dLbls>
          <c:showLegendKey val="0"/>
          <c:showVal val="0"/>
          <c:showCatName val="0"/>
          <c:showSerName val="0"/>
          <c:showPercent val="0"/>
          <c:showBubbleSize val="0"/>
        </c:dLbls>
        <c:axId val="449684456"/>
        <c:axId val="449684848"/>
      </c:scatterChart>
      <c:valAx>
        <c:axId val="449684456"/>
        <c:scaling>
          <c:orientation val="minMax"/>
          <c:max val="1"/>
          <c:min val="0"/>
        </c:scaling>
        <c:delete val="0"/>
        <c:axPos val="b"/>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Net Traction Ratio, P/W</a:t>
                </a:r>
              </a:p>
            </c:rich>
          </c:tx>
          <c:layout>
            <c:manualLayout>
              <c:xMode val="edge"/>
              <c:yMode val="edge"/>
              <c:x val="0.44617092119866814"/>
              <c:y val="0.94453507340946163"/>
            </c:manualLayout>
          </c:layout>
          <c:overlay val="0"/>
          <c:spPr>
            <a:noFill/>
            <a:ln w="25400">
              <a:noFill/>
            </a:ln>
          </c:spPr>
        </c:title>
        <c:numFmt formatCode="0.000_)" sourceLinked="1"/>
        <c:majorTickMark val="in"/>
        <c:minorTickMark val="none"/>
        <c:tickLblPos val="low"/>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49684848"/>
        <c:crosses val="autoZero"/>
        <c:crossBetween val="midCat"/>
      </c:valAx>
      <c:valAx>
        <c:axId val="449684848"/>
        <c:scaling>
          <c:orientation val="minMax"/>
          <c:max val="1"/>
          <c:min val="0"/>
        </c:scaling>
        <c:delete val="0"/>
        <c:axPos val="l"/>
        <c:majorGridlines>
          <c:spPr>
            <a:ln w="3175">
              <a:solidFill>
                <a:srgbClr val="000000"/>
              </a:solidFill>
              <a:prstDash val="solid"/>
            </a:ln>
          </c:spPr>
        </c:majorGridlines>
        <c:numFmt formatCode="0.000_)"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49684456"/>
        <c:crosses val="autoZero"/>
        <c:crossBetween val="midCat"/>
      </c:valAx>
      <c:spPr>
        <a:solidFill>
          <a:srgbClr val="C0C0C0"/>
        </a:solidFill>
        <a:ln w="12700">
          <a:solidFill>
            <a:srgbClr val="808080"/>
          </a:solidFill>
          <a:prstDash val="solid"/>
        </a:ln>
      </c:spPr>
    </c:plotArea>
    <c:plotVisOnly val="0"/>
    <c:dispBlanksAs val="gap"/>
    <c:showDLblsOverMax val="0"/>
  </c:chart>
  <c:spPr>
    <a:noFill/>
    <a:ln w="6350">
      <a:noFill/>
    </a:ln>
  </c:spPr>
  <c:txPr>
    <a:bodyPr/>
    <a:lstStyle/>
    <a:p>
      <a:pPr>
        <a:defRPr sz="1000" b="1"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a:t>TRACTION LOSSES @ CURRENT Bn VALUE</a:t>
            </a:r>
          </a:p>
        </c:rich>
      </c:tx>
      <c:layout>
        <c:manualLayout>
          <c:xMode val="edge"/>
          <c:yMode val="edge"/>
          <c:x val="0.3462819089900111"/>
          <c:y val="1.9575856443719411E-2"/>
        </c:manualLayout>
      </c:layout>
      <c:overlay val="0"/>
      <c:spPr>
        <a:noFill/>
        <a:ln w="25400">
          <a:noFill/>
        </a:ln>
      </c:spPr>
    </c:title>
    <c:autoTitleDeleted val="0"/>
    <c:plotArea>
      <c:layout>
        <c:manualLayout>
          <c:layoutTarget val="inner"/>
          <c:xMode val="edge"/>
          <c:yMode val="edge"/>
          <c:x val="9.4339622641509441E-2"/>
          <c:y val="0.15497553017944535"/>
          <c:w val="0.87236403995560485"/>
          <c:h val="0.73898858075040785"/>
        </c:manualLayout>
      </c:layout>
      <c:scatterChart>
        <c:scatterStyle val="lineMarker"/>
        <c:varyColors val="0"/>
        <c:ser>
          <c:idx val="0"/>
          <c:order val="0"/>
          <c:spPr>
            <a:ln w="25400">
              <a:solidFill>
                <a:srgbClr val="0000FF"/>
              </a:solidFill>
              <a:prstDash val="solid"/>
            </a:ln>
          </c:spPr>
          <c:marker>
            <c:symbol val="none"/>
          </c:marker>
          <c:dLbls>
            <c:dLbl>
              <c:idx val="0"/>
              <c:tx>
                <c:strRef>
                  <c:f>tracperf!$BZ$8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{7892EC29-C8D2-4A6A-ACF2-A82C31AC2DD0}</c15:txfldGUID>
                      <c15:f>tracperf!$BZ$8</c15:f>
                      <c15:dlblFieldTableCache>
                        <c:ptCount val="1"/>
                      </c15:dlblFieldTableCache>
                    </c15:dlblFTEntry>
                  </c15:dlblFieldTable>
                  <c15:showDataLabelsRange val="0"/>
                </c:ext>
              </c:extLst>
            </c:dLbl>
            <c:dLbl>
              <c:idx val="1"/>
              <c:tx>
                <c:strRef>
                  <c:f>tracperf!$BZ$9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{50826084-FEED-49DC-9399-80678A5BDA26}</c15:txfldGUID>
                      <c15:f>tracperf!$BZ$9</c15:f>
                      <c15:dlblFieldTableCache>
                        <c:ptCount val="1"/>
                      </c15:dlblFieldTableCache>
                    </c15:dlblFTEntry>
                  </c15:dlblFieldTable>
                  <c15:showDataLabelsRange val="0"/>
                </c:ext>
              </c:extLst>
            </c:dLbl>
            <c:dLbl>
              <c:idx val="2"/>
              <c:tx>
                <c:strRef>
                  <c:f>tracperf!$BZ$10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{51D356CF-D034-4C56-8262-E0A8DB5FC6C2}</c15:txfldGUID>
                      <c15:f>tracperf!$BZ$10</c15:f>
                      <c15:dlblFieldTableCache>
                        <c:ptCount val="1"/>
                      </c15:dlblFieldTableCache>
                    </c15:dlblFTEntry>
                  </c15:dlblFieldTable>
                  <c15:showDataLabelsRange val="0"/>
                </c:ext>
              </c:extLst>
            </c:dLbl>
            <c:dLbl>
              <c:idx val="3"/>
              <c:tx>
                <c:strRef>
                  <c:f>tracperf!$BZ$11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{F7E52AF8-0A02-4712-B477-6B0825BE9F0A}</c15:txfldGUID>
                      <c15:f>tracperf!$BZ$11</c15:f>
                      <c15:dlblFieldTableCache>
                        <c:ptCount val="1"/>
                      </c15:dlblFieldTableCache>
                    </c15:dlblFTEntry>
                  </c15:dlblFieldTable>
                  <c15:showDataLabelsRange val="0"/>
                </c:ext>
              </c:extLst>
            </c:dLbl>
            <c:dLbl>
              <c:idx val="4"/>
              <c:tx>
                <c:strRef>
                  <c:f>tracperf!$BZ$12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{A1036184-5AE0-4E28-984D-40D29DC4B0E9}</c15:txfldGUID>
                      <c15:f>tracperf!$BZ$12</c15:f>
                      <c15:dlblFieldTableCache>
                        <c:ptCount val="1"/>
                      </c15:dlblFieldTableCache>
                    </c15:dlblFTEntry>
                  </c15:dlblFieldTable>
                  <c15:showDataLabelsRange val="0"/>
                </c:ext>
              </c:extLst>
            </c:dLbl>
            <c:dLbl>
              <c:idx val="5"/>
              <c:tx>
                <c:strRef>
                  <c:f>tracperf!$BZ$13</c:f>
                  <c:strCache>
                    <c:ptCount val="1"/>
                    <c:pt idx="0">
                      <c:v>TE</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{6E65C44F-0EDD-4EFF-BA4A-81F25A1945A7}</c15:txfldGUID>
                      <c15:f>tracperf!$BZ$13</c15:f>
                      <c15:dlblFieldTableCache>
                        <c:ptCount val="1"/>
                        <c:pt idx="0">
                          <c:v>TE</c:v>
                        </c:pt>
                      </c15:dlblFieldTableCache>
                    </c15:dlblFTEntry>
                  </c15:dlblFieldTable>
                  <c15:showDataLabelsRange val="0"/>
                </c:ext>
              </c:extLst>
            </c:dLbl>
            <c:dLbl>
              <c:idx val="6"/>
              <c:tx>
                <c:strRef>
                  <c:f>tracperf!$BZ$14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{A23F7224-7940-4903-B3C6-B18F66888A3B}</c15:txfldGUID>
                      <c15:f>tracperf!$BZ$14</c15:f>
                      <c15:dlblFieldTableCache>
                        <c:ptCount val="1"/>
                      </c15:dlblFieldTableCache>
                    </c15:dlblFTEntry>
                  </c15:dlblFieldTable>
                  <c15:showDataLabelsRange val="0"/>
                </c:ext>
              </c:extLst>
            </c:dLbl>
            <c:dLbl>
              <c:idx val="7"/>
              <c:tx>
                <c:strRef>
                  <c:f>tracperf!$BZ$15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{91A9B4BB-036F-4C76-9DCA-92F4F6D95E86}</c15:txfldGUID>
                      <c15:f>tracperf!$BZ$15</c15:f>
                      <c15:dlblFieldTableCache>
                        <c:ptCount val="1"/>
                      </c15:dlblFieldTableCache>
                    </c15:dlblFTEntry>
                  </c15:dlblFieldTable>
                  <c15:showDataLabelsRange val="0"/>
                </c:ext>
              </c:extLst>
            </c:dLbl>
            <c:dLbl>
              <c:idx val="8"/>
              <c:tx>
                <c:strRef>
                  <c:f>tracperf!$BZ$16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{A61EAA8E-8E9C-4F0C-933F-9926948883C8}</c15:txfldGUID>
                      <c15:f>tracperf!$BZ$16</c15:f>
                      <c15:dlblFieldTableCache>
                        <c:ptCount val="1"/>
                      </c15:dlblFieldTableCache>
                    </c15:dlblFTEntry>
                  </c15:dlblFieldTable>
                  <c15:showDataLabelsRange val="0"/>
                </c:ext>
              </c:extLst>
            </c:dLbl>
            <c:dLbl>
              <c:idx val="9"/>
              <c:tx>
                <c:strRef>
                  <c:f>tracperf!$BZ$17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{F5B89487-79BC-470D-B5E3-F814F4BED1D8}</c15:txfldGUID>
                      <c15:f>tracperf!$BZ$17</c15:f>
                      <c15:dlblFieldTableCache>
                        <c:ptCount val="1"/>
                      </c15:dlblFieldTableCache>
                    </c15:dlblFTEntry>
                  </c15:dlblFieldTable>
                  <c15:showDataLabelsRange val="0"/>
                </c:ext>
              </c:extLst>
            </c:dLbl>
            <c:dLbl>
              <c:idx val="10"/>
              <c:tx>
                <c:strRef>
                  <c:f>tracperf!$BZ$18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{0A6F7A89-EE88-4717-B4B4-0049B0A3C5D2}</c15:txfldGUID>
                      <c15:f>tracperf!$BZ$18</c15:f>
                      <c15:dlblFieldTableCache>
                        <c:ptCount val="1"/>
                      </c15:dlblFieldTableCache>
                    </c15:dlblFTEntry>
                  </c15:dlblFieldTable>
                  <c15:showDataLabelsRange val="0"/>
                </c:ext>
              </c:extLst>
            </c:dLbl>
            <c:dLbl>
              <c:idx val="11"/>
              <c:tx>
                <c:strRef>
                  <c:f>tracperf!$BZ$19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{C6BA18FC-1196-4261-A261-A4D9F36AF4B5}</c15:txfldGUID>
                      <c15:f>tracperf!$BZ$19</c15:f>
                      <c15:dlblFieldTableCache>
                        <c:ptCount val="1"/>
                      </c15:dlblFieldTableCache>
                    </c15:dlblFTEntry>
                  </c15:dlblFieldTable>
                  <c15:showDataLabelsRange val="0"/>
                </c:ext>
              </c:extLst>
            </c:dLbl>
            <c:dLbl>
              <c:idx val="12"/>
              <c:tx>
                <c:strRef>
                  <c:f>tracperf!$BZ$20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{89E3D4A4-499C-4B1D-BE60-B571DBB90967}</c15:txfldGUID>
                      <c15:f>tracperf!$BZ$20</c15:f>
                      <c15:dlblFieldTableCache>
                        <c:ptCount val="1"/>
                      </c15:dlblFieldTableCache>
                    </c15:dlblFTEntry>
                  </c15:dlblFieldTable>
                  <c15:showDataLabelsRange val="0"/>
                </c:ext>
              </c:extLst>
            </c:dLbl>
            <c:dLbl>
              <c:idx val="13"/>
              <c:tx>
                <c:strRef>
                  <c:f>tracperf!$BZ$21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{727B8DFD-B141-4CC5-9EF3-4F73E4DCCD78}</c15:txfldGUID>
                      <c15:f>tracperf!$BZ$21</c15:f>
                      <c15:dlblFieldTableCache>
                        <c:ptCount val="1"/>
                      </c15:dlblFieldTableCache>
                    </c15:dlblFTEntry>
                  </c15:dlblFieldTable>
                  <c15:showDataLabelsRange val="0"/>
                </c:ext>
              </c:extLst>
            </c:dLbl>
            <c:dLbl>
              <c:idx val="14"/>
              <c:tx>
                <c:strRef>
                  <c:f>tracperf!$BZ$22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{091DC54C-91AD-4050-8B3E-E647AD42E1CF}</c15:txfldGUID>
                      <c15:f>tracperf!$BZ$22</c15:f>
                      <c15:dlblFieldTableCache>
                        <c:ptCount val="1"/>
                      </c15:dlblFieldTableCache>
                    </c15:dlblFTEntry>
                  </c15:dlblFieldTable>
                  <c15:showDataLabelsRange val="0"/>
                </c:ext>
              </c:extLst>
            </c:dLbl>
            <c:dLbl>
              <c:idx val="15"/>
              <c:tx>
                <c:strRef>
                  <c:f>tracperf!$BZ$23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{ED8B7668-312D-4456-B579-2CDEDE4F1C45}</c15:txfldGUID>
                      <c15:f>tracperf!$BZ$23</c15:f>
                      <c15:dlblFieldTableCache>
                        <c:ptCount val="1"/>
                      </c15:dlblFieldTableCache>
                    </c15:dlblFTEntry>
                  </c15:dlblFieldTable>
                  <c15:showDataLabelsRange val="0"/>
                </c:ext>
              </c:extLst>
            </c:dLbl>
            <c:dLbl>
              <c:idx val="16"/>
              <c:tx>
                <c:strRef>
                  <c:f>tracperf!$BZ$24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{B7C1B89D-4B8E-43FE-8C58-A51CAA34CA2B}</c15:txfldGUID>
                      <c15:f>tracperf!$BZ$24</c15:f>
                      <c15:dlblFieldTableCache>
                        <c:ptCount val="1"/>
                      </c15:dlblFieldTableCache>
                    </c15:dlblFTEntry>
                  </c15:dlblFieldTable>
                  <c15:showDataLabelsRange val="0"/>
                </c:ext>
              </c:extLst>
            </c:dLbl>
            <c:dLbl>
              <c:idx val="17"/>
              <c:tx>
                <c:strRef>
                  <c:f>tracperf!$BZ$25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{8CAFE67E-3262-49D1-8E8F-E16BFC72A7F0}</c15:txfldGUID>
                      <c15:f>tracperf!$BZ$25</c15:f>
                      <c15:dlblFieldTableCache>
                        <c:ptCount val="1"/>
                      </c15:dlblFieldTableCache>
                    </c15:dlblFTEntry>
                  </c15:dlblFieldTable>
                  <c15:showDataLabelsRange val="0"/>
                </c:ext>
              </c:extLst>
            </c:dLbl>
            <c:dLbl>
              <c:idx val="18"/>
              <c:tx>
                <c:strRef>
                  <c:f>tracperf!$BZ$26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{B8345053-4757-46E3-B585-D9EFB5D312B7}</c15:txfldGUID>
                      <c15:f>tracperf!$BZ$26</c15:f>
                      <c15:dlblFieldTableCache>
                        <c:ptCount val="1"/>
                      </c15:dlblFieldTableCache>
                    </c15:dlblFTEntry>
                  </c15:dlblFieldTable>
                  <c15:showDataLabelsRange val="0"/>
                </c:ext>
              </c:extLst>
            </c:dLbl>
            <c:dLbl>
              <c:idx val="19"/>
              <c:tx>
                <c:strRef>
                  <c:f>tracperf!$BZ$27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{1C7B338C-0FFA-4581-B960-15C4C24ECF20}</c15:txfldGUID>
                      <c15:f>tracperf!$BZ$27</c15:f>
                      <c15:dlblFieldTableCache>
                        <c:ptCount val="1"/>
                      </c15:dlblFieldTableCache>
                    </c15:dlblFTEntry>
                  </c15:dlblFieldTable>
                  <c15:showDataLabelsRange val="0"/>
                </c:ext>
              </c:extLst>
            </c:dLbl>
            <c:dLbl>
              <c:idx val="20"/>
              <c:tx>
                <c:strRef>
                  <c:f>tracperf!$BZ$28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{6DC7410F-1C56-4F0A-AC42-1ECC68011D0C}</c15:txfldGUID>
                      <c15:f>tracperf!$BZ$28</c15:f>
                      <c15:dlblFieldTableCache>
                        <c:ptCount val="1"/>
                      </c15:dlblFieldTableCache>
                    </c15:dlblFTEntry>
                  </c15:dlblFieldTable>
                  <c15:showDataLabelsRange val="0"/>
                </c:ext>
              </c:extLst>
            </c:dLbl>
            <c:dLbl>
              <c:idx val="21"/>
              <c:tx>
                <c:strRef>
                  <c:f>tracperf!$BZ$29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{02648947-8631-4E1F-A544-79E9AFA564B5}</c15:txfldGUID>
                      <c15:f>tracperf!$BZ$29</c15:f>
                      <c15:dlblFieldTableCache>
                        <c:ptCount val="1"/>
                      </c15:dlblFieldTableCache>
                    </c15:dlblFTEntry>
                  </c15:dlblFieldTable>
                  <c15:showDataLabelsRange val="0"/>
                </c:ext>
              </c:extLst>
            </c:dLbl>
            <c:dLbl>
              <c:idx val="22"/>
              <c:tx>
                <c:strRef>
                  <c:f>tracperf!$BZ$30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{19EC90F6-0A24-4D8C-BF29-3D4499490F91}</c15:txfldGUID>
                      <c15:f>tracperf!$BZ$30</c15:f>
                      <c15:dlblFieldTableCache>
                        <c:ptCount val="1"/>
                      </c15:dlblFieldTableCache>
                    </c15:dlblFTEntry>
                  </c15:dlblFieldTable>
                  <c15:showDataLabelsRange val="0"/>
                </c:ext>
              </c:extLst>
            </c:dLbl>
            <c:dLbl>
              <c:idx val="23"/>
              <c:tx>
                <c:strRef>
                  <c:f>tracperf!$BZ$31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{17893079-C123-47F3-B433-5CE7EBA77989}</c15:txfldGUID>
                      <c15:f>tracperf!$BZ$31</c15:f>
                      <c15:dlblFieldTableCache>
                        <c:ptCount val="1"/>
                      </c15:dlblFieldTableCache>
                    </c15:dlblFTEntry>
                  </c15:dlblFieldTable>
                  <c15:showDataLabelsRange val="0"/>
                </c:ext>
              </c:extLst>
            </c:dLbl>
            <c:dLbl>
              <c:idx val="24"/>
              <c:tx>
                <c:strRef>
                  <c:f>tracperf!$BZ$32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{52CC887A-9C31-4712-AAD1-5FF5AA8722E5}</c15:txfldGUID>
                      <c15:f>tracperf!$BZ$32</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tracperf!$BX$8:$BX$35</c:f>
              <c:numCache>
                <c:formatCode>0.000_)</c:formatCode>
                <c:ptCount val="28"/>
                <c:pt idx="0">
                  <c:v>0.49051398824734005</c:v>
                </c:pt>
                <c:pt idx="1">
                  <c:v>0.67097787386067831</c:v>
                </c:pt>
                <c:pt idx="2">
                  <c:v>0.74182716433814633</c:v>
                </c:pt>
                <c:pt idx="3">
                  <c:v>0.79474750126257099</c:v>
                </c:pt>
                <c:pt idx="4">
                  <c:v>0.80844504414615714</c:v>
                </c:pt>
                <c:pt idx="5">
                  <c:v>0.80461181110082314</c:v>
                </c:pt>
                <c:pt idx="6">
                  <c:v>0.78235719020714578</c:v>
                </c:pt>
                <c:pt idx="7">
                  <c:v>0.7679284154277759</c:v>
                </c:pt>
                <c:pt idx="8">
                  <c:v>0.75227088473958603</c:v>
                </c:pt>
                <c:pt idx="9">
                  <c:v>0.73575873711327322</c:v>
                </c:pt>
                <c:pt idx="10">
                  <c:v>0.71863362652027518</c:v>
                </c:pt>
                <c:pt idx="11">
                  <c:v>0.70105877828987206</c:v>
                </c:pt>
                <c:pt idx="12">
                  <c:v>0.68314854695903549</c:v>
                </c:pt>
                <c:pt idx="13">
                  <c:v>0.66498551969179809</c:v>
                </c:pt>
                <c:pt idx="14">
                  <c:v>0.64663088681664926</c:v>
                </c:pt>
                <c:pt idx="15">
                  <c:v>0.62813098239622833</c:v>
                </c:pt>
                <c:pt idx="16">
                  <c:v>0.60952155056077884</c:v>
                </c:pt>
                <c:pt idx="17">
                  <c:v>0.59083061088369515</c:v>
                </c:pt>
                <c:pt idx="18">
                  <c:v>0.5720804328609348</c:v>
                </c:pt>
                <c:pt idx="19">
                  <c:v>0.55328892785257378</c:v>
                </c:pt>
                <c:pt idx="20">
                  <c:v>0.53447065061469112</c:v>
                </c:pt>
                <c:pt idx="21">
                  <c:v>0.51563753336269369</c:v>
                </c:pt>
                <c:pt idx="22">
                  <c:v>0.49679943292226519</c:v>
                </c:pt>
                <c:pt idx="23">
                  <c:v>0.47796454488515921</c:v>
                </c:pt>
                <c:pt idx="24">
                  <c:v>0.45913972155592531</c:v>
                </c:pt>
              </c:numCache>
            </c:numRef>
          </c:yVal>
          <c:smooth val="0"/>
        </c:ser>
        <c:ser>
          <c:idx val="1"/>
          <c:order val="1"/>
          <c:spPr>
            <a:ln w="25400">
              <a:solidFill>
                <a:srgbClr val="000000"/>
              </a:solidFill>
              <a:prstDash val="solid"/>
            </a:ln>
          </c:spPr>
          <c:marker>
            <c:symbol val="none"/>
          </c:marker>
          <c:dLbls>
            <c:dLbl>
              <c:idx val="0"/>
              <c:tx>
                <c:strRef>
                  <c:f>tracperf!$CL$8</c:f>
                  <c:strCache>
                    <c:ptCount val="1"/>
                    <c:pt idx="0">
                      <c:v>Va/Vt</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{6F224D88-EBBC-407A-88B0-C226D8FE1742}</c15:txfldGUID>
                      <c15:f>tracperf!$CL$8</c15:f>
                      <c15:dlblFieldTableCache>
                        <c:ptCount val="1"/>
                        <c:pt idx="0">
                          <c:v>Va/Vt</c:v>
                        </c:pt>
                      </c15:dlblFieldTableCache>
                    </c15:dlblFTEntry>
                  </c15:dlblFieldTable>
                  <c15:showDataLabelsRange val="0"/>
                </c:ext>
              </c:extLst>
            </c:dLbl>
            <c:dLbl>
              <c:idx val="1"/>
              <c:tx>
                <c:strRef>
                  <c:f>tracperf!$CL$9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{414DB566-58B3-4A0C-8A7A-308E16E802BD}</c15:txfldGUID>
                      <c15:f>tracperf!$CL$9</c15:f>
                      <c15:dlblFieldTableCache>
                        <c:ptCount val="1"/>
                      </c15:dlblFieldTableCache>
                    </c15:dlblFTEntry>
                  </c15:dlblFieldTable>
                  <c15:showDataLabelsRange val="0"/>
                </c:ext>
              </c:extLst>
            </c:dLbl>
            <c:dLbl>
              <c:idx val="2"/>
              <c:tx>
                <c:strRef>
                  <c:f>tracperf!$CL$10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{C3B2FFDE-E1EF-4FEA-8900-EAB45D21B534}</c15:txfldGUID>
                      <c15:f>tracperf!$CL$10</c15:f>
                      <c15:dlblFieldTableCache>
                        <c:ptCount val="1"/>
                      </c15:dlblFieldTableCache>
                    </c15:dlblFTEntry>
                  </c15:dlblFieldTable>
                  <c15:showDataLabelsRange val="0"/>
                </c:ext>
              </c:extLst>
            </c:dLbl>
            <c:dLbl>
              <c:idx val="3"/>
              <c:tx>
                <c:strRef>
                  <c:f>tracperf!$CL$11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{7F7FA5B8-CC25-4EE0-A127-02F491B18F62}</c15:txfldGUID>
                      <c15:f>tracperf!$CL$11</c15:f>
                      <c15:dlblFieldTableCache>
                        <c:ptCount val="1"/>
                      </c15:dlblFieldTableCache>
                    </c15:dlblFTEntry>
                  </c15:dlblFieldTable>
                  <c15:showDataLabelsRange val="0"/>
                </c:ext>
              </c:extLst>
            </c:dLbl>
            <c:dLbl>
              <c:idx val="4"/>
              <c:tx>
                <c:strRef>
                  <c:f>tracperf!$CL$12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{F66C951E-0087-496D-A6F6-06826A85AEAA}</c15:txfldGUID>
                      <c15:f>tracperf!$CL$12</c15:f>
                      <c15:dlblFieldTableCache>
                        <c:ptCount val="1"/>
                      </c15:dlblFieldTableCache>
                    </c15:dlblFTEntry>
                  </c15:dlblFieldTable>
                  <c15:showDataLabelsRange val="0"/>
                </c:ext>
              </c:extLst>
            </c:dLbl>
            <c:dLbl>
              <c:idx val="5"/>
              <c:tx>
                <c:strRef>
                  <c:f>tracperf!$CL$13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{8C85313F-913C-47D2-9D35-57D6AF66CBAF}</c15:txfldGUID>
                      <c15:f>tracperf!$CL$13</c15:f>
                      <c15:dlblFieldTableCache>
                        <c:ptCount val="1"/>
                      </c15:dlblFieldTableCache>
                    </c15:dlblFTEntry>
                  </c15:dlblFieldTable>
                  <c15:showDataLabelsRange val="0"/>
                </c:ext>
              </c:extLst>
            </c:dLbl>
            <c:dLbl>
              <c:idx val="6"/>
              <c:tx>
                <c:strRef>
                  <c:f>tracperf!$CL$14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{0AEE6FB6-DD95-4EFE-90EF-AD74E571F9AE}</c15:txfldGUID>
                      <c15:f>tracperf!$CL$14</c15:f>
                      <c15:dlblFieldTableCache>
                        <c:ptCount val="1"/>
                      </c15:dlblFieldTableCache>
                    </c15:dlblFTEntry>
                  </c15:dlblFieldTable>
                  <c15:showDataLabelsRange val="0"/>
                </c:ext>
              </c:extLst>
            </c:dLbl>
            <c:dLbl>
              <c:idx val="7"/>
              <c:tx>
                <c:strRef>
                  <c:f>tracperf!$CL$15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{4B1D5468-3962-48E7-9D60-80A0301B8F92}</c15:txfldGUID>
                      <c15:f>tracperf!$CL$15</c15:f>
                      <c15:dlblFieldTableCache>
                        <c:ptCount val="1"/>
                      </c15:dlblFieldTableCache>
                    </c15:dlblFTEntry>
                  </c15:dlblFieldTable>
                  <c15:showDataLabelsRange val="0"/>
                </c:ext>
              </c:extLst>
            </c:dLbl>
            <c:dLbl>
              <c:idx val="8"/>
              <c:tx>
                <c:strRef>
                  <c:f>tracperf!$CL$16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{4848D486-7F85-4855-A781-4DA34E5A25A5}</c15:txfldGUID>
                      <c15:f>tracperf!$CL$16</c15:f>
                      <c15:dlblFieldTableCache>
                        <c:ptCount val="1"/>
                      </c15:dlblFieldTableCache>
                    </c15:dlblFTEntry>
                  </c15:dlblFieldTable>
                  <c15:showDataLabelsRange val="0"/>
                </c:ext>
              </c:extLst>
            </c:dLbl>
            <c:dLbl>
              <c:idx val="9"/>
              <c:tx>
                <c:strRef>
                  <c:f>tracperf!$CL$17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{CF41D0B0-2BFA-469C-A499-ABD94AC8BF4F}</c15:txfldGUID>
                      <c15:f>tracperf!$CL$17</c15:f>
                      <c15:dlblFieldTableCache>
                        <c:ptCount val="1"/>
                      </c15:dlblFieldTableCache>
                    </c15:dlblFTEntry>
                  </c15:dlblFieldTable>
                  <c15:showDataLabelsRange val="0"/>
                </c:ext>
              </c:extLst>
            </c:dLbl>
            <c:dLbl>
              <c:idx val="10"/>
              <c:tx>
                <c:strRef>
                  <c:f>tracperf!$CL$18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{F76129BB-8FFE-4E27-BC57-DDAD6A5B72C6}</c15:txfldGUID>
                      <c15:f>tracperf!$CL$18</c15:f>
                      <c15:dlblFieldTableCache>
                        <c:ptCount val="1"/>
                      </c15:dlblFieldTableCache>
                    </c15:dlblFTEntry>
                  </c15:dlblFieldTable>
                  <c15:showDataLabelsRange val="0"/>
                </c:ext>
              </c:extLst>
            </c:dLbl>
            <c:dLbl>
              <c:idx val="11"/>
              <c:tx>
                <c:strRef>
                  <c:f>tracperf!$CL$19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{19E49098-DC5E-47A5-BEB3-1336EF483C15}</c15:txfldGUID>
                      <c15:f>tracperf!$CL$19</c15:f>
                      <c15:dlblFieldTableCache>
                        <c:ptCount val="1"/>
                      </c15:dlblFieldTableCache>
                    </c15:dlblFTEntry>
                  </c15:dlblFieldTable>
                  <c15:showDataLabelsRange val="0"/>
                </c:ext>
              </c:extLst>
            </c:dLbl>
            <c:dLbl>
              <c:idx val="12"/>
              <c:tx>
                <c:strRef>
                  <c:f>tracperf!$CL$20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{9D2D2104-EEA1-44FD-A285-CD26FF473BB9}</c15:txfldGUID>
                      <c15:f>tracperf!$CL$20</c15:f>
                      <c15:dlblFieldTableCache>
                        <c:ptCount val="1"/>
                      </c15:dlblFieldTableCache>
                    </c15:dlblFTEntry>
                  </c15:dlblFieldTable>
                  <c15:showDataLabelsRange val="0"/>
                </c:ext>
              </c:extLst>
            </c:dLbl>
            <c:dLbl>
              <c:idx val="13"/>
              <c:tx>
                <c:strRef>
                  <c:f>tracperf!$CL$21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{8F8FADFF-A8DF-4E83-896C-2DBDE5E8B4E8}</c15:txfldGUID>
                      <c15:f>tracperf!$CL$21</c15:f>
                      <c15:dlblFieldTableCache>
                        <c:ptCount val="1"/>
                      </c15:dlblFieldTableCache>
                    </c15:dlblFTEntry>
                  </c15:dlblFieldTable>
                  <c15:showDataLabelsRange val="0"/>
                </c:ext>
              </c:extLst>
            </c:dLbl>
            <c:dLbl>
              <c:idx val="14"/>
              <c:tx>
                <c:strRef>
                  <c:f>tracperf!$CL$22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{44E8F82D-84FA-4011-933C-B8D9727C9DAE}</c15:txfldGUID>
                      <c15:f>tracperf!$CL$22</c15:f>
                      <c15:dlblFieldTableCache>
                        <c:ptCount val="1"/>
                      </c15:dlblFieldTableCache>
                    </c15:dlblFTEntry>
                  </c15:dlblFieldTable>
                  <c15:showDataLabelsRange val="0"/>
                </c:ext>
              </c:extLst>
            </c:dLbl>
            <c:dLbl>
              <c:idx val="15"/>
              <c:tx>
                <c:strRef>
                  <c:f>tracperf!$CL$23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{BA3D62CE-32F1-4F32-9563-6BD0640761F2}</c15:txfldGUID>
                      <c15:f>tracperf!$CL$23</c15:f>
                      <c15:dlblFieldTableCache>
                        <c:ptCount val="1"/>
                      </c15:dlblFieldTableCache>
                    </c15:dlblFTEntry>
                  </c15:dlblFieldTable>
                  <c15:showDataLabelsRange val="0"/>
                </c:ext>
              </c:extLst>
            </c:dLbl>
            <c:dLbl>
              <c:idx val="16"/>
              <c:tx>
                <c:strRef>
                  <c:f>tracperf!$CL$24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{D45851D1-6109-4193-8A83-69A762FD8F79}</c15:txfldGUID>
                      <c15:f>tracperf!$CL$24</c15:f>
                      <c15:dlblFieldTableCache>
                        <c:ptCount val="1"/>
                      </c15:dlblFieldTableCache>
                    </c15:dlblFTEntry>
                  </c15:dlblFieldTable>
                  <c15:showDataLabelsRange val="0"/>
                </c:ext>
              </c:extLst>
            </c:dLbl>
            <c:dLbl>
              <c:idx val="17"/>
              <c:tx>
                <c:strRef>
                  <c:f>tracperf!$CL$25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{1C2D612E-8178-4672-8915-C15A2767B696}</c15:txfldGUID>
                      <c15:f>tracperf!$CL$25</c15:f>
                      <c15:dlblFieldTableCache>
                        <c:ptCount val="1"/>
                      </c15:dlblFieldTableCache>
                    </c15:dlblFTEntry>
                  </c15:dlblFieldTable>
                  <c15:showDataLabelsRange val="0"/>
                </c:ext>
              </c:extLst>
            </c:dLbl>
            <c:dLbl>
              <c:idx val="18"/>
              <c:tx>
                <c:strRef>
                  <c:f>tracperf!$CL$26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{F7AE16F8-010B-4764-B8A3-184D629E78A0}</c15:txfldGUID>
                      <c15:f>tracperf!$CL$26</c15:f>
                      <c15:dlblFieldTableCache>
                        <c:ptCount val="1"/>
                      </c15:dlblFieldTableCache>
                    </c15:dlblFTEntry>
                  </c15:dlblFieldTable>
                  <c15:showDataLabelsRange val="0"/>
                </c:ext>
              </c:extLst>
            </c:dLbl>
            <c:dLbl>
              <c:idx val="19"/>
              <c:tx>
                <c:strRef>
                  <c:f>tracperf!$CL$27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{00F02D6D-BAA1-42D7-BA8D-6E8AAAAC17EA}</c15:txfldGUID>
                      <c15:f>tracperf!$CL$27</c15:f>
                      <c15:dlblFieldTableCache>
                        <c:ptCount val="1"/>
                      </c15:dlblFieldTableCache>
                    </c15:dlblFTEntry>
                  </c15:dlblFieldTable>
                  <c15:showDataLabelsRange val="0"/>
                </c:ext>
              </c:extLst>
            </c:dLbl>
            <c:dLbl>
              <c:idx val="20"/>
              <c:tx>
                <c:strRef>
                  <c:f>tracperf!$CL$28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{34DA3519-2C26-4540-83BE-D9D30DF7E3A0}</c15:txfldGUID>
                      <c15:f>tracperf!$CL$28</c15:f>
                      <c15:dlblFieldTableCache>
                        <c:ptCount val="1"/>
                      </c15:dlblFieldTableCache>
                    </c15:dlblFTEntry>
                  </c15:dlblFieldTable>
                  <c15:showDataLabelsRange val="0"/>
                </c:ext>
              </c:extLst>
            </c:dLbl>
            <c:dLbl>
              <c:idx val="21"/>
              <c:tx>
                <c:strRef>
                  <c:f>tracperf!$CL$29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{B8591EAD-8ED7-449E-85BA-328A920D11D7}</c15:txfldGUID>
                      <c15:f>tracperf!$CL$29</c15:f>
                      <c15:dlblFieldTableCache>
                        <c:ptCount val="1"/>
                      </c15:dlblFieldTableCache>
                    </c15:dlblFTEntry>
                  </c15:dlblFieldTable>
                  <c15:showDataLabelsRange val="0"/>
                </c:ext>
              </c:extLst>
            </c:dLbl>
            <c:dLbl>
              <c:idx val="22"/>
              <c:tx>
                <c:strRef>
                  <c:f>tracperf!$CL$30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{7CFAD827-D9A4-4458-8B68-0BB4FF378323}</c15:txfldGUID>
                      <c15:f>tracperf!$CL$30</c15:f>
                      <c15:dlblFieldTableCache>
                        <c:ptCount val="1"/>
                      </c15:dlblFieldTableCache>
                    </c15:dlblFTEntry>
                  </c15:dlblFieldTable>
                  <c15:showDataLabelsRange val="0"/>
                </c:ext>
              </c:extLst>
            </c:dLbl>
            <c:dLbl>
              <c:idx val="23"/>
              <c:tx>
                <c:strRef>
                  <c:f>tracperf!$CL$31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{43F43C8D-4E0A-41BC-91C2-5686A9D97E75}</c15:txfldGUID>
                      <c15:f>tracperf!$CL$31</c15:f>
                      <c15:dlblFieldTableCache>
                        <c:ptCount val="1"/>
                      </c15:dlblFieldTableCache>
                    </c15:dlblFTEntry>
                  </c15:dlblFieldTable>
                  <c15:showDataLabelsRange val="0"/>
                </c:ext>
              </c:extLst>
            </c:dLbl>
            <c:dLbl>
              <c:idx val="24"/>
              <c:tx>
                <c:strRef>
                  <c:f>tracperf!$CL$32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{4F54B5F8-0186-4641-9EC1-BB4BC0FE1890}</c15:txfldGUID>
                      <c15:f>tracperf!$CL$32</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tracperf!$CK$8:$CK$32</c:f>
              <c:numCache>
                <c:formatCode>0.000_)</c:formatCode>
                <c:ptCount val="25"/>
                <c:pt idx="0">
                  <c:v>0.99</c:v>
                </c:pt>
                <c:pt idx="1">
                  <c:v>0.98</c:v>
                </c:pt>
                <c:pt idx="2">
                  <c:v>0.97</c:v>
                </c:pt>
                <c:pt idx="3">
                  <c:v>0.95</c:v>
                </c:pt>
                <c:pt idx="4">
                  <c:v>0.92999999999999994</c:v>
                </c:pt>
                <c:pt idx="5">
                  <c:v>0.9</c:v>
                </c:pt>
                <c:pt idx="6">
                  <c:v>0.86</c:v>
                </c:pt>
                <c:pt idx="7">
                  <c:v>0.84</c:v>
                </c:pt>
                <c:pt idx="8">
                  <c:v>0.82000000000000006</c:v>
                </c:pt>
                <c:pt idx="9">
                  <c:v>0.8</c:v>
                </c:pt>
                <c:pt idx="10">
                  <c:v>0.78</c:v>
                </c:pt>
                <c:pt idx="11">
                  <c:v>0.76</c:v>
                </c:pt>
                <c:pt idx="12">
                  <c:v>0.74</c:v>
                </c:pt>
                <c:pt idx="13">
                  <c:v>0.72</c:v>
                </c:pt>
                <c:pt idx="14">
                  <c:v>0.7</c:v>
                </c:pt>
                <c:pt idx="15">
                  <c:v>0.67999999999999994</c:v>
                </c:pt>
                <c:pt idx="16">
                  <c:v>0.65999999999999992</c:v>
                </c:pt>
                <c:pt idx="17">
                  <c:v>0.64</c:v>
                </c:pt>
                <c:pt idx="18">
                  <c:v>0.62</c:v>
                </c:pt>
                <c:pt idx="19">
                  <c:v>0.6</c:v>
                </c:pt>
                <c:pt idx="20">
                  <c:v>0.58000000000000007</c:v>
                </c:pt>
                <c:pt idx="21">
                  <c:v>0.56000000000000005</c:v>
                </c:pt>
                <c:pt idx="22">
                  <c:v>0.54</c:v>
                </c:pt>
                <c:pt idx="23">
                  <c:v>0.52</c:v>
                </c:pt>
                <c:pt idx="24">
                  <c:v>0.5</c:v>
                </c:pt>
              </c:numCache>
            </c:numRef>
          </c:yVal>
          <c:smooth val="0"/>
        </c:ser>
        <c:ser>
          <c:idx val="2"/>
          <c:order val="2"/>
          <c:spPr>
            <a:ln w="25400">
              <a:solidFill>
                <a:srgbClr val="00FF00"/>
              </a:solidFill>
              <a:prstDash val="solid"/>
            </a:ln>
          </c:spPr>
          <c:marker>
            <c:symbol val="none"/>
          </c:marker>
          <c:dLbls>
            <c:dLbl>
              <c:idx val="0"/>
              <c:tx>
                <c:strRef>
                  <c:f>tracperf!$BY$7</c:f>
                  <c:strCache>
                    <c:ptCount val="1"/>
                    <c:pt idx="0">
                      <c:v>Slip Ratio</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{F259713D-D05A-47D3-A976-A14297D87E64}</c15:txfldGUID>
                      <c15:f>tracperf!$BY$7</c15:f>
                      <c15:dlblFieldTableCache>
                        <c:ptCount val="1"/>
                        <c:pt idx="0">
                          <c:v>Slip Ratio</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tracperf!$BY$8:$BY$35</c:f>
              <c:numCache>
                <c:formatCode>General</c:formatCode>
                <c:ptCount val="28"/>
                <c:pt idx="0">
                  <c:v>0.01</c:v>
                </c:pt>
                <c:pt idx="1">
                  <c:v>0.02</c:v>
                </c:pt>
                <c:pt idx="2">
                  <c:v>0.03</c:v>
                </c:pt>
                <c:pt idx="3">
                  <c:v>0.05</c:v>
                </c:pt>
                <c:pt idx="4">
                  <c:v>7.0000000000000007E-2</c:v>
                </c:pt>
                <c:pt idx="5">
                  <c:v>0.1</c:v>
                </c:pt>
                <c:pt idx="6">
                  <c:v>0.14000000000000001</c:v>
                </c:pt>
                <c:pt idx="7">
                  <c:v>0.16</c:v>
                </c:pt>
                <c:pt idx="8">
                  <c:v>0.18</c:v>
                </c:pt>
                <c:pt idx="9">
                  <c:v>0.2</c:v>
                </c:pt>
                <c:pt idx="10">
                  <c:v>0.22</c:v>
                </c:pt>
                <c:pt idx="11">
                  <c:v>0.24</c:v>
                </c:pt>
                <c:pt idx="12">
                  <c:v>0.26</c:v>
                </c:pt>
                <c:pt idx="13">
                  <c:v>0.28000000000000003</c:v>
                </c:pt>
                <c:pt idx="14">
                  <c:v>0.3</c:v>
                </c:pt>
                <c:pt idx="15">
                  <c:v>0.32</c:v>
                </c:pt>
                <c:pt idx="16">
                  <c:v>0.34</c:v>
                </c:pt>
                <c:pt idx="17">
                  <c:v>0.36</c:v>
                </c:pt>
                <c:pt idx="18">
                  <c:v>0.38</c:v>
                </c:pt>
                <c:pt idx="19">
                  <c:v>0.4</c:v>
                </c:pt>
                <c:pt idx="20">
                  <c:v>0.42</c:v>
                </c:pt>
                <c:pt idx="21">
                  <c:v>0.44</c:v>
                </c:pt>
                <c:pt idx="22">
                  <c:v>0.46</c:v>
                </c:pt>
                <c:pt idx="23">
                  <c:v>0.48</c:v>
                </c:pt>
                <c:pt idx="24">
                  <c:v>0.5</c:v>
                </c:pt>
              </c:numCache>
            </c:numRef>
          </c:yVal>
          <c:smooth val="0"/>
        </c:ser>
        <c:ser>
          <c:idx val="3"/>
          <c:order val="3"/>
          <c:spPr>
            <a:ln w="25400">
              <a:solidFill>
                <a:srgbClr val="800000"/>
              </a:solidFill>
              <a:prstDash val="solid"/>
            </a:ln>
          </c:spPr>
          <c:marker>
            <c:symbol val="none"/>
          </c:marker>
          <c:dLbls>
            <c:dLbl>
              <c:idx val="0"/>
              <c:tx>
                <c:strRef>
                  <c:f>tracperf!$CE$8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{DA6A7C30-2ED8-484F-9981-F94785383AF6}</c15:txfldGUID>
                      <c15:f>tracperf!$CE$8</c15:f>
                      <c15:dlblFieldTableCache>
                        <c:ptCount val="1"/>
                      </c15:dlblFieldTableCache>
                    </c15:dlblFTEntry>
                  </c15:dlblFieldTable>
                  <c15:showDataLabelsRange val="0"/>
                </c:ext>
              </c:extLst>
            </c:dLbl>
            <c:dLbl>
              <c:idx val="1"/>
              <c:tx>
                <c:strRef>
                  <c:f>tracperf!$CE$9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{8A688803-C84E-495F-99DC-143870939988}</c15:txfldGUID>
                      <c15:f>tracperf!$CE$9</c15:f>
                      <c15:dlblFieldTableCache>
                        <c:ptCount val="1"/>
                      </c15:dlblFieldTableCache>
                    </c15:dlblFTEntry>
                  </c15:dlblFieldTable>
                  <c15:showDataLabelsRange val="0"/>
                </c:ext>
              </c:extLst>
            </c:dLbl>
            <c:dLbl>
              <c:idx val="2"/>
              <c:tx>
                <c:strRef>
                  <c:f>tracperf!$CE$10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{7E904703-5621-4290-A826-43C7947435C4}</c15:txfldGUID>
                      <c15:f>tracperf!$CE$10</c15:f>
                      <c15:dlblFieldTableCache>
                        <c:ptCount val="1"/>
                      </c15:dlblFieldTableCache>
                    </c15:dlblFTEntry>
                  </c15:dlblFieldTable>
                  <c15:showDataLabelsRange val="0"/>
                </c:ext>
              </c:extLst>
            </c:dLbl>
            <c:dLbl>
              <c:idx val="3"/>
              <c:tx>
                <c:strRef>
                  <c:f>tracperf!$CE$11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{74DFDE2C-A27C-41EF-820B-04FBD5F4FBA6}</c15:txfldGUID>
                      <c15:f>tracperf!$CE$11</c15:f>
                      <c15:dlblFieldTableCache>
                        <c:ptCount val="1"/>
                      </c15:dlblFieldTableCache>
                    </c15:dlblFTEntry>
                  </c15:dlblFieldTable>
                  <c15:showDataLabelsRange val="0"/>
                </c:ext>
              </c:extLst>
            </c:dLbl>
            <c:dLbl>
              <c:idx val="4"/>
              <c:tx>
                <c:strRef>
                  <c:f>tracperf!$CE$12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{1D38328F-5E45-4409-95A3-1932A9B00680}</c15:txfldGUID>
                      <c15:f>tracperf!$CE$12</c15:f>
                      <c15:dlblFieldTableCache>
                        <c:ptCount val="1"/>
                      </c15:dlblFieldTableCache>
                    </c15:dlblFTEntry>
                  </c15:dlblFieldTable>
                  <c15:showDataLabelsRange val="0"/>
                </c:ext>
              </c:extLst>
            </c:dLbl>
            <c:dLbl>
              <c:idx val="5"/>
              <c:tx>
                <c:strRef>
                  <c:f>tracperf!$CE$13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{14811B05-0D00-4DD3-9403-A3A2A5850CEB}</c15:txfldGUID>
                      <c15:f>tracperf!$CE$13</c15:f>
                      <c15:dlblFieldTableCache>
                        <c:ptCount val="1"/>
                      </c15:dlblFieldTableCache>
                    </c15:dlblFTEntry>
                  </c15:dlblFieldTable>
                  <c15:showDataLabelsRange val="0"/>
                </c:ext>
              </c:extLst>
            </c:dLbl>
            <c:dLbl>
              <c:idx val="6"/>
              <c:tx>
                <c:strRef>
                  <c:f>tracperf!$CE$14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{99847EBD-EE2A-4EE0-AF94-0AD66842BA9F}</c15:txfldGUID>
                      <c15:f>tracperf!$CE$14</c15:f>
                      <c15:dlblFieldTableCache>
                        <c:ptCount val="1"/>
                      </c15:dlblFieldTableCache>
                    </c15:dlblFTEntry>
                  </c15:dlblFieldTable>
                  <c15:showDataLabelsRange val="0"/>
                </c:ext>
              </c:extLst>
            </c:dLbl>
            <c:dLbl>
              <c:idx val="7"/>
              <c:tx>
                <c:strRef>
                  <c:f>tracperf!$CE$15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{E211DF69-E1C3-4C24-BE16-05E63DACBE7C}</c15:txfldGUID>
                      <c15:f>tracperf!$CE$15</c15:f>
                      <c15:dlblFieldTableCache>
                        <c:ptCount val="1"/>
                      </c15:dlblFieldTableCache>
                    </c15:dlblFTEntry>
                  </c15:dlblFieldTable>
                  <c15:showDataLabelsRange val="0"/>
                </c:ext>
              </c:extLst>
            </c:dLbl>
            <c:dLbl>
              <c:idx val="8"/>
              <c:tx>
                <c:strRef>
                  <c:f>tracperf!$CE$16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{8AFEC94A-06F0-4DE4-89B2-29CFCF197E33}</c15:txfldGUID>
                      <c15:f>tracperf!$CE$16</c15:f>
                      <c15:dlblFieldTableCache>
                        <c:ptCount val="1"/>
                      </c15:dlblFieldTableCache>
                    </c15:dlblFTEntry>
                  </c15:dlblFieldTable>
                  <c15:showDataLabelsRange val="0"/>
                </c:ext>
              </c:extLst>
            </c:dLbl>
            <c:dLbl>
              <c:idx val="9"/>
              <c:tx>
                <c:strRef>
                  <c:f>tracperf!$CE$17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{95BE4A03-B2D9-42B3-8426-7E541B5EBCF0}</c15:txfldGUID>
                      <c15:f>tracperf!$CE$17</c15:f>
                      <c15:dlblFieldTableCache>
                        <c:ptCount val="1"/>
                      </c15:dlblFieldTableCache>
                    </c15:dlblFTEntry>
                  </c15:dlblFieldTable>
                  <c15:showDataLabelsRange val="0"/>
                </c:ext>
              </c:extLst>
            </c:dLbl>
            <c:dLbl>
              <c:idx val="10"/>
              <c:tx>
                <c:strRef>
                  <c:f>tracperf!$CE$18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{1C823CF1-58A9-4399-907B-3CF858AD4245}</c15:txfldGUID>
                      <c15:f>tracperf!$CE$18</c15:f>
                      <c15:dlblFieldTableCache>
                        <c:ptCount val="1"/>
                      </c15:dlblFieldTableCache>
                    </c15:dlblFTEntry>
                  </c15:dlblFieldTable>
                  <c15:showDataLabelsRange val="0"/>
                </c:ext>
              </c:extLst>
            </c:dLbl>
            <c:dLbl>
              <c:idx val="11"/>
              <c:tx>
                <c:strRef>
                  <c:f>tracperf!$CE$19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{47F8197E-64AB-4EFE-999C-814F59611942}</c15:txfldGUID>
                      <c15:f>tracperf!$CE$19</c15:f>
                      <c15:dlblFieldTableCache>
                        <c:ptCount val="1"/>
                      </c15:dlblFieldTableCache>
                    </c15:dlblFTEntry>
                  </c15:dlblFieldTable>
                  <c15:showDataLabelsRange val="0"/>
                </c:ext>
              </c:extLst>
            </c:dLbl>
            <c:dLbl>
              <c:idx val="12"/>
              <c:tx>
                <c:strRef>
                  <c:f>tracperf!$CE$20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{A3F38152-5FB4-473D-99D8-3862B07498D4}</c15:txfldGUID>
                      <c15:f>tracperf!$CE$20</c15:f>
                      <c15:dlblFieldTableCache>
                        <c:ptCount val="1"/>
                      </c15:dlblFieldTableCache>
                    </c15:dlblFTEntry>
                  </c15:dlblFieldTable>
                  <c15:showDataLabelsRange val="0"/>
                </c:ext>
              </c:extLst>
            </c:dLbl>
            <c:dLbl>
              <c:idx val="13"/>
              <c:tx>
                <c:strRef>
                  <c:f>tracperf!$CE$21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{70CA85DE-A75A-407D-B240-854BAD41F34C}</c15:txfldGUID>
                      <c15:f>tracperf!$CE$21</c15:f>
                      <c15:dlblFieldTableCache>
                        <c:ptCount val="1"/>
                      </c15:dlblFieldTableCache>
                    </c15:dlblFTEntry>
                  </c15:dlblFieldTable>
                  <c15:showDataLabelsRange val="0"/>
                </c:ext>
              </c:extLst>
            </c:dLbl>
            <c:dLbl>
              <c:idx val="14"/>
              <c:tx>
                <c:strRef>
                  <c:f>tracperf!$CE$22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{A9C0FFE9-F129-42B6-8432-B82C8D7C4516}</c15:txfldGUID>
                      <c15:f>tracperf!$CE$22</c15:f>
                      <c15:dlblFieldTableCache>
                        <c:ptCount val="1"/>
                      </c15:dlblFieldTableCache>
                    </c15:dlblFTEntry>
                  </c15:dlblFieldTable>
                  <c15:showDataLabelsRange val="0"/>
                </c:ext>
              </c:extLst>
            </c:dLbl>
            <c:dLbl>
              <c:idx val="15"/>
              <c:tx>
                <c:strRef>
                  <c:f>tracperf!$CE$23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{A7B3D0D2-6347-43E3-A2DC-479B1E51D0B9}</c15:txfldGUID>
                      <c15:f>tracperf!$CE$23</c15:f>
                      <c15:dlblFieldTableCache>
                        <c:ptCount val="1"/>
                      </c15:dlblFieldTableCache>
                    </c15:dlblFTEntry>
                  </c15:dlblFieldTable>
                  <c15:showDataLabelsRange val="0"/>
                </c:ext>
              </c:extLst>
            </c:dLbl>
            <c:dLbl>
              <c:idx val="16"/>
              <c:tx>
                <c:strRef>
                  <c:f>tracperf!$CE$24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{38A78409-1F56-4F2A-B440-A24BF9B3976B}</c15:txfldGUID>
                      <c15:f>tracperf!$CE$24</c15:f>
                      <c15:dlblFieldTableCache>
                        <c:ptCount val="1"/>
                      </c15:dlblFieldTableCache>
                    </c15:dlblFTEntry>
                  </c15:dlblFieldTable>
                  <c15:showDataLabelsRange val="0"/>
                </c:ext>
              </c:extLst>
            </c:dLbl>
            <c:dLbl>
              <c:idx val="17"/>
              <c:tx>
                <c:strRef>
                  <c:f>tracperf!$CE$25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{1A7E8D4C-43A7-45D6-B541-5AD3B44E040F}</c15:txfldGUID>
                      <c15:f>tracperf!$CE$25</c15:f>
                      <c15:dlblFieldTableCache>
                        <c:ptCount val="1"/>
                      </c15:dlblFieldTableCache>
                    </c15:dlblFTEntry>
                  </c15:dlblFieldTable>
                  <c15:showDataLabelsRange val="0"/>
                </c:ext>
              </c:extLst>
            </c:dLbl>
            <c:dLbl>
              <c:idx val="18"/>
              <c:tx>
                <c:strRef>
                  <c:f>tracperf!$CE$26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{D2171A87-49C0-4DC9-9A9B-C3E18ED6CAB3}</c15:txfldGUID>
                      <c15:f>tracperf!$CE$26</c15:f>
                      <c15:dlblFieldTableCache>
                        <c:ptCount val="1"/>
                      </c15:dlblFieldTableCache>
                    </c15:dlblFTEntry>
                  </c15:dlblFieldTable>
                  <c15:showDataLabelsRange val="0"/>
                </c:ext>
              </c:extLst>
            </c:dLbl>
            <c:dLbl>
              <c:idx val="19"/>
              <c:tx>
                <c:strRef>
                  <c:f>tracperf!$CE$27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{0F27C624-F71C-4223-801E-2DA65A1BB1E6}</c15:txfldGUID>
                      <c15:f>tracperf!$CE$27</c15:f>
                      <c15:dlblFieldTableCache>
                        <c:ptCount val="1"/>
                      </c15:dlblFieldTableCache>
                    </c15:dlblFTEntry>
                  </c15:dlblFieldTable>
                  <c15:showDataLabelsRange val="0"/>
                </c:ext>
              </c:extLst>
            </c:dLbl>
            <c:dLbl>
              <c:idx val="20"/>
              <c:tx>
                <c:strRef>
                  <c:f>tracperf!$CE$28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{D0789A6C-8B2D-418A-8E43-52C0CC3CEFA8}</c15:txfldGUID>
                      <c15:f>tracperf!$CE$28</c15:f>
                      <c15:dlblFieldTableCache>
                        <c:ptCount val="1"/>
                      </c15:dlblFieldTableCache>
                    </c15:dlblFTEntry>
                  </c15:dlblFieldTable>
                  <c15:showDataLabelsRange val="0"/>
                </c:ext>
              </c:extLst>
            </c:dLbl>
            <c:dLbl>
              <c:idx val="21"/>
              <c:tx>
                <c:strRef>
                  <c:f>tracperf!$CE$29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{979EEC05-49E6-420F-A01D-D6123615C1F5}</c15:txfldGUID>
                      <c15:f>tracperf!$CE$29</c15:f>
                      <c15:dlblFieldTableCache>
                        <c:ptCount val="1"/>
                      </c15:dlblFieldTableCache>
                    </c15:dlblFTEntry>
                  </c15:dlblFieldTable>
                  <c15:showDataLabelsRange val="0"/>
                </c:ext>
              </c:extLst>
            </c:dLbl>
            <c:dLbl>
              <c:idx val="22"/>
              <c:tx>
                <c:strRef>
                  <c:f>tracperf!$CE$30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{766769AF-97CD-4079-A8D7-8096AEA4F458}</c15:txfldGUID>
                      <c15:f>tracperf!$CE$30</c15:f>
                      <c15:dlblFieldTableCache>
                        <c:ptCount val="1"/>
                      </c15:dlblFieldTableCache>
                    </c15:dlblFTEntry>
                  </c15:dlblFieldTable>
                  <c15:showDataLabelsRange val="0"/>
                </c:ext>
              </c:extLst>
            </c:dLbl>
            <c:dLbl>
              <c:idx val="23"/>
              <c:tx>
                <c:strRef>
                  <c:f>tracperf!$CE$31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{5EBF7EB1-EA49-48D5-8D1F-43016A960B9F}</c15:txfldGUID>
                      <c15:f>tracperf!$CE$31</c15:f>
                      <c15:dlblFieldTableCache>
                        <c:ptCount val="1"/>
                      </c15:dlblFieldTableCache>
                    </c15:dlblFTEntry>
                  </c15:dlblFieldTable>
                  <c15:showDataLabelsRange val="0"/>
                </c:ext>
              </c:extLst>
            </c:dLbl>
            <c:dLbl>
              <c:idx val="24"/>
              <c:tx>
                <c:strRef>
                  <c:f>tracperf!$CE$32</c:f>
                  <c:strCache>
                    <c:ptCount val="1"/>
                    <c:pt idx="0">
                      <c:v>M/W</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{FB923DD5-3C49-4C9E-A15B-0D566AF9EA62}</c15:txfldGUID>
                      <c15:f>tracperf!$CE$32</c15:f>
                      <c15:dlblFieldTableCache>
                        <c:ptCount val="1"/>
                        <c:pt idx="0">
                          <c:v>M/W</c:v>
                        </c:pt>
                      </c15:dlblFieldTableCache>
                    </c15:dlblFTEntry>
                  </c15:dlblFieldTable>
                  <c15:showDataLabelsRange val="0"/>
                </c:ext>
              </c:extLst>
            </c:dLbl>
            <c:dLbl>
              <c:idx val="25"/>
              <c:tx>
                <c:strRef>
                  <c:f>tracperf!$CE$33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{956D6AFD-7CF9-4530-8964-C7B8FC1C25DA}</c15:txfldGUID>
                      <c15:f>tracperf!$CE$33</c15:f>
                      <c15:dlblFieldTableCache>
                        <c:ptCount val="1"/>
                      </c15:dlblFieldTableCache>
                    </c15:dlblFTEntry>
                  </c15:dlblFieldTable>
                  <c15:showDataLabelsRange val="0"/>
                </c:ext>
              </c:extLst>
            </c:dLbl>
            <c:dLbl>
              <c:idx val="26"/>
              <c:tx>
                <c:strRef>
                  <c:f>tracperf!$CE$34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{F6321898-F97B-4387-A695-0A49CE737232}</c15:txfldGUID>
                      <c15:f>tracperf!$CE$34</c15:f>
                      <c15:dlblFieldTableCache>
                        <c:ptCount val="1"/>
                      </c15:dlblFieldTableCache>
                    </c15:dlblFTEntry>
                  </c15:dlblFieldTable>
                  <c15:showDataLabelsRange val="0"/>
                </c:ext>
              </c:extLst>
            </c:dLbl>
            <c:dLbl>
              <c:idx val="27"/>
              <c:tx>
                <c:strRef>
                  <c:f>tracperf!$CE$35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{A165EB35-3D5C-4822-83EF-1583263A13CB}</c15:txfldGUID>
                      <c15:f>tracperf!$CE$35</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tracperf!$BV$8:$BV$35</c:f>
              <c:numCache>
                <c:formatCode>0.000_)</c:formatCode>
                <c:ptCount val="28"/>
                <c:pt idx="0">
                  <c:v>4.5111132891390501E-2</c:v>
                </c:pt>
                <c:pt idx="1">
                  <c:v>4.5661896922463058E-2</c:v>
                </c:pt>
                <c:pt idx="2">
                  <c:v>4.6212660953535607E-2</c:v>
                </c:pt>
                <c:pt idx="3">
                  <c:v>4.731418901568072E-2</c:v>
                </c:pt>
                <c:pt idx="4">
                  <c:v>4.8415717077825833E-2</c:v>
                </c:pt>
                <c:pt idx="5">
                  <c:v>5.0068009171043495E-2</c:v>
                </c:pt>
                <c:pt idx="6">
                  <c:v>5.2271065295333721E-2</c:v>
                </c:pt>
                <c:pt idx="7">
                  <c:v>5.3372593357478827E-2</c:v>
                </c:pt>
                <c:pt idx="8">
                  <c:v>5.447412141962394E-2</c:v>
                </c:pt>
                <c:pt idx="9">
                  <c:v>5.5575649481769046E-2</c:v>
                </c:pt>
                <c:pt idx="10">
                  <c:v>5.6677177543914159E-2</c:v>
                </c:pt>
                <c:pt idx="11">
                  <c:v>5.7778705606059272E-2</c:v>
                </c:pt>
                <c:pt idx="12">
                  <c:v>5.8880233668204385E-2</c:v>
                </c:pt>
                <c:pt idx="13">
                  <c:v>5.9981761730349491E-2</c:v>
                </c:pt>
                <c:pt idx="14">
                  <c:v>6.1083289792494597E-2</c:v>
                </c:pt>
                <c:pt idx="15">
                  <c:v>6.218481785463971E-2</c:v>
                </c:pt>
                <c:pt idx="16">
                  <c:v>6.3286345916784822E-2</c:v>
                </c:pt>
                <c:pt idx="17">
                  <c:v>6.4387873978929935E-2</c:v>
                </c:pt>
                <c:pt idx="18">
                  <c:v>6.5489402041075048E-2</c:v>
                </c:pt>
                <c:pt idx="19">
                  <c:v>6.6590930103220203E-2</c:v>
                </c:pt>
                <c:pt idx="20">
                  <c:v>6.7692458165365316E-2</c:v>
                </c:pt>
                <c:pt idx="21">
                  <c:v>6.8793986227510429E-2</c:v>
                </c:pt>
                <c:pt idx="22">
                  <c:v>6.9895514289655541E-2</c:v>
                </c:pt>
                <c:pt idx="23">
                  <c:v>7.099704235180064E-2</c:v>
                </c:pt>
                <c:pt idx="24">
                  <c:v>7.2098570413945753E-2</c:v>
                </c:pt>
              </c:numCache>
            </c:numRef>
          </c:yVal>
          <c:smooth val="0"/>
        </c:ser>
        <c:ser>
          <c:idx val="4"/>
          <c:order val="4"/>
          <c:spPr>
            <a:ln w="25400">
              <a:solidFill>
                <a:srgbClr val="000000"/>
              </a:solidFill>
              <a:prstDash val="solid"/>
            </a:ln>
          </c:spPr>
          <c:marker>
            <c:symbol val="none"/>
          </c:marker>
          <c:dLbls>
            <c:dLbl>
              <c:idx val="0"/>
              <c:tx>
                <c:strRef>
                  <c:f>tracperf!$CI$8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{D8A1F4A9-D332-4E2C-9DC7-C51C3E31250B}</c15:txfldGUID>
                      <c15:f>tracperf!$CI$8</c15:f>
                      <c15:dlblFieldTableCache>
                        <c:ptCount val="1"/>
                      </c15:dlblFieldTableCache>
                    </c15:dlblFTEntry>
                  </c15:dlblFieldTable>
                  <c15:showDataLabelsRange val="0"/>
                </c:ext>
              </c:extLst>
            </c:dLbl>
            <c:dLbl>
              <c:idx val="1"/>
              <c:tx>
                <c:strRef>
                  <c:f>tracperf!$CI$9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{CCA6B7DE-2F96-4B22-9411-72A4629BE591}</c15:txfldGUID>
                      <c15:f>tracperf!$CI$9</c15:f>
                      <c15:dlblFieldTableCache>
                        <c:ptCount val="1"/>
                      </c15:dlblFieldTableCache>
                    </c15:dlblFTEntry>
                  </c15:dlblFieldTable>
                  <c15:showDataLabelsRange val="0"/>
                </c:ext>
              </c:extLst>
            </c:dLbl>
            <c:dLbl>
              <c:idx val="2"/>
              <c:tx>
                <c:strRef>
                  <c:f>tracperf!$CI$10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{76504F24-FC8E-4AE2-8006-012F64668969}</c15:txfldGUID>
                      <c15:f>tracperf!$CI$10</c15:f>
                      <c15:dlblFieldTableCache>
                        <c:ptCount val="1"/>
                      </c15:dlblFieldTableCache>
                    </c15:dlblFTEntry>
                  </c15:dlblFieldTable>
                  <c15:showDataLabelsRange val="0"/>
                </c:ext>
              </c:extLst>
            </c:dLbl>
            <c:dLbl>
              <c:idx val="3"/>
              <c:tx>
                <c:strRef>
                  <c:f>tracperf!$CI$11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{D3A37340-C4EF-4EED-ACE4-0C31011C6A37}</c15:txfldGUID>
                      <c15:f>tracperf!$CI$11</c15:f>
                      <c15:dlblFieldTableCache>
                        <c:ptCount val="1"/>
                      </c15:dlblFieldTableCache>
                    </c15:dlblFTEntry>
                  </c15:dlblFieldTable>
                  <c15:showDataLabelsRange val="0"/>
                </c:ext>
              </c:extLst>
            </c:dLbl>
            <c:dLbl>
              <c:idx val="4"/>
              <c:tx>
                <c:strRef>
                  <c:f>tracperf!$CI$12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{A2D6C184-84F2-4872-977C-043EB9FE6FDE}</c15:txfldGUID>
                      <c15:f>tracperf!$CI$12</c15:f>
                      <c15:dlblFieldTableCache>
                        <c:ptCount val="1"/>
                      </c15:dlblFieldTableCache>
                    </c15:dlblFTEntry>
                  </c15:dlblFieldTable>
                  <c15:showDataLabelsRange val="0"/>
                </c:ext>
              </c:extLst>
            </c:dLbl>
            <c:dLbl>
              <c:idx val="5"/>
              <c:tx>
                <c:strRef>
                  <c:f>tracperf!$CI$13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{A85978BE-48DD-4CBB-85A2-6F1F0BC9DE0E}</c15:txfldGUID>
                      <c15:f>tracperf!$CI$13</c15:f>
                      <c15:dlblFieldTableCache>
                        <c:ptCount val="1"/>
                      </c15:dlblFieldTableCache>
                    </c15:dlblFTEntry>
                  </c15:dlblFieldTable>
                  <c15:showDataLabelsRange val="0"/>
                </c:ext>
              </c:extLst>
            </c:dLbl>
            <c:dLbl>
              <c:idx val="6"/>
              <c:tx>
                <c:strRef>
                  <c:f>tracperf!$CI$14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{F307873A-375D-4B97-9653-4DF411CEC42D}</c15:txfldGUID>
                      <c15:f>tracperf!$CI$14</c15:f>
                      <c15:dlblFieldTableCache>
                        <c:ptCount val="1"/>
                      </c15:dlblFieldTableCache>
                    </c15:dlblFTEntry>
                  </c15:dlblFieldTable>
                  <c15:showDataLabelsRange val="0"/>
                </c:ext>
              </c:extLst>
            </c:dLbl>
            <c:dLbl>
              <c:idx val="7"/>
              <c:tx>
                <c:strRef>
                  <c:f>tracperf!$CI$15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{7636B8E6-374F-4292-9726-A00EDDEC6B15}</c15:txfldGUID>
                      <c15:f>tracperf!$CI$15</c15:f>
                      <c15:dlblFieldTableCache>
                        <c:ptCount val="1"/>
                      </c15:dlblFieldTableCache>
                    </c15:dlblFTEntry>
                  </c15:dlblFieldTable>
                  <c15:showDataLabelsRange val="0"/>
                </c:ext>
              </c:extLst>
            </c:dLbl>
            <c:dLbl>
              <c:idx val="8"/>
              <c:tx>
                <c:strRef>
                  <c:f>tracperf!$CI$16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{7E2D72B1-CFFE-4E3D-B529-E2EDF3E44888}</c15:txfldGUID>
                      <c15:f>tracperf!$CI$16</c15:f>
                      <c15:dlblFieldTableCache>
                        <c:ptCount val="1"/>
                      </c15:dlblFieldTableCache>
                    </c15:dlblFTEntry>
                  </c15:dlblFieldTable>
                  <c15:showDataLabelsRange val="0"/>
                </c:ext>
              </c:extLst>
            </c:dLbl>
            <c:dLbl>
              <c:idx val="9"/>
              <c:tx>
                <c:strRef>
                  <c:f>tracperf!$CI$17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{299E11B9-5245-4DB3-B8AE-45D57888109E}</c15:txfldGUID>
                      <c15:f>tracperf!$CI$17</c15:f>
                      <c15:dlblFieldTableCache>
                        <c:ptCount val="1"/>
                      </c15:dlblFieldTableCache>
                    </c15:dlblFTEntry>
                  </c15:dlblFieldTable>
                  <c15:showDataLabelsRange val="0"/>
                </c:ext>
              </c:extLst>
            </c:dLbl>
            <c:dLbl>
              <c:idx val="10"/>
              <c:tx>
                <c:strRef>
                  <c:f>tracperf!$CI$18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{A85356DF-4ED0-4F8A-B9D9-CAC032AC219E}</c15:txfldGUID>
                      <c15:f>tracperf!$CI$18</c15:f>
                      <c15:dlblFieldTableCache>
                        <c:ptCount val="1"/>
                      </c15:dlblFieldTableCache>
                    </c15:dlblFTEntry>
                  </c15:dlblFieldTable>
                  <c15:showDataLabelsRange val="0"/>
                </c:ext>
              </c:extLst>
            </c:dLbl>
            <c:dLbl>
              <c:idx val="11"/>
              <c:tx>
                <c:strRef>
                  <c:f>tracperf!$CI$19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{D1043E2B-6714-4018-BEAE-F2FC82B16DEE}</c15:txfldGUID>
                      <c15:f>tracperf!$CI$19</c15:f>
                      <c15:dlblFieldTableCache>
                        <c:ptCount val="1"/>
                      </c15:dlblFieldTableCache>
                    </c15:dlblFTEntry>
                  </c15:dlblFieldTable>
                  <c15:showDataLabelsRange val="0"/>
                </c:ext>
              </c:extLst>
            </c:dLbl>
            <c:dLbl>
              <c:idx val="12"/>
              <c:tx>
                <c:strRef>
                  <c:f>tracperf!$CI$20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{ABE251D9-A39A-4526-8F62-0F6D16CA4C9F}</c15:txfldGUID>
                      <c15:f>tracperf!$CI$20</c15:f>
                      <c15:dlblFieldTableCache>
                        <c:ptCount val="1"/>
                      </c15:dlblFieldTableCache>
                    </c15:dlblFTEntry>
                  </c15:dlblFieldTable>
                  <c15:showDataLabelsRange val="0"/>
                </c:ext>
              </c:extLst>
            </c:dLbl>
            <c:dLbl>
              <c:idx val="13"/>
              <c:tx>
                <c:strRef>
                  <c:f>tracperf!$CI$21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{23BA8F65-7E52-4466-AFDE-6C1B73FEF3F7}</c15:txfldGUID>
                      <c15:f>tracperf!$CI$21</c15:f>
                      <c15:dlblFieldTableCache>
                        <c:ptCount val="1"/>
                      </c15:dlblFieldTableCache>
                    </c15:dlblFTEntry>
                  </c15:dlblFieldTable>
                  <c15:showDataLabelsRange val="0"/>
                </c:ext>
              </c:extLst>
            </c:dLbl>
            <c:dLbl>
              <c:idx val="14"/>
              <c:tx>
                <c:strRef>
                  <c:f>tracperf!$CI$22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{8B04DDFF-1ED5-47E5-8D29-F8DAD51EC2F3}</c15:txfldGUID>
                      <c15:f>tracperf!$CI$22</c15:f>
                      <c15:dlblFieldTableCache>
                        <c:ptCount val="1"/>
                      </c15:dlblFieldTableCache>
                    </c15:dlblFTEntry>
                  </c15:dlblFieldTable>
                  <c15:showDataLabelsRange val="0"/>
                </c:ext>
              </c:extLst>
            </c:dLbl>
            <c:dLbl>
              <c:idx val="15"/>
              <c:tx>
                <c:strRef>
                  <c:f>tracperf!$CI$23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{9DAA324E-9FBB-4AFC-A894-368C7BFC7B4F}</c15:txfldGUID>
                      <c15:f>tracperf!$CI$23</c15:f>
                      <c15:dlblFieldTableCache>
                        <c:ptCount val="1"/>
                      </c15:dlblFieldTableCache>
                    </c15:dlblFTEntry>
                  </c15:dlblFieldTable>
                  <c15:showDataLabelsRange val="0"/>
                </c:ext>
              </c:extLst>
            </c:dLbl>
            <c:dLbl>
              <c:idx val="16"/>
              <c:tx>
                <c:strRef>
                  <c:f>tracperf!$CI$24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{18393EF0-B29C-4BE6-BF47-219658F666EE}</c15:txfldGUID>
                      <c15:f>tracperf!$CI$24</c15:f>
                      <c15:dlblFieldTableCache>
                        <c:ptCount val="1"/>
                      </c15:dlblFieldTableCache>
                    </c15:dlblFTEntry>
                  </c15:dlblFieldTable>
                  <c15:showDataLabelsRange val="0"/>
                </c:ext>
              </c:extLst>
            </c:dLbl>
            <c:dLbl>
              <c:idx val="17"/>
              <c:tx>
                <c:strRef>
                  <c:f>tracperf!$CI$25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{56C0ACE0-0498-4D39-895B-9F32FD21E2B8}</c15:txfldGUID>
                      <c15:f>tracperf!$CI$25</c15:f>
                      <c15:dlblFieldTableCache>
                        <c:ptCount val="1"/>
                      </c15:dlblFieldTableCache>
                    </c15:dlblFTEntry>
                  </c15:dlblFieldTable>
                  <c15:showDataLabelsRange val="0"/>
                </c:ext>
              </c:extLst>
            </c:dLbl>
            <c:dLbl>
              <c:idx val="18"/>
              <c:tx>
                <c:strRef>
                  <c:f>tracperf!$CI$26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{3559C76D-29C4-45FA-B478-111DE9A00003}</c15:txfldGUID>
                      <c15:f>tracperf!$CI$26</c15:f>
                      <c15:dlblFieldTableCache>
                        <c:ptCount val="1"/>
                      </c15:dlblFieldTableCache>
                    </c15:dlblFTEntry>
                  </c15:dlblFieldTable>
                  <c15:showDataLabelsRange val="0"/>
                </c:ext>
              </c:extLst>
            </c:dLbl>
            <c:dLbl>
              <c:idx val="19"/>
              <c:tx>
                <c:strRef>
                  <c:f>tracperf!$CI$27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{E5CAF5B8-E2F4-4E46-A786-BA621E991B86}</c15:txfldGUID>
                      <c15:f>tracperf!$CI$27</c15:f>
                      <c15:dlblFieldTableCache>
                        <c:ptCount val="1"/>
                      </c15:dlblFieldTableCache>
                    </c15:dlblFTEntry>
                  </c15:dlblFieldTable>
                  <c15:showDataLabelsRange val="0"/>
                </c:ext>
              </c:extLst>
            </c:dLbl>
            <c:dLbl>
              <c:idx val="20"/>
              <c:tx>
                <c:strRef>
                  <c:f>tracperf!$CI$28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{23B281A5-4671-4EA4-A7A9-2B2F6AB1A603}</c15:txfldGUID>
                      <c15:f>tracperf!$CI$28</c15:f>
                      <c15:dlblFieldTableCache>
                        <c:ptCount val="1"/>
                      </c15:dlblFieldTableCache>
                    </c15:dlblFTEntry>
                  </c15:dlblFieldTable>
                  <c15:showDataLabelsRange val="0"/>
                </c:ext>
              </c:extLst>
            </c:dLbl>
            <c:dLbl>
              <c:idx val="21"/>
              <c:tx>
                <c:strRef>
                  <c:f>tracperf!$CI$29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{6F97B817-5013-446B-83FE-914FA89D2704}</c15:txfldGUID>
                      <c15:f>tracperf!$CI$29</c15:f>
                      <c15:dlblFieldTableCache>
                        <c:ptCount val="1"/>
                      </c15:dlblFieldTableCache>
                    </c15:dlblFTEntry>
                  </c15:dlblFieldTable>
                  <c15:showDataLabelsRange val="0"/>
                </c:ext>
              </c:extLst>
            </c:dLbl>
            <c:dLbl>
              <c:idx val="22"/>
              <c:tx>
                <c:strRef>
                  <c:f>tracperf!$CI$30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{90F8B948-BB0B-447B-AF15-197D2736D9C8}</c15:txfldGUID>
                      <c15:f>tracperf!$CI$30</c15:f>
                      <c15:dlblFieldTableCache>
                        <c:ptCount val="1"/>
                      </c15:dlblFieldTableCache>
                    </c15:dlblFTEntry>
                  </c15:dlblFieldTable>
                  <c15:showDataLabelsRange val="0"/>
                </c:ext>
              </c:extLst>
            </c:dLbl>
            <c:dLbl>
              <c:idx val="23"/>
              <c:tx>
                <c:strRef>
                  <c:f>tracperf!$CI$31</c:f>
                  <c:strCache>
                    <c:ptCount val="1"/>
                    <c:pt idx="0">
                      <c:v>   NTR/GTR</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{E2EDBD01-31C9-4C6C-9DD5-3E7B633E419A}</c15:txfldGUID>
                      <c15:f>tracperf!$CI$31</c15:f>
                      <c15:dlblFieldTableCache>
                        <c:ptCount val="1"/>
                        <c:pt idx="0">
                          <c:v>   NTR/GTR</c:v>
                        </c:pt>
                      </c15:dlblFieldTableCache>
                    </c15:dlblFTEntry>
                  </c15:dlblFieldTable>
                  <c15:showDataLabelsRange val="0"/>
                </c:ext>
              </c:extLst>
            </c:dLbl>
            <c:dLbl>
              <c:idx val="24"/>
              <c:tx>
                <c:strRef>
                  <c:f>tracperf!$CI$32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{A4B4EE9F-02C0-49E1-AF0E-0EDCA6AACE83}</c15:txfldGUID>
                      <c15:f>tracperf!$CI$32</c15:f>
                      <c15:dlblFieldTableCache>
                        <c:ptCount val="1"/>
                      </c15:dlblFieldTableCache>
                    </c15:dlblFTEntry>
                  </c15:dlblFieldTable>
                  <c15:showDataLabelsRange val="0"/>
                </c:ext>
              </c:extLst>
            </c:dLbl>
            <c:dLbl>
              <c:idx val="25"/>
              <c:tx>
                <c:strRef>
                  <c:f>tracperf!$CI$33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{36268C4A-BFEB-4642-AE5F-D1F678DAA81A}</c15:txfldGUID>
                      <c15:f>tracperf!$CI$33</c15:f>
                      <c15:dlblFieldTableCache>
                        <c:ptCount val="1"/>
                      </c15:dlblFieldTableCache>
                    </c15:dlblFTEntry>
                  </c15:dlblFieldTable>
                  <c15:showDataLabelsRange val="0"/>
                </c:ext>
              </c:extLst>
            </c:dLbl>
            <c:dLbl>
              <c:idx val="26"/>
              <c:tx>
                <c:strRef>
                  <c:f>tracperf!$CI$34</c:f>
                  <c:strCache>
                    <c:ptCount val="1"/>
                    <c:pt idx="0">
                      <c:v>Current Value</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{2582A050-E643-4346-BE8A-6165EEDFD2E4}</c15:txfldGUID>
                      <c15:f>tracperf!$CI$34</c15:f>
                      <c15:dlblFieldTableCache>
                        <c:ptCount val="1"/>
                        <c:pt idx="0">
                          <c:v>Current Value</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tracperf!$CH$8:$CH$34</c:f>
              <c:numCache>
                <c:formatCode>0.000_)</c:formatCode>
                <c:ptCount val="27"/>
                <c:pt idx="0">
                  <c:v>0.49546867499731317</c:v>
                </c:pt>
                <c:pt idx="1">
                  <c:v>0.68467129985783504</c:v>
                </c:pt>
                <c:pt idx="2">
                  <c:v>0.7647702725135529</c:v>
                </c:pt>
                <c:pt idx="3">
                  <c:v>0.83657631711849578</c:v>
                </c:pt>
                <c:pt idx="4">
                  <c:v>0.86929574639371743</c:v>
                </c:pt>
                <c:pt idx="5">
                  <c:v>0.89401312344535899</c:v>
                </c:pt>
                <c:pt idx="6">
                  <c:v>0.90971766303156498</c:v>
                </c:pt>
                <c:pt idx="7">
                  <c:v>0.91420049455687602</c:v>
                </c:pt>
                <c:pt idx="8">
                  <c:v>0.91740351797510489</c:v>
                </c:pt>
                <c:pt idx="9">
                  <c:v>0.91969842139159141</c:v>
                </c:pt>
                <c:pt idx="10">
                  <c:v>0.92132516220548077</c:v>
                </c:pt>
                <c:pt idx="11">
                  <c:v>0.92244576090772623</c:v>
                </c:pt>
                <c:pt idx="12">
                  <c:v>0.92317371210680477</c:v>
                </c:pt>
                <c:pt idx="13">
                  <c:v>0.92359099957194202</c:v>
                </c:pt>
                <c:pt idx="14">
                  <c:v>0.92375840973807044</c:v>
                </c:pt>
                <c:pt idx="15">
                  <c:v>0.92372203293562993</c:v>
                </c:pt>
                <c:pt idx="16">
                  <c:v>0.923517500849665</c:v>
                </c:pt>
                <c:pt idx="17">
                  <c:v>0.92317282950577373</c:v>
                </c:pt>
                <c:pt idx="18">
                  <c:v>0.92271037558215285</c:v>
                </c:pt>
                <c:pt idx="19">
                  <c:v>0.92214821308762296</c:v>
                </c:pt>
                <c:pt idx="20">
                  <c:v>0.92150112174946719</c:v>
                </c:pt>
                <c:pt idx="21">
                  <c:v>0.9207813095762386</c:v>
                </c:pt>
                <c:pt idx="22">
                  <c:v>0.91999894985604669</c:v>
                </c:pt>
                <c:pt idx="23">
                  <c:v>0.91916258631761383</c:v>
                </c:pt>
                <c:pt idx="25" formatCode="General">
                  <c:v>0</c:v>
                </c:pt>
                <c:pt idx="26" formatCode="General">
                  <c:v>1</c:v>
                </c:pt>
              </c:numCache>
            </c:numRef>
          </c:yVal>
          <c:smooth val="0"/>
        </c:ser>
        <c:dLbls>
          <c:showLegendKey val="0"/>
          <c:showVal val="0"/>
          <c:showCatName val="0"/>
          <c:showSerName val="0"/>
          <c:showPercent val="0"/>
          <c:showBubbleSize val="0"/>
        </c:dLbls>
        <c:axId val="452799368"/>
        <c:axId val="452799760"/>
      </c:scatterChart>
      <c:valAx>
        <c:axId val="452799368"/>
        <c:scaling>
          <c:orientation val="minMax"/>
          <c:max val="1"/>
          <c:min val="0"/>
        </c:scaling>
        <c:delete val="0"/>
        <c:axPos val="b"/>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Gross Traction Ratio, GTR</a:t>
                </a:r>
              </a:p>
            </c:rich>
          </c:tx>
          <c:layout>
            <c:manualLayout>
              <c:xMode val="edge"/>
              <c:yMode val="edge"/>
              <c:x val="0.4384017758046615"/>
              <c:y val="0.94453507340946163"/>
            </c:manualLayout>
          </c:layout>
          <c:overlay val="0"/>
          <c:spPr>
            <a:noFill/>
            <a:ln w="25400">
              <a:noFill/>
            </a:ln>
          </c:spPr>
        </c:title>
        <c:numFmt formatCode="0.000_)" sourceLinked="1"/>
        <c:majorTickMark val="in"/>
        <c:minorTickMark val="none"/>
        <c:tickLblPos val="low"/>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52799760"/>
        <c:crosses val="autoZero"/>
        <c:crossBetween val="midCat"/>
      </c:valAx>
      <c:valAx>
        <c:axId val="452799760"/>
        <c:scaling>
          <c:orientation val="minMax"/>
          <c:max val="1"/>
          <c:min val="0"/>
        </c:scaling>
        <c:delete val="0"/>
        <c:axPos val="l"/>
        <c:majorGridlines>
          <c:spPr>
            <a:ln w="3175">
              <a:solidFill>
                <a:srgbClr val="000000"/>
              </a:solidFill>
              <a:prstDash val="solid"/>
            </a:ln>
          </c:spPr>
        </c:majorGridlines>
        <c:numFmt formatCode="0.000_)"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52799368"/>
        <c:crosses val="autoZero"/>
        <c:crossBetween val="midCat"/>
      </c:valAx>
      <c:spPr>
        <a:solidFill>
          <a:srgbClr val="C0C0C0"/>
        </a:solidFill>
        <a:ln w="12700">
          <a:solidFill>
            <a:srgbClr val="808080"/>
          </a:solidFill>
          <a:prstDash val="solid"/>
        </a:ln>
      </c:spPr>
    </c:plotArea>
    <c:plotVisOnly val="0"/>
    <c:dispBlanksAs val="gap"/>
    <c:showDLblsOverMax val="0"/>
  </c:chart>
  <c:spPr>
    <a:noFill/>
    <a:ln w="6350">
      <a:noFill/>
    </a:ln>
  </c:spPr>
  <c:txPr>
    <a:bodyPr/>
    <a:lstStyle/>
    <a:p>
      <a:pPr>
        <a:defRPr sz="1000" b="1"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sz="1000" b="1" i="0" u="none" strike="noStrike" baseline="0">
                <a:solidFill>
                  <a:srgbClr val="000000"/>
                </a:solidFill>
                <a:latin typeface="Arial"/>
                <a:ea typeface="Arial"/>
                <a:cs typeface="Arial"/>
              </a:defRPr>
            </a:pPr>
            <a:r>
              <a:rPr lang="en-US"/>
              <a:t>TRACTION EQUATION PLOT WITH CURRENT Bn</a:t>
            </a:r>
          </a:p>
        </c:rich>
      </c:tx>
      <c:layout>
        <c:manualLayout>
          <c:xMode val="edge"/>
          <c:yMode val="edge"/>
          <c:x val="0.33074361820199777"/>
          <c:y val="1.9575856443719411E-2"/>
        </c:manualLayout>
      </c:layout>
      <c:overlay val="0"/>
      <c:spPr>
        <a:noFill/>
        <a:ln w="25400">
          <a:noFill/>
        </a:ln>
      </c:spPr>
    </c:title>
    <c:autoTitleDeleted val="0"/>
    <c:plotArea>
      <c:layout>
        <c:manualLayout>
          <c:layoutTarget val="inner"/>
          <c:xMode val="edge"/>
          <c:yMode val="edge"/>
          <c:x val="9.4339622641509441E-2"/>
          <c:y val="0.15497553017944535"/>
          <c:w val="0.88457269700332963"/>
          <c:h val="0.73898858075040785"/>
        </c:manualLayout>
      </c:layout>
      <c:scatterChart>
        <c:scatterStyle val="lineMarker"/>
        <c:varyColors val="0"/>
        <c:ser>
          <c:idx val="0"/>
          <c:order val="0"/>
          <c:spPr>
            <a:ln w="25400">
              <a:solidFill>
                <a:srgbClr val="0000FF"/>
              </a:solidFill>
              <a:prstDash val="solid"/>
            </a:ln>
          </c:spPr>
          <c:marker>
            <c:symbol val="none"/>
          </c:marker>
          <c:dLbls>
            <c:dLbl>
              <c:idx val="0"/>
              <c:tx>
                <c:strRef>
                  <c:f>tracperf!$BX$7</c:f>
                  <c:strCache>
                    <c:ptCount val="1"/>
                    <c:pt idx="0">
                      <c:v>TE</c:v>
                    </c:pt>
                  </c:strCache>
                </c:strRef>
              </c:tx>
              <c:spPr>
                <a:noFill/>
                <a:ln w="25400">
                  <a:noFill/>
                </a:ln>
              </c:spPr>
              <c:txPr>
                <a:bodyPr/>
                <a:lstStyle/>
                <a:p>
                  <a:pPr>
                    <a:defRPr sz="1000" b="1" i="0" u="none" strike="noStrike" baseline="0">
                      <a:solidFill>
                        <a:srgbClr val="0000FF"/>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{3CE8D9E8-46B2-4359-9737-33372C24A268}</c15:txfldGUID>
                      <c15:f>tracperf!$BX$7</c15:f>
                      <c15:dlblFieldTableCache>
                        <c:ptCount val="1"/>
                        <c:pt idx="0">
                          <c:v>TE</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tracperf!$BT$8:$BT$35</c:f>
              <c:numCache>
                <c:formatCode>General</c:formatCode>
                <c:ptCount val="28"/>
                <c:pt idx="0">
                  <c:v>1</c:v>
                </c:pt>
                <c:pt idx="1">
                  <c:v>2</c:v>
                </c:pt>
                <c:pt idx="2">
                  <c:v>3</c:v>
                </c:pt>
                <c:pt idx="3">
                  <c:v>5</c:v>
                </c:pt>
                <c:pt idx="4">
                  <c:v>7</c:v>
                </c:pt>
                <c:pt idx="5">
                  <c:v>10</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formatCode="0.0_)">
                  <c:v>10.582917832342954</c:v>
                </c:pt>
                <c:pt idx="26" formatCode="0.0_)">
                  <c:v>10.582917832342954</c:v>
                </c:pt>
              </c:numCache>
            </c:numRef>
          </c:xVal>
          <c:yVal>
            <c:numRef>
              <c:f>tracperf!$BX$8:$BX$35</c:f>
              <c:numCache>
                <c:formatCode>0.000_)</c:formatCode>
                <c:ptCount val="28"/>
                <c:pt idx="0">
                  <c:v>0.49051398824734005</c:v>
                </c:pt>
                <c:pt idx="1">
                  <c:v>0.67097787386067831</c:v>
                </c:pt>
                <c:pt idx="2">
                  <c:v>0.74182716433814633</c:v>
                </c:pt>
                <c:pt idx="3">
                  <c:v>0.79474750126257099</c:v>
                </c:pt>
                <c:pt idx="4">
                  <c:v>0.80844504414615714</c:v>
                </c:pt>
                <c:pt idx="5">
                  <c:v>0.80461181110082314</c:v>
                </c:pt>
                <c:pt idx="6">
                  <c:v>0.78235719020714578</c:v>
                </c:pt>
                <c:pt idx="7">
                  <c:v>0.7679284154277759</c:v>
                </c:pt>
                <c:pt idx="8">
                  <c:v>0.75227088473958603</c:v>
                </c:pt>
                <c:pt idx="9">
                  <c:v>0.73575873711327322</c:v>
                </c:pt>
                <c:pt idx="10">
                  <c:v>0.71863362652027518</c:v>
                </c:pt>
                <c:pt idx="11">
                  <c:v>0.70105877828987206</c:v>
                </c:pt>
                <c:pt idx="12">
                  <c:v>0.68314854695903549</c:v>
                </c:pt>
                <c:pt idx="13">
                  <c:v>0.66498551969179809</c:v>
                </c:pt>
                <c:pt idx="14">
                  <c:v>0.64663088681664926</c:v>
                </c:pt>
                <c:pt idx="15">
                  <c:v>0.62813098239622833</c:v>
                </c:pt>
                <c:pt idx="16">
                  <c:v>0.60952155056077884</c:v>
                </c:pt>
                <c:pt idx="17">
                  <c:v>0.59083061088369515</c:v>
                </c:pt>
                <c:pt idx="18">
                  <c:v>0.5720804328609348</c:v>
                </c:pt>
                <c:pt idx="19">
                  <c:v>0.55328892785257378</c:v>
                </c:pt>
                <c:pt idx="20">
                  <c:v>0.53447065061469112</c:v>
                </c:pt>
                <c:pt idx="21">
                  <c:v>0.51563753336269369</c:v>
                </c:pt>
                <c:pt idx="22">
                  <c:v>0.49679943292226519</c:v>
                </c:pt>
                <c:pt idx="23">
                  <c:v>0.47796454488515921</c:v>
                </c:pt>
                <c:pt idx="24">
                  <c:v>0.45913972155592531</c:v>
                </c:pt>
              </c:numCache>
            </c:numRef>
          </c:yVal>
          <c:smooth val="0"/>
        </c:ser>
        <c:ser>
          <c:idx val="1"/>
          <c:order val="1"/>
          <c:spPr>
            <a:ln w="25400">
              <a:solidFill>
                <a:srgbClr val="FF0000"/>
              </a:solidFill>
              <a:prstDash val="solid"/>
            </a:ln>
          </c:spPr>
          <c:marker>
            <c:symbol val="none"/>
          </c:marker>
          <c:dLbls>
            <c:dLbl>
              <c:idx val="0"/>
              <c:tx>
                <c:strRef>
                  <c:f>tracperf!$CD$8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{036E5575-CAC7-4E0D-93E5-6A39A1DDE154}</c15:txfldGUID>
                      <c15:f>tracperf!$CD$8</c15:f>
                      <c15:dlblFieldTableCache>
                        <c:ptCount val="1"/>
                      </c15:dlblFieldTableCache>
                    </c15:dlblFTEntry>
                  </c15:dlblFieldTable>
                  <c15:showDataLabelsRange val="0"/>
                </c:ext>
              </c:extLst>
            </c:dLbl>
            <c:dLbl>
              <c:idx val="1"/>
              <c:tx>
                <c:strRef>
                  <c:f>tracperf!$CD$9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{C28DF641-464B-439E-B068-3D5E3D6A367B}</c15:txfldGUID>
                      <c15:f>tracperf!$CD$9</c15:f>
                      <c15:dlblFieldTableCache>
                        <c:ptCount val="1"/>
                      </c15:dlblFieldTableCache>
                    </c15:dlblFTEntry>
                  </c15:dlblFieldTable>
                  <c15:showDataLabelsRange val="0"/>
                </c:ext>
              </c:extLst>
            </c:dLbl>
            <c:dLbl>
              <c:idx val="2"/>
              <c:tx>
                <c:strRef>
                  <c:f>tracperf!$CD$10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{B47B0856-CB0E-4F04-B977-5D0B10BF50FF}</c15:txfldGUID>
                      <c15:f>tracperf!$CD$10</c15:f>
                      <c15:dlblFieldTableCache>
                        <c:ptCount val="1"/>
                      </c15:dlblFieldTableCache>
                    </c15:dlblFTEntry>
                  </c15:dlblFieldTable>
                  <c15:showDataLabelsRange val="0"/>
                </c:ext>
              </c:extLst>
            </c:dLbl>
            <c:dLbl>
              <c:idx val="3"/>
              <c:tx>
                <c:strRef>
                  <c:f>tracperf!$CD$11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{8137D79D-E786-47D0-988D-0354C9A7492E}</c15:txfldGUID>
                      <c15:f>tracperf!$CD$11</c15:f>
                      <c15:dlblFieldTableCache>
                        <c:ptCount val="1"/>
                      </c15:dlblFieldTableCache>
                    </c15:dlblFTEntry>
                  </c15:dlblFieldTable>
                  <c15:showDataLabelsRange val="0"/>
                </c:ext>
              </c:extLst>
            </c:dLbl>
            <c:dLbl>
              <c:idx val="4"/>
              <c:tx>
                <c:strRef>
                  <c:f>tracperf!$CD$12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{21BB06A1-7A22-4E55-9018-B6911BFBEFDC}</c15:txfldGUID>
                      <c15:f>tracperf!$CD$12</c15:f>
                      <c15:dlblFieldTableCache>
                        <c:ptCount val="1"/>
                      </c15:dlblFieldTableCache>
                    </c15:dlblFTEntry>
                  </c15:dlblFieldTable>
                  <c15:showDataLabelsRange val="0"/>
                </c:ext>
              </c:extLst>
            </c:dLbl>
            <c:dLbl>
              <c:idx val="5"/>
              <c:tx>
                <c:strRef>
                  <c:f>tracperf!$CD$13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{6DE8FB79-EC6B-4568-8236-69CC9CBC8D43}</c15:txfldGUID>
                      <c15:f>tracperf!$CD$13</c15:f>
                      <c15:dlblFieldTableCache>
                        <c:ptCount val="1"/>
                      </c15:dlblFieldTableCache>
                    </c15:dlblFTEntry>
                  </c15:dlblFieldTable>
                  <c15:showDataLabelsRange val="0"/>
                </c:ext>
              </c:extLst>
            </c:dLbl>
            <c:dLbl>
              <c:idx val="6"/>
              <c:tx>
                <c:strRef>
                  <c:f>tracperf!$CD$14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{9112E217-9743-47EB-8747-5FB3F962A7DF}</c15:txfldGUID>
                      <c15:f>tracperf!$CD$14</c15:f>
                      <c15:dlblFieldTableCache>
                        <c:ptCount val="1"/>
                      </c15:dlblFieldTableCache>
                    </c15:dlblFTEntry>
                  </c15:dlblFieldTable>
                  <c15:showDataLabelsRange val="0"/>
                </c:ext>
              </c:extLst>
            </c:dLbl>
            <c:dLbl>
              <c:idx val="7"/>
              <c:tx>
                <c:strRef>
                  <c:f>tracperf!$CD$15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{A0BDC8EE-D174-494B-8004-18278FBF541C}</c15:txfldGUID>
                      <c15:f>tracperf!$CD$15</c15:f>
                      <c15:dlblFieldTableCache>
                        <c:ptCount val="1"/>
                      </c15:dlblFieldTableCache>
                    </c15:dlblFTEntry>
                  </c15:dlblFieldTable>
                  <c15:showDataLabelsRange val="0"/>
                </c:ext>
              </c:extLst>
            </c:dLbl>
            <c:dLbl>
              <c:idx val="8"/>
              <c:tx>
                <c:strRef>
                  <c:f>tracperf!$CD$16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{895083AA-FEF3-40BC-88CE-BD9F871CBAA6}</c15:txfldGUID>
                      <c15:f>tracperf!$CD$16</c15:f>
                      <c15:dlblFieldTableCache>
                        <c:ptCount val="1"/>
                      </c15:dlblFieldTableCache>
                    </c15:dlblFTEntry>
                  </c15:dlblFieldTable>
                  <c15:showDataLabelsRange val="0"/>
                </c:ext>
              </c:extLst>
            </c:dLbl>
            <c:dLbl>
              <c:idx val="9"/>
              <c:tx>
                <c:strRef>
                  <c:f>tracperf!$CD$17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{A0B83BB1-FC00-4E5F-8634-5D870BDABC9F}</c15:txfldGUID>
                      <c15:f>tracperf!$CD$17</c15:f>
                      <c15:dlblFieldTableCache>
                        <c:ptCount val="1"/>
                      </c15:dlblFieldTableCache>
                    </c15:dlblFTEntry>
                  </c15:dlblFieldTable>
                  <c15:showDataLabelsRange val="0"/>
                </c:ext>
              </c:extLst>
            </c:dLbl>
            <c:dLbl>
              <c:idx val="10"/>
              <c:tx>
                <c:strRef>
                  <c:f>tracperf!$CD$18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{A6876F43-792B-48AB-8C01-6B531ED31D14}</c15:txfldGUID>
                      <c15:f>tracperf!$CD$18</c15:f>
                      <c15:dlblFieldTableCache>
                        <c:ptCount val="1"/>
                      </c15:dlblFieldTableCache>
                    </c15:dlblFTEntry>
                  </c15:dlblFieldTable>
                  <c15:showDataLabelsRange val="0"/>
                </c:ext>
              </c:extLst>
            </c:dLbl>
            <c:dLbl>
              <c:idx val="11"/>
              <c:tx>
                <c:strRef>
                  <c:f>tracperf!$CD$19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{FCDDE556-0FB7-4800-BA4C-2A3E3AB793D4}</c15:txfldGUID>
                      <c15:f>tracperf!$CD$19</c15:f>
                      <c15:dlblFieldTableCache>
                        <c:ptCount val="1"/>
                      </c15:dlblFieldTableCache>
                    </c15:dlblFTEntry>
                  </c15:dlblFieldTable>
                  <c15:showDataLabelsRange val="0"/>
                </c:ext>
              </c:extLst>
            </c:dLbl>
            <c:dLbl>
              <c:idx val="12"/>
              <c:tx>
                <c:strRef>
                  <c:f>tracperf!$CD$20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{DE50864C-0B8A-432A-89EF-9743D78B3CD1}</c15:txfldGUID>
                      <c15:f>tracperf!$CD$20</c15:f>
                      <c15:dlblFieldTableCache>
                        <c:ptCount val="1"/>
                      </c15:dlblFieldTableCache>
                    </c15:dlblFTEntry>
                  </c15:dlblFieldTable>
                  <c15:showDataLabelsRange val="0"/>
                </c:ext>
              </c:extLst>
            </c:dLbl>
            <c:dLbl>
              <c:idx val="13"/>
              <c:tx>
                <c:strRef>
                  <c:f>tracperf!$CD$21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{7F84EB72-EBF9-4120-BFE1-6704C53B91D9}</c15:txfldGUID>
                      <c15:f>tracperf!$CD$21</c15:f>
                      <c15:dlblFieldTableCache>
                        <c:ptCount val="1"/>
                      </c15:dlblFieldTableCache>
                    </c15:dlblFTEntry>
                  </c15:dlblFieldTable>
                  <c15:showDataLabelsRange val="0"/>
                </c:ext>
              </c:extLst>
            </c:dLbl>
            <c:dLbl>
              <c:idx val="14"/>
              <c:tx>
                <c:strRef>
                  <c:f>tracperf!$CD$22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{8B48D7D0-0FEF-4BC1-8499-BA413AF93193}</c15:txfldGUID>
                      <c15:f>tracperf!$CD$22</c15:f>
                      <c15:dlblFieldTableCache>
                        <c:ptCount val="1"/>
                      </c15:dlblFieldTableCache>
                    </c15:dlblFTEntry>
                  </c15:dlblFieldTable>
                  <c15:showDataLabelsRange val="0"/>
                </c:ext>
              </c:extLst>
            </c:dLbl>
            <c:dLbl>
              <c:idx val="15"/>
              <c:tx>
                <c:strRef>
                  <c:f>tracperf!$CD$23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{B5883F36-479B-4869-9B88-888709CEE494}</c15:txfldGUID>
                      <c15:f>tracperf!$CD$23</c15:f>
                      <c15:dlblFieldTableCache>
                        <c:ptCount val="1"/>
                      </c15:dlblFieldTableCache>
                    </c15:dlblFTEntry>
                  </c15:dlblFieldTable>
                  <c15:showDataLabelsRange val="0"/>
                </c:ext>
              </c:extLst>
            </c:dLbl>
            <c:dLbl>
              <c:idx val="16"/>
              <c:tx>
                <c:strRef>
                  <c:f>tracperf!$CD$24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{17C062FB-B561-45D0-B376-7676D90A01C1}</c15:txfldGUID>
                      <c15:f>tracperf!$CD$24</c15:f>
                      <c15:dlblFieldTableCache>
                        <c:ptCount val="1"/>
                      </c15:dlblFieldTableCache>
                    </c15:dlblFTEntry>
                  </c15:dlblFieldTable>
                  <c15:showDataLabelsRange val="0"/>
                </c:ext>
              </c:extLst>
            </c:dLbl>
            <c:dLbl>
              <c:idx val="17"/>
              <c:tx>
                <c:strRef>
                  <c:f>tracperf!$CD$25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{401CA6D0-B1CA-4B84-B95B-440FA1CBF1E9}</c15:txfldGUID>
                      <c15:f>tracperf!$CD$25</c15:f>
                      <c15:dlblFieldTableCache>
                        <c:ptCount val="1"/>
                      </c15:dlblFieldTableCache>
                    </c15:dlblFTEntry>
                  </c15:dlblFieldTable>
                  <c15:showDataLabelsRange val="0"/>
                </c:ext>
              </c:extLst>
            </c:dLbl>
            <c:dLbl>
              <c:idx val="18"/>
              <c:tx>
                <c:strRef>
                  <c:f>tracperf!$CD$26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{90F85AED-5B1E-4272-B959-867608A71E1A}</c15:txfldGUID>
                      <c15:f>tracperf!$CD$26</c15:f>
                      <c15:dlblFieldTableCache>
                        <c:ptCount val="1"/>
                      </c15:dlblFieldTableCache>
                    </c15:dlblFTEntry>
                  </c15:dlblFieldTable>
                  <c15:showDataLabelsRange val="0"/>
                </c:ext>
              </c:extLst>
            </c:dLbl>
            <c:dLbl>
              <c:idx val="19"/>
              <c:tx>
                <c:strRef>
                  <c:f>tracperf!$CD$27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{82E18715-D84D-4324-9026-5F97B9C97480}</c15:txfldGUID>
                      <c15:f>tracperf!$CD$27</c15:f>
                      <c15:dlblFieldTableCache>
                        <c:ptCount val="1"/>
                      </c15:dlblFieldTableCache>
                    </c15:dlblFTEntry>
                  </c15:dlblFieldTable>
                  <c15:showDataLabelsRange val="0"/>
                </c:ext>
              </c:extLst>
            </c:dLbl>
            <c:dLbl>
              <c:idx val="20"/>
              <c:tx>
                <c:strRef>
                  <c:f>tracperf!$CD$28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{80620E9F-1833-4A32-AC57-02D07F4A4B6E}</c15:txfldGUID>
                      <c15:f>tracperf!$CD$28</c15:f>
                      <c15:dlblFieldTableCache>
                        <c:ptCount val="1"/>
                      </c15:dlblFieldTableCache>
                    </c15:dlblFTEntry>
                  </c15:dlblFieldTable>
                  <c15:showDataLabelsRange val="0"/>
                </c:ext>
              </c:extLst>
            </c:dLbl>
            <c:dLbl>
              <c:idx val="21"/>
              <c:tx>
                <c:strRef>
                  <c:f>tracperf!$CD$29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{F002A7EC-5593-4C61-A9C2-82F3DF9484DC}</c15:txfldGUID>
                      <c15:f>tracperf!$CD$29</c15:f>
                      <c15:dlblFieldTableCache>
                        <c:ptCount val="1"/>
                      </c15:dlblFieldTableCache>
                    </c15:dlblFTEntry>
                  </c15:dlblFieldTable>
                  <c15:showDataLabelsRange val="0"/>
                </c:ext>
              </c:extLst>
            </c:dLbl>
            <c:dLbl>
              <c:idx val="22"/>
              <c:tx>
                <c:strRef>
                  <c:f>tracperf!$CD$30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{C5048EB3-C6B0-4AC3-9FE5-1AEBDB023DA7}</c15:txfldGUID>
                      <c15:f>tracperf!$CD$30</c15:f>
                      <c15:dlblFieldTableCache>
                        <c:ptCount val="1"/>
                      </c15:dlblFieldTableCache>
                    </c15:dlblFTEntry>
                  </c15:dlblFieldTable>
                  <c15:showDataLabelsRange val="0"/>
                </c:ext>
              </c:extLst>
            </c:dLbl>
            <c:dLbl>
              <c:idx val="23"/>
              <c:tx>
                <c:strRef>
                  <c:f>tracperf!$CD$31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{8D04C87D-EA22-4CA6-8BF2-081608A005D4}</c15:txfldGUID>
                      <c15:f>tracperf!$CD$31</c15:f>
                      <c15:dlblFieldTableCache>
                        <c:ptCount val="1"/>
                      </c15:dlblFieldTableCache>
                    </c15:dlblFTEntry>
                  </c15:dlblFieldTable>
                  <c15:showDataLabelsRange val="0"/>
                </c:ext>
              </c:extLst>
            </c:dLbl>
            <c:dLbl>
              <c:idx val="24"/>
              <c:tx>
                <c:strRef>
                  <c:f>tracperf!$CD$32</c:f>
                  <c:strCache>
                    <c:ptCount val="1"/>
                    <c:pt idx="0">
                      <c:v>NTR</c:v>
                    </c:pt>
                  </c:strCache>
                </c:strRef>
              </c:tx>
              <c:spPr>
                <a:noFill/>
                <a:ln w="25400">
                  <a:noFill/>
                </a:ln>
              </c:spPr>
              <c:txPr>
                <a:bodyPr/>
                <a:lstStyle/>
                <a:p>
                  <a:pPr>
                    <a:defRPr sz="1000" b="1" i="0" u="none" strike="noStrike" baseline="0">
                      <a:solidFill>
                        <a:srgbClr val="FF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{E252729B-4563-44D6-A1A5-7AE6D2D49B77}</c15:txfldGUID>
                      <c15:f>tracperf!$CD$32</c15:f>
                      <c15:dlblFieldTableCache>
                        <c:ptCount val="1"/>
                        <c:pt idx="0">
                          <c:v>NTR</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tracperf!$BT$8:$BT$35</c:f>
              <c:numCache>
                <c:formatCode>General</c:formatCode>
                <c:ptCount val="28"/>
                <c:pt idx="0">
                  <c:v>1</c:v>
                </c:pt>
                <c:pt idx="1">
                  <c:v>2</c:v>
                </c:pt>
                <c:pt idx="2">
                  <c:v>3</c:v>
                </c:pt>
                <c:pt idx="3">
                  <c:v>5</c:v>
                </c:pt>
                <c:pt idx="4">
                  <c:v>7</c:v>
                </c:pt>
                <c:pt idx="5">
                  <c:v>10</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formatCode="0.0_)">
                  <c:v>10.582917832342954</c:v>
                </c:pt>
                <c:pt idx="26" formatCode="0.0_)">
                  <c:v>10.582917832342954</c:v>
                </c:pt>
              </c:numCache>
            </c:numRef>
          </c:xVal>
          <c:yVal>
            <c:numRef>
              <c:f>tracperf!$BW$8:$BW$32</c:f>
              <c:numCache>
                <c:formatCode>0.000_)</c:formatCode>
                <c:ptCount val="25"/>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numCache>
            </c:numRef>
          </c:yVal>
          <c:smooth val="0"/>
        </c:ser>
        <c:ser>
          <c:idx val="2"/>
          <c:order val="2"/>
          <c:spPr>
            <a:ln w="3175">
              <a:solidFill>
                <a:srgbClr val="000000"/>
              </a:solidFill>
              <a:prstDash val="solid"/>
            </a:ln>
          </c:spPr>
          <c:marker>
            <c:symbol val="none"/>
          </c:marker>
          <c:dLbls>
            <c:dLbl>
              <c:idx val="0"/>
              <c:tx>
                <c:strRef>
                  <c:f>tracperf!$CF$8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{832979A3-A8F8-4DAB-B09F-AEDA55B2B02D}</c15:txfldGUID>
                      <c15:f>tracperf!$CF$8</c15:f>
                      <c15:dlblFieldTableCache>
                        <c:ptCount val="1"/>
                      </c15:dlblFieldTableCache>
                    </c15:dlblFTEntry>
                  </c15:dlblFieldTable>
                  <c15:showDataLabelsRange val="0"/>
                </c:ext>
              </c:extLst>
            </c:dLbl>
            <c:dLbl>
              <c:idx val="1"/>
              <c:tx>
                <c:strRef>
                  <c:f>tracperf!$CF$9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{AB7A43C4-7BE3-4ACD-A5EE-47F7FB1EB24E}</c15:txfldGUID>
                      <c15:f>tracperf!$CF$9</c15:f>
                      <c15:dlblFieldTableCache>
                        <c:ptCount val="1"/>
                      </c15:dlblFieldTableCache>
                    </c15:dlblFTEntry>
                  </c15:dlblFieldTable>
                  <c15:showDataLabelsRange val="0"/>
                </c:ext>
              </c:extLst>
            </c:dLbl>
            <c:dLbl>
              <c:idx val="2"/>
              <c:tx>
                <c:strRef>
                  <c:f>tracperf!$CF$10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{1B5BD2E0-A2AF-4A94-9507-655E81A41053}</c15:txfldGUID>
                      <c15:f>tracperf!$CF$10</c15:f>
                      <c15:dlblFieldTableCache>
                        <c:ptCount val="1"/>
                      </c15:dlblFieldTableCache>
                    </c15:dlblFTEntry>
                  </c15:dlblFieldTable>
                  <c15:showDataLabelsRange val="0"/>
                </c:ext>
              </c:extLst>
            </c:dLbl>
            <c:dLbl>
              <c:idx val="3"/>
              <c:tx>
                <c:strRef>
                  <c:f>tracperf!$CF$11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{C6286353-3267-4F1C-A2A5-0C33EAD65B68}</c15:txfldGUID>
                      <c15:f>tracperf!$CF$11</c15:f>
                      <c15:dlblFieldTableCache>
                        <c:ptCount val="1"/>
                      </c15:dlblFieldTableCache>
                    </c15:dlblFTEntry>
                  </c15:dlblFieldTable>
                  <c15:showDataLabelsRange val="0"/>
                </c:ext>
              </c:extLst>
            </c:dLbl>
            <c:dLbl>
              <c:idx val="4"/>
              <c:tx>
                <c:strRef>
                  <c:f>tracperf!$CF$12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{9F1C0D1D-10CB-493E-AC43-8F016A8E5869}</c15:txfldGUID>
                      <c15:f>tracperf!$CF$12</c15:f>
                      <c15:dlblFieldTableCache>
                        <c:ptCount val="1"/>
                      </c15:dlblFieldTableCache>
                    </c15:dlblFTEntry>
                  </c15:dlblFieldTable>
                  <c15:showDataLabelsRange val="0"/>
                </c:ext>
              </c:extLst>
            </c:dLbl>
            <c:dLbl>
              <c:idx val="5"/>
              <c:tx>
                <c:strRef>
                  <c:f>tracperf!$CF$13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{C8FF1E62-BCA1-40F5-97BC-068AED49361E}</c15:txfldGUID>
                      <c15:f>tracperf!$CF$13</c15:f>
                      <c15:dlblFieldTableCache>
                        <c:ptCount val="1"/>
                      </c15:dlblFieldTableCache>
                    </c15:dlblFTEntry>
                  </c15:dlblFieldTable>
                  <c15:showDataLabelsRange val="0"/>
                </c:ext>
              </c:extLst>
            </c:dLbl>
            <c:dLbl>
              <c:idx val="6"/>
              <c:tx>
                <c:strRef>
                  <c:f>tracperf!$CF$14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{66E55549-453C-4C2A-BE62-F5D8935B34F7}</c15:txfldGUID>
                      <c15:f>tracperf!$CF$14</c15:f>
                      <c15:dlblFieldTableCache>
                        <c:ptCount val="1"/>
                      </c15:dlblFieldTableCache>
                    </c15:dlblFTEntry>
                  </c15:dlblFieldTable>
                  <c15:showDataLabelsRange val="0"/>
                </c:ext>
              </c:extLst>
            </c:dLbl>
            <c:dLbl>
              <c:idx val="7"/>
              <c:tx>
                <c:strRef>
                  <c:f>tracperf!$CF$15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{DE765626-C722-4119-BF12-3563381199F7}</c15:txfldGUID>
                      <c15:f>tracperf!$CF$15</c15:f>
                      <c15:dlblFieldTableCache>
                        <c:ptCount val="1"/>
                      </c15:dlblFieldTableCache>
                    </c15:dlblFTEntry>
                  </c15:dlblFieldTable>
                  <c15:showDataLabelsRange val="0"/>
                </c:ext>
              </c:extLst>
            </c:dLbl>
            <c:dLbl>
              <c:idx val="8"/>
              <c:tx>
                <c:strRef>
                  <c:f>tracperf!$CF$16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{08E74C2B-47B2-4A57-B7F0-5DC15F7E9078}</c15:txfldGUID>
                      <c15:f>tracperf!$CF$16</c15:f>
                      <c15:dlblFieldTableCache>
                        <c:ptCount val="1"/>
                      </c15:dlblFieldTableCache>
                    </c15:dlblFTEntry>
                  </c15:dlblFieldTable>
                  <c15:showDataLabelsRange val="0"/>
                </c:ext>
              </c:extLst>
            </c:dLbl>
            <c:dLbl>
              <c:idx val="9"/>
              <c:tx>
                <c:strRef>
                  <c:f>tracperf!$CF$17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{77E681E1-91D7-4516-ADC3-0B53C299CF45}</c15:txfldGUID>
                      <c15:f>tracperf!$CF$17</c15:f>
                      <c15:dlblFieldTableCache>
                        <c:ptCount val="1"/>
                      </c15:dlblFieldTableCache>
                    </c15:dlblFTEntry>
                  </c15:dlblFieldTable>
                  <c15:showDataLabelsRange val="0"/>
                </c:ext>
              </c:extLst>
            </c:dLbl>
            <c:dLbl>
              <c:idx val="10"/>
              <c:tx>
                <c:strRef>
                  <c:f>tracperf!$CF$18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{19EB2B61-9BD2-4D06-9707-8FE394101E7F}</c15:txfldGUID>
                      <c15:f>tracperf!$CF$18</c15:f>
                      <c15:dlblFieldTableCache>
                        <c:ptCount val="1"/>
                      </c15:dlblFieldTableCache>
                    </c15:dlblFTEntry>
                  </c15:dlblFieldTable>
                  <c15:showDataLabelsRange val="0"/>
                </c:ext>
              </c:extLst>
            </c:dLbl>
            <c:dLbl>
              <c:idx val="11"/>
              <c:tx>
                <c:strRef>
                  <c:f>tracperf!$CF$19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{CE32F159-5D7C-439A-9186-780303E7DF77}</c15:txfldGUID>
                      <c15:f>tracperf!$CF$19</c15:f>
                      <c15:dlblFieldTableCache>
                        <c:ptCount val="1"/>
                      </c15:dlblFieldTableCache>
                    </c15:dlblFTEntry>
                  </c15:dlblFieldTable>
                  <c15:showDataLabelsRange val="0"/>
                </c:ext>
              </c:extLst>
            </c:dLbl>
            <c:dLbl>
              <c:idx val="12"/>
              <c:tx>
                <c:strRef>
                  <c:f>tracperf!$CF$20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{170672A6-46BF-4C81-B56B-0DF7E82630FA}</c15:txfldGUID>
                      <c15:f>tracperf!$CF$20</c15:f>
                      <c15:dlblFieldTableCache>
                        <c:ptCount val="1"/>
                      </c15:dlblFieldTableCache>
                    </c15:dlblFTEntry>
                  </c15:dlblFieldTable>
                  <c15:showDataLabelsRange val="0"/>
                </c:ext>
              </c:extLst>
            </c:dLbl>
            <c:dLbl>
              <c:idx val="13"/>
              <c:tx>
                <c:strRef>
                  <c:f>tracperf!$CF$21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{0D3B4A8A-80AF-479A-8F0A-03B265763D7F}</c15:txfldGUID>
                      <c15:f>tracperf!$CF$21</c15:f>
                      <c15:dlblFieldTableCache>
                        <c:ptCount val="1"/>
                      </c15:dlblFieldTableCache>
                    </c15:dlblFTEntry>
                  </c15:dlblFieldTable>
                  <c15:showDataLabelsRange val="0"/>
                </c:ext>
              </c:extLst>
            </c:dLbl>
            <c:dLbl>
              <c:idx val="14"/>
              <c:tx>
                <c:strRef>
                  <c:f>tracperf!$CF$22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{9489A44D-5398-48EC-A0D7-89C70065D47C}</c15:txfldGUID>
                      <c15:f>tracperf!$CF$22</c15:f>
                      <c15:dlblFieldTableCache>
                        <c:ptCount val="1"/>
                      </c15:dlblFieldTableCache>
                    </c15:dlblFTEntry>
                  </c15:dlblFieldTable>
                  <c15:showDataLabelsRange val="0"/>
                </c:ext>
              </c:extLst>
            </c:dLbl>
            <c:dLbl>
              <c:idx val="15"/>
              <c:tx>
                <c:strRef>
                  <c:f>tracperf!$CF$23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{1D5D316A-41BD-467B-BE81-496603DFE98B}</c15:txfldGUID>
                      <c15:f>tracperf!$CF$23</c15:f>
                      <c15:dlblFieldTableCache>
                        <c:ptCount val="1"/>
                      </c15:dlblFieldTableCache>
                    </c15:dlblFTEntry>
                  </c15:dlblFieldTable>
                  <c15:showDataLabelsRange val="0"/>
                </c:ext>
              </c:extLst>
            </c:dLbl>
            <c:dLbl>
              <c:idx val="16"/>
              <c:tx>
                <c:strRef>
                  <c:f>tracperf!$CF$24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{4D2FDC20-8504-4C1E-8FF7-8DD2E4423491}</c15:txfldGUID>
                      <c15:f>tracperf!$CF$24</c15:f>
                      <c15:dlblFieldTableCache>
                        <c:ptCount val="1"/>
                      </c15:dlblFieldTableCache>
                    </c15:dlblFTEntry>
                  </c15:dlblFieldTable>
                  <c15:showDataLabelsRange val="0"/>
                </c:ext>
              </c:extLst>
            </c:dLbl>
            <c:dLbl>
              <c:idx val="17"/>
              <c:tx>
                <c:strRef>
                  <c:f>tracperf!$CF$25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{5CF1F8B7-3EA5-45EB-B962-E18E811C92D5}</c15:txfldGUID>
                      <c15:f>tracperf!$CF$25</c15:f>
                      <c15:dlblFieldTableCache>
                        <c:ptCount val="1"/>
                      </c15:dlblFieldTableCache>
                    </c15:dlblFTEntry>
                  </c15:dlblFieldTable>
                  <c15:showDataLabelsRange val="0"/>
                </c:ext>
              </c:extLst>
            </c:dLbl>
            <c:dLbl>
              <c:idx val="18"/>
              <c:tx>
                <c:strRef>
                  <c:f>tracperf!$CF$26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{FE216B49-76A5-4A09-BCFB-CF3463ACA736}</c15:txfldGUID>
                      <c15:f>tracperf!$CF$26</c15:f>
                      <c15:dlblFieldTableCache>
                        <c:ptCount val="1"/>
                      </c15:dlblFieldTableCache>
                    </c15:dlblFTEntry>
                  </c15:dlblFieldTable>
                  <c15:showDataLabelsRange val="0"/>
                </c:ext>
              </c:extLst>
            </c:dLbl>
            <c:dLbl>
              <c:idx val="19"/>
              <c:tx>
                <c:strRef>
                  <c:f>tracperf!$CF$27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{8067F4D5-457D-4A02-8C60-FA0402EAF643}</c15:txfldGUID>
                      <c15:f>tracperf!$CF$27</c15:f>
                      <c15:dlblFieldTableCache>
                        <c:ptCount val="1"/>
                      </c15:dlblFieldTableCache>
                    </c15:dlblFTEntry>
                  </c15:dlblFieldTable>
                  <c15:showDataLabelsRange val="0"/>
                </c:ext>
              </c:extLst>
            </c:dLbl>
            <c:dLbl>
              <c:idx val="20"/>
              <c:tx>
                <c:strRef>
                  <c:f>tracperf!$CF$28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{549308F6-FF7E-4786-9BB8-110A95C8CB86}</c15:txfldGUID>
                      <c15:f>tracperf!$CF$28</c15:f>
                      <c15:dlblFieldTableCache>
                        <c:ptCount val="1"/>
                      </c15:dlblFieldTableCache>
                    </c15:dlblFTEntry>
                  </c15:dlblFieldTable>
                  <c15:showDataLabelsRange val="0"/>
                </c:ext>
              </c:extLst>
            </c:dLbl>
            <c:dLbl>
              <c:idx val="21"/>
              <c:tx>
                <c:strRef>
                  <c:f>tracperf!$CF$29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{E8B5C746-8A45-4BDB-B1C2-9901004A0689}</c15:txfldGUID>
                      <c15:f>tracperf!$CF$29</c15:f>
                      <c15:dlblFieldTableCache>
                        <c:ptCount val="1"/>
                      </c15:dlblFieldTableCache>
                    </c15:dlblFTEntry>
                  </c15:dlblFieldTable>
                  <c15:showDataLabelsRange val="0"/>
                </c:ext>
              </c:extLst>
            </c:dLbl>
            <c:dLbl>
              <c:idx val="22"/>
              <c:tx>
                <c:strRef>
                  <c:f>tracperf!$CF$30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{E059257A-EE43-4D78-BE2B-2D11BB435C2A}</c15:txfldGUID>
                      <c15:f>tracperf!$CF$30</c15:f>
                      <c15:dlblFieldTableCache>
                        <c:ptCount val="1"/>
                      </c15:dlblFieldTableCache>
                    </c15:dlblFTEntry>
                  </c15:dlblFieldTable>
                  <c15:showDataLabelsRange val="0"/>
                </c:ext>
              </c:extLst>
            </c:dLbl>
            <c:dLbl>
              <c:idx val="23"/>
              <c:tx>
                <c:strRef>
                  <c:f>tracperf!$CF$31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{4DFD3578-DC2D-4FEA-B1BD-6168BEC98DED}</c15:txfldGUID>
                      <c15:f>tracperf!$CF$31</c15:f>
                      <c15:dlblFieldTableCache>
                        <c:ptCount val="1"/>
                      </c15:dlblFieldTableCache>
                    </c15:dlblFTEntry>
                  </c15:dlblFieldTable>
                  <c15:showDataLabelsRange val="0"/>
                </c:ext>
              </c:extLst>
            </c:dLbl>
            <c:dLbl>
              <c:idx val="24"/>
              <c:tx>
                <c:strRef>
                  <c:f>tracperf!$CF$32</c:f>
                  <c:strCache>
                    <c:ptCount val="1"/>
                    <c:pt idx="0">
                      <c:v>GTR</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{E3702D82-F8FF-4C28-AB1E-1527C7A23CFF}</c15:txfldGUID>
                      <c15:f>tracperf!$CF$32</c15:f>
                      <c15:dlblFieldTableCache>
                        <c:ptCount val="1"/>
                        <c:pt idx="0">
                          <c:v>GTR</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tracperf!$BT$8:$BT$35</c:f>
              <c:numCache>
                <c:formatCode>General</c:formatCode>
                <c:ptCount val="28"/>
                <c:pt idx="0">
                  <c:v>1</c:v>
                </c:pt>
                <c:pt idx="1">
                  <c:v>2</c:v>
                </c:pt>
                <c:pt idx="2">
                  <c:v>3</c:v>
                </c:pt>
                <c:pt idx="3">
                  <c:v>5</c:v>
                </c:pt>
                <c:pt idx="4">
                  <c:v>7</c:v>
                </c:pt>
                <c:pt idx="5">
                  <c:v>10</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formatCode="0.0_)">
                  <c:v>10.582917832342954</c:v>
                </c:pt>
                <c:pt idx="26" formatCode="0.0_)">
                  <c:v>10.582917832342954</c:v>
                </c:pt>
              </c:numCache>
            </c:numRef>
          </c:xVal>
          <c:yVal>
            <c:numRef>
              <c:f>tracperf!$BU$8:$BU$32</c:f>
              <c:numCache>
                <c:formatCode>0.000_)</c:formatCode>
                <c:ptCount val="25"/>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numCache>
            </c:numRef>
          </c:yVal>
          <c:smooth val="0"/>
        </c:ser>
        <c:ser>
          <c:idx val="3"/>
          <c:order val="3"/>
          <c:spPr>
            <a:ln w="25400">
              <a:solidFill>
                <a:srgbClr val="800000"/>
              </a:solidFill>
              <a:prstDash val="solid"/>
            </a:ln>
          </c:spPr>
          <c:marker>
            <c:symbol val="none"/>
          </c:marker>
          <c:dLbls>
            <c:dLbl>
              <c:idx val="0"/>
              <c:tx>
                <c:strRef>
                  <c:f>tracperf!$CE$8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{24ED76B3-87D6-4D23-9417-A01D89F3AD85}</c15:txfldGUID>
                      <c15:f>tracperf!$CE$8</c15:f>
                      <c15:dlblFieldTableCache>
                        <c:ptCount val="1"/>
                      </c15:dlblFieldTableCache>
                    </c15:dlblFTEntry>
                  </c15:dlblFieldTable>
                  <c15:showDataLabelsRange val="0"/>
                </c:ext>
              </c:extLst>
            </c:dLbl>
            <c:dLbl>
              <c:idx val="1"/>
              <c:tx>
                <c:strRef>
                  <c:f>tracperf!$CE$9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{5FC9E7CE-B76D-48E7-8C2C-1AFB37B07305}</c15:txfldGUID>
                      <c15:f>tracperf!$CE$9</c15:f>
                      <c15:dlblFieldTableCache>
                        <c:ptCount val="1"/>
                      </c15:dlblFieldTableCache>
                    </c15:dlblFTEntry>
                  </c15:dlblFieldTable>
                  <c15:showDataLabelsRange val="0"/>
                </c:ext>
              </c:extLst>
            </c:dLbl>
            <c:dLbl>
              <c:idx val="2"/>
              <c:tx>
                <c:strRef>
                  <c:f>tracperf!$CE$10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{3C405A53-2386-44B5-A6E4-6DB97DAE8180}</c15:txfldGUID>
                      <c15:f>tracperf!$CE$10</c15:f>
                      <c15:dlblFieldTableCache>
                        <c:ptCount val="1"/>
                      </c15:dlblFieldTableCache>
                    </c15:dlblFTEntry>
                  </c15:dlblFieldTable>
                  <c15:showDataLabelsRange val="0"/>
                </c:ext>
              </c:extLst>
            </c:dLbl>
            <c:dLbl>
              <c:idx val="3"/>
              <c:tx>
                <c:strRef>
                  <c:f>tracperf!$CE$11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{14CD2823-7FB2-4E3A-BDB3-8F9B25758239}</c15:txfldGUID>
                      <c15:f>tracperf!$CE$11</c15:f>
                      <c15:dlblFieldTableCache>
                        <c:ptCount val="1"/>
                      </c15:dlblFieldTableCache>
                    </c15:dlblFTEntry>
                  </c15:dlblFieldTable>
                  <c15:showDataLabelsRange val="0"/>
                </c:ext>
              </c:extLst>
            </c:dLbl>
            <c:dLbl>
              <c:idx val="4"/>
              <c:tx>
                <c:strRef>
                  <c:f>tracperf!$CE$12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{23FA7D36-DCBC-4452-BD27-E2CE5D8585BB}</c15:txfldGUID>
                      <c15:f>tracperf!$CE$12</c15:f>
                      <c15:dlblFieldTableCache>
                        <c:ptCount val="1"/>
                      </c15:dlblFieldTableCache>
                    </c15:dlblFTEntry>
                  </c15:dlblFieldTable>
                  <c15:showDataLabelsRange val="0"/>
                </c:ext>
              </c:extLst>
            </c:dLbl>
            <c:dLbl>
              <c:idx val="5"/>
              <c:tx>
                <c:strRef>
                  <c:f>tracperf!$CE$13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{B51B8C43-7CF9-496C-927B-A6CEA8205771}</c15:txfldGUID>
                      <c15:f>tracperf!$CE$13</c15:f>
                      <c15:dlblFieldTableCache>
                        <c:ptCount val="1"/>
                      </c15:dlblFieldTableCache>
                    </c15:dlblFTEntry>
                  </c15:dlblFieldTable>
                  <c15:showDataLabelsRange val="0"/>
                </c:ext>
              </c:extLst>
            </c:dLbl>
            <c:dLbl>
              <c:idx val="6"/>
              <c:tx>
                <c:strRef>
                  <c:f>tracperf!$CE$14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{5E94CD26-8218-4BCE-80B1-327E863F5404}</c15:txfldGUID>
                      <c15:f>tracperf!$CE$14</c15:f>
                      <c15:dlblFieldTableCache>
                        <c:ptCount val="1"/>
                      </c15:dlblFieldTableCache>
                    </c15:dlblFTEntry>
                  </c15:dlblFieldTable>
                  <c15:showDataLabelsRange val="0"/>
                </c:ext>
              </c:extLst>
            </c:dLbl>
            <c:dLbl>
              <c:idx val="7"/>
              <c:tx>
                <c:strRef>
                  <c:f>tracperf!$CE$15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{139D7F2A-37A9-44DE-8CFE-17FD48E5F3BE}</c15:txfldGUID>
                      <c15:f>tracperf!$CE$15</c15:f>
                      <c15:dlblFieldTableCache>
                        <c:ptCount val="1"/>
                      </c15:dlblFieldTableCache>
                    </c15:dlblFTEntry>
                  </c15:dlblFieldTable>
                  <c15:showDataLabelsRange val="0"/>
                </c:ext>
              </c:extLst>
            </c:dLbl>
            <c:dLbl>
              <c:idx val="8"/>
              <c:tx>
                <c:strRef>
                  <c:f>tracperf!$CE$16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{5588C538-A0E6-4632-81EC-6B7E3DD058A0}</c15:txfldGUID>
                      <c15:f>tracperf!$CE$16</c15:f>
                      <c15:dlblFieldTableCache>
                        <c:ptCount val="1"/>
                      </c15:dlblFieldTableCache>
                    </c15:dlblFTEntry>
                  </c15:dlblFieldTable>
                  <c15:showDataLabelsRange val="0"/>
                </c:ext>
              </c:extLst>
            </c:dLbl>
            <c:dLbl>
              <c:idx val="9"/>
              <c:tx>
                <c:strRef>
                  <c:f>tracperf!$CE$17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{80F1184B-B8F4-4990-B5C5-527EBA1C680E}</c15:txfldGUID>
                      <c15:f>tracperf!$CE$17</c15:f>
                      <c15:dlblFieldTableCache>
                        <c:ptCount val="1"/>
                      </c15:dlblFieldTableCache>
                    </c15:dlblFTEntry>
                  </c15:dlblFieldTable>
                  <c15:showDataLabelsRange val="0"/>
                </c:ext>
              </c:extLst>
            </c:dLbl>
            <c:dLbl>
              <c:idx val="10"/>
              <c:tx>
                <c:strRef>
                  <c:f>tracperf!$CE$18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{0B86FD47-498D-4F4F-9777-26A42926D0F6}</c15:txfldGUID>
                      <c15:f>tracperf!$CE$18</c15:f>
                      <c15:dlblFieldTableCache>
                        <c:ptCount val="1"/>
                      </c15:dlblFieldTableCache>
                    </c15:dlblFTEntry>
                  </c15:dlblFieldTable>
                  <c15:showDataLabelsRange val="0"/>
                </c:ext>
              </c:extLst>
            </c:dLbl>
            <c:dLbl>
              <c:idx val="11"/>
              <c:tx>
                <c:strRef>
                  <c:f>tracperf!$CE$19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{261E1851-7F88-46C4-A97B-85D92F1B1662}</c15:txfldGUID>
                      <c15:f>tracperf!$CE$19</c15:f>
                      <c15:dlblFieldTableCache>
                        <c:ptCount val="1"/>
                      </c15:dlblFieldTableCache>
                    </c15:dlblFTEntry>
                  </c15:dlblFieldTable>
                  <c15:showDataLabelsRange val="0"/>
                </c:ext>
              </c:extLst>
            </c:dLbl>
            <c:dLbl>
              <c:idx val="12"/>
              <c:tx>
                <c:strRef>
                  <c:f>tracperf!$CE$20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{86857EC2-E2D1-416C-8C77-E43057309D99}</c15:txfldGUID>
                      <c15:f>tracperf!$CE$20</c15:f>
                      <c15:dlblFieldTableCache>
                        <c:ptCount val="1"/>
                      </c15:dlblFieldTableCache>
                    </c15:dlblFTEntry>
                  </c15:dlblFieldTable>
                  <c15:showDataLabelsRange val="0"/>
                </c:ext>
              </c:extLst>
            </c:dLbl>
            <c:dLbl>
              <c:idx val="13"/>
              <c:tx>
                <c:strRef>
                  <c:f>tracperf!$CE$21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{A94D26FE-8B48-4B7E-943E-6A4FBFA9ACFA}</c15:txfldGUID>
                      <c15:f>tracperf!$CE$21</c15:f>
                      <c15:dlblFieldTableCache>
                        <c:ptCount val="1"/>
                      </c15:dlblFieldTableCache>
                    </c15:dlblFTEntry>
                  </c15:dlblFieldTable>
                  <c15:showDataLabelsRange val="0"/>
                </c:ext>
              </c:extLst>
            </c:dLbl>
            <c:dLbl>
              <c:idx val="14"/>
              <c:tx>
                <c:strRef>
                  <c:f>tracperf!$CE$22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{6E5CC956-A2D6-46A2-94B5-A8E2421F971F}</c15:txfldGUID>
                      <c15:f>tracperf!$CE$22</c15:f>
                      <c15:dlblFieldTableCache>
                        <c:ptCount val="1"/>
                      </c15:dlblFieldTableCache>
                    </c15:dlblFTEntry>
                  </c15:dlblFieldTable>
                  <c15:showDataLabelsRange val="0"/>
                </c:ext>
              </c:extLst>
            </c:dLbl>
            <c:dLbl>
              <c:idx val="15"/>
              <c:tx>
                <c:strRef>
                  <c:f>tracperf!$CE$23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{2753C321-90FB-4373-A9C6-D357BF34D477}</c15:txfldGUID>
                      <c15:f>tracperf!$CE$23</c15:f>
                      <c15:dlblFieldTableCache>
                        <c:ptCount val="1"/>
                      </c15:dlblFieldTableCache>
                    </c15:dlblFTEntry>
                  </c15:dlblFieldTable>
                  <c15:showDataLabelsRange val="0"/>
                </c:ext>
              </c:extLst>
            </c:dLbl>
            <c:dLbl>
              <c:idx val="16"/>
              <c:tx>
                <c:strRef>
                  <c:f>tracperf!$CE$24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{3F85C2C1-46B0-4BFC-BAE8-532E9D6B523A}</c15:txfldGUID>
                      <c15:f>tracperf!$CE$24</c15:f>
                      <c15:dlblFieldTableCache>
                        <c:ptCount val="1"/>
                      </c15:dlblFieldTableCache>
                    </c15:dlblFTEntry>
                  </c15:dlblFieldTable>
                  <c15:showDataLabelsRange val="0"/>
                </c:ext>
              </c:extLst>
            </c:dLbl>
            <c:dLbl>
              <c:idx val="17"/>
              <c:tx>
                <c:strRef>
                  <c:f>tracperf!$CE$25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{12B8BCF6-2D5E-4B01-B121-CB6E77E45CE5}</c15:txfldGUID>
                      <c15:f>tracperf!$CE$25</c15:f>
                      <c15:dlblFieldTableCache>
                        <c:ptCount val="1"/>
                      </c15:dlblFieldTableCache>
                    </c15:dlblFTEntry>
                  </c15:dlblFieldTable>
                  <c15:showDataLabelsRange val="0"/>
                </c:ext>
              </c:extLst>
            </c:dLbl>
            <c:dLbl>
              <c:idx val="18"/>
              <c:tx>
                <c:strRef>
                  <c:f>tracperf!$CE$26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{19EC0BD6-5CCF-4ABD-9595-D7D73A5CD489}</c15:txfldGUID>
                      <c15:f>tracperf!$CE$26</c15:f>
                      <c15:dlblFieldTableCache>
                        <c:ptCount val="1"/>
                      </c15:dlblFieldTableCache>
                    </c15:dlblFTEntry>
                  </c15:dlblFieldTable>
                  <c15:showDataLabelsRange val="0"/>
                </c:ext>
              </c:extLst>
            </c:dLbl>
            <c:dLbl>
              <c:idx val="19"/>
              <c:tx>
                <c:strRef>
                  <c:f>tracperf!$CE$27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{A0781AAE-0A33-4855-837B-026F78B05BAC}</c15:txfldGUID>
                      <c15:f>tracperf!$CE$27</c15:f>
                      <c15:dlblFieldTableCache>
                        <c:ptCount val="1"/>
                      </c15:dlblFieldTableCache>
                    </c15:dlblFTEntry>
                  </c15:dlblFieldTable>
                  <c15:showDataLabelsRange val="0"/>
                </c:ext>
              </c:extLst>
            </c:dLbl>
            <c:dLbl>
              <c:idx val="20"/>
              <c:tx>
                <c:strRef>
                  <c:f>tracperf!$CE$28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{FB509ED2-702F-4CCD-883F-1C74E66D33E9}</c15:txfldGUID>
                      <c15:f>tracperf!$CE$28</c15:f>
                      <c15:dlblFieldTableCache>
                        <c:ptCount val="1"/>
                      </c15:dlblFieldTableCache>
                    </c15:dlblFTEntry>
                  </c15:dlblFieldTable>
                  <c15:showDataLabelsRange val="0"/>
                </c:ext>
              </c:extLst>
            </c:dLbl>
            <c:dLbl>
              <c:idx val="21"/>
              <c:tx>
                <c:strRef>
                  <c:f>tracperf!$CE$29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{67FA5665-38F8-4A98-AE44-CB8A1E68FD94}</c15:txfldGUID>
                      <c15:f>tracperf!$CE$29</c15:f>
                      <c15:dlblFieldTableCache>
                        <c:ptCount val="1"/>
                      </c15:dlblFieldTableCache>
                    </c15:dlblFTEntry>
                  </c15:dlblFieldTable>
                  <c15:showDataLabelsRange val="0"/>
                </c:ext>
              </c:extLst>
            </c:dLbl>
            <c:dLbl>
              <c:idx val="22"/>
              <c:tx>
                <c:strRef>
                  <c:f>tracperf!$CE$30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{3D6D6820-FCBA-4A72-B612-160B3999D8B6}</c15:txfldGUID>
                      <c15:f>tracperf!$CE$30</c15:f>
                      <c15:dlblFieldTableCache>
                        <c:ptCount val="1"/>
                      </c15:dlblFieldTableCache>
                    </c15:dlblFTEntry>
                  </c15:dlblFieldTable>
                  <c15:showDataLabelsRange val="0"/>
                </c:ext>
              </c:extLst>
            </c:dLbl>
            <c:dLbl>
              <c:idx val="23"/>
              <c:tx>
                <c:strRef>
                  <c:f>tracperf!$CE$31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{C260705F-9120-445D-8420-70C93EFC7801}</c15:txfldGUID>
                      <c15:f>tracperf!$CE$31</c15:f>
                      <c15:dlblFieldTableCache>
                        <c:ptCount val="1"/>
                      </c15:dlblFieldTableCache>
                    </c15:dlblFTEntry>
                  </c15:dlblFieldTable>
                  <c15:showDataLabelsRange val="0"/>
                </c:ext>
              </c:extLst>
            </c:dLbl>
            <c:dLbl>
              <c:idx val="24"/>
              <c:tx>
                <c:strRef>
                  <c:f>tracperf!$CE$32</c:f>
                  <c:strCache>
                    <c:ptCount val="1"/>
                    <c:pt idx="0">
                      <c:v>M/W</c:v>
                    </c:pt>
                  </c:strCache>
                </c:strRef>
              </c:tx>
              <c:spPr>
                <a:noFill/>
                <a:ln w="25400">
                  <a:noFill/>
                </a:ln>
              </c:spPr>
              <c:txPr>
                <a:bodyPr/>
                <a:lstStyle/>
                <a:p>
                  <a:pPr>
                    <a:defRPr sz="1000" b="1" i="0" u="none" strike="noStrike" baseline="0">
                      <a:solidFill>
                        <a:srgbClr val="8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{CED6E719-D579-4824-94F9-529876BB41C6}</c15:txfldGUID>
                      <c15:f>tracperf!$CE$32</c15:f>
                      <c15:dlblFieldTableCache>
                        <c:ptCount val="1"/>
                        <c:pt idx="0">
                          <c:v>M/W</c:v>
                        </c:pt>
                      </c15:dlblFieldTableCache>
                    </c15:dlblFTEntry>
                  </c15:dlblFieldTable>
                  <c15:showDataLabelsRange val="0"/>
                </c:ext>
              </c:extLst>
            </c:dLbl>
            <c:dLbl>
              <c:idx val="25"/>
              <c:tx>
                <c:strRef>
                  <c:f>tracperf!$CE$33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{B8F1EC86-4F4B-4567-AD50-EDE7C54F043D}</c15:txfldGUID>
                      <c15:f>tracperf!$CE$33</c15:f>
                      <c15:dlblFieldTableCache>
                        <c:ptCount val="1"/>
                      </c15:dlblFieldTableCache>
                    </c15:dlblFTEntry>
                  </c15:dlblFieldTable>
                  <c15:showDataLabelsRange val="0"/>
                </c:ext>
              </c:extLst>
            </c:dLbl>
            <c:dLbl>
              <c:idx val="26"/>
              <c:tx>
                <c:strRef>
                  <c:f>tracperf!$CE$34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{2B00B5B8-4F06-43D5-8745-98ED2A23E239}</c15:txfldGUID>
                      <c15:f>tracperf!$CE$34</c15:f>
                      <c15:dlblFieldTableCache>
                        <c:ptCount val="1"/>
                      </c15:dlblFieldTableCache>
                    </c15:dlblFTEntry>
                  </c15:dlblFieldTable>
                  <c15:showDataLabelsRange val="0"/>
                </c:ext>
              </c:extLst>
            </c:dLbl>
            <c:dLbl>
              <c:idx val="27"/>
              <c:tx>
                <c:strRef>
                  <c:f>tracperf!$CE$35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{93BF5FCC-9811-4BA7-A5AB-9A0130FE7054}</c15:txfldGUID>
                      <c15:f>tracperf!$CE$35</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tracperf!$BT$8:$BT$35</c:f>
              <c:numCache>
                <c:formatCode>General</c:formatCode>
                <c:ptCount val="28"/>
                <c:pt idx="0">
                  <c:v>1</c:v>
                </c:pt>
                <c:pt idx="1">
                  <c:v>2</c:v>
                </c:pt>
                <c:pt idx="2">
                  <c:v>3</c:v>
                </c:pt>
                <c:pt idx="3">
                  <c:v>5</c:v>
                </c:pt>
                <c:pt idx="4">
                  <c:v>7</c:v>
                </c:pt>
                <c:pt idx="5">
                  <c:v>10</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formatCode="0.0_)">
                  <c:v>10.582917832342954</c:v>
                </c:pt>
                <c:pt idx="26" formatCode="0.0_)">
                  <c:v>10.582917832342954</c:v>
                </c:pt>
              </c:numCache>
            </c:numRef>
          </c:xVal>
          <c:yVal>
            <c:numRef>
              <c:f>tracperf!$BV$8:$BV$35</c:f>
              <c:numCache>
                <c:formatCode>0.000_)</c:formatCode>
                <c:ptCount val="28"/>
                <c:pt idx="0">
                  <c:v>4.5111132891390501E-2</c:v>
                </c:pt>
                <c:pt idx="1">
                  <c:v>4.5661896922463058E-2</c:v>
                </c:pt>
                <c:pt idx="2">
                  <c:v>4.6212660953535607E-2</c:v>
                </c:pt>
                <c:pt idx="3">
                  <c:v>4.731418901568072E-2</c:v>
                </c:pt>
                <c:pt idx="4">
                  <c:v>4.8415717077825833E-2</c:v>
                </c:pt>
                <c:pt idx="5">
                  <c:v>5.0068009171043495E-2</c:v>
                </c:pt>
                <c:pt idx="6">
                  <c:v>5.2271065295333721E-2</c:v>
                </c:pt>
                <c:pt idx="7">
                  <c:v>5.3372593357478827E-2</c:v>
                </c:pt>
                <c:pt idx="8">
                  <c:v>5.447412141962394E-2</c:v>
                </c:pt>
                <c:pt idx="9">
                  <c:v>5.5575649481769046E-2</c:v>
                </c:pt>
                <c:pt idx="10">
                  <c:v>5.6677177543914159E-2</c:v>
                </c:pt>
                <c:pt idx="11">
                  <c:v>5.7778705606059272E-2</c:v>
                </c:pt>
                <c:pt idx="12">
                  <c:v>5.8880233668204385E-2</c:v>
                </c:pt>
                <c:pt idx="13">
                  <c:v>5.9981761730349491E-2</c:v>
                </c:pt>
                <c:pt idx="14">
                  <c:v>6.1083289792494597E-2</c:v>
                </c:pt>
                <c:pt idx="15">
                  <c:v>6.218481785463971E-2</c:v>
                </c:pt>
                <c:pt idx="16">
                  <c:v>6.3286345916784822E-2</c:v>
                </c:pt>
                <c:pt idx="17">
                  <c:v>6.4387873978929935E-2</c:v>
                </c:pt>
                <c:pt idx="18">
                  <c:v>6.5489402041075048E-2</c:v>
                </c:pt>
                <c:pt idx="19">
                  <c:v>6.6590930103220203E-2</c:v>
                </c:pt>
                <c:pt idx="20">
                  <c:v>6.7692458165365316E-2</c:v>
                </c:pt>
                <c:pt idx="21">
                  <c:v>6.8793986227510429E-2</c:v>
                </c:pt>
                <c:pt idx="22">
                  <c:v>6.9895514289655541E-2</c:v>
                </c:pt>
                <c:pt idx="23">
                  <c:v>7.099704235180064E-2</c:v>
                </c:pt>
                <c:pt idx="24">
                  <c:v>7.2098570413945753E-2</c:v>
                </c:pt>
              </c:numCache>
            </c:numRef>
          </c:yVal>
          <c:smooth val="0"/>
        </c:ser>
        <c:ser>
          <c:idx val="4"/>
          <c:order val="4"/>
          <c:spPr>
            <a:ln w="25400">
              <a:solidFill>
                <a:srgbClr val="000000"/>
              </a:solidFill>
              <a:prstDash val="solid"/>
            </a:ln>
          </c:spPr>
          <c:marker>
            <c:symbol val="none"/>
          </c:marker>
          <c:dLbls>
            <c:dLbl>
              <c:idx val="0"/>
              <c:tx>
                <c:strRef>
                  <c:f>tracperf!$CI$8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{32548AE6-6C09-4414-AB8F-10027C6E4E5E}</c15:txfldGUID>
                      <c15:f>tracperf!$CI$8</c15:f>
                      <c15:dlblFieldTableCache>
                        <c:ptCount val="1"/>
                      </c15:dlblFieldTableCache>
                    </c15:dlblFTEntry>
                  </c15:dlblFieldTable>
                  <c15:showDataLabelsRange val="0"/>
                </c:ext>
              </c:extLst>
            </c:dLbl>
            <c:dLbl>
              <c:idx val="1"/>
              <c:tx>
                <c:strRef>
                  <c:f>tracperf!$CI$9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{847DCA03-4022-47B3-9E89-3BE413786984}</c15:txfldGUID>
                      <c15:f>tracperf!$CI$9</c15:f>
                      <c15:dlblFieldTableCache>
                        <c:ptCount val="1"/>
                      </c15:dlblFieldTableCache>
                    </c15:dlblFTEntry>
                  </c15:dlblFieldTable>
                  <c15:showDataLabelsRange val="0"/>
                </c:ext>
              </c:extLst>
            </c:dLbl>
            <c:dLbl>
              <c:idx val="2"/>
              <c:tx>
                <c:strRef>
                  <c:f>tracperf!$CI$10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{26844D49-68B9-4089-9549-0490C304AB9D}</c15:txfldGUID>
                      <c15:f>tracperf!$CI$10</c15:f>
                      <c15:dlblFieldTableCache>
                        <c:ptCount val="1"/>
                      </c15:dlblFieldTableCache>
                    </c15:dlblFTEntry>
                  </c15:dlblFieldTable>
                  <c15:showDataLabelsRange val="0"/>
                </c:ext>
              </c:extLst>
            </c:dLbl>
            <c:dLbl>
              <c:idx val="3"/>
              <c:tx>
                <c:strRef>
                  <c:f>tracperf!$CI$11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{1C14CEF7-BC84-4608-923B-F5A8A6F5D450}</c15:txfldGUID>
                      <c15:f>tracperf!$CI$11</c15:f>
                      <c15:dlblFieldTableCache>
                        <c:ptCount val="1"/>
                      </c15:dlblFieldTableCache>
                    </c15:dlblFTEntry>
                  </c15:dlblFieldTable>
                  <c15:showDataLabelsRange val="0"/>
                </c:ext>
              </c:extLst>
            </c:dLbl>
            <c:dLbl>
              <c:idx val="4"/>
              <c:tx>
                <c:strRef>
                  <c:f>tracperf!$CI$12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{6CDEF638-B975-4A93-8D78-3C1C47FC1ED6}</c15:txfldGUID>
                      <c15:f>tracperf!$CI$12</c15:f>
                      <c15:dlblFieldTableCache>
                        <c:ptCount val="1"/>
                      </c15:dlblFieldTableCache>
                    </c15:dlblFTEntry>
                  </c15:dlblFieldTable>
                  <c15:showDataLabelsRange val="0"/>
                </c:ext>
              </c:extLst>
            </c:dLbl>
            <c:dLbl>
              <c:idx val="5"/>
              <c:tx>
                <c:strRef>
                  <c:f>tracperf!$CI$13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{38DD5A92-60DF-45E6-9440-469274170467}</c15:txfldGUID>
                      <c15:f>tracperf!$CI$13</c15:f>
                      <c15:dlblFieldTableCache>
                        <c:ptCount val="1"/>
                      </c15:dlblFieldTableCache>
                    </c15:dlblFTEntry>
                  </c15:dlblFieldTable>
                  <c15:showDataLabelsRange val="0"/>
                </c:ext>
              </c:extLst>
            </c:dLbl>
            <c:dLbl>
              <c:idx val="6"/>
              <c:tx>
                <c:strRef>
                  <c:f>tracperf!$CI$14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{33E4E7DC-274D-4E96-82B3-25A152F4EA20}</c15:txfldGUID>
                      <c15:f>tracperf!$CI$14</c15:f>
                      <c15:dlblFieldTableCache>
                        <c:ptCount val="1"/>
                      </c15:dlblFieldTableCache>
                    </c15:dlblFTEntry>
                  </c15:dlblFieldTable>
                  <c15:showDataLabelsRange val="0"/>
                </c:ext>
              </c:extLst>
            </c:dLbl>
            <c:dLbl>
              <c:idx val="7"/>
              <c:tx>
                <c:strRef>
                  <c:f>tracperf!$CI$15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{7DA3CEA2-02AF-4239-AB57-DFCC4B310469}</c15:txfldGUID>
                      <c15:f>tracperf!$CI$15</c15:f>
                      <c15:dlblFieldTableCache>
                        <c:ptCount val="1"/>
                      </c15:dlblFieldTableCache>
                    </c15:dlblFTEntry>
                  </c15:dlblFieldTable>
                  <c15:showDataLabelsRange val="0"/>
                </c:ext>
              </c:extLst>
            </c:dLbl>
            <c:dLbl>
              <c:idx val="8"/>
              <c:tx>
                <c:strRef>
                  <c:f>tracperf!$CI$16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{8F02E652-91C9-417A-8033-DE0488E79D6C}</c15:txfldGUID>
                      <c15:f>tracperf!$CI$16</c15:f>
                      <c15:dlblFieldTableCache>
                        <c:ptCount val="1"/>
                      </c15:dlblFieldTableCache>
                    </c15:dlblFTEntry>
                  </c15:dlblFieldTable>
                  <c15:showDataLabelsRange val="0"/>
                </c:ext>
              </c:extLst>
            </c:dLbl>
            <c:dLbl>
              <c:idx val="9"/>
              <c:tx>
                <c:strRef>
                  <c:f>tracperf!$CI$17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{D7486E41-1AD2-4BEC-AA3D-6E882F6EDC65}</c15:txfldGUID>
                      <c15:f>tracperf!$CI$17</c15:f>
                      <c15:dlblFieldTableCache>
                        <c:ptCount val="1"/>
                      </c15:dlblFieldTableCache>
                    </c15:dlblFTEntry>
                  </c15:dlblFieldTable>
                  <c15:showDataLabelsRange val="0"/>
                </c:ext>
              </c:extLst>
            </c:dLbl>
            <c:dLbl>
              <c:idx val="10"/>
              <c:tx>
                <c:strRef>
                  <c:f>tracperf!$CI$18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{73216087-76DE-44AE-860E-15E1C3F88BF5}</c15:txfldGUID>
                      <c15:f>tracperf!$CI$18</c15:f>
                      <c15:dlblFieldTableCache>
                        <c:ptCount val="1"/>
                      </c15:dlblFieldTableCache>
                    </c15:dlblFTEntry>
                  </c15:dlblFieldTable>
                  <c15:showDataLabelsRange val="0"/>
                </c:ext>
              </c:extLst>
            </c:dLbl>
            <c:dLbl>
              <c:idx val="11"/>
              <c:tx>
                <c:strRef>
                  <c:f>tracperf!$CI$19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{7DA91136-E882-40D7-91A1-DFBA7F6D0574}</c15:txfldGUID>
                      <c15:f>tracperf!$CI$19</c15:f>
                      <c15:dlblFieldTableCache>
                        <c:ptCount val="1"/>
                      </c15:dlblFieldTableCache>
                    </c15:dlblFTEntry>
                  </c15:dlblFieldTable>
                  <c15:showDataLabelsRange val="0"/>
                </c:ext>
              </c:extLst>
            </c:dLbl>
            <c:dLbl>
              <c:idx val="12"/>
              <c:tx>
                <c:strRef>
                  <c:f>tracperf!$CI$20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{FDF8A5C8-296E-401A-B0ED-95F6E428B39D}</c15:txfldGUID>
                      <c15:f>tracperf!$CI$20</c15:f>
                      <c15:dlblFieldTableCache>
                        <c:ptCount val="1"/>
                      </c15:dlblFieldTableCache>
                    </c15:dlblFTEntry>
                  </c15:dlblFieldTable>
                  <c15:showDataLabelsRange val="0"/>
                </c:ext>
              </c:extLst>
            </c:dLbl>
            <c:dLbl>
              <c:idx val="13"/>
              <c:tx>
                <c:strRef>
                  <c:f>tracperf!$CI$21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{4231D4CE-39A9-41AB-9CE3-6A54BB647747}</c15:txfldGUID>
                      <c15:f>tracperf!$CI$21</c15:f>
                      <c15:dlblFieldTableCache>
                        <c:ptCount val="1"/>
                      </c15:dlblFieldTableCache>
                    </c15:dlblFTEntry>
                  </c15:dlblFieldTable>
                  <c15:showDataLabelsRange val="0"/>
                </c:ext>
              </c:extLst>
            </c:dLbl>
            <c:dLbl>
              <c:idx val="14"/>
              <c:tx>
                <c:strRef>
                  <c:f>tracperf!$CI$22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{377AB25A-6B02-40DB-98E4-D26345E18CC7}</c15:txfldGUID>
                      <c15:f>tracperf!$CI$22</c15:f>
                      <c15:dlblFieldTableCache>
                        <c:ptCount val="1"/>
                      </c15:dlblFieldTableCache>
                    </c15:dlblFTEntry>
                  </c15:dlblFieldTable>
                  <c15:showDataLabelsRange val="0"/>
                </c:ext>
              </c:extLst>
            </c:dLbl>
            <c:dLbl>
              <c:idx val="15"/>
              <c:tx>
                <c:strRef>
                  <c:f>tracperf!$CI$23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{B52ADBF2-CADA-4577-986B-0C40C4A32FC9}</c15:txfldGUID>
                      <c15:f>tracperf!$CI$23</c15:f>
                      <c15:dlblFieldTableCache>
                        <c:ptCount val="1"/>
                      </c15:dlblFieldTableCache>
                    </c15:dlblFTEntry>
                  </c15:dlblFieldTable>
                  <c15:showDataLabelsRange val="0"/>
                </c:ext>
              </c:extLst>
            </c:dLbl>
            <c:dLbl>
              <c:idx val="16"/>
              <c:tx>
                <c:strRef>
                  <c:f>tracperf!$CI$24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{824640FA-F4A5-4CC1-8E83-642CCC28123B}</c15:txfldGUID>
                      <c15:f>tracperf!$CI$24</c15:f>
                      <c15:dlblFieldTableCache>
                        <c:ptCount val="1"/>
                      </c15:dlblFieldTableCache>
                    </c15:dlblFTEntry>
                  </c15:dlblFieldTable>
                  <c15:showDataLabelsRange val="0"/>
                </c:ext>
              </c:extLst>
            </c:dLbl>
            <c:dLbl>
              <c:idx val="17"/>
              <c:tx>
                <c:strRef>
                  <c:f>tracperf!$CI$25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{756C8B4C-BDE9-4F48-8AC2-53EBCA2DFEA6}</c15:txfldGUID>
                      <c15:f>tracperf!$CI$25</c15:f>
                      <c15:dlblFieldTableCache>
                        <c:ptCount val="1"/>
                      </c15:dlblFieldTableCache>
                    </c15:dlblFTEntry>
                  </c15:dlblFieldTable>
                  <c15:showDataLabelsRange val="0"/>
                </c:ext>
              </c:extLst>
            </c:dLbl>
            <c:dLbl>
              <c:idx val="18"/>
              <c:tx>
                <c:strRef>
                  <c:f>tracperf!$CI$26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{48ED2CB9-263D-4BB1-A232-E8DFEA3A681D}</c15:txfldGUID>
                      <c15:f>tracperf!$CI$26</c15:f>
                      <c15:dlblFieldTableCache>
                        <c:ptCount val="1"/>
                      </c15:dlblFieldTableCache>
                    </c15:dlblFTEntry>
                  </c15:dlblFieldTable>
                  <c15:showDataLabelsRange val="0"/>
                </c:ext>
              </c:extLst>
            </c:dLbl>
            <c:dLbl>
              <c:idx val="19"/>
              <c:tx>
                <c:strRef>
                  <c:f>tracperf!$CI$27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{0CAD08F1-AE21-46C8-A693-BB5FAE1F0C44}</c15:txfldGUID>
                      <c15:f>tracperf!$CI$27</c15:f>
                      <c15:dlblFieldTableCache>
                        <c:ptCount val="1"/>
                      </c15:dlblFieldTableCache>
                    </c15:dlblFTEntry>
                  </c15:dlblFieldTable>
                  <c15:showDataLabelsRange val="0"/>
                </c:ext>
              </c:extLst>
            </c:dLbl>
            <c:dLbl>
              <c:idx val="20"/>
              <c:tx>
                <c:strRef>
                  <c:f>tracperf!$CI$28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{8A0B4F60-9797-4B7B-B675-ABC676475D35}</c15:txfldGUID>
                      <c15:f>tracperf!$CI$28</c15:f>
                      <c15:dlblFieldTableCache>
                        <c:ptCount val="1"/>
                      </c15:dlblFieldTableCache>
                    </c15:dlblFTEntry>
                  </c15:dlblFieldTable>
                  <c15:showDataLabelsRange val="0"/>
                </c:ext>
              </c:extLst>
            </c:dLbl>
            <c:dLbl>
              <c:idx val="21"/>
              <c:tx>
                <c:strRef>
                  <c:f>tracperf!$CI$29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{8A1874BB-DE15-4FE0-BCCD-560174991457}</c15:txfldGUID>
                      <c15:f>tracperf!$CI$29</c15:f>
                      <c15:dlblFieldTableCache>
                        <c:ptCount val="1"/>
                      </c15:dlblFieldTableCache>
                    </c15:dlblFTEntry>
                  </c15:dlblFieldTable>
                  <c15:showDataLabelsRange val="0"/>
                </c:ext>
              </c:extLst>
            </c:dLbl>
            <c:dLbl>
              <c:idx val="22"/>
              <c:tx>
                <c:strRef>
                  <c:f>tracperf!$CI$30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{9AB9A194-AB75-41C7-8B8C-37408D852915}</c15:txfldGUID>
                      <c15:f>tracperf!$CI$30</c15:f>
                      <c15:dlblFieldTableCache>
                        <c:ptCount val="1"/>
                      </c15:dlblFieldTableCache>
                    </c15:dlblFTEntry>
                  </c15:dlblFieldTable>
                  <c15:showDataLabelsRange val="0"/>
                </c:ext>
              </c:extLst>
            </c:dLbl>
            <c:dLbl>
              <c:idx val="23"/>
              <c:tx>
                <c:strRef>
                  <c:f>tracperf!$CI$31</c:f>
                  <c:strCache>
                    <c:ptCount val="1"/>
                    <c:pt idx="0">
                      <c:v>   NTR/GTR</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{CE607171-460A-45B0-AFA2-B16F748DF9C4}</c15:txfldGUID>
                      <c15:f>tracperf!$CI$31</c15:f>
                      <c15:dlblFieldTableCache>
                        <c:ptCount val="1"/>
                        <c:pt idx="0">
                          <c:v>   NTR/GTR</c:v>
                        </c:pt>
                      </c15:dlblFieldTableCache>
                    </c15:dlblFTEntry>
                  </c15:dlblFieldTable>
                  <c15:showDataLabelsRange val="0"/>
                </c:ext>
              </c:extLst>
            </c:dLbl>
            <c:dLbl>
              <c:idx val="24"/>
              <c:tx>
                <c:strRef>
                  <c:f>tracperf!$CI$32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{22CAB40E-1260-4FEE-9D24-53DA4E2616F8}</c15:txfldGUID>
                      <c15:f>tracperf!$CI$32</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tracperf!$BT$8:$BT$35</c:f>
              <c:numCache>
                <c:formatCode>General</c:formatCode>
                <c:ptCount val="28"/>
                <c:pt idx="0">
                  <c:v>1</c:v>
                </c:pt>
                <c:pt idx="1">
                  <c:v>2</c:v>
                </c:pt>
                <c:pt idx="2">
                  <c:v>3</c:v>
                </c:pt>
                <c:pt idx="3">
                  <c:v>5</c:v>
                </c:pt>
                <c:pt idx="4">
                  <c:v>7</c:v>
                </c:pt>
                <c:pt idx="5">
                  <c:v>10</c:v>
                </c:pt>
                <c:pt idx="6">
                  <c:v>14</c:v>
                </c:pt>
                <c:pt idx="7">
                  <c:v>16</c:v>
                </c:pt>
                <c:pt idx="8">
                  <c:v>18</c:v>
                </c:pt>
                <c:pt idx="9">
                  <c:v>20</c:v>
                </c:pt>
                <c:pt idx="10">
                  <c:v>22</c:v>
                </c:pt>
                <c:pt idx="11">
                  <c:v>24</c:v>
                </c:pt>
                <c:pt idx="12">
                  <c:v>26</c:v>
                </c:pt>
                <c:pt idx="13">
                  <c:v>28</c:v>
                </c:pt>
                <c:pt idx="14">
                  <c:v>30</c:v>
                </c:pt>
                <c:pt idx="15">
                  <c:v>32</c:v>
                </c:pt>
                <c:pt idx="16">
                  <c:v>34</c:v>
                </c:pt>
                <c:pt idx="17">
                  <c:v>36</c:v>
                </c:pt>
                <c:pt idx="18">
                  <c:v>38</c:v>
                </c:pt>
                <c:pt idx="19">
                  <c:v>40</c:v>
                </c:pt>
                <c:pt idx="20">
                  <c:v>42</c:v>
                </c:pt>
                <c:pt idx="21">
                  <c:v>44</c:v>
                </c:pt>
                <c:pt idx="22">
                  <c:v>46</c:v>
                </c:pt>
                <c:pt idx="23">
                  <c:v>48</c:v>
                </c:pt>
                <c:pt idx="24">
                  <c:v>50</c:v>
                </c:pt>
                <c:pt idx="25" formatCode="0.0_)">
                  <c:v>10.582917832342954</c:v>
                </c:pt>
                <c:pt idx="26" formatCode="0.0_)">
                  <c:v>10.582917832342954</c:v>
                </c:pt>
              </c:numCache>
            </c:numRef>
          </c:xVal>
          <c:yVal>
            <c:numRef>
              <c:f>tracperf!$CH$8:$CH$32</c:f>
              <c:numCache>
                <c:formatCode>0.000_)</c:formatCode>
                <c:ptCount val="25"/>
                <c:pt idx="0">
                  <c:v>0.49546867499731317</c:v>
                </c:pt>
                <c:pt idx="1">
                  <c:v>0.68467129985783504</c:v>
                </c:pt>
                <c:pt idx="2">
                  <c:v>0.7647702725135529</c:v>
                </c:pt>
                <c:pt idx="3">
                  <c:v>0.83657631711849578</c:v>
                </c:pt>
                <c:pt idx="4">
                  <c:v>0.86929574639371743</c:v>
                </c:pt>
                <c:pt idx="5">
                  <c:v>0.89401312344535899</c:v>
                </c:pt>
                <c:pt idx="6">
                  <c:v>0.90971766303156498</c:v>
                </c:pt>
                <c:pt idx="7">
                  <c:v>0.91420049455687602</c:v>
                </c:pt>
                <c:pt idx="8">
                  <c:v>0.91740351797510489</c:v>
                </c:pt>
                <c:pt idx="9">
                  <c:v>0.91969842139159141</c:v>
                </c:pt>
                <c:pt idx="10">
                  <c:v>0.92132516220548077</c:v>
                </c:pt>
                <c:pt idx="11">
                  <c:v>0.92244576090772623</c:v>
                </c:pt>
                <c:pt idx="12">
                  <c:v>0.92317371210680477</c:v>
                </c:pt>
                <c:pt idx="13">
                  <c:v>0.92359099957194202</c:v>
                </c:pt>
                <c:pt idx="14">
                  <c:v>0.92375840973807044</c:v>
                </c:pt>
                <c:pt idx="15">
                  <c:v>0.92372203293562993</c:v>
                </c:pt>
                <c:pt idx="16">
                  <c:v>0.923517500849665</c:v>
                </c:pt>
                <c:pt idx="17">
                  <c:v>0.92317282950577373</c:v>
                </c:pt>
                <c:pt idx="18">
                  <c:v>0.92271037558215285</c:v>
                </c:pt>
                <c:pt idx="19">
                  <c:v>0.92214821308762296</c:v>
                </c:pt>
                <c:pt idx="20">
                  <c:v>0.92150112174946719</c:v>
                </c:pt>
                <c:pt idx="21">
                  <c:v>0.9207813095762386</c:v>
                </c:pt>
                <c:pt idx="22">
                  <c:v>0.91999894985604669</c:v>
                </c:pt>
                <c:pt idx="23">
                  <c:v>0.91916258631761383</c:v>
                </c:pt>
              </c:numCache>
            </c:numRef>
          </c:yVal>
          <c:smooth val="0"/>
        </c:ser>
        <c:dLbls>
          <c:showLegendKey val="0"/>
          <c:showVal val="0"/>
          <c:showCatName val="0"/>
          <c:showSerName val="0"/>
          <c:showPercent val="0"/>
          <c:showBubbleSize val="0"/>
        </c:dLbls>
        <c:axId val="420225312"/>
        <c:axId val="420225704"/>
      </c:scatterChart>
      <c:valAx>
        <c:axId val="420225312"/>
        <c:scaling>
          <c:orientation val="minMax"/>
          <c:max val="55"/>
          <c:min val="0"/>
        </c:scaling>
        <c:delete val="0"/>
        <c:axPos val="b"/>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Slip, %</a:t>
                </a:r>
              </a:p>
            </c:rich>
          </c:tx>
          <c:layout>
            <c:manualLayout>
              <c:xMode val="edge"/>
              <c:yMode val="edge"/>
              <c:x val="0.51054384017758048"/>
              <c:y val="0.94453507340946163"/>
            </c:manualLayout>
          </c:layout>
          <c:overlay val="0"/>
          <c:spPr>
            <a:noFill/>
            <a:ln w="25400">
              <a:noFill/>
            </a:ln>
          </c:spPr>
        </c:title>
        <c:numFmt formatCode="General" sourceLinked="1"/>
        <c:majorTickMark val="in"/>
        <c:minorTickMark val="none"/>
        <c:tickLblPos val="low"/>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20225704"/>
        <c:crosses val="autoZero"/>
        <c:crossBetween val="midCat"/>
      </c:valAx>
      <c:valAx>
        <c:axId val="420225704"/>
        <c:scaling>
          <c:orientation val="minMax"/>
          <c:max val="1"/>
          <c:min val="0"/>
        </c:scaling>
        <c:delete val="0"/>
        <c:axPos val="l"/>
        <c:majorGridlines>
          <c:spPr>
            <a:ln w="3175">
              <a:solidFill>
                <a:srgbClr val="000000"/>
              </a:solidFill>
              <a:prstDash val="solid"/>
            </a:ln>
          </c:spPr>
        </c:majorGridlines>
        <c:numFmt formatCode="0.000_)"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20225312"/>
        <c:crosses val="autoZero"/>
        <c:crossBetween val="midCat"/>
      </c:valAx>
      <c:spPr>
        <a:solidFill>
          <a:srgbClr val="C0C0C0"/>
        </a:solidFill>
        <a:ln w="12700">
          <a:solidFill>
            <a:srgbClr val="808080"/>
          </a:solidFill>
          <a:prstDash val="solid"/>
        </a:ln>
      </c:spPr>
    </c:plotArea>
    <c:plotVisOnly val="0"/>
    <c:dispBlanksAs val="gap"/>
    <c:showDLblsOverMax val="0"/>
  </c:chart>
  <c:spPr>
    <a:noFill/>
    <a:ln w="6350">
      <a:noFill/>
    </a:ln>
  </c:spPr>
  <c:txPr>
    <a:bodyPr/>
    <a:lstStyle/>
    <a:p>
      <a:pPr>
        <a:defRPr sz="1000" b="1"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a:t>TRACTION EQUATION PLOT WITH CURRENT Bn</a:t>
            </a:r>
          </a:p>
        </c:rich>
      </c:tx>
      <c:layout>
        <c:manualLayout>
          <c:xMode val="edge"/>
          <c:yMode val="edge"/>
          <c:x val="0.33074361820199777"/>
          <c:y val="1.9575856443719411E-2"/>
        </c:manualLayout>
      </c:layout>
      <c:overlay val="0"/>
      <c:spPr>
        <a:noFill/>
        <a:ln w="25400">
          <a:noFill/>
        </a:ln>
      </c:spPr>
    </c:title>
    <c:autoTitleDeleted val="0"/>
    <c:plotArea>
      <c:layout>
        <c:manualLayout>
          <c:layoutTarget val="inner"/>
          <c:xMode val="edge"/>
          <c:yMode val="edge"/>
          <c:x val="9.4339622641509441E-2"/>
          <c:y val="0.15497553017944535"/>
          <c:w val="0.87236403995560485"/>
          <c:h val="0.73898858075040785"/>
        </c:manualLayout>
      </c:layout>
      <c:scatterChart>
        <c:scatterStyle val="lineMarker"/>
        <c:varyColors val="0"/>
        <c:ser>
          <c:idx val="0"/>
          <c:order val="0"/>
          <c:spPr>
            <a:ln w="25400">
              <a:solidFill>
                <a:srgbClr val="0000FF"/>
              </a:solidFill>
              <a:prstDash val="solid"/>
            </a:ln>
          </c:spPr>
          <c:marker>
            <c:symbol val="none"/>
          </c:marker>
          <c:dLbls>
            <c:dLbl>
              <c:idx val="0"/>
              <c:tx>
                <c:strRef>
                  <c:f>tracperf!$BX$7</c:f>
                  <c:strCache>
                    <c:ptCount val="1"/>
                    <c:pt idx="0">
                      <c:v>TE</c:v>
                    </c:pt>
                  </c:strCache>
                </c:strRef>
              </c:tx>
              <c:spPr>
                <a:noFill/>
                <a:ln w="25400">
                  <a:noFill/>
                </a:ln>
              </c:spPr>
              <c:txPr>
                <a:bodyPr/>
                <a:lstStyle/>
                <a:p>
                  <a:pPr>
                    <a:defRPr sz="1000" b="1" i="0" u="none" strike="noStrike" baseline="0">
                      <a:solidFill>
                        <a:srgbClr val="0000FF"/>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{ADC28169-EB6A-4378-B257-755AC50D1675}</c15:txfldGUID>
                      <c15:f>tracperf!$BX$7</c15:f>
                      <c15:dlblFieldTableCache>
                        <c:ptCount val="1"/>
                        <c:pt idx="0">
                          <c:v>TE</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tracperf!$BX$8:$BX$35</c:f>
              <c:numCache>
                <c:formatCode>0.000_)</c:formatCode>
                <c:ptCount val="28"/>
                <c:pt idx="0">
                  <c:v>0.49051398824734005</c:v>
                </c:pt>
                <c:pt idx="1">
                  <c:v>0.67097787386067831</c:v>
                </c:pt>
                <c:pt idx="2">
                  <c:v>0.74182716433814633</c:v>
                </c:pt>
                <c:pt idx="3">
                  <c:v>0.79474750126257099</c:v>
                </c:pt>
                <c:pt idx="4">
                  <c:v>0.80844504414615714</c:v>
                </c:pt>
                <c:pt idx="5">
                  <c:v>0.80461181110082314</c:v>
                </c:pt>
                <c:pt idx="6">
                  <c:v>0.78235719020714578</c:v>
                </c:pt>
                <c:pt idx="7">
                  <c:v>0.7679284154277759</c:v>
                </c:pt>
                <c:pt idx="8">
                  <c:v>0.75227088473958603</c:v>
                </c:pt>
                <c:pt idx="9">
                  <c:v>0.73575873711327322</c:v>
                </c:pt>
                <c:pt idx="10">
                  <c:v>0.71863362652027518</c:v>
                </c:pt>
                <c:pt idx="11">
                  <c:v>0.70105877828987206</c:v>
                </c:pt>
                <c:pt idx="12">
                  <c:v>0.68314854695903549</c:v>
                </c:pt>
                <c:pt idx="13">
                  <c:v>0.66498551969179809</c:v>
                </c:pt>
                <c:pt idx="14">
                  <c:v>0.64663088681664926</c:v>
                </c:pt>
                <c:pt idx="15">
                  <c:v>0.62813098239622833</c:v>
                </c:pt>
                <c:pt idx="16">
                  <c:v>0.60952155056077884</c:v>
                </c:pt>
                <c:pt idx="17">
                  <c:v>0.59083061088369515</c:v>
                </c:pt>
                <c:pt idx="18">
                  <c:v>0.5720804328609348</c:v>
                </c:pt>
                <c:pt idx="19">
                  <c:v>0.55328892785257378</c:v>
                </c:pt>
                <c:pt idx="20">
                  <c:v>0.53447065061469112</c:v>
                </c:pt>
                <c:pt idx="21">
                  <c:v>0.51563753336269369</c:v>
                </c:pt>
                <c:pt idx="22">
                  <c:v>0.49679943292226519</c:v>
                </c:pt>
                <c:pt idx="23">
                  <c:v>0.47796454488515921</c:v>
                </c:pt>
                <c:pt idx="24">
                  <c:v>0.45913972155592531</c:v>
                </c:pt>
              </c:numCache>
            </c:numRef>
          </c:yVal>
          <c:smooth val="0"/>
        </c:ser>
        <c:ser>
          <c:idx val="1"/>
          <c:order val="1"/>
          <c:spPr>
            <a:ln w="3175">
              <a:solidFill>
                <a:srgbClr val="000000"/>
              </a:solidFill>
              <a:prstDash val="solid"/>
            </a:ln>
          </c:spPr>
          <c:marker>
            <c:symbol val="none"/>
          </c:marker>
          <c:dLbls>
            <c:dLbl>
              <c:idx val="0"/>
              <c:tx>
                <c:strRef>
                  <c:f>tracperf!$CD$8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{D199CAA6-D315-4135-AFE9-EF4C980FA634}</c15:txfldGUID>
                      <c15:f>tracperf!$CD$8</c15:f>
                      <c15:dlblFieldTableCache>
                        <c:ptCount val="1"/>
                      </c15:dlblFieldTableCache>
                    </c15:dlblFTEntry>
                  </c15:dlblFieldTable>
                  <c15:showDataLabelsRange val="0"/>
                </c:ext>
              </c:extLst>
            </c:dLbl>
            <c:dLbl>
              <c:idx val="1"/>
              <c:tx>
                <c:strRef>
                  <c:f>tracperf!$CD$9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{EE2DC299-A792-45A0-B893-59A7612FB3BE}</c15:txfldGUID>
                      <c15:f>tracperf!$CD$9</c15:f>
                      <c15:dlblFieldTableCache>
                        <c:ptCount val="1"/>
                      </c15:dlblFieldTableCache>
                    </c15:dlblFTEntry>
                  </c15:dlblFieldTable>
                  <c15:showDataLabelsRange val="0"/>
                </c:ext>
              </c:extLst>
            </c:dLbl>
            <c:dLbl>
              <c:idx val="2"/>
              <c:tx>
                <c:strRef>
                  <c:f>tracperf!$CD$10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{CBDD5764-98D0-4FB2-B875-6D4E1447EABB}</c15:txfldGUID>
                      <c15:f>tracperf!$CD$10</c15:f>
                      <c15:dlblFieldTableCache>
                        <c:ptCount val="1"/>
                      </c15:dlblFieldTableCache>
                    </c15:dlblFTEntry>
                  </c15:dlblFieldTable>
                  <c15:showDataLabelsRange val="0"/>
                </c:ext>
              </c:extLst>
            </c:dLbl>
            <c:dLbl>
              <c:idx val="3"/>
              <c:tx>
                <c:strRef>
                  <c:f>tracperf!$CD$11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{67C6D3F5-0594-4351-A92D-B0D691CC4353}</c15:txfldGUID>
                      <c15:f>tracperf!$CD$11</c15:f>
                      <c15:dlblFieldTableCache>
                        <c:ptCount val="1"/>
                      </c15:dlblFieldTableCache>
                    </c15:dlblFTEntry>
                  </c15:dlblFieldTable>
                  <c15:showDataLabelsRange val="0"/>
                </c:ext>
              </c:extLst>
            </c:dLbl>
            <c:dLbl>
              <c:idx val="4"/>
              <c:tx>
                <c:strRef>
                  <c:f>tracperf!$CD$12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{3182F141-F0BA-4461-BDCA-5653670A47E6}</c15:txfldGUID>
                      <c15:f>tracperf!$CD$12</c15:f>
                      <c15:dlblFieldTableCache>
                        <c:ptCount val="1"/>
                      </c15:dlblFieldTableCache>
                    </c15:dlblFTEntry>
                  </c15:dlblFieldTable>
                  <c15:showDataLabelsRange val="0"/>
                </c:ext>
              </c:extLst>
            </c:dLbl>
            <c:dLbl>
              <c:idx val="5"/>
              <c:tx>
                <c:strRef>
                  <c:f>tracperf!$CD$13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{07AC1EC1-65FC-4C5C-9E6C-EE825E6DD0C5}</c15:txfldGUID>
                      <c15:f>tracperf!$CD$13</c15:f>
                      <c15:dlblFieldTableCache>
                        <c:ptCount val="1"/>
                      </c15:dlblFieldTableCache>
                    </c15:dlblFTEntry>
                  </c15:dlblFieldTable>
                  <c15:showDataLabelsRange val="0"/>
                </c:ext>
              </c:extLst>
            </c:dLbl>
            <c:dLbl>
              <c:idx val="6"/>
              <c:tx>
                <c:strRef>
                  <c:f>tracperf!$CD$14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{0FE51B4B-9473-443F-94A5-091C4EAB772E}</c15:txfldGUID>
                      <c15:f>tracperf!$CD$14</c15:f>
                      <c15:dlblFieldTableCache>
                        <c:ptCount val="1"/>
                      </c15:dlblFieldTableCache>
                    </c15:dlblFTEntry>
                  </c15:dlblFieldTable>
                  <c15:showDataLabelsRange val="0"/>
                </c:ext>
              </c:extLst>
            </c:dLbl>
            <c:dLbl>
              <c:idx val="7"/>
              <c:tx>
                <c:strRef>
                  <c:f>tracperf!$CD$15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{66EA6447-3EF8-4394-8B0B-501DE94ACCC6}</c15:txfldGUID>
                      <c15:f>tracperf!$CD$15</c15:f>
                      <c15:dlblFieldTableCache>
                        <c:ptCount val="1"/>
                      </c15:dlblFieldTableCache>
                    </c15:dlblFTEntry>
                  </c15:dlblFieldTable>
                  <c15:showDataLabelsRange val="0"/>
                </c:ext>
              </c:extLst>
            </c:dLbl>
            <c:dLbl>
              <c:idx val="8"/>
              <c:tx>
                <c:strRef>
                  <c:f>tracperf!$CD$16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{06B7EB98-5FCD-4A44-ADA0-759A66955169}</c15:txfldGUID>
                      <c15:f>tracperf!$CD$16</c15:f>
                      <c15:dlblFieldTableCache>
                        <c:ptCount val="1"/>
                      </c15:dlblFieldTableCache>
                    </c15:dlblFTEntry>
                  </c15:dlblFieldTable>
                  <c15:showDataLabelsRange val="0"/>
                </c:ext>
              </c:extLst>
            </c:dLbl>
            <c:dLbl>
              <c:idx val="9"/>
              <c:tx>
                <c:strRef>
                  <c:f>tracperf!$CD$17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{72D8FD8D-842D-4C0A-A657-2B57A7206D9E}</c15:txfldGUID>
                      <c15:f>tracperf!$CD$17</c15:f>
                      <c15:dlblFieldTableCache>
                        <c:ptCount val="1"/>
                      </c15:dlblFieldTableCache>
                    </c15:dlblFTEntry>
                  </c15:dlblFieldTable>
                  <c15:showDataLabelsRange val="0"/>
                </c:ext>
              </c:extLst>
            </c:dLbl>
            <c:dLbl>
              <c:idx val="10"/>
              <c:tx>
                <c:strRef>
                  <c:f>tracperf!$CD$18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{5FA385D4-D154-4D84-BD88-280108DED04F}</c15:txfldGUID>
                      <c15:f>tracperf!$CD$18</c15:f>
                      <c15:dlblFieldTableCache>
                        <c:ptCount val="1"/>
                      </c15:dlblFieldTableCache>
                    </c15:dlblFTEntry>
                  </c15:dlblFieldTable>
                  <c15:showDataLabelsRange val="0"/>
                </c:ext>
              </c:extLst>
            </c:dLbl>
            <c:dLbl>
              <c:idx val="11"/>
              <c:tx>
                <c:strRef>
                  <c:f>tracperf!$CD$19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{C34F572D-CFFB-48DD-9F2C-133C24394132}</c15:txfldGUID>
                      <c15:f>tracperf!$CD$19</c15:f>
                      <c15:dlblFieldTableCache>
                        <c:ptCount val="1"/>
                      </c15:dlblFieldTableCache>
                    </c15:dlblFTEntry>
                  </c15:dlblFieldTable>
                  <c15:showDataLabelsRange val="0"/>
                </c:ext>
              </c:extLst>
            </c:dLbl>
            <c:dLbl>
              <c:idx val="12"/>
              <c:tx>
                <c:strRef>
                  <c:f>tracperf!$CD$20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{FCEEBB37-6CE0-4254-A3BC-04C5C2837022}</c15:txfldGUID>
                      <c15:f>tracperf!$CD$20</c15:f>
                      <c15:dlblFieldTableCache>
                        <c:ptCount val="1"/>
                      </c15:dlblFieldTableCache>
                    </c15:dlblFTEntry>
                  </c15:dlblFieldTable>
                  <c15:showDataLabelsRange val="0"/>
                </c:ext>
              </c:extLst>
            </c:dLbl>
            <c:dLbl>
              <c:idx val="13"/>
              <c:tx>
                <c:strRef>
                  <c:f>tracperf!$CD$21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{C49B487F-D42F-48C3-B2A1-AF390808CFDF}</c15:txfldGUID>
                      <c15:f>tracperf!$CD$21</c15:f>
                      <c15:dlblFieldTableCache>
                        <c:ptCount val="1"/>
                      </c15:dlblFieldTableCache>
                    </c15:dlblFTEntry>
                  </c15:dlblFieldTable>
                  <c15:showDataLabelsRange val="0"/>
                </c:ext>
              </c:extLst>
            </c:dLbl>
            <c:dLbl>
              <c:idx val="14"/>
              <c:tx>
                <c:strRef>
                  <c:f>tracperf!$CD$22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{C3E20F8F-BABE-42AF-8842-DF41E4A47ED6}</c15:txfldGUID>
                      <c15:f>tracperf!$CD$22</c15:f>
                      <c15:dlblFieldTableCache>
                        <c:ptCount val="1"/>
                      </c15:dlblFieldTableCache>
                    </c15:dlblFTEntry>
                  </c15:dlblFieldTable>
                  <c15:showDataLabelsRange val="0"/>
                </c:ext>
              </c:extLst>
            </c:dLbl>
            <c:dLbl>
              <c:idx val="15"/>
              <c:tx>
                <c:strRef>
                  <c:f>tracperf!$CD$23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{C7AFC14F-9978-4F02-85CD-7BA1AF5B739A}</c15:txfldGUID>
                      <c15:f>tracperf!$CD$23</c15:f>
                      <c15:dlblFieldTableCache>
                        <c:ptCount val="1"/>
                      </c15:dlblFieldTableCache>
                    </c15:dlblFTEntry>
                  </c15:dlblFieldTable>
                  <c15:showDataLabelsRange val="0"/>
                </c:ext>
              </c:extLst>
            </c:dLbl>
            <c:dLbl>
              <c:idx val="16"/>
              <c:tx>
                <c:strRef>
                  <c:f>tracperf!$CD$24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{D5469AE2-48A9-4845-91A8-213EC9BF4F56}</c15:txfldGUID>
                      <c15:f>tracperf!$CD$24</c15:f>
                      <c15:dlblFieldTableCache>
                        <c:ptCount val="1"/>
                      </c15:dlblFieldTableCache>
                    </c15:dlblFTEntry>
                  </c15:dlblFieldTable>
                  <c15:showDataLabelsRange val="0"/>
                </c:ext>
              </c:extLst>
            </c:dLbl>
            <c:dLbl>
              <c:idx val="17"/>
              <c:tx>
                <c:strRef>
                  <c:f>tracperf!$CD$25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{6461282D-A56E-483B-A1D2-4AB8C9C5DD3E}</c15:txfldGUID>
                      <c15:f>tracperf!$CD$25</c15:f>
                      <c15:dlblFieldTableCache>
                        <c:ptCount val="1"/>
                      </c15:dlblFieldTableCache>
                    </c15:dlblFTEntry>
                  </c15:dlblFieldTable>
                  <c15:showDataLabelsRange val="0"/>
                </c:ext>
              </c:extLst>
            </c:dLbl>
            <c:dLbl>
              <c:idx val="18"/>
              <c:tx>
                <c:strRef>
                  <c:f>tracperf!$CD$26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{471D6C49-8A43-4E8A-9407-16614EF52B64}</c15:txfldGUID>
                      <c15:f>tracperf!$CD$26</c15:f>
                      <c15:dlblFieldTableCache>
                        <c:ptCount val="1"/>
                      </c15:dlblFieldTableCache>
                    </c15:dlblFTEntry>
                  </c15:dlblFieldTable>
                  <c15:showDataLabelsRange val="0"/>
                </c:ext>
              </c:extLst>
            </c:dLbl>
            <c:dLbl>
              <c:idx val="19"/>
              <c:tx>
                <c:strRef>
                  <c:f>tracperf!$CD$27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{1259ECC0-2284-4E1A-B467-2F0DB22A4578}</c15:txfldGUID>
                      <c15:f>tracperf!$CD$27</c15:f>
                      <c15:dlblFieldTableCache>
                        <c:ptCount val="1"/>
                      </c15:dlblFieldTableCache>
                    </c15:dlblFTEntry>
                  </c15:dlblFieldTable>
                  <c15:showDataLabelsRange val="0"/>
                </c:ext>
              </c:extLst>
            </c:dLbl>
            <c:dLbl>
              <c:idx val="20"/>
              <c:tx>
                <c:strRef>
                  <c:f>tracperf!$CD$28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{06FF20C6-5D11-4E2A-96D2-F3699B455CAD}</c15:txfldGUID>
                      <c15:f>tracperf!$CD$28</c15:f>
                      <c15:dlblFieldTableCache>
                        <c:ptCount val="1"/>
                      </c15:dlblFieldTableCache>
                    </c15:dlblFTEntry>
                  </c15:dlblFieldTable>
                  <c15:showDataLabelsRange val="0"/>
                </c:ext>
              </c:extLst>
            </c:dLbl>
            <c:dLbl>
              <c:idx val="21"/>
              <c:tx>
                <c:strRef>
                  <c:f>tracperf!$CD$29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{969E2EB7-F114-4640-B336-B2FF1E4177D3}</c15:txfldGUID>
                      <c15:f>tracperf!$CD$29</c15:f>
                      <c15:dlblFieldTableCache>
                        <c:ptCount val="1"/>
                      </c15:dlblFieldTableCache>
                    </c15:dlblFTEntry>
                  </c15:dlblFieldTable>
                  <c15:showDataLabelsRange val="0"/>
                </c:ext>
              </c:extLst>
            </c:dLbl>
            <c:dLbl>
              <c:idx val="22"/>
              <c:tx>
                <c:strRef>
                  <c:f>tracperf!$CD$30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{ECE33852-6ADF-4EB9-8B7F-BF236123F696}</c15:txfldGUID>
                      <c15:f>tracperf!$CD$30</c15:f>
                      <c15:dlblFieldTableCache>
                        <c:ptCount val="1"/>
                      </c15:dlblFieldTableCache>
                    </c15:dlblFTEntry>
                  </c15:dlblFieldTable>
                  <c15:showDataLabelsRange val="0"/>
                </c:ext>
              </c:extLst>
            </c:dLbl>
            <c:dLbl>
              <c:idx val="23"/>
              <c:tx>
                <c:strRef>
                  <c:f>tracperf!$CD$31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{7B1481C1-FC10-4B8A-B1E0-C9DBE4D8E492}</c15:txfldGUID>
                      <c15:f>tracperf!$CD$31</c15:f>
                      <c15:dlblFieldTableCache>
                        <c:ptCount val="1"/>
                      </c15:dlblFieldTableCache>
                    </c15:dlblFTEntry>
                  </c15:dlblFieldTable>
                  <c15:showDataLabelsRange val="0"/>
                </c:ext>
              </c:extLst>
            </c:dLbl>
            <c:dLbl>
              <c:idx val="24"/>
              <c:tx>
                <c:strRef>
                  <c:f>tracperf!$CD$32</c:f>
                  <c:strCache>
                    <c:ptCount val="1"/>
                    <c:pt idx="0">
                      <c:v>NTR</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{04902AA5-4D80-452D-A99C-5DC9E221B1B5}</c15:txfldGUID>
                      <c15:f>tracperf!$CD$32</c15:f>
                      <c15:dlblFieldTableCache>
                        <c:ptCount val="1"/>
                        <c:pt idx="0">
                          <c:v>NTR</c:v>
                        </c:pt>
                      </c15:dlblFieldTableCache>
                    </c15:dlblFTEntry>
                  </c15:dlblFieldTable>
                  <c15:showDataLabelsRange val="0"/>
                </c:ext>
              </c:extLst>
            </c:dLbl>
            <c:dLbl>
              <c:idx val="25"/>
              <c:tx>
                <c:strRef>
                  <c:f>tracperf!$CD$33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{2EB184F4-F7E7-4C76-9DAE-65EE731B6903}</c15:txfldGUID>
                      <c15:f>tracperf!$CD$33</c15:f>
                      <c15:dlblFieldTableCache>
                        <c:ptCount val="1"/>
                      </c15:dlblFieldTableCache>
                    </c15:dlblFTEntry>
                  </c15:dlblFieldTable>
                  <c15:showDataLabelsRange val="0"/>
                </c:ext>
              </c:extLst>
            </c:dLbl>
            <c:dLbl>
              <c:idx val="26"/>
              <c:tx>
                <c:strRef>
                  <c:f>tracperf!$CD$34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{C9900E68-9342-4B2A-9821-19D913937C2B}</c15:txfldGUID>
                      <c15:f>tracperf!$CD$34</c15:f>
                      <c15:dlblFieldTableCache>
                        <c:ptCount val="1"/>
                      </c15:dlblFieldTableCache>
                    </c15:dlblFTEntry>
                  </c15:dlblFieldTable>
                  <c15:showDataLabelsRange val="0"/>
                </c:ext>
              </c:extLst>
            </c:dLbl>
            <c:dLbl>
              <c:idx val="27"/>
              <c:tx>
                <c:strRef>
                  <c:f>tracperf!$CD$35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{1F1830A7-D470-47D4-9BAC-82688E571C4F}</c15:txfldGUID>
                      <c15:f>tracperf!$CD$35</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tracperf!$BW$8:$BW$35</c:f>
              <c:numCache>
                <c:formatCode>0.000_)</c:formatCode>
                <c:ptCount val="28"/>
                <c:pt idx="0">
                  <c:v>4.4300823623203048E-2</c:v>
                </c:pt>
                <c:pt idx="1">
                  <c:v>9.9145400674858497E-2</c:v>
                </c:pt>
                <c:pt idx="2">
                  <c:v>0.15024491032090367</c:v>
                </c:pt>
                <c:pt idx="3">
                  <c:v>0.24220436901355827</c:v>
                </c:pt>
                <c:pt idx="4">
                  <c:v>0.32200617618103761</c:v>
                </c:pt>
                <c:pt idx="5">
                  <c:v>0.42233018576237513</c:v>
                </c:pt>
                <c:pt idx="6">
                  <c:v>0.52670226493213945</c:v>
                </c:pt>
                <c:pt idx="7">
                  <c:v>0.5686891898874048</c:v>
                </c:pt>
                <c:pt idx="8">
                  <c:v>0.60504696330653984</c:v>
                </c:pt>
                <c:pt idx="9">
                  <c:v>0.63651098747943247</c:v>
                </c:pt>
                <c:pt idx="10">
                  <c:v>0.66372059044312737</c:v>
                </c:pt>
                <c:pt idx="11">
                  <c:v>0.68723157729175088</c:v>
                </c:pt>
                <c:pt idx="12">
                  <c:v>0.70752714176115838</c:v>
                </c:pt>
                <c:pt idx="13">
                  <c:v>0.72502735230490878</c:v>
                </c:pt>
                <c:pt idx="14">
                  <c:v>0.74009739889253501</c:v>
                </c:pt>
                <c:pt idx="15">
                  <c:v>0.75305476243153502</c:v>
                </c:pt>
                <c:pt idx="16">
                  <c:v>0.76417544756342448</c:v>
                </c:pt>
                <c:pt idx="17">
                  <c:v>0.7736994011963132</c:v>
                </c:pt>
                <c:pt idx="18">
                  <c:v>0.78183522315082532</c:v>
                </c:pt>
                <c:pt idx="19">
                  <c:v>0.78876426139892208</c:v>
                </c:pt>
                <c:pt idx="20">
                  <c:v>0.79464417229350226</c:v>
                </c:pt>
                <c:pt idx="21">
                  <c:v>0.79961201568332019</c:v>
                </c:pt>
                <c:pt idx="22">
                  <c:v>0.80378694567663356</c:v>
                </c:pt>
                <c:pt idx="23">
                  <c:v>0.80727254987873764</c:v>
                </c:pt>
                <c:pt idx="24">
                  <c:v>0.81015888302738126</c:v>
                </c:pt>
                <c:pt idx="25">
                  <c:v>0.43945756332002006</c:v>
                </c:pt>
                <c:pt idx="26">
                  <c:v>0.43945756332002006</c:v>
                </c:pt>
                <c:pt idx="27" formatCode="General">
                  <c:v>1</c:v>
                </c:pt>
              </c:numCache>
            </c:numRef>
          </c:yVal>
          <c:smooth val="0"/>
        </c:ser>
        <c:ser>
          <c:idx val="2"/>
          <c:order val="2"/>
          <c:spPr>
            <a:ln w="3175">
              <a:solidFill>
                <a:srgbClr val="000000"/>
              </a:solidFill>
              <a:prstDash val="solid"/>
            </a:ln>
          </c:spPr>
          <c:marker>
            <c:symbol val="none"/>
          </c:marker>
          <c:dLbls>
            <c:dLbl>
              <c:idx val="0"/>
              <c:tx>
                <c:strRef>
                  <c:f>tracperf!$CC$8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{6322EFD6-47A6-4322-8AA4-A2BFF3F5BEEE}</c15:txfldGUID>
                      <c15:f>tracperf!$CC$8</c15:f>
                      <c15:dlblFieldTableCache>
                        <c:ptCount val="1"/>
                      </c15:dlblFieldTableCache>
                    </c15:dlblFTEntry>
                  </c15:dlblFieldTable>
                  <c15:showDataLabelsRange val="0"/>
                </c:ext>
              </c:extLst>
            </c:dLbl>
            <c:dLbl>
              <c:idx val="1"/>
              <c:tx>
                <c:strRef>
                  <c:f>tracperf!$CC$9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{9BE72385-CCF4-4F67-959D-0CC1C66FB629}</c15:txfldGUID>
                      <c15:f>tracperf!$CC$9</c15:f>
                      <c15:dlblFieldTableCache>
                        <c:ptCount val="1"/>
                      </c15:dlblFieldTableCache>
                    </c15:dlblFTEntry>
                  </c15:dlblFieldTable>
                  <c15:showDataLabelsRange val="0"/>
                </c:ext>
              </c:extLst>
            </c:dLbl>
            <c:dLbl>
              <c:idx val="2"/>
              <c:tx>
                <c:strRef>
                  <c:f>tracperf!$CC$10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{1CBF08DF-C921-4FBD-AB91-E7A480502C5D}</c15:txfldGUID>
                      <c15:f>tracperf!$CC$10</c15:f>
                      <c15:dlblFieldTableCache>
                        <c:ptCount val="1"/>
                      </c15:dlblFieldTableCache>
                    </c15:dlblFTEntry>
                  </c15:dlblFieldTable>
                  <c15:showDataLabelsRange val="0"/>
                </c:ext>
              </c:extLst>
            </c:dLbl>
            <c:dLbl>
              <c:idx val="3"/>
              <c:tx>
                <c:strRef>
                  <c:f>tracperf!$CC$11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{E94D045B-DE12-4C15-BEAE-4C905C74B75B}</c15:txfldGUID>
                      <c15:f>tracperf!$CC$11</c15:f>
                      <c15:dlblFieldTableCache>
                        <c:ptCount val="1"/>
                      </c15:dlblFieldTableCache>
                    </c15:dlblFTEntry>
                  </c15:dlblFieldTable>
                  <c15:showDataLabelsRange val="0"/>
                </c:ext>
              </c:extLst>
            </c:dLbl>
            <c:dLbl>
              <c:idx val="4"/>
              <c:tx>
                <c:strRef>
                  <c:f>tracperf!$CC$12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{98451F51-EAE7-4522-958C-44F7AB58DF38}</c15:txfldGUID>
                      <c15:f>tracperf!$CC$12</c15:f>
                      <c15:dlblFieldTableCache>
                        <c:ptCount val="1"/>
                      </c15:dlblFieldTableCache>
                    </c15:dlblFTEntry>
                  </c15:dlblFieldTable>
                  <c15:showDataLabelsRange val="0"/>
                </c:ext>
              </c:extLst>
            </c:dLbl>
            <c:dLbl>
              <c:idx val="5"/>
              <c:tx>
                <c:strRef>
                  <c:f>tracperf!$CC$13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{C53A2E72-09C8-4676-AEED-2BD3B8ADE2B4}</c15:txfldGUID>
                      <c15:f>tracperf!$CC$13</c15:f>
                      <c15:dlblFieldTableCache>
                        <c:ptCount val="1"/>
                      </c15:dlblFieldTableCache>
                    </c15:dlblFTEntry>
                  </c15:dlblFieldTable>
                  <c15:showDataLabelsRange val="0"/>
                </c:ext>
              </c:extLst>
            </c:dLbl>
            <c:dLbl>
              <c:idx val="6"/>
              <c:tx>
                <c:strRef>
                  <c:f>tracperf!$CC$14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{EAB4D065-434F-4C47-B60E-9E9BA15E01B9}</c15:txfldGUID>
                      <c15:f>tracperf!$CC$14</c15:f>
                      <c15:dlblFieldTableCache>
                        <c:ptCount val="1"/>
                      </c15:dlblFieldTableCache>
                    </c15:dlblFTEntry>
                  </c15:dlblFieldTable>
                  <c15:showDataLabelsRange val="0"/>
                </c:ext>
              </c:extLst>
            </c:dLbl>
            <c:dLbl>
              <c:idx val="7"/>
              <c:tx>
                <c:strRef>
                  <c:f>tracperf!$CC$15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{CCD4D3FA-E0CE-497A-B8C3-976344921799}</c15:txfldGUID>
                      <c15:f>tracperf!$CC$15</c15:f>
                      <c15:dlblFieldTableCache>
                        <c:ptCount val="1"/>
                      </c15:dlblFieldTableCache>
                    </c15:dlblFTEntry>
                  </c15:dlblFieldTable>
                  <c15:showDataLabelsRange val="0"/>
                </c:ext>
              </c:extLst>
            </c:dLbl>
            <c:dLbl>
              <c:idx val="8"/>
              <c:tx>
                <c:strRef>
                  <c:f>tracperf!$CC$16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{9EFE8325-DABE-4D23-949C-0A7EEA2B1D0B}</c15:txfldGUID>
                      <c15:f>tracperf!$CC$16</c15:f>
                      <c15:dlblFieldTableCache>
                        <c:ptCount val="1"/>
                      </c15:dlblFieldTableCache>
                    </c15:dlblFTEntry>
                  </c15:dlblFieldTable>
                  <c15:showDataLabelsRange val="0"/>
                </c:ext>
              </c:extLst>
            </c:dLbl>
            <c:dLbl>
              <c:idx val="9"/>
              <c:tx>
                <c:strRef>
                  <c:f>tracperf!$CC$17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{2474CE81-1644-4420-8096-6FE60E7BA44E}</c15:txfldGUID>
                      <c15:f>tracperf!$CC$17</c15:f>
                      <c15:dlblFieldTableCache>
                        <c:ptCount val="1"/>
                      </c15:dlblFieldTableCache>
                    </c15:dlblFTEntry>
                  </c15:dlblFieldTable>
                  <c15:showDataLabelsRange val="0"/>
                </c:ext>
              </c:extLst>
            </c:dLbl>
            <c:dLbl>
              <c:idx val="10"/>
              <c:tx>
                <c:strRef>
                  <c:f>tracperf!$CC$18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{B29738B9-80C1-43B9-A1E7-0FDED55797AD}</c15:txfldGUID>
                      <c15:f>tracperf!$CC$18</c15:f>
                      <c15:dlblFieldTableCache>
                        <c:ptCount val="1"/>
                      </c15:dlblFieldTableCache>
                    </c15:dlblFTEntry>
                  </c15:dlblFieldTable>
                  <c15:showDataLabelsRange val="0"/>
                </c:ext>
              </c:extLst>
            </c:dLbl>
            <c:dLbl>
              <c:idx val="11"/>
              <c:tx>
                <c:strRef>
                  <c:f>tracperf!$CC$19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{96544FCB-F505-4655-871A-9CEFF619801F}</c15:txfldGUID>
                      <c15:f>tracperf!$CC$19</c15:f>
                      <c15:dlblFieldTableCache>
                        <c:ptCount val="1"/>
                      </c15:dlblFieldTableCache>
                    </c15:dlblFTEntry>
                  </c15:dlblFieldTable>
                  <c15:showDataLabelsRange val="0"/>
                </c:ext>
              </c:extLst>
            </c:dLbl>
            <c:dLbl>
              <c:idx val="12"/>
              <c:tx>
                <c:strRef>
                  <c:f>tracperf!$CC$20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{58717671-29E1-447F-B87F-1A0987CDB30A}</c15:txfldGUID>
                      <c15:f>tracperf!$CC$20</c15:f>
                      <c15:dlblFieldTableCache>
                        <c:ptCount val="1"/>
                      </c15:dlblFieldTableCache>
                    </c15:dlblFTEntry>
                  </c15:dlblFieldTable>
                  <c15:showDataLabelsRange val="0"/>
                </c:ext>
              </c:extLst>
            </c:dLbl>
            <c:dLbl>
              <c:idx val="13"/>
              <c:tx>
                <c:strRef>
                  <c:f>tracperf!$CC$21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{B2B8EB7C-F911-49F4-90B1-9978CAD9B9E2}</c15:txfldGUID>
                      <c15:f>tracperf!$CC$21</c15:f>
                      <c15:dlblFieldTableCache>
                        <c:ptCount val="1"/>
                      </c15:dlblFieldTableCache>
                    </c15:dlblFTEntry>
                  </c15:dlblFieldTable>
                  <c15:showDataLabelsRange val="0"/>
                </c:ext>
              </c:extLst>
            </c:dLbl>
            <c:dLbl>
              <c:idx val="14"/>
              <c:tx>
                <c:strRef>
                  <c:f>tracperf!$CC$22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{FD313673-B79A-4761-997A-441F04DB6800}</c15:txfldGUID>
                      <c15:f>tracperf!$CC$22</c15:f>
                      <c15:dlblFieldTableCache>
                        <c:ptCount val="1"/>
                      </c15:dlblFieldTableCache>
                    </c15:dlblFTEntry>
                  </c15:dlblFieldTable>
                  <c15:showDataLabelsRange val="0"/>
                </c:ext>
              </c:extLst>
            </c:dLbl>
            <c:dLbl>
              <c:idx val="15"/>
              <c:tx>
                <c:strRef>
                  <c:f>tracperf!$CC$23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{6F99F253-6325-4A51-A8DF-938336B096DD}</c15:txfldGUID>
                      <c15:f>tracperf!$CC$23</c15:f>
                      <c15:dlblFieldTableCache>
                        <c:ptCount val="1"/>
                      </c15:dlblFieldTableCache>
                    </c15:dlblFTEntry>
                  </c15:dlblFieldTable>
                  <c15:showDataLabelsRange val="0"/>
                </c:ext>
              </c:extLst>
            </c:dLbl>
            <c:dLbl>
              <c:idx val="16"/>
              <c:tx>
                <c:strRef>
                  <c:f>tracperf!$CC$24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{773E2316-84F7-448F-8D2E-87E0A1F92AB2}</c15:txfldGUID>
                      <c15:f>tracperf!$CC$24</c15:f>
                      <c15:dlblFieldTableCache>
                        <c:ptCount val="1"/>
                      </c15:dlblFieldTableCache>
                    </c15:dlblFTEntry>
                  </c15:dlblFieldTable>
                  <c15:showDataLabelsRange val="0"/>
                </c:ext>
              </c:extLst>
            </c:dLbl>
            <c:dLbl>
              <c:idx val="17"/>
              <c:tx>
                <c:strRef>
                  <c:f>tracperf!$CC$25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{DFDA3839-B23A-44D8-B61E-FF60E342636D}</c15:txfldGUID>
                      <c15:f>tracperf!$CC$25</c15:f>
                      <c15:dlblFieldTableCache>
                        <c:ptCount val="1"/>
                      </c15:dlblFieldTableCache>
                    </c15:dlblFTEntry>
                  </c15:dlblFieldTable>
                  <c15:showDataLabelsRange val="0"/>
                </c:ext>
              </c:extLst>
            </c:dLbl>
            <c:dLbl>
              <c:idx val="18"/>
              <c:tx>
                <c:strRef>
                  <c:f>tracperf!$CC$26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{B64E9D17-D595-404A-911B-8F790DD392DE}</c15:txfldGUID>
                      <c15:f>tracperf!$CC$26</c15:f>
                      <c15:dlblFieldTableCache>
                        <c:ptCount val="1"/>
                      </c15:dlblFieldTableCache>
                    </c15:dlblFTEntry>
                  </c15:dlblFieldTable>
                  <c15:showDataLabelsRange val="0"/>
                </c:ext>
              </c:extLst>
            </c:dLbl>
            <c:dLbl>
              <c:idx val="19"/>
              <c:tx>
                <c:strRef>
                  <c:f>tracperf!$CC$27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{8CF01746-73FA-4F60-9105-ADA1910BD31F}</c15:txfldGUID>
                      <c15:f>tracperf!$CC$27</c15:f>
                      <c15:dlblFieldTableCache>
                        <c:ptCount val="1"/>
                      </c15:dlblFieldTableCache>
                    </c15:dlblFTEntry>
                  </c15:dlblFieldTable>
                  <c15:showDataLabelsRange val="0"/>
                </c:ext>
              </c:extLst>
            </c:dLbl>
            <c:dLbl>
              <c:idx val="20"/>
              <c:tx>
                <c:strRef>
                  <c:f>tracperf!$CC$28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{EFE88279-A240-4CB6-8D57-08127F35159C}</c15:txfldGUID>
                      <c15:f>tracperf!$CC$28</c15:f>
                      <c15:dlblFieldTableCache>
                        <c:ptCount val="1"/>
                      </c15:dlblFieldTableCache>
                    </c15:dlblFTEntry>
                  </c15:dlblFieldTable>
                  <c15:showDataLabelsRange val="0"/>
                </c:ext>
              </c:extLst>
            </c:dLbl>
            <c:dLbl>
              <c:idx val="21"/>
              <c:tx>
                <c:strRef>
                  <c:f>tracperf!$CC$29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{05C26020-7655-4C06-A7F5-92875D501777}</c15:txfldGUID>
                      <c15:f>tracperf!$CC$29</c15:f>
                      <c15:dlblFieldTableCache>
                        <c:ptCount val="1"/>
                      </c15:dlblFieldTableCache>
                    </c15:dlblFTEntry>
                  </c15:dlblFieldTable>
                  <c15:showDataLabelsRange val="0"/>
                </c:ext>
              </c:extLst>
            </c:dLbl>
            <c:dLbl>
              <c:idx val="22"/>
              <c:tx>
                <c:strRef>
                  <c:f>tracperf!$CC$30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{4A21BBF9-B3A3-4FFF-9A7A-4ACBC453884B}</c15:txfldGUID>
                      <c15:f>tracperf!$CC$30</c15:f>
                      <c15:dlblFieldTableCache>
                        <c:ptCount val="1"/>
                      </c15:dlblFieldTableCache>
                    </c15:dlblFTEntry>
                  </c15:dlblFieldTable>
                  <c15:showDataLabelsRange val="0"/>
                </c:ext>
              </c:extLst>
            </c:dLbl>
            <c:dLbl>
              <c:idx val="23"/>
              <c:tx>
                <c:strRef>
                  <c:f>tracperf!$CC$31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{F23731D1-89F7-4108-B473-475DE84C8859}</c15:txfldGUID>
                      <c15:f>tracperf!$CC$31</c15:f>
                      <c15:dlblFieldTableCache>
                        <c:ptCount val="1"/>
                      </c15:dlblFieldTableCache>
                    </c15:dlblFTEntry>
                  </c15:dlblFieldTable>
                  <c15:showDataLabelsRange val="0"/>
                </c:ext>
              </c:extLst>
            </c:dLbl>
            <c:dLbl>
              <c:idx val="24"/>
              <c:tx>
                <c:strRef>
                  <c:f>tracperf!$CC$32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{519DC0D6-9D3C-40E4-A557-F6F572CD43FA}</c15:txfldGUID>
                      <c15:f>tracperf!$CC$32</c15:f>
                      <c15:dlblFieldTableCache>
                        <c:ptCount val="1"/>
                      </c15:dlblFieldTableCache>
                    </c15:dlblFTEntry>
                  </c15:dlblFieldTable>
                  <c15:showDataLabelsRange val="0"/>
                </c:ext>
              </c:extLst>
            </c:dLbl>
            <c:dLbl>
              <c:idx val="25"/>
              <c:tx>
                <c:strRef>
                  <c:f>tracperf!$CC$33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{65AA75EC-487E-4654-A2DF-6C3A94438AC1}</c15:txfldGUID>
                      <c15:f>tracperf!$CC$33</c15:f>
                      <c15:dlblFieldTableCache>
                        <c:ptCount val="1"/>
                      </c15:dlblFieldTableCache>
                    </c15:dlblFTEntry>
                  </c15:dlblFieldTable>
                  <c15:showDataLabelsRange val="0"/>
                </c:ext>
              </c:extLst>
            </c:dLbl>
            <c:dLbl>
              <c:idx val="26"/>
              <c:tx>
                <c:strRef>
                  <c:f>tracperf!$CC$34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{4AF0B07E-D84A-4223-BF25-0551E15CF900}</c15:txfldGUID>
                      <c15:f>tracperf!$CC$34</c15:f>
                      <c15:dlblFieldTableCache>
                        <c:ptCount val="1"/>
                      </c15:dlblFieldTableCache>
                    </c15:dlblFTEntry>
                  </c15:dlblFieldTable>
                  <c15:showDataLabelsRange val="0"/>
                </c:ext>
              </c:extLst>
            </c:dLbl>
            <c:dLbl>
              <c:idx val="27"/>
              <c:tx>
                <c:strRef>
                  <c:f>tracperf!$CC$35</c:f>
                  <c:strCache>
                    <c:ptCount val="1"/>
                    <c:pt idx="0">
                      <c:v>GTR</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{44EA998D-10FB-4712-8A1A-94EA2C105440}</c15:txfldGUID>
                      <c15:f>tracperf!$CC$35</c15:f>
                      <c15:dlblFieldTableCache>
                        <c:ptCount val="1"/>
                        <c:pt idx="0">
                          <c:v>GTR</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yVal>
          <c:smooth val="0"/>
        </c:ser>
        <c:ser>
          <c:idx val="3"/>
          <c:order val="3"/>
          <c:spPr>
            <a:ln w="25400">
              <a:solidFill>
                <a:srgbClr val="00FF00"/>
              </a:solidFill>
              <a:prstDash val="solid"/>
            </a:ln>
          </c:spPr>
          <c:marker>
            <c:symbol val="none"/>
          </c:marker>
          <c:dLbls>
            <c:dLbl>
              <c:idx val="0"/>
              <c:tx>
                <c:strRef>
                  <c:f>tracperf!$BY$7</c:f>
                  <c:strCache>
                    <c:ptCount val="1"/>
                    <c:pt idx="0">
                      <c:v>Slip Ratio</c:v>
                    </c:pt>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{D6EA53BC-5FAB-41F3-8E02-0F873F6A8F88}</c15:txfldGUID>
                      <c15:f>tracperf!$BY$7</c15:f>
                      <c15:dlblFieldTableCache>
                        <c:ptCount val="1"/>
                        <c:pt idx="0">
                          <c:v>Slip Ratio</c:v>
                        </c:pt>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tracperf!$BY$8:$BY$35</c:f>
              <c:numCache>
                <c:formatCode>General</c:formatCode>
                <c:ptCount val="28"/>
                <c:pt idx="0">
                  <c:v>0.01</c:v>
                </c:pt>
                <c:pt idx="1">
                  <c:v>0.02</c:v>
                </c:pt>
                <c:pt idx="2">
                  <c:v>0.03</c:v>
                </c:pt>
                <c:pt idx="3">
                  <c:v>0.05</c:v>
                </c:pt>
                <c:pt idx="4">
                  <c:v>7.0000000000000007E-2</c:v>
                </c:pt>
                <c:pt idx="5">
                  <c:v>0.1</c:v>
                </c:pt>
                <c:pt idx="6">
                  <c:v>0.14000000000000001</c:v>
                </c:pt>
                <c:pt idx="7">
                  <c:v>0.16</c:v>
                </c:pt>
                <c:pt idx="8">
                  <c:v>0.18</c:v>
                </c:pt>
                <c:pt idx="9">
                  <c:v>0.2</c:v>
                </c:pt>
                <c:pt idx="10">
                  <c:v>0.22</c:v>
                </c:pt>
                <c:pt idx="11">
                  <c:v>0.24</c:v>
                </c:pt>
                <c:pt idx="12">
                  <c:v>0.26</c:v>
                </c:pt>
                <c:pt idx="13">
                  <c:v>0.28000000000000003</c:v>
                </c:pt>
                <c:pt idx="14">
                  <c:v>0.3</c:v>
                </c:pt>
                <c:pt idx="15">
                  <c:v>0.32</c:v>
                </c:pt>
                <c:pt idx="16">
                  <c:v>0.34</c:v>
                </c:pt>
                <c:pt idx="17">
                  <c:v>0.36</c:v>
                </c:pt>
                <c:pt idx="18">
                  <c:v>0.38</c:v>
                </c:pt>
                <c:pt idx="19">
                  <c:v>0.4</c:v>
                </c:pt>
                <c:pt idx="20">
                  <c:v>0.42</c:v>
                </c:pt>
                <c:pt idx="21">
                  <c:v>0.44</c:v>
                </c:pt>
                <c:pt idx="22">
                  <c:v>0.46</c:v>
                </c:pt>
                <c:pt idx="23">
                  <c:v>0.48</c:v>
                </c:pt>
                <c:pt idx="24">
                  <c:v>0.5</c:v>
                </c:pt>
              </c:numCache>
            </c:numRef>
          </c:yVal>
          <c:smooth val="0"/>
        </c:ser>
        <c:ser>
          <c:idx val="4"/>
          <c:order val="4"/>
          <c:spPr>
            <a:ln w="25400">
              <a:solidFill>
                <a:srgbClr val="800000"/>
              </a:solidFill>
              <a:prstDash val="solid"/>
            </a:ln>
          </c:spPr>
          <c:marker>
            <c:symbol val="none"/>
          </c:marker>
          <c:dLbls>
            <c:dLbl>
              <c:idx val="0"/>
              <c:tx>
                <c:strRef>
                  <c:f>tracperf!$CE$8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{2C577355-5DF4-4A0C-B216-1B610507071C}</c15:txfldGUID>
                      <c15:f>tracperf!$CE$8</c15:f>
                      <c15:dlblFieldTableCache>
                        <c:ptCount val="1"/>
                      </c15:dlblFieldTableCache>
                    </c15:dlblFTEntry>
                  </c15:dlblFieldTable>
                  <c15:showDataLabelsRange val="0"/>
                </c:ext>
              </c:extLst>
            </c:dLbl>
            <c:dLbl>
              <c:idx val="1"/>
              <c:tx>
                <c:strRef>
                  <c:f>tracperf!$CE$9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{D9679B08-39C8-443F-A92F-A37915466740}</c15:txfldGUID>
                      <c15:f>tracperf!$CE$9</c15:f>
                      <c15:dlblFieldTableCache>
                        <c:ptCount val="1"/>
                      </c15:dlblFieldTableCache>
                    </c15:dlblFTEntry>
                  </c15:dlblFieldTable>
                  <c15:showDataLabelsRange val="0"/>
                </c:ext>
              </c:extLst>
            </c:dLbl>
            <c:dLbl>
              <c:idx val="2"/>
              <c:tx>
                <c:strRef>
                  <c:f>tracperf!$CE$10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{3E676C8E-82ED-4363-8E6D-2964DF2BF09D}</c15:txfldGUID>
                      <c15:f>tracperf!$CE$10</c15:f>
                      <c15:dlblFieldTableCache>
                        <c:ptCount val="1"/>
                      </c15:dlblFieldTableCache>
                    </c15:dlblFTEntry>
                  </c15:dlblFieldTable>
                  <c15:showDataLabelsRange val="0"/>
                </c:ext>
              </c:extLst>
            </c:dLbl>
            <c:dLbl>
              <c:idx val="3"/>
              <c:tx>
                <c:strRef>
                  <c:f>tracperf!$CE$11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{1F41BF8A-E283-4D47-A3D6-71D68F73FD64}</c15:txfldGUID>
                      <c15:f>tracperf!$CE$11</c15:f>
                      <c15:dlblFieldTableCache>
                        <c:ptCount val="1"/>
                      </c15:dlblFieldTableCache>
                    </c15:dlblFTEntry>
                  </c15:dlblFieldTable>
                  <c15:showDataLabelsRange val="0"/>
                </c:ext>
              </c:extLst>
            </c:dLbl>
            <c:dLbl>
              <c:idx val="4"/>
              <c:tx>
                <c:strRef>
                  <c:f>tracperf!$CE$12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{A5421889-B7BA-4B53-A013-BC4229E8F5C9}</c15:txfldGUID>
                      <c15:f>tracperf!$CE$12</c15:f>
                      <c15:dlblFieldTableCache>
                        <c:ptCount val="1"/>
                      </c15:dlblFieldTableCache>
                    </c15:dlblFTEntry>
                  </c15:dlblFieldTable>
                  <c15:showDataLabelsRange val="0"/>
                </c:ext>
              </c:extLst>
            </c:dLbl>
            <c:dLbl>
              <c:idx val="5"/>
              <c:tx>
                <c:strRef>
                  <c:f>tracperf!$CE$13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{10898D37-CEC5-4AB6-830E-ACC2BD398EC9}</c15:txfldGUID>
                      <c15:f>tracperf!$CE$13</c15:f>
                      <c15:dlblFieldTableCache>
                        <c:ptCount val="1"/>
                      </c15:dlblFieldTableCache>
                    </c15:dlblFTEntry>
                  </c15:dlblFieldTable>
                  <c15:showDataLabelsRange val="0"/>
                </c:ext>
              </c:extLst>
            </c:dLbl>
            <c:dLbl>
              <c:idx val="6"/>
              <c:tx>
                <c:strRef>
                  <c:f>tracperf!$CE$14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{B7327593-9C86-4B86-B037-39DDD5CC26FE}</c15:txfldGUID>
                      <c15:f>tracperf!$CE$14</c15:f>
                      <c15:dlblFieldTableCache>
                        <c:ptCount val="1"/>
                      </c15:dlblFieldTableCache>
                    </c15:dlblFTEntry>
                  </c15:dlblFieldTable>
                  <c15:showDataLabelsRange val="0"/>
                </c:ext>
              </c:extLst>
            </c:dLbl>
            <c:dLbl>
              <c:idx val="7"/>
              <c:tx>
                <c:strRef>
                  <c:f>tracperf!$CE$15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{901E8371-5E25-4686-96B4-8D5F05541926}</c15:txfldGUID>
                      <c15:f>tracperf!$CE$15</c15:f>
                      <c15:dlblFieldTableCache>
                        <c:ptCount val="1"/>
                      </c15:dlblFieldTableCache>
                    </c15:dlblFTEntry>
                  </c15:dlblFieldTable>
                  <c15:showDataLabelsRange val="0"/>
                </c:ext>
              </c:extLst>
            </c:dLbl>
            <c:dLbl>
              <c:idx val="8"/>
              <c:tx>
                <c:strRef>
                  <c:f>tracperf!$CE$16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{02AFD528-3707-462B-BFCC-4E90D870EA61}</c15:txfldGUID>
                      <c15:f>tracperf!$CE$16</c15:f>
                      <c15:dlblFieldTableCache>
                        <c:ptCount val="1"/>
                      </c15:dlblFieldTableCache>
                    </c15:dlblFTEntry>
                  </c15:dlblFieldTable>
                  <c15:showDataLabelsRange val="0"/>
                </c:ext>
              </c:extLst>
            </c:dLbl>
            <c:dLbl>
              <c:idx val="9"/>
              <c:tx>
                <c:strRef>
                  <c:f>tracperf!$CE$17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{4C30AB37-D37D-48D8-844C-2BF56489EEC6}</c15:txfldGUID>
                      <c15:f>tracperf!$CE$17</c15:f>
                      <c15:dlblFieldTableCache>
                        <c:ptCount val="1"/>
                      </c15:dlblFieldTableCache>
                    </c15:dlblFTEntry>
                  </c15:dlblFieldTable>
                  <c15:showDataLabelsRange val="0"/>
                </c:ext>
              </c:extLst>
            </c:dLbl>
            <c:dLbl>
              <c:idx val="10"/>
              <c:tx>
                <c:strRef>
                  <c:f>tracperf!$CE$18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{59D04F3E-FB56-4F6D-AD46-0D077336CEF1}</c15:txfldGUID>
                      <c15:f>tracperf!$CE$18</c15:f>
                      <c15:dlblFieldTableCache>
                        <c:ptCount val="1"/>
                      </c15:dlblFieldTableCache>
                    </c15:dlblFTEntry>
                  </c15:dlblFieldTable>
                  <c15:showDataLabelsRange val="0"/>
                </c:ext>
              </c:extLst>
            </c:dLbl>
            <c:dLbl>
              <c:idx val="11"/>
              <c:tx>
                <c:strRef>
                  <c:f>tracperf!$CE$19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{0836DEFA-08A1-405C-B555-691E03FC8898}</c15:txfldGUID>
                      <c15:f>tracperf!$CE$19</c15:f>
                      <c15:dlblFieldTableCache>
                        <c:ptCount val="1"/>
                      </c15:dlblFieldTableCache>
                    </c15:dlblFTEntry>
                  </c15:dlblFieldTable>
                  <c15:showDataLabelsRange val="0"/>
                </c:ext>
              </c:extLst>
            </c:dLbl>
            <c:dLbl>
              <c:idx val="12"/>
              <c:tx>
                <c:strRef>
                  <c:f>tracperf!$CE$20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{52CD314E-DBCD-4CF6-942C-44C8D0F7CE9F}</c15:txfldGUID>
                      <c15:f>tracperf!$CE$20</c15:f>
                      <c15:dlblFieldTableCache>
                        <c:ptCount val="1"/>
                      </c15:dlblFieldTableCache>
                    </c15:dlblFTEntry>
                  </c15:dlblFieldTable>
                  <c15:showDataLabelsRange val="0"/>
                </c:ext>
              </c:extLst>
            </c:dLbl>
            <c:dLbl>
              <c:idx val="13"/>
              <c:tx>
                <c:strRef>
                  <c:f>tracperf!$CE$21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{7482AED3-3B52-4CE9-851D-CF82BECB001D}</c15:txfldGUID>
                      <c15:f>tracperf!$CE$21</c15:f>
                      <c15:dlblFieldTableCache>
                        <c:ptCount val="1"/>
                      </c15:dlblFieldTableCache>
                    </c15:dlblFTEntry>
                  </c15:dlblFieldTable>
                  <c15:showDataLabelsRange val="0"/>
                </c:ext>
              </c:extLst>
            </c:dLbl>
            <c:dLbl>
              <c:idx val="14"/>
              <c:tx>
                <c:strRef>
                  <c:f>tracperf!$CE$22</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{8383F2CB-CEBE-49AA-BD93-43111B86C20E}</c15:txfldGUID>
                      <c15:f>tracperf!$CE$22</c15:f>
                      <c15:dlblFieldTableCache>
                        <c:ptCount val="1"/>
                      </c15:dlblFieldTableCache>
                    </c15:dlblFTEntry>
                  </c15:dlblFieldTable>
                  <c15:showDataLabelsRange val="0"/>
                </c:ext>
              </c:extLst>
            </c:dLbl>
            <c:dLbl>
              <c:idx val="15"/>
              <c:tx>
                <c:strRef>
                  <c:f>tracperf!$CE$23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{2BE7126F-23C4-40A1-8772-B39D9B13E64C}</c15:txfldGUID>
                      <c15:f>tracperf!$CE$23</c15:f>
                      <c15:dlblFieldTableCache>
                        <c:ptCount val="1"/>
                      </c15:dlblFieldTableCache>
                    </c15:dlblFTEntry>
                  </c15:dlblFieldTable>
                  <c15:showDataLabelsRange val="0"/>
                </c:ext>
              </c:extLst>
            </c:dLbl>
            <c:dLbl>
              <c:idx val="16"/>
              <c:tx>
                <c:strRef>
                  <c:f>tracperf!$CE$24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{730D04D7-931A-4B86-889E-DFA4887C4C36}</c15:txfldGUID>
                      <c15:f>tracperf!$CE$24</c15:f>
                      <c15:dlblFieldTableCache>
                        <c:ptCount val="1"/>
                      </c15:dlblFieldTableCache>
                    </c15:dlblFTEntry>
                  </c15:dlblFieldTable>
                  <c15:showDataLabelsRange val="0"/>
                </c:ext>
              </c:extLst>
            </c:dLbl>
            <c:dLbl>
              <c:idx val="17"/>
              <c:tx>
                <c:strRef>
                  <c:f>tracperf!$CE$25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{08A00F7C-C8FC-4AD5-A430-324E113111C3}</c15:txfldGUID>
                      <c15:f>tracperf!$CE$25</c15:f>
                      <c15:dlblFieldTableCache>
                        <c:ptCount val="1"/>
                      </c15:dlblFieldTableCache>
                    </c15:dlblFTEntry>
                  </c15:dlblFieldTable>
                  <c15:showDataLabelsRange val="0"/>
                </c:ext>
              </c:extLst>
            </c:dLbl>
            <c:dLbl>
              <c:idx val="18"/>
              <c:tx>
                <c:strRef>
                  <c:f>tracperf!$CE$26</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{1221C536-8779-4927-BC35-7C82E9A65D08}</c15:txfldGUID>
                      <c15:f>tracperf!$CE$26</c15:f>
                      <c15:dlblFieldTableCache>
                        <c:ptCount val="1"/>
                      </c15:dlblFieldTableCache>
                    </c15:dlblFTEntry>
                  </c15:dlblFieldTable>
                  <c15:showDataLabelsRange val="0"/>
                </c:ext>
              </c:extLst>
            </c:dLbl>
            <c:dLbl>
              <c:idx val="19"/>
              <c:tx>
                <c:strRef>
                  <c:f>tracperf!$CE$27</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{42EF03CF-092C-421A-AF81-039F8562AF85}</c15:txfldGUID>
                      <c15:f>tracperf!$CE$27</c15:f>
                      <c15:dlblFieldTableCache>
                        <c:ptCount val="1"/>
                      </c15:dlblFieldTableCache>
                    </c15:dlblFTEntry>
                  </c15:dlblFieldTable>
                  <c15:showDataLabelsRange val="0"/>
                </c:ext>
              </c:extLst>
            </c:dLbl>
            <c:dLbl>
              <c:idx val="20"/>
              <c:tx>
                <c:strRef>
                  <c:f>tracperf!$CE$28</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{44EDB3AD-A1AC-4E1A-8A14-1C2A3293BB47}</c15:txfldGUID>
                      <c15:f>tracperf!$CE$28</c15:f>
                      <c15:dlblFieldTableCache>
                        <c:ptCount val="1"/>
                      </c15:dlblFieldTableCache>
                    </c15:dlblFTEntry>
                  </c15:dlblFieldTable>
                  <c15:showDataLabelsRange val="0"/>
                </c:ext>
              </c:extLst>
            </c:dLbl>
            <c:dLbl>
              <c:idx val="21"/>
              <c:tx>
                <c:strRef>
                  <c:f>tracperf!$CE$29</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{76395316-84A7-4847-91AE-8EC29FDDEA9A}</c15:txfldGUID>
                      <c15:f>tracperf!$CE$29</c15:f>
                      <c15:dlblFieldTableCache>
                        <c:ptCount val="1"/>
                      </c15:dlblFieldTableCache>
                    </c15:dlblFTEntry>
                  </c15:dlblFieldTable>
                  <c15:showDataLabelsRange val="0"/>
                </c:ext>
              </c:extLst>
            </c:dLbl>
            <c:dLbl>
              <c:idx val="22"/>
              <c:tx>
                <c:strRef>
                  <c:f>tracperf!$CE$30</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{B434604F-E84D-4C52-BAD0-8C77BAC82881}</c15:txfldGUID>
                      <c15:f>tracperf!$CE$30</c15:f>
                      <c15:dlblFieldTableCache>
                        <c:ptCount val="1"/>
                      </c15:dlblFieldTableCache>
                    </c15:dlblFTEntry>
                  </c15:dlblFieldTable>
                  <c15:showDataLabelsRange val="0"/>
                </c:ext>
              </c:extLst>
            </c:dLbl>
            <c:dLbl>
              <c:idx val="23"/>
              <c:tx>
                <c:strRef>
                  <c:f>tracperf!$CE$31</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{EC7685F4-12A6-4840-86E3-996CBC7A35B9}</c15:txfldGUID>
                      <c15:f>tracperf!$CE$31</c15:f>
                      <c15:dlblFieldTableCache>
                        <c:ptCount val="1"/>
                      </c15:dlblFieldTableCache>
                    </c15:dlblFTEntry>
                  </c15:dlblFieldTable>
                  <c15:showDataLabelsRange val="0"/>
                </c:ext>
              </c:extLst>
            </c:dLbl>
            <c:dLbl>
              <c:idx val="24"/>
              <c:tx>
                <c:strRef>
                  <c:f>tracperf!$CE$32</c:f>
                  <c:strCache>
                    <c:ptCount val="1"/>
                    <c:pt idx="0">
                      <c:v>M/W</c:v>
                    </c:pt>
                  </c:strCache>
                </c:strRef>
              </c:tx>
              <c:spPr>
                <a:noFill/>
                <a:ln w="25400">
                  <a:noFill/>
                </a:ln>
              </c:spPr>
              <c:txPr>
                <a:bodyPr/>
                <a:lstStyle/>
                <a:p>
                  <a:pPr>
                    <a:defRPr sz="1000" b="1" i="0" u="none" strike="noStrike" baseline="0">
                      <a:solidFill>
                        <a:srgbClr val="8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{3FDC755C-5886-4625-BD5C-DA7FFB519528}</c15:txfldGUID>
                      <c15:f>tracperf!$CE$32</c15:f>
                      <c15:dlblFieldTableCache>
                        <c:ptCount val="1"/>
                        <c:pt idx="0">
                          <c:v>M/W</c:v>
                        </c:pt>
                      </c15:dlblFieldTableCache>
                    </c15:dlblFTEntry>
                  </c15:dlblFieldTable>
                  <c15:showDataLabelsRange val="0"/>
                </c:ext>
              </c:extLst>
            </c:dLbl>
            <c:dLbl>
              <c:idx val="25"/>
              <c:tx>
                <c:strRef>
                  <c:f>tracperf!$CE$33</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{9A182F44-EA15-4539-8252-C0E6BF962751}</c15:txfldGUID>
                      <c15:f>tracperf!$CE$33</c15:f>
                      <c15:dlblFieldTableCache>
                        <c:ptCount val="1"/>
                      </c15:dlblFieldTableCache>
                    </c15:dlblFTEntry>
                  </c15:dlblFieldTable>
                  <c15:showDataLabelsRange val="0"/>
                </c:ext>
              </c:extLst>
            </c:dLbl>
            <c:dLbl>
              <c:idx val="26"/>
              <c:tx>
                <c:strRef>
                  <c:f>tracperf!$CE$34</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{D2388D2D-1300-4951-BA28-B904DACFAE68}</c15:txfldGUID>
                      <c15:f>tracperf!$CE$34</c15:f>
                      <c15:dlblFieldTableCache>
                        <c:ptCount val="1"/>
                      </c15:dlblFieldTableCache>
                    </c15:dlblFTEntry>
                  </c15:dlblFieldTable>
                  <c15:showDataLabelsRange val="0"/>
                </c:ext>
              </c:extLst>
            </c:dLbl>
            <c:dLbl>
              <c:idx val="27"/>
              <c:tx>
                <c:strRef>
                  <c:f>tracperf!$CE$35</c:f>
                  <c:strCache>
                    <c:ptCount val="1"/>
                  </c:strCache>
                </c:strRef>
              </c:tx>
              <c:spPr>
                <a:noFill/>
                <a:ln w="25400">
                  <a:noFill/>
                </a:ln>
              </c:spPr>
              <c:txPr>
                <a:bodyPr/>
                <a:lstStyle/>
                <a:p>
                  <a:pPr>
                    <a:defRPr sz="1000" b="1" i="0" u="none" strike="noStrike" baseline="0">
                      <a:solidFill>
                        <a:srgbClr val="000000"/>
                      </a:solidFill>
                      <a:latin typeface="Arial"/>
                      <a:ea typeface="Arial"/>
                      <a:cs typeface="Arial"/>
                    </a:defRPr>
                  </a:pPr>
                  <a:endParaRPr lang="en-US"/>
                </a:p>
              </c:txPr>
              <c:showLegendKey val="0"/>
              <c:showVal val="0"/>
              <c:showCatName val="0"/>
              <c:showSerName val="0"/>
              <c:showPercent val="0"/>
              <c:showBubbleSize val="0"/>
              <c:extLst>
                <c:ext xmlns:c15="http://schemas.microsoft.com/office/drawing/2012/chart" uri="{CE6537A1-D6FC-4f65-9D91-7224C49458BB}">
                  <c15:dlblFieldTable>
                    <c15:dlblFTEntry>
                      <c15:txfldGUID>{A685A984-EADB-42F3-8A5B-263BE186E0CE}</c15:txfldGUID>
                      <c15:f>tracperf!$CE$35</c15:f>
                      <c15:dlblFieldTableCache>
                        <c:ptCount val="1"/>
                      </c15:dlblFieldTableCache>
                    </c15:dlblFTEntry>
                  </c15:dlblFieldTable>
                  <c15:showDataLabelsRange val="0"/>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tracperf!$BU$8:$BU$35</c:f>
              <c:numCache>
                <c:formatCode>0.000_)</c:formatCode>
                <c:ptCount val="28"/>
                <c:pt idx="0">
                  <c:v>8.9411956514593549E-2</c:v>
                </c:pt>
                <c:pt idx="1">
                  <c:v>0.14480729759732155</c:v>
                </c:pt>
                <c:pt idx="2">
                  <c:v>0.19645757127443927</c:v>
                </c:pt>
                <c:pt idx="3">
                  <c:v>0.28951855802923898</c:v>
                </c:pt>
                <c:pt idx="4">
                  <c:v>0.37042189325886343</c:v>
                </c:pt>
                <c:pt idx="5">
                  <c:v>0.47239819493341861</c:v>
                </c:pt>
                <c:pt idx="6">
                  <c:v>0.57897333022747322</c:v>
                </c:pt>
                <c:pt idx="7">
                  <c:v>0.62206178324488359</c:v>
                </c:pt>
                <c:pt idx="8">
                  <c:v>0.65952108472616378</c:v>
                </c:pt>
                <c:pt idx="9">
                  <c:v>0.69208663696120154</c:v>
                </c:pt>
                <c:pt idx="10">
                  <c:v>0.72039776798704147</c:v>
                </c:pt>
                <c:pt idx="11">
                  <c:v>0.74501028289781013</c:v>
                </c:pt>
                <c:pt idx="12">
                  <c:v>0.76640737542936277</c:v>
                </c:pt>
                <c:pt idx="13">
                  <c:v>0.7850091140352583</c:v>
                </c:pt>
                <c:pt idx="14">
                  <c:v>0.80118068868502956</c:v>
                </c:pt>
                <c:pt idx="15">
                  <c:v>0.81523958028617471</c:v>
                </c:pt>
                <c:pt idx="16">
                  <c:v>0.82746179348020932</c:v>
                </c:pt>
                <c:pt idx="17">
                  <c:v>0.83808727517524317</c:v>
                </c:pt>
                <c:pt idx="18">
                  <c:v>0.84732462519190033</c:v>
                </c:pt>
                <c:pt idx="19">
                  <c:v>0.85535519150214234</c:v>
                </c:pt>
                <c:pt idx="20">
                  <c:v>0.86233663045886755</c:v>
                </c:pt>
                <c:pt idx="21">
                  <c:v>0.86840600191083062</c:v>
                </c:pt>
                <c:pt idx="22">
                  <c:v>0.87368245996628913</c:v>
                </c:pt>
                <c:pt idx="23">
                  <c:v>0.87826959223053824</c:v>
                </c:pt>
                <c:pt idx="24">
                  <c:v>0.882257453441327</c:v>
                </c:pt>
                <c:pt idx="25">
                  <c:v>0.48984662266618884</c:v>
                </c:pt>
                <c:pt idx="26">
                  <c:v>0.48984662266618884</c:v>
                </c:pt>
                <c:pt idx="27" formatCode="General">
                  <c:v>1</c:v>
                </c:pt>
              </c:numCache>
            </c:numRef>
          </c:xVal>
          <c:yVal>
            <c:numRef>
              <c:f>tracperf!$BV$8:$BV$35</c:f>
              <c:numCache>
                <c:formatCode>0.000_)</c:formatCode>
                <c:ptCount val="28"/>
                <c:pt idx="0">
                  <c:v>4.5111132891390501E-2</c:v>
                </c:pt>
                <c:pt idx="1">
                  <c:v>4.5661896922463058E-2</c:v>
                </c:pt>
                <c:pt idx="2">
                  <c:v>4.6212660953535607E-2</c:v>
                </c:pt>
                <c:pt idx="3">
                  <c:v>4.731418901568072E-2</c:v>
                </c:pt>
                <c:pt idx="4">
                  <c:v>4.8415717077825833E-2</c:v>
                </c:pt>
                <c:pt idx="5">
                  <c:v>5.0068009171043495E-2</c:v>
                </c:pt>
                <c:pt idx="6">
                  <c:v>5.2271065295333721E-2</c:v>
                </c:pt>
                <c:pt idx="7">
                  <c:v>5.3372593357478827E-2</c:v>
                </c:pt>
                <c:pt idx="8">
                  <c:v>5.447412141962394E-2</c:v>
                </c:pt>
                <c:pt idx="9">
                  <c:v>5.5575649481769046E-2</c:v>
                </c:pt>
                <c:pt idx="10">
                  <c:v>5.6677177543914159E-2</c:v>
                </c:pt>
                <c:pt idx="11">
                  <c:v>5.7778705606059272E-2</c:v>
                </c:pt>
                <c:pt idx="12">
                  <c:v>5.8880233668204385E-2</c:v>
                </c:pt>
                <c:pt idx="13">
                  <c:v>5.9981761730349491E-2</c:v>
                </c:pt>
                <c:pt idx="14">
                  <c:v>6.1083289792494597E-2</c:v>
                </c:pt>
                <c:pt idx="15">
                  <c:v>6.218481785463971E-2</c:v>
                </c:pt>
                <c:pt idx="16">
                  <c:v>6.3286345916784822E-2</c:v>
                </c:pt>
                <c:pt idx="17">
                  <c:v>6.4387873978929935E-2</c:v>
                </c:pt>
                <c:pt idx="18">
                  <c:v>6.5489402041075048E-2</c:v>
                </c:pt>
                <c:pt idx="19">
                  <c:v>6.6590930103220203E-2</c:v>
                </c:pt>
                <c:pt idx="20">
                  <c:v>6.7692458165365316E-2</c:v>
                </c:pt>
                <c:pt idx="21">
                  <c:v>6.8793986227510429E-2</c:v>
                </c:pt>
                <c:pt idx="22">
                  <c:v>6.9895514289655541E-2</c:v>
                </c:pt>
                <c:pt idx="23">
                  <c:v>7.099704235180064E-2</c:v>
                </c:pt>
                <c:pt idx="24">
                  <c:v>7.2098570413945753E-2</c:v>
                </c:pt>
              </c:numCache>
            </c:numRef>
          </c:yVal>
          <c:smooth val="0"/>
        </c:ser>
        <c:dLbls>
          <c:showLegendKey val="0"/>
          <c:showVal val="0"/>
          <c:showCatName val="0"/>
          <c:showSerName val="0"/>
          <c:showPercent val="0"/>
          <c:showBubbleSize val="0"/>
        </c:dLbls>
        <c:axId val="453804520"/>
        <c:axId val="453804912"/>
      </c:scatterChart>
      <c:valAx>
        <c:axId val="453804520"/>
        <c:scaling>
          <c:orientation val="minMax"/>
          <c:max val="1"/>
          <c:min val="0"/>
        </c:scaling>
        <c:delete val="0"/>
        <c:axPos val="b"/>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Gross Traction Ratio, GTR</a:t>
                </a:r>
              </a:p>
            </c:rich>
          </c:tx>
          <c:layout>
            <c:manualLayout>
              <c:xMode val="edge"/>
              <c:yMode val="edge"/>
              <c:x val="0.4384017758046615"/>
              <c:y val="0.94453507340946163"/>
            </c:manualLayout>
          </c:layout>
          <c:overlay val="0"/>
          <c:spPr>
            <a:noFill/>
            <a:ln w="25400">
              <a:noFill/>
            </a:ln>
          </c:spPr>
        </c:title>
        <c:numFmt formatCode="0.000_)" sourceLinked="1"/>
        <c:majorTickMark val="in"/>
        <c:minorTickMark val="none"/>
        <c:tickLblPos val="low"/>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53804912"/>
        <c:crosses val="autoZero"/>
        <c:crossBetween val="midCat"/>
      </c:valAx>
      <c:valAx>
        <c:axId val="453804912"/>
        <c:scaling>
          <c:orientation val="minMax"/>
          <c:max val="1"/>
          <c:min val="0"/>
        </c:scaling>
        <c:delete val="0"/>
        <c:axPos val="l"/>
        <c:majorGridlines>
          <c:spPr>
            <a:ln w="3175">
              <a:solidFill>
                <a:srgbClr val="000000"/>
              </a:solidFill>
              <a:prstDash val="solid"/>
            </a:ln>
          </c:spPr>
        </c:majorGridlines>
        <c:numFmt formatCode="0.000_)" sourceLinked="1"/>
        <c:majorTickMark val="out"/>
        <c:minorTickMark val="none"/>
        <c:tickLblPos val="nextTo"/>
        <c:spPr>
          <a:ln w="3175">
            <a:solidFill>
              <a:srgbClr val="000000"/>
            </a:solidFill>
            <a:prstDash val="solid"/>
          </a:ln>
        </c:spPr>
        <c:txPr>
          <a:bodyPr rot="0" vert="horz"/>
          <a:lstStyle/>
          <a:p>
            <a:pPr>
              <a:defRPr sz="1000" b="1" i="0" u="none" strike="noStrike" baseline="0">
                <a:solidFill>
                  <a:srgbClr val="000000"/>
                </a:solidFill>
                <a:latin typeface="Arial"/>
                <a:ea typeface="Arial"/>
                <a:cs typeface="Arial"/>
              </a:defRPr>
            </a:pPr>
            <a:endParaRPr lang="en-US"/>
          </a:p>
        </c:txPr>
        <c:crossAx val="453804520"/>
        <c:crosses val="autoZero"/>
        <c:crossBetween val="midCat"/>
      </c:valAx>
      <c:spPr>
        <a:solidFill>
          <a:srgbClr val="C0C0C0"/>
        </a:solidFill>
        <a:ln w="12700">
          <a:solidFill>
            <a:srgbClr val="808080"/>
          </a:solidFill>
          <a:prstDash val="solid"/>
        </a:ln>
      </c:spPr>
    </c:plotArea>
    <c:plotVisOnly val="0"/>
    <c:dispBlanksAs val="gap"/>
    <c:showDLblsOverMax val="0"/>
  </c:chart>
  <c:spPr>
    <a:noFill/>
    <a:ln w="6350">
      <a:noFill/>
    </a:ln>
  </c:spPr>
  <c:txPr>
    <a:bodyPr/>
    <a:lstStyle/>
    <a:p>
      <a:pPr>
        <a:defRPr sz="1000" b="1"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10.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chartsheets/_rels/sheet6.xml.rels><?xml version="1.0" encoding="UTF-8" standalone="yes"?>
<Relationships xmlns="http://schemas.openxmlformats.org/package/2006/relationships"><Relationship Id="rId1" Type="http://schemas.openxmlformats.org/officeDocument/2006/relationships/drawing" Target="../drawings/drawing18.xml"/></Relationships>
</file>

<file path=xl/chartsheets/_rels/sheet7.xml.rels><?xml version="1.0" encoding="UTF-8" standalone="yes"?>
<Relationships xmlns="http://schemas.openxmlformats.org/package/2006/relationships"><Relationship Id="rId1" Type="http://schemas.openxmlformats.org/officeDocument/2006/relationships/drawing" Target="../drawings/drawing21.xml"/></Relationships>
</file>

<file path=xl/chartsheets/sheet1.xml><?xml version="1.0" encoding="utf-8"?>
<chartsheet xmlns="http://schemas.openxmlformats.org/spreadsheetml/2006/main" xmlns:r="http://schemas.openxmlformats.org/officeDocument/2006/relationships" xmlns:xdr="http://schemas.openxmlformats.org/drawingml/2006/spreadsheetDrawing" xmlns:x14="http://schemas.microsoft.com/office/spreadsheetml/2009/9/main">
  <sheetPr/>
  <sheetViews>
    <sheetView workbookViewId="0" zoomToFit="1"/>
  </sheetViews>
  <pageMargins left="0.75" right="0.75" top="1" bottom="1" header="0.5" footer="0.5"/>
  <pageSetup orientation="landscape" horizontalDpi="4294967292" verticalDpi="300" r:id="rId1"/>
  <headerFooter alignWithMargins="0">
    <oddHeader>&amp;A</oddHeader>
    <oddFooter>Page &amp;P</oddFooter>
  </headerFooter>
  <drawing r:id="rId2"/>
  <legacyDrawing r:id="rId3"/>
</chartsheet>
</file>

<file path=xl/chartsheets/sheet2.xml><?xml version="1.0" encoding="utf-8"?>
<chartsheet xmlns="http://schemas.openxmlformats.org/spreadsheetml/2006/main" xmlns:r="http://schemas.openxmlformats.org/officeDocument/2006/relationships">
  <sheetPr/>
  <sheetViews>
    <sheetView workbookViewId="0" zoomToFit="1"/>
  </sheetViews>
  <sheetProtection password="C526" content="1" objects="1"/>
  <pageMargins left="0.75" right="0.75" top="1" bottom="1" header="0.5" footer="0.5"/>
  <headerFooter alignWithMargins="0">
    <oddHeader>&amp;A</oddHeader>
    <oddFooter>Page &amp;P</oddFooter>
  </headerFooter>
  <drawing r:id="rId1"/>
</chartsheet>
</file>

<file path=xl/chartsheets/sheet3.xml><?xml version="1.0" encoding="utf-8"?>
<chartsheet xmlns="http://schemas.openxmlformats.org/spreadsheetml/2006/main" xmlns:r="http://schemas.openxmlformats.org/officeDocument/2006/relationships">
  <sheetPr/>
  <sheetViews>
    <sheetView workbookViewId="0" zoomToFit="1"/>
  </sheetViews>
  <sheetProtection password="C526" content="1" objects="1"/>
  <pageMargins left="0.75" right="0.75" top="1" bottom="1" header="0.5" footer="0.5"/>
  <headerFooter alignWithMargins="0">
    <oddHeader>&amp;A</oddHeader>
    <oddFooter>Page &amp;P</oddFooter>
  </headerFooter>
  <drawing r:id="rId1"/>
</chartsheet>
</file>

<file path=xl/chartsheets/sheet4.xml><?xml version="1.0" encoding="utf-8"?>
<chartsheet xmlns="http://schemas.openxmlformats.org/spreadsheetml/2006/main" xmlns:r="http://schemas.openxmlformats.org/officeDocument/2006/relationships">
  <sheetPr/>
  <sheetViews>
    <sheetView workbookViewId="0" zoomToFit="1"/>
  </sheetViews>
  <sheetProtection password="C526" content="1" objects="1"/>
  <pageMargins left="0.75" right="0.75" top="1" bottom="1" header="0.5" footer="0.5"/>
  <headerFooter alignWithMargins="0">
    <oddHeader>&amp;A</oddHeader>
    <oddFooter>Page &amp;P</oddFooter>
  </headerFooter>
  <drawing r:id="rId1"/>
</chartsheet>
</file>

<file path=xl/chartsheets/sheet5.xml><?xml version="1.0" encoding="utf-8"?>
<chartsheet xmlns="http://schemas.openxmlformats.org/spreadsheetml/2006/main" xmlns:r="http://schemas.openxmlformats.org/officeDocument/2006/relationships">
  <sheetPr/>
  <sheetViews>
    <sheetView workbookViewId="0" zoomToFit="1"/>
  </sheetViews>
  <pageMargins left="0.75" right="0.75" top="1" bottom="1" header="0.5" footer="0.5"/>
  <pageSetup orientation="landscape" horizontalDpi="300" verticalDpi="300" r:id="rId1"/>
  <headerFooter alignWithMargins="0">
    <oddHeader>&amp;A</oddHeader>
    <oddFooter>Page &amp;P</oddFooter>
  </headerFooter>
  <drawing r:id="rId2"/>
</chartsheet>
</file>

<file path=xl/chartsheets/sheet6.xml><?xml version="1.0" encoding="utf-8"?>
<chartsheet xmlns="http://schemas.openxmlformats.org/spreadsheetml/2006/main" xmlns:r="http://schemas.openxmlformats.org/officeDocument/2006/relationships">
  <sheetPr/>
  <sheetViews>
    <sheetView workbookViewId="0" zoomToFit="1"/>
  </sheetViews>
  <sheetProtection password="C526" content="1" objects="1"/>
  <pageMargins left="0.75" right="0.75" top="1" bottom="1" header="0.5" footer="0.5"/>
  <headerFooter alignWithMargins="0">
    <oddHeader>&amp;A</oddHeader>
    <oddFooter>Page &amp;P</oddFooter>
  </headerFooter>
  <drawing r:id="rId1"/>
</chartsheet>
</file>

<file path=xl/chartsheets/sheet7.xml><?xml version="1.0" encoding="utf-8"?>
<chartsheet xmlns="http://schemas.openxmlformats.org/spreadsheetml/2006/main" xmlns:r="http://schemas.openxmlformats.org/officeDocument/2006/relationships">
  <sheetPr/>
  <sheetViews>
    <sheetView workbookViewId="0" zoomToFit="1"/>
  </sheetViews>
  <pageMargins left="0.75" right="0.75" top="1" bottom="1" header="0.5" footer="0.5"/>
  <headerFooter alignWithMargins="0">
    <oddHeader>&amp;A</oddHeader>
    <oddFooter>Page &amp;P</oddFooter>
  </headerFooter>
  <drawing r:id="rId1"/>
</chartsheet>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dialogsheets/_rels/sheet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dialogsheets/_rels/sheet2.xml.rels><?xml version="1.0" encoding="UTF-8" standalone="yes"?>
<Relationships xmlns="http://schemas.openxmlformats.org/package/2006/relationships"><Relationship Id="rId1" Type="http://schemas.openxmlformats.org/officeDocument/2006/relationships/vmlDrawing" Target="../drawings/vmlDrawing10.vml"/></Relationships>
</file>

<file path=xl/dialogsheets/_rels/sheet3.xml.rels><?xml version="1.0" encoding="UTF-8" standalone="yes"?>
<Relationships xmlns="http://schemas.openxmlformats.org/package/2006/relationships"><Relationship Id="rId1" Type="http://schemas.openxmlformats.org/officeDocument/2006/relationships/vmlDrawing" Target="../drawings/vmlDrawing11.vml"/></Relationships>
</file>

<file path=xl/dialogsheets/_rels/sheet4.xml.rels><?xml version="1.0" encoding="UTF-8" standalone="yes"?>
<Relationships xmlns="http://schemas.openxmlformats.org/package/2006/relationships"><Relationship Id="rId1" Type="http://schemas.openxmlformats.org/officeDocument/2006/relationships/vmlDrawing" Target="../drawings/vmlDrawing13.vml"/></Relationships>
</file>

<file path=xl/dialogsheets/_rels/sheet5.xml.rels><?xml version="1.0" encoding="UTF-8" standalone="yes"?>
<Relationships xmlns="http://schemas.openxmlformats.org/package/2006/relationships"><Relationship Id="rId1" Type="http://schemas.openxmlformats.org/officeDocument/2006/relationships/vmlDrawing" Target="../drawings/vmlDrawing14.vml"/></Relationships>
</file>

<file path=xl/dialogsheets/sheet1.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0.875" defaultRowHeight="5.25" customHeight="1"/>
  <sheetProtection sheet="1"/>
  <printOptions gridLines="1" gridLinesSet="0"/>
  <pageMargins left="0.75" right="0.75" top="1" bottom="1" header="0.5" footer="0.5"/>
  <pageSetup orientation="portrait" horizontalDpi="4294967292" verticalDpi="0" r:id="rId1"/>
  <headerFooter alignWithMargins="0">
    <oddHeader>&amp;A</oddHeader>
    <oddFooter>Page &amp;P</oddFooter>
  </headerFooter>
  <legacyDrawing r:id="rId2"/>
</dialogsheet>
</file>

<file path=xl/dialogsheets/sheet2.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0.875"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3.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0.875"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4.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0.875"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ialogsheets/sheet5.xml><?xml version="1.0" encoding="utf-8"?>
<dialog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Views>
    <sheetView showRowColHeaders="0" showZeros="0" showOutlineSymbols="0" workbookViewId="0"/>
  </sheetViews>
  <sheetFormatPr defaultColWidth="0.875" defaultRowHeight="5.25" customHeight="1"/>
  <sheetProtection sheet="1"/>
  <printOptions gridLines="1" gridLinesSet="0"/>
  <pageMargins left="0.75" right="0.75" top="1" bottom="1" header="0.5" footer="0.5"/>
  <headerFooter alignWithMargins="0">
    <oddHeader>&amp;A</oddHeader>
    <oddFooter>Page &amp;P</oddFooter>
  </headerFooter>
  <legacyDrawing r:id="rId1"/>
</dialogsheet>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20.xml.rels><?xml version="1.0" encoding="UTF-8" standalone="yes"?>
<Relationships xmlns="http://schemas.openxmlformats.org/package/2006/relationships"><Relationship Id="rId1" Type="http://schemas.openxmlformats.org/officeDocument/2006/relationships/image" Target="../media/image1.emf"/></Relationships>
</file>

<file path=xl/drawings/_rels/drawing21.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6</xdr:col>
          <xdr:colOff>38100</xdr:colOff>
          <xdr:row>7</xdr:row>
          <xdr:rowOff>152400</xdr:rowOff>
        </xdr:from>
        <xdr:to>
          <xdr:col>6</xdr:col>
          <xdr:colOff>952500</xdr:colOff>
          <xdr:row>9</xdr:row>
          <xdr:rowOff>0</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18288" rIns="36576" bIns="18288" anchor="ctr" upright="1"/>
            <a:lstStyle/>
            <a:p>
              <a:pPr algn="ctr" rtl="0">
                <a:defRPr sz="1000"/>
              </a:pPr>
              <a:r>
                <a:rPr lang="en-US" sz="800" b="1" i="0" u="none" strike="noStrike" baseline="0">
                  <a:solidFill>
                    <a:srgbClr val="FF0000"/>
                  </a:solidFill>
                  <a:latin typeface="Courier"/>
                </a:rPr>
                <a:t>Calculate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28575</xdr:colOff>
          <xdr:row>20</xdr:row>
          <xdr:rowOff>9525</xdr:rowOff>
        </xdr:from>
        <xdr:to>
          <xdr:col>2</xdr:col>
          <xdr:colOff>9525</xdr:colOff>
          <xdr:row>21</xdr:row>
          <xdr:rowOff>0</xdr:rowOff>
        </xdr:to>
        <xdr:sp macro="" textlink="">
          <xdr:nvSpPr>
            <xdr:cNvPr id="1033" name="Button 9" hidden="1">
              <a:extLst>
                <a:ext uri="{63B3BB69-23CF-44E3-9099-C40C66FF867C}">
                  <a14:compatExt spid="_x0000_s1033"/>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900" b="0" i="0" u="none" strike="noStrike" baseline="0">
                  <a:solidFill>
                    <a:srgbClr val="000000"/>
                  </a:solidFill>
                  <a:latin typeface="Arial"/>
                  <a:cs typeface="Arial"/>
                </a:rPr>
                <a:t>Add Data to Summary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76200</xdr:colOff>
          <xdr:row>20</xdr:row>
          <xdr:rowOff>9525</xdr:rowOff>
        </xdr:from>
        <xdr:to>
          <xdr:col>4</xdr:col>
          <xdr:colOff>685800</xdr:colOff>
          <xdr:row>21</xdr:row>
          <xdr:rowOff>0</xdr:rowOff>
        </xdr:to>
        <xdr:sp macro="" textlink="">
          <xdr:nvSpPr>
            <xdr:cNvPr id="1034" name="Button 10" hidden="1">
              <a:extLst>
                <a:ext uri="{63B3BB69-23CF-44E3-9099-C40C66FF867C}">
                  <a14:compatExt spid="_x0000_s1034"/>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Clear Summary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781050</xdr:colOff>
          <xdr:row>20</xdr:row>
          <xdr:rowOff>9525</xdr:rowOff>
        </xdr:from>
        <xdr:to>
          <xdr:col>6</xdr:col>
          <xdr:colOff>1438275</xdr:colOff>
          <xdr:row>21</xdr:row>
          <xdr:rowOff>0</xdr:rowOff>
        </xdr:to>
        <xdr:sp macro="" textlink="">
          <xdr:nvSpPr>
            <xdr:cNvPr id="1035" name="Button 11" hidden="1">
              <a:extLst>
                <a:ext uri="{63B3BB69-23CF-44E3-9099-C40C66FF867C}">
                  <a14:compatExt spid="_x0000_s1035"/>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900" b="1" i="0" u="none" strike="noStrike" baseline="0">
                  <a:solidFill>
                    <a:srgbClr val="000080"/>
                  </a:solidFill>
                  <a:latin typeface="Arial"/>
                  <a:cs typeface="Arial"/>
                </a:rPr>
                <a:t>View Summary Chart</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314325</xdr:colOff>
          <xdr:row>0</xdr:row>
          <xdr:rowOff>152400</xdr:rowOff>
        </xdr:from>
        <xdr:to>
          <xdr:col>5</xdr:col>
          <xdr:colOff>228600</xdr:colOff>
          <xdr:row>2</xdr:row>
          <xdr:rowOff>161925</xdr:rowOff>
        </xdr:to>
        <xdr:sp macro="" textlink="">
          <xdr:nvSpPr>
            <xdr:cNvPr id="2049" name="Button 1" hidden="1">
              <a:extLst>
                <a:ext uri="{63B3BB69-23CF-44E3-9099-C40C66FF867C}">
                  <a14:compatExt spid="_x0000_s2049"/>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Geneva"/>
                </a:rPr>
                <a:t>Add Current Data to Summary  table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514350</xdr:colOff>
          <xdr:row>1</xdr:row>
          <xdr:rowOff>9525</xdr:rowOff>
        </xdr:from>
        <xdr:to>
          <xdr:col>9</xdr:col>
          <xdr:colOff>514350</xdr:colOff>
          <xdr:row>3</xdr:row>
          <xdr:rowOff>9525</xdr:rowOff>
        </xdr:to>
        <xdr:sp macro="" textlink="">
          <xdr:nvSpPr>
            <xdr:cNvPr id="2051" name="Button 3" hidden="1">
              <a:extLst>
                <a:ext uri="{63B3BB69-23CF-44E3-9099-C40C66FF867C}">
                  <a14:compatExt spid="_x0000_s2051"/>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1" i="0" u="none" strike="noStrike" baseline="0">
                  <a:solidFill>
                    <a:srgbClr val="FF0000"/>
                  </a:solidFill>
                  <a:latin typeface="Geneva"/>
                </a:rPr>
                <a:t>Clear Entire Summary table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342900</xdr:colOff>
          <xdr:row>1</xdr:row>
          <xdr:rowOff>9525</xdr:rowOff>
        </xdr:from>
        <xdr:to>
          <xdr:col>7</xdr:col>
          <xdr:colOff>476250</xdr:colOff>
          <xdr:row>3</xdr:row>
          <xdr:rowOff>0</xdr:rowOff>
        </xdr:to>
        <xdr:sp macro="" textlink="">
          <xdr:nvSpPr>
            <xdr:cNvPr id="2053" name="Button 5" hidden="1">
              <a:extLst>
                <a:ext uri="{63B3BB69-23CF-44E3-9099-C40C66FF867C}">
                  <a14:compatExt spid="_x0000_s2053"/>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Delete Last Data from Summary Table</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0.265</cdr:x>
      <cdr:y>0.04575</cdr:y>
    </cdr:from>
    <cdr:to>
      <cdr:x>0.65225</cdr:x>
      <cdr:y>0.0785</cdr:y>
    </cdr:to>
    <cdr:sp macro="" textlink="Summary!$E$9">
      <cdr:nvSpPr>
        <cdr:cNvPr id="3077" name="Text 5"/>
        <cdr:cNvSpPr txBox="1">
          <a:spLocks xmlns:a="http://schemas.openxmlformats.org/drawingml/2006/main" noChangeArrowheads="1"/>
        </cdr:cNvSpPr>
      </cdr:nvSpPr>
      <cdr:spPr bwMode="auto">
        <a:xfrm xmlns:a="http://schemas.openxmlformats.org/drawingml/2006/main">
          <a:off x="2274237" y="267126"/>
          <a:ext cx="3323389" cy="19122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fld id="{B7C76756-7B65-424A-912D-382EAAC9AC5A}" type="TxLink">
            <a:rPr lang="en-US" sz="1000" b="1" i="0" u="none" strike="noStrike" baseline="0">
              <a:solidFill>
                <a:srgbClr val="000000"/>
              </a:solidFill>
              <a:latin typeface="Arial"/>
              <a:cs typeface="Arial"/>
            </a:rPr>
            <a:t>JOHN DEERE 4055 PowerShift MFWD_________ 109 pto hp </a:t>
          </a:fld>
          <a:endParaRPr lang="en-US" sz="1000" b="1"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9525</xdr:colOff>
          <xdr:row>0</xdr:row>
          <xdr:rowOff>142875</xdr:rowOff>
        </xdr:from>
        <xdr:to>
          <xdr:col>3</xdr:col>
          <xdr:colOff>542925</xdr:colOff>
          <xdr:row>3</xdr:row>
          <xdr:rowOff>104775</xdr:rowOff>
        </xdr:to>
        <xdr:sp macro="" textlink="">
          <xdr:nvSpPr>
            <xdr:cNvPr id="4098" name="Button 2" hidden="1">
              <a:extLst>
                <a:ext uri="{63B3BB69-23CF-44E3-9099-C40C66FF867C}">
                  <a14:compatExt spid="_x0000_s4098"/>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Geneva"/>
                </a:rPr>
                <a:t>pick tractor from list</a:t>
              </a:r>
            </a:p>
          </xdr:txBody>
        </xdr:sp>
        <xdr:clientData fPrintsWithSheet="0"/>
      </xdr:twoCellAnchor>
    </mc:Choice>
    <mc:Fallback/>
  </mc:AlternateContent>
  <xdr:twoCellAnchor>
    <xdr:from>
      <xdr:col>4</xdr:col>
      <xdr:colOff>514350</xdr:colOff>
      <xdr:row>11</xdr:row>
      <xdr:rowOff>28575</xdr:rowOff>
    </xdr:from>
    <xdr:to>
      <xdr:col>8</xdr:col>
      <xdr:colOff>85725</xdr:colOff>
      <xdr:row>14</xdr:row>
      <xdr:rowOff>9525</xdr:rowOff>
    </xdr:to>
    <xdr:sp macro="" textlink="">
      <xdr:nvSpPr>
        <xdr:cNvPr id="4099" name="Text 3"/>
        <xdr:cNvSpPr txBox="1">
          <a:spLocks noChangeArrowheads="1"/>
        </xdr:cNvSpPr>
      </xdr:nvSpPr>
      <xdr:spPr bwMode="auto">
        <a:xfrm>
          <a:off x="6762750" y="1809750"/>
          <a:ext cx="2209800" cy="466725"/>
        </a:xfrm>
        <a:prstGeom prst="rect">
          <a:avLst/>
        </a:prstGeom>
        <a:solidFill>
          <a:srgbClr xmlns:mc="http://schemas.openxmlformats.org/markup-compatibility/2006" xmlns:a14="http://schemas.microsoft.com/office/drawing/2010/main" val="00FF00" mc:Ignorable="a14" a14:legacySpreadsheetColorIndex="11"/>
        </a:solidFill>
        <a:ln w="9525">
          <a:solidFill>
            <a:srgbClr xmlns:mc="http://schemas.openxmlformats.org/markup-compatibility/2006" xmlns:a14="http://schemas.microsoft.com/office/drawing/2010/main" val="000000" mc:Ignorable="a14" a14:legacySpreadsheetColorIndex="64"/>
          </a:solidFill>
          <a:prstDash val="solid"/>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Geneva"/>
            </a:rPr>
            <a:t>data in green cells is  copied to the calculation page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809625</xdr:colOff>
      <xdr:row>13</xdr:row>
      <xdr:rowOff>66675</xdr:rowOff>
    </xdr:from>
    <xdr:to>
      <xdr:col>17</xdr:col>
      <xdr:colOff>381000</xdr:colOff>
      <xdr:row>20</xdr:row>
      <xdr:rowOff>9525</xdr:rowOff>
    </xdr:to>
    <xdr:sp macro="" textlink="">
      <xdr:nvSpPr>
        <xdr:cNvPr id="5126" name="Text 6"/>
        <xdr:cNvSpPr txBox="1">
          <a:spLocks noChangeArrowheads="1"/>
        </xdr:cNvSpPr>
      </xdr:nvSpPr>
      <xdr:spPr bwMode="auto">
        <a:xfrm>
          <a:off x="10629900" y="2638425"/>
          <a:ext cx="1657350" cy="107632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prstDash val="solid"/>
          <a:miter lim="800000"/>
          <a:headEnd/>
          <a:tailEnd/>
        </a:ln>
      </xdr:spPr>
      <xdr:txBody>
        <a:bodyPr vertOverflow="clip" wrap="square" lIns="36576" tIns="22860" rIns="0" bIns="0" anchor="t" upright="1"/>
        <a:lstStyle/>
        <a:p>
          <a:pPr algn="l" rtl="0">
            <a:defRPr sz="1000"/>
          </a:pPr>
          <a:r>
            <a:rPr lang="en-US" sz="1200" b="0" i="0" u="none" strike="noStrike" baseline="0">
              <a:solidFill>
                <a:srgbClr val="000000"/>
              </a:solidFill>
              <a:latin typeface="Geneva"/>
            </a:rPr>
            <a:t>Items in </a:t>
          </a:r>
          <a:r>
            <a:rPr lang="en-US" sz="1200" b="0" i="0" u="none" strike="noStrike" baseline="0">
              <a:solidFill>
                <a:srgbClr val="339933"/>
              </a:solidFill>
              <a:latin typeface="Geneva"/>
            </a:rPr>
            <a:t>green</a:t>
          </a:r>
          <a:r>
            <a:rPr lang="en-US" sz="1200" b="0" i="0" u="none" strike="noStrike" baseline="0">
              <a:solidFill>
                <a:srgbClr val="000000"/>
              </a:solidFill>
              <a:latin typeface="Geneva"/>
            </a:rPr>
            <a:t> type are calculated from the data in the table.  numbers in black are from the table directly.</a:t>
          </a:r>
        </a:p>
      </xdr:txBody>
    </xdr:sp>
    <xdr:clientData/>
  </xdr:twoCellAnchor>
  <mc:AlternateContent xmlns:mc="http://schemas.openxmlformats.org/markup-compatibility/2006">
    <mc:Choice xmlns:a14="http://schemas.microsoft.com/office/drawing/2010/main" Requires="a14">
      <xdr:twoCellAnchor>
        <xdr:from>
          <xdr:col>11</xdr:col>
          <xdr:colOff>38100</xdr:colOff>
          <xdr:row>18</xdr:row>
          <xdr:rowOff>38100</xdr:rowOff>
        </xdr:from>
        <xdr:to>
          <xdr:col>13</xdr:col>
          <xdr:colOff>371475</xdr:colOff>
          <xdr:row>21</xdr:row>
          <xdr:rowOff>38100</xdr:rowOff>
        </xdr:to>
        <xdr:sp macro="" textlink="">
          <xdr:nvSpPr>
            <xdr:cNvPr id="5127" name="Button 7" hidden="1">
              <a:extLst>
                <a:ext uri="{63B3BB69-23CF-44E3-9099-C40C66FF867C}">
                  <a14:compatExt spid="_x0000_s5127"/>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1" i="0" u="none" strike="noStrike" baseline="0">
                  <a:solidFill>
                    <a:srgbClr val="000000"/>
                  </a:solidFill>
                  <a:latin typeface="Geneva"/>
                </a:rPr>
                <a:t>Select </a:t>
              </a:r>
            </a:p>
            <a:p>
              <a:pPr algn="ctr" rtl="0">
                <a:defRPr sz="1000"/>
              </a:pPr>
              <a:r>
                <a:rPr lang="en-US" sz="1000" b="1" i="0" u="none" strike="noStrike" baseline="0">
                  <a:solidFill>
                    <a:srgbClr val="000000"/>
                  </a:solidFill>
                  <a:latin typeface="Geneva"/>
                </a:rPr>
                <a:t>rear tires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11</xdr:col>
          <xdr:colOff>66675</xdr:colOff>
          <xdr:row>14</xdr:row>
          <xdr:rowOff>104775</xdr:rowOff>
        </xdr:from>
        <xdr:to>
          <xdr:col>13</xdr:col>
          <xdr:colOff>390525</xdr:colOff>
          <xdr:row>17</xdr:row>
          <xdr:rowOff>114300</xdr:rowOff>
        </xdr:to>
        <xdr:sp macro="" textlink="">
          <xdr:nvSpPr>
            <xdr:cNvPr id="5128" name="Button 8" hidden="1">
              <a:extLst>
                <a:ext uri="{63B3BB69-23CF-44E3-9099-C40C66FF867C}">
                  <a14:compatExt spid="_x0000_s5128"/>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1" i="0" u="none" strike="noStrike" baseline="0">
                  <a:solidFill>
                    <a:srgbClr val="000000"/>
                  </a:solidFill>
                  <a:latin typeface="Geneva"/>
                </a:rPr>
                <a:t>Select </a:t>
              </a:r>
            </a:p>
            <a:p>
              <a:pPr algn="ctr" rtl="0">
                <a:defRPr sz="1000"/>
              </a:pPr>
              <a:r>
                <a:rPr lang="en-US" sz="1000" b="1" i="0" u="none" strike="noStrike" baseline="0">
                  <a:solidFill>
                    <a:srgbClr val="000000"/>
                  </a:solidFill>
                  <a:latin typeface="Geneva"/>
                </a:rPr>
                <a:t>front tires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11</xdr:col>
          <xdr:colOff>66675</xdr:colOff>
          <xdr:row>21</xdr:row>
          <xdr:rowOff>104775</xdr:rowOff>
        </xdr:from>
        <xdr:to>
          <xdr:col>13</xdr:col>
          <xdr:colOff>390525</xdr:colOff>
          <xdr:row>24</xdr:row>
          <xdr:rowOff>104775</xdr:rowOff>
        </xdr:to>
        <xdr:sp macro="" textlink="">
          <xdr:nvSpPr>
            <xdr:cNvPr id="5129" name="Button 9" hidden="1">
              <a:extLst>
                <a:ext uri="{63B3BB69-23CF-44E3-9099-C40C66FF867C}">
                  <a14:compatExt spid="_x0000_s5129"/>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1" i="0" u="none" strike="noStrike" baseline="0">
                  <a:solidFill>
                    <a:srgbClr val="000000"/>
                  </a:solidFill>
                  <a:latin typeface="Geneva"/>
                </a:rPr>
                <a:t>Select same tires </a:t>
              </a:r>
            </a:p>
            <a:p>
              <a:pPr algn="ctr" rtl="0">
                <a:defRPr sz="1000"/>
              </a:pPr>
              <a:r>
                <a:rPr lang="en-US" sz="1000" b="1" i="0" u="none" strike="noStrike" baseline="0">
                  <a:solidFill>
                    <a:srgbClr val="000000"/>
                  </a:solidFill>
                  <a:latin typeface="Geneva"/>
                </a:rPr>
                <a:t>for front and rear</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9525</xdr:colOff>
          <xdr:row>0</xdr:row>
          <xdr:rowOff>0</xdr:rowOff>
        </xdr:from>
        <xdr:to>
          <xdr:col>3</xdr:col>
          <xdr:colOff>542925</xdr:colOff>
          <xdr:row>0</xdr:row>
          <xdr:rowOff>0</xdr:rowOff>
        </xdr:to>
        <xdr:sp macro="" textlink="">
          <xdr:nvSpPr>
            <xdr:cNvPr id="6146" name="Button 2" hidden="1">
              <a:extLst>
                <a:ext uri="{63B3BB69-23CF-44E3-9099-C40C66FF867C}">
                  <a14:compatExt spid="_x0000_s6146"/>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Geneva"/>
                </a:rPr>
                <a:t>pick tractor from list</a:t>
              </a:r>
            </a:p>
          </xdr:txBody>
        </xdr:sp>
        <xdr:clientData fPrintsWithSheet="0"/>
      </xdr:twoCellAnchor>
    </mc:Choice>
    <mc:Fallback/>
  </mc:AlternateContent>
  <xdr:twoCellAnchor>
    <xdr:from>
      <xdr:col>4</xdr:col>
      <xdr:colOff>514350</xdr:colOff>
      <xdr:row>0</xdr:row>
      <xdr:rowOff>0</xdr:rowOff>
    </xdr:from>
    <xdr:to>
      <xdr:col>8</xdr:col>
      <xdr:colOff>85725</xdr:colOff>
      <xdr:row>0</xdr:row>
      <xdr:rowOff>0</xdr:rowOff>
    </xdr:to>
    <xdr:sp macro="" textlink="">
      <xdr:nvSpPr>
        <xdr:cNvPr id="6147" name="Text 3"/>
        <xdr:cNvSpPr txBox="1">
          <a:spLocks noChangeArrowheads="1"/>
        </xdr:cNvSpPr>
      </xdr:nvSpPr>
      <xdr:spPr bwMode="auto">
        <a:xfrm>
          <a:off x="6762750" y="0"/>
          <a:ext cx="3076575" cy="0"/>
        </a:xfrm>
        <a:prstGeom prst="rect">
          <a:avLst/>
        </a:prstGeom>
        <a:solidFill>
          <a:srgbClr xmlns:mc="http://schemas.openxmlformats.org/markup-compatibility/2006" xmlns:a14="http://schemas.microsoft.com/office/drawing/2010/main" val="00FF00" mc:Ignorable="a14" a14:legacySpreadsheetColorIndex="11"/>
        </a:solidFill>
        <a:ln w="9525">
          <a:solidFill>
            <a:srgbClr xmlns:mc="http://schemas.openxmlformats.org/markup-compatibility/2006" xmlns:a14="http://schemas.microsoft.com/office/drawing/2010/main" val="000000" mc:Ignorable="a14" a14:legacySpreadsheetColorIndex="64"/>
          </a:solidFill>
          <a:prstDash val="solid"/>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Geneva"/>
            </a:rPr>
            <a:t>data in green cells is  copied to the calculation page</a:t>
          </a:r>
        </a:p>
      </xdr:txBody>
    </xdr:sp>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9525</xdr:colOff>
          <xdr:row>0</xdr:row>
          <xdr:rowOff>0</xdr:rowOff>
        </xdr:from>
        <xdr:to>
          <xdr:col>3</xdr:col>
          <xdr:colOff>542925</xdr:colOff>
          <xdr:row>0</xdr:row>
          <xdr:rowOff>0</xdr:rowOff>
        </xdr:to>
        <xdr:sp macro="" textlink="">
          <xdr:nvSpPr>
            <xdr:cNvPr id="7170" name="Button 2" hidden="1">
              <a:extLst>
                <a:ext uri="{63B3BB69-23CF-44E3-9099-C40C66FF867C}">
                  <a14:compatExt spid="_x0000_s7170"/>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Geneva"/>
                </a:rPr>
                <a:t>pick tractor from list</a:t>
              </a:r>
            </a:p>
          </xdr:txBody>
        </xdr:sp>
        <xdr:clientData fPrintsWithSheet="0"/>
      </xdr:twoCellAnchor>
    </mc:Choice>
    <mc:Fallback/>
  </mc:AlternateContent>
  <xdr:twoCellAnchor>
    <xdr:from>
      <xdr:col>4</xdr:col>
      <xdr:colOff>514350</xdr:colOff>
      <xdr:row>0</xdr:row>
      <xdr:rowOff>0</xdr:rowOff>
    </xdr:from>
    <xdr:to>
      <xdr:col>8</xdr:col>
      <xdr:colOff>85725</xdr:colOff>
      <xdr:row>0</xdr:row>
      <xdr:rowOff>0</xdr:rowOff>
    </xdr:to>
    <xdr:sp macro="" textlink="">
      <xdr:nvSpPr>
        <xdr:cNvPr id="7171" name="Text 3"/>
        <xdr:cNvSpPr txBox="1">
          <a:spLocks noChangeArrowheads="1"/>
        </xdr:cNvSpPr>
      </xdr:nvSpPr>
      <xdr:spPr bwMode="auto">
        <a:xfrm>
          <a:off x="6648450" y="0"/>
          <a:ext cx="2209800" cy="0"/>
        </a:xfrm>
        <a:prstGeom prst="rect">
          <a:avLst/>
        </a:prstGeom>
        <a:solidFill>
          <a:srgbClr xmlns:mc="http://schemas.openxmlformats.org/markup-compatibility/2006" xmlns:a14="http://schemas.microsoft.com/office/drawing/2010/main" val="00FF00" mc:Ignorable="a14" a14:legacySpreadsheetColorIndex="11"/>
        </a:solidFill>
        <a:ln w="9525">
          <a:solidFill>
            <a:srgbClr xmlns:mc="http://schemas.openxmlformats.org/markup-compatibility/2006" xmlns:a14="http://schemas.microsoft.com/office/drawing/2010/main" val="000000" mc:Ignorable="a14" a14:legacySpreadsheetColorIndex="64"/>
          </a:solidFill>
          <a:prstDash val="solid"/>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Geneva"/>
            </a:rPr>
            <a:t>data in green cells is  copied to the calculation page</a:t>
          </a:r>
        </a:p>
      </xdr:txBody>
    </xdr:sp>
    <xdr:clientData/>
  </xdr:twoCellAnchor>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9525</xdr:colOff>
          <xdr:row>0</xdr:row>
          <xdr:rowOff>0</xdr:rowOff>
        </xdr:from>
        <xdr:to>
          <xdr:col>3</xdr:col>
          <xdr:colOff>542925</xdr:colOff>
          <xdr:row>0</xdr:row>
          <xdr:rowOff>0</xdr:rowOff>
        </xdr:to>
        <xdr:sp macro="" textlink="">
          <xdr:nvSpPr>
            <xdr:cNvPr id="8194" name="Button 2" hidden="1">
              <a:extLst>
                <a:ext uri="{63B3BB69-23CF-44E3-9099-C40C66FF867C}">
                  <a14:compatExt spid="_x0000_s8194"/>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Geneva"/>
                </a:rPr>
                <a:t>pick tractor from list</a:t>
              </a:r>
            </a:p>
          </xdr:txBody>
        </xdr:sp>
        <xdr:clientData fPrintsWithSheet="0"/>
      </xdr:twoCellAnchor>
    </mc:Choice>
    <mc:Fallback/>
  </mc:AlternateContent>
  <xdr:twoCellAnchor>
    <xdr:from>
      <xdr:col>4</xdr:col>
      <xdr:colOff>514350</xdr:colOff>
      <xdr:row>0</xdr:row>
      <xdr:rowOff>0</xdr:rowOff>
    </xdr:from>
    <xdr:to>
      <xdr:col>8</xdr:col>
      <xdr:colOff>85725</xdr:colOff>
      <xdr:row>0</xdr:row>
      <xdr:rowOff>0</xdr:rowOff>
    </xdr:to>
    <xdr:sp macro="" textlink="">
      <xdr:nvSpPr>
        <xdr:cNvPr id="8195" name="Text 3"/>
        <xdr:cNvSpPr txBox="1">
          <a:spLocks noChangeArrowheads="1"/>
        </xdr:cNvSpPr>
      </xdr:nvSpPr>
      <xdr:spPr bwMode="auto">
        <a:xfrm>
          <a:off x="6934200" y="0"/>
          <a:ext cx="3771900" cy="0"/>
        </a:xfrm>
        <a:prstGeom prst="rect">
          <a:avLst/>
        </a:prstGeom>
        <a:solidFill>
          <a:srgbClr xmlns:mc="http://schemas.openxmlformats.org/markup-compatibility/2006" xmlns:a14="http://schemas.microsoft.com/office/drawing/2010/main" val="00FF00" mc:Ignorable="a14" a14:legacySpreadsheetColorIndex="11"/>
        </a:solidFill>
        <a:ln w="9525">
          <a:solidFill>
            <a:srgbClr xmlns:mc="http://schemas.openxmlformats.org/markup-compatibility/2006" xmlns:a14="http://schemas.microsoft.com/office/drawing/2010/main" val="000000" mc:Ignorable="a14" a14:legacySpreadsheetColorIndex="64"/>
          </a:solidFill>
          <a:prstDash val="solid"/>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Geneva"/>
            </a:rPr>
            <a:t>data in green cells is  copied to the calculation page</a:t>
          </a:r>
        </a:p>
      </xdr:txBody>
    </xdr:sp>
    <xdr:clientData/>
  </xdr:twoCellAnchor>
</xdr:wsDr>
</file>

<file path=xl/drawings/drawing10.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c:userShapes xmlns:c="http://schemas.openxmlformats.org/drawingml/2006/chart">
  <cdr:relSizeAnchor xmlns:cdr="http://schemas.openxmlformats.org/drawingml/2006/chartDrawing">
    <cdr:from>
      <cdr:x>0.43775</cdr:x>
      <cdr:y>0.06475</cdr:y>
    </cdr:from>
    <cdr:to>
      <cdr:x>0.5575</cdr:x>
      <cdr:y>0.0975</cdr:y>
    </cdr:to>
    <cdr:sp macro="" textlink="tracperf!$A$1">
      <cdr:nvSpPr>
        <cdr:cNvPr id="9217" name="Text 1"/>
        <cdr:cNvSpPr txBox="1">
          <a:spLocks xmlns:a="http://schemas.openxmlformats.org/drawingml/2006/main" noChangeArrowheads="1"/>
        </cdr:cNvSpPr>
      </cdr:nvSpPr>
      <cdr:spPr bwMode="auto">
        <a:xfrm xmlns:a="http://schemas.openxmlformats.org/drawingml/2006/main">
          <a:off x="3756781" y="378064"/>
          <a:ext cx="1027698" cy="1912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27432" bIns="0" anchor="t" upright="1"/>
        <a:lstStyle xmlns:a="http://schemas.openxmlformats.org/drawingml/2006/main"/>
        <a:p xmlns:a="http://schemas.openxmlformats.org/drawingml/2006/main">
          <a:pPr algn="ctr" rtl="0">
            <a:defRPr sz="1000"/>
          </a:pPr>
          <a:fld id="{9687A29E-592A-4A78-9B97-18CE3220FFA6}" type="TxLink">
            <a:rPr lang="en-US" sz="1000" b="1" i="0" u="none" strike="noStrike" baseline="0">
              <a:solidFill>
                <a:srgbClr val="FF0000"/>
              </a:solidFill>
              <a:latin typeface="Arial"/>
              <a:cs typeface="Arial"/>
            </a:rPr>
            <a:t>DEERE</a:t>
          </a:fld>
          <a:endParaRPr lang="en-US" sz="1000" b="1" i="0" u="none" strike="noStrike" baseline="0">
            <a:solidFill>
              <a:srgbClr val="FF0000"/>
            </a:solidFill>
            <a:latin typeface="Arial"/>
            <a:cs typeface="Arial"/>
          </a:endParaRPr>
        </a:p>
      </cdr:txBody>
    </cdr:sp>
  </cdr:relSizeAnchor>
</c:userShapes>
</file>

<file path=xl/drawings/drawing12.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c:userShapes xmlns:c="http://schemas.openxmlformats.org/drawingml/2006/chart">
  <cdr:relSizeAnchor xmlns:cdr="http://schemas.openxmlformats.org/drawingml/2006/chartDrawing">
    <cdr:from>
      <cdr:x>0.513</cdr:x>
      <cdr:y>0.07175</cdr:y>
    </cdr:from>
    <cdr:to>
      <cdr:x>0.5595</cdr:x>
      <cdr:y>0.106</cdr:y>
    </cdr:to>
    <cdr:sp macro="" textlink="tracperf!$B$27">
      <cdr:nvSpPr>
        <cdr:cNvPr id="13313" name="Text 1"/>
        <cdr:cNvSpPr txBox="1">
          <a:spLocks xmlns:a="http://schemas.openxmlformats.org/drawingml/2006/main" noChangeArrowheads="1"/>
        </cdr:cNvSpPr>
      </cdr:nvSpPr>
      <cdr:spPr bwMode="auto">
        <a:xfrm xmlns:a="http://schemas.openxmlformats.org/drawingml/2006/main">
          <a:off x="4402579" y="418936"/>
          <a:ext cx="399064" cy="199979"/>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fld id="{23676EFB-2017-47DB-8A1F-9A1783F85F98}" type="TxLink">
            <a:rPr lang="en-US" sz="1000" b="1" i="0" u="none" strike="noStrike" baseline="0">
              <a:solidFill>
                <a:srgbClr val="000000"/>
              </a:solidFill>
              <a:latin typeface="Arial"/>
              <a:cs typeface="Arial"/>
            </a:rPr>
            <a:t>82.42 </a:t>
          </a:fld>
          <a:endParaRPr lang="en-US" sz="1000" b="1" i="0" u="none" strike="noStrike" baseline="0">
            <a:solidFill>
              <a:srgbClr val="000000"/>
            </a:solidFill>
            <a:latin typeface="Arial"/>
            <a:cs typeface="Arial"/>
          </a:endParaRPr>
        </a:p>
      </cdr:txBody>
    </cdr:sp>
  </cdr:relSizeAnchor>
  <cdr:relSizeAnchor xmlns:cdr="http://schemas.openxmlformats.org/drawingml/2006/chartDrawing">
    <cdr:from>
      <cdr:x>0.44575</cdr:x>
      <cdr:y>0.0755</cdr:y>
    </cdr:from>
    <cdr:to>
      <cdr:x>0.50025</cdr:x>
      <cdr:y>0.10825</cdr:y>
    </cdr:to>
    <cdr:sp macro="" textlink="">
      <cdr:nvSpPr>
        <cdr:cNvPr id="13314" name="Text 2"/>
        <cdr:cNvSpPr txBox="1">
          <a:spLocks xmlns:a="http://schemas.openxmlformats.org/drawingml/2006/main" noChangeArrowheads="1"/>
        </cdr:cNvSpPr>
      </cdr:nvSpPr>
      <cdr:spPr bwMode="auto">
        <a:xfrm xmlns:a="http://schemas.openxmlformats.org/drawingml/2006/main">
          <a:off x="3825438" y="440831"/>
          <a:ext cx="467720" cy="19122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36576" tIns="18288" rIns="0" bIns="0" anchor="t"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Courier"/>
            </a:rPr>
            <a:t>Bn =</a:t>
          </a:r>
        </a:p>
      </cdr:txBody>
    </cdr:sp>
  </cdr:relSizeAnchor>
</c:userShapes>
</file>

<file path=xl/drawings/drawing14.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c:userShapes xmlns:c="http://schemas.openxmlformats.org/drawingml/2006/chart">
  <cdr:relSizeAnchor xmlns:cdr="http://schemas.openxmlformats.org/drawingml/2006/chartDrawing">
    <cdr:from>
      <cdr:x>0.5165</cdr:x>
      <cdr:y>0.07125</cdr:y>
    </cdr:from>
    <cdr:to>
      <cdr:x>0.563</cdr:x>
      <cdr:y>0.1055</cdr:y>
    </cdr:to>
    <cdr:sp macro="" textlink="tracperf!$B$27">
      <cdr:nvSpPr>
        <cdr:cNvPr id="14337" name="Text 1"/>
        <cdr:cNvSpPr txBox="1">
          <a:spLocks xmlns:a="http://schemas.openxmlformats.org/drawingml/2006/main" noChangeArrowheads="1"/>
        </cdr:cNvSpPr>
      </cdr:nvSpPr>
      <cdr:spPr bwMode="auto">
        <a:xfrm xmlns:a="http://schemas.openxmlformats.org/drawingml/2006/main">
          <a:off x="4432616" y="416016"/>
          <a:ext cx="399064" cy="19998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fld id="{6E4D8FF2-2101-4D1B-95E4-2E39C67BEEE3}" type="TxLink">
            <a:rPr lang="en-US" sz="1000" b="1" i="0" u="none" strike="noStrike" baseline="0">
              <a:solidFill>
                <a:srgbClr val="000000"/>
              </a:solidFill>
              <a:latin typeface="Arial"/>
              <a:cs typeface="Arial"/>
            </a:rPr>
            <a:t>82.42 </a:t>
          </a:fld>
          <a:endParaRPr lang="en-US" sz="1000" b="1" i="0" u="none" strike="noStrike" baseline="0">
            <a:solidFill>
              <a:srgbClr val="000000"/>
            </a:solidFill>
            <a:latin typeface="Arial"/>
            <a:cs typeface="Arial"/>
          </a:endParaRPr>
        </a:p>
      </cdr:txBody>
    </cdr:sp>
  </cdr:relSizeAnchor>
  <cdr:relSizeAnchor xmlns:cdr="http://schemas.openxmlformats.org/drawingml/2006/chartDrawing">
    <cdr:from>
      <cdr:x>0.44925</cdr:x>
      <cdr:y>0.06925</cdr:y>
    </cdr:from>
    <cdr:to>
      <cdr:x>0.50375</cdr:x>
      <cdr:y>0.102</cdr:y>
    </cdr:to>
    <cdr:sp macro="" textlink="">
      <cdr:nvSpPr>
        <cdr:cNvPr id="14338" name="Text 2"/>
        <cdr:cNvSpPr txBox="1">
          <a:spLocks xmlns:a="http://schemas.openxmlformats.org/drawingml/2006/main" noChangeArrowheads="1"/>
        </cdr:cNvSpPr>
      </cdr:nvSpPr>
      <cdr:spPr bwMode="auto">
        <a:xfrm xmlns:a="http://schemas.openxmlformats.org/drawingml/2006/main">
          <a:off x="3855475" y="404339"/>
          <a:ext cx="467720" cy="191221"/>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36576" tIns="18288" rIns="0" bIns="0" anchor="t"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Courier"/>
            </a:rPr>
            <a:t>Bn =</a:t>
          </a:r>
        </a:p>
      </cdr:txBody>
    </cdr:sp>
  </cdr:relSizeAnchor>
</c:userShapes>
</file>

<file path=xl/drawings/drawing16.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c:userShapes xmlns:c="http://schemas.openxmlformats.org/drawingml/2006/chart">
  <cdr:relSizeAnchor xmlns:cdr="http://schemas.openxmlformats.org/drawingml/2006/chartDrawing">
    <cdr:from>
      <cdr:x>0.50775</cdr:x>
      <cdr:y>0.06725</cdr:y>
    </cdr:from>
    <cdr:to>
      <cdr:x>0.55425</cdr:x>
      <cdr:y>0.1015</cdr:y>
    </cdr:to>
    <cdr:sp macro="" textlink="tracperf!$B$27">
      <cdr:nvSpPr>
        <cdr:cNvPr id="15361" name="Text 1"/>
        <cdr:cNvSpPr txBox="1">
          <a:spLocks xmlns:a="http://schemas.openxmlformats.org/drawingml/2006/main" noChangeArrowheads="1"/>
        </cdr:cNvSpPr>
      </cdr:nvSpPr>
      <cdr:spPr bwMode="auto">
        <a:xfrm xmlns:a="http://schemas.openxmlformats.org/drawingml/2006/main">
          <a:off x="4357523" y="392661"/>
          <a:ext cx="399064" cy="19998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fld id="{A68CAB77-6544-4A49-89A8-4F5140B44243}" type="TxLink">
            <a:rPr lang="en-US" sz="1000" b="1" i="0" u="none" strike="noStrike" baseline="0">
              <a:solidFill>
                <a:srgbClr val="000000"/>
              </a:solidFill>
              <a:latin typeface="Arial"/>
              <a:cs typeface="Arial"/>
            </a:rPr>
            <a:t>82.42 </a:t>
          </a:fld>
          <a:endParaRPr lang="en-US" sz="1000" b="1" i="0" u="none" strike="noStrike" baseline="0">
            <a:solidFill>
              <a:srgbClr val="000000"/>
            </a:solidFill>
            <a:latin typeface="Arial"/>
            <a:cs typeface="Arial"/>
          </a:endParaRPr>
        </a:p>
      </cdr:txBody>
    </cdr:sp>
  </cdr:relSizeAnchor>
  <cdr:relSizeAnchor xmlns:cdr="http://schemas.openxmlformats.org/drawingml/2006/chartDrawing">
    <cdr:from>
      <cdr:x>0.438</cdr:x>
      <cdr:y>0.0695</cdr:y>
    </cdr:from>
    <cdr:to>
      <cdr:x>0.4925</cdr:x>
      <cdr:y>0.10225</cdr:y>
    </cdr:to>
    <cdr:sp macro="" textlink="">
      <cdr:nvSpPr>
        <cdr:cNvPr id="15362" name="Text 2"/>
        <cdr:cNvSpPr txBox="1">
          <a:spLocks xmlns:a="http://schemas.openxmlformats.org/drawingml/2006/main" noChangeArrowheads="1"/>
        </cdr:cNvSpPr>
      </cdr:nvSpPr>
      <cdr:spPr bwMode="auto">
        <a:xfrm xmlns:a="http://schemas.openxmlformats.org/drawingml/2006/main">
          <a:off x="3758927" y="405798"/>
          <a:ext cx="467720" cy="19122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36576" tIns="18288" rIns="0" bIns="0" anchor="t"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Courier"/>
            </a:rPr>
            <a:t>Bn =</a:t>
          </a:r>
        </a:p>
      </cdr:txBody>
    </cdr:sp>
  </cdr:relSizeAnchor>
</c:userShapes>
</file>

<file path=xl/drawings/drawing18.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xml><?xml version="1.0" encoding="utf-8"?>
<c:userShapes xmlns:c="http://schemas.openxmlformats.org/drawingml/2006/chart">
  <cdr:relSizeAnchor xmlns:cdr="http://schemas.openxmlformats.org/drawingml/2006/chartDrawing">
    <cdr:from>
      <cdr:x>0.51</cdr:x>
      <cdr:y>0.08675</cdr:y>
    </cdr:from>
    <cdr:to>
      <cdr:x>0.5565</cdr:x>
      <cdr:y>0.121</cdr:y>
    </cdr:to>
    <cdr:sp macro="" textlink="tracperf!$B$27">
      <cdr:nvSpPr>
        <cdr:cNvPr id="16385" name="Text 1"/>
        <cdr:cNvSpPr txBox="1">
          <a:spLocks xmlns:a="http://schemas.openxmlformats.org/drawingml/2006/main" noChangeArrowheads="1"/>
        </cdr:cNvSpPr>
      </cdr:nvSpPr>
      <cdr:spPr bwMode="auto">
        <a:xfrm xmlns:a="http://schemas.openxmlformats.org/drawingml/2006/main">
          <a:off x="4376833" y="506518"/>
          <a:ext cx="399064" cy="19998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fld id="{49FBA2A9-823C-40D9-8E12-439074C30858}" type="TxLink">
            <a:rPr lang="en-US" sz="1000" b="1" i="0" u="none" strike="noStrike" baseline="0">
              <a:solidFill>
                <a:srgbClr val="000000"/>
              </a:solidFill>
              <a:latin typeface="Arial"/>
              <a:cs typeface="Arial"/>
            </a:rPr>
            <a:t>82.42 </a:t>
          </a:fld>
          <a:endParaRPr lang="en-US" sz="1000" b="1" i="0" u="none" strike="noStrike" baseline="0">
            <a:solidFill>
              <a:srgbClr val="000000"/>
            </a:solidFill>
            <a:latin typeface="Arial"/>
            <a:cs typeface="Arial"/>
          </a:endParaRPr>
        </a:p>
      </cdr:txBody>
    </cdr:sp>
  </cdr:relSizeAnchor>
  <cdr:relSizeAnchor xmlns:cdr="http://schemas.openxmlformats.org/drawingml/2006/chartDrawing">
    <cdr:from>
      <cdr:x>0.44175</cdr:x>
      <cdr:y>0.08325</cdr:y>
    </cdr:from>
    <cdr:to>
      <cdr:x>0.49625</cdr:x>
      <cdr:y>0.116</cdr:y>
    </cdr:to>
    <cdr:sp macro="" textlink="">
      <cdr:nvSpPr>
        <cdr:cNvPr id="16386" name="Text 2"/>
        <cdr:cNvSpPr txBox="1">
          <a:spLocks xmlns:a="http://schemas.openxmlformats.org/drawingml/2006/main" noChangeArrowheads="1"/>
        </cdr:cNvSpPr>
      </cdr:nvSpPr>
      <cdr:spPr bwMode="auto">
        <a:xfrm xmlns:a="http://schemas.openxmlformats.org/drawingml/2006/main">
          <a:off x="3791110" y="486082"/>
          <a:ext cx="467720" cy="19122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36576" tIns="18288" rIns="0" bIns="0" anchor="t"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Courier"/>
            </a:rPr>
            <a:t>Bn =</a:t>
          </a:r>
        </a:p>
      </cdr:txBody>
    </cdr:sp>
  </cdr:relSizeAnchor>
</c:userShapes>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352425</xdr:colOff>
      <xdr:row>20</xdr:row>
      <xdr:rowOff>85725</xdr:rowOff>
    </xdr:to>
    <xdr:pic>
      <xdr:nvPicPr>
        <xdr:cNvPr id="17411"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715000" cy="38100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prstDash val="solid"/>
          <a:miter lim="800000"/>
          <a:headEnd/>
          <a:tailEnd/>
        </a:ln>
      </xdr:spPr>
    </xdr:pic>
    <xdr:clientData/>
  </xdr:twoCellAnchor>
  <mc:AlternateContent xmlns:mc="http://schemas.openxmlformats.org/markup-compatibility/2006">
    <mc:Choice xmlns:a14="http://schemas.microsoft.com/office/drawing/2010/main" Requires="a14">
      <xdr:twoCellAnchor>
        <xdr:from>
          <xdr:col>5</xdr:col>
          <xdr:colOff>180975</xdr:colOff>
          <xdr:row>14</xdr:row>
          <xdr:rowOff>133350</xdr:rowOff>
        </xdr:from>
        <xdr:to>
          <xdr:col>7</xdr:col>
          <xdr:colOff>114300</xdr:colOff>
          <xdr:row>17</xdr:row>
          <xdr:rowOff>47625</xdr:rowOff>
        </xdr:to>
        <xdr:sp macro="" textlink="">
          <xdr:nvSpPr>
            <xdr:cNvPr id="17409" name="Button 1" hidden="1">
              <a:extLst>
                <a:ext uri="{63B3BB69-23CF-44E3-9099-C40C66FF867C}">
                  <a14:compatExt spid="_x0000_s17409"/>
                </a:ext>
              </a:extLst>
            </xdr:cNvPr>
            <xdr:cNvSpPr/>
          </xdr:nvSpPr>
          <xdr:spPr bwMode="auto">
            <a:xfrm>
              <a:off x="0" y="0"/>
              <a:ext cx="0" cy="0"/>
            </a:xfrm>
            <a:prstGeom prst="rect">
              <a:avLst/>
            </a:prstGeom>
            <a:noFill/>
            <a:ln>
              <a:noFill/>
            </a:ln>
            <a:effectLst/>
            <a:extLst>
              <a:ext uri="{91240B29-F687-4F45-9708-019B960494DF}">
                <a14:hiddenLine w="9525">
                  <a:noFill/>
                  <a:miter lim="800000"/>
                  <a:headEnd/>
                  <a:tailEnd/>
                </a14:hiddenLine>
              </a:ext>
              <a:ext uri="{AF507438-7753-43E0-B8FC-AC1667EBCBE1}">
                <a14:hiddenEffects>
                  <a:effectLst>
                    <a:outerShdw dist="35921" dir="2700000" algn="ctr" rotWithShape="0">
                      <a:srgbClr val="808080"/>
                    </a:outerShdw>
                  </a:effectLst>
                </a14:hiddenEffects>
              </a:ext>
            </a:extLst>
          </xdr:spPr>
          <xdr:txBody>
            <a:bodyPr vertOverflow="clip" wrap="square" lIns="36576" tIns="27432" rIns="36576" bIns="27432" anchor="ctr" upright="1"/>
            <a:lstStyle/>
            <a:p>
              <a:pPr algn="ctr" rtl="0">
                <a:defRPr sz="1000"/>
              </a:pPr>
              <a:r>
                <a:rPr lang="en-US" sz="1200" b="1" i="0" u="none" strike="noStrike" baseline="0">
                  <a:solidFill>
                    <a:srgbClr val="000080"/>
                  </a:solidFill>
                  <a:latin typeface="Arial"/>
                  <a:cs typeface="Arial"/>
                </a:rPr>
                <a:t>START</a:t>
              </a:r>
            </a:p>
          </xdr:txBody>
        </xdr:sp>
        <xdr:clientData fPrintsWithSheet="0"/>
      </xdr:twoCellAnchor>
    </mc:Choice>
    <mc:Fallback/>
  </mc:AlternateContent>
</xdr:wsDr>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0.505</cdr:x>
      <cdr:y>0.08325</cdr:y>
    </cdr:from>
    <cdr:to>
      <cdr:x>0.5515</cdr:x>
      <cdr:y>0.1175</cdr:y>
    </cdr:to>
    <cdr:sp macro="" textlink="tracperf!$B$27">
      <cdr:nvSpPr>
        <cdr:cNvPr id="18433" name="Text 1"/>
        <cdr:cNvSpPr txBox="1">
          <a:spLocks xmlns:a="http://schemas.openxmlformats.org/drawingml/2006/main" noChangeArrowheads="1"/>
        </cdr:cNvSpPr>
      </cdr:nvSpPr>
      <cdr:spPr bwMode="auto">
        <a:xfrm xmlns:a="http://schemas.openxmlformats.org/drawingml/2006/main">
          <a:off x="4333923" y="486082"/>
          <a:ext cx="399064" cy="199980"/>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27432" tIns="22860" rIns="0" bIns="0" anchor="t" upright="1"/>
        <a:lstStyle xmlns:a="http://schemas.openxmlformats.org/drawingml/2006/main"/>
        <a:p xmlns:a="http://schemas.openxmlformats.org/drawingml/2006/main">
          <a:pPr algn="l" rtl="0">
            <a:defRPr sz="1000"/>
          </a:pPr>
          <a:fld id="{FCCBB948-D165-4271-9C1E-4DA29E55EB6D}" type="TxLink">
            <a:rPr lang="en-US" sz="1000" b="1" i="0" u="none" strike="noStrike" baseline="0">
              <a:solidFill>
                <a:srgbClr val="000000"/>
              </a:solidFill>
              <a:latin typeface="Arial"/>
              <a:cs typeface="Arial"/>
            </a:rPr>
            <a:t>82.42 </a:t>
          </a:fld>
          <a:endParaRPr lang="en-US" sz="1000" b="1" i="0" u="none" strike="noStrike" baseline="0">
            <a:solidFill>
              <a:srgbClr val="000000"/>
            </a:solidFill>
            <a:latin typeface="Arial"/>
            <a:cs typeface="Arial"/>
          </a:endParaRPr>
        </a:p>
      </cdr:txBody>
    </cdr:sp>
  </cdr:relSizeAnchor>
  <cdr:relSizeAnchor xmlns:cdr="http://schemas.openxmlformats.org/drawingml/2006/chartDrawing">
    <cdr:from>
      <cdr:x>0.43525</cdr:x>
      <cdr:y>0.09</cdr:y>
    </cdr:from>
    <cdr:to>
      <cdr:x>0.48975</cdr:x>
      <cdr:y>0.12275</cdr:y>
    </cdr:to>
    <cdr:sp macro="" textlink="">
      <cdr:nvSpPr>
        <cdr:cNvPr id="18434" name="Text 2"/>
        <cdr:cNvSpPr txBox="1">
          <a:spLocks xmlns:a="http://schemas.openxmlformats.org/drawingml/2006/main" noChangeArrowheads="1"/>
        </cdr:cNvSpPr>
      </cdr:nvSpPr>
      <cdr:spPr bwMode="auto">
        <a:xfrm xmlns:a="http://schemas.openxmlformats.org/drawingml/2006/main">
          <a:off x="3735326" y="525494"/>
          <a:ext cx="467721" cy="191222"/>
        </a:xfrm>
        <a:prstGeom xmlns:a="http://schemas.openxmlformats.org/drawingml/2006/main" prst="rect">
          <a:avLst/>
        </a:prstGeom>
        <a:noFill xmlns:a="http://schemas.openxmlformats.org/drawingml/2006/main"/>
        <a:ln xmlns:a="http://schemas.openxmlformats.org/drawingml/2006/main">
          <a:noFill/>
        </a:ln>
        <a:extLst xmlns:a="http://schemas.openxmlformats.org/drawingml/2006/main">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cdr:spPr>
      <cdr:txBody>
        <a:bodyPr xmlns:a="http://schemas.openxmlformats.org/drawingml/2006/main" vertOverflow="clip" wrap="square" lIns="36576" tIns="18288" rIns="0" bIns="0" anchor="t"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Courier"/>
            </a:rPr>
            <a:t>Bn =</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ctrlProp" Target="../ctrlProps/ctrlProp7.xml"/><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trlProp" Target="../ctrlProps/ctrlProp8.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ctrlProp" Target="../ctrlProps/ctrlProp11.xml"/><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trlProp" Target="../ctrlProps/ctrlProp12.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trlProp" Target="../ctrlProps/ctrlProp1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trlProp" Target="../ctrlProps/ctrlProp14.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20.xml"/><Relationship Id="rId1" Type="http://schemas.openxmlformats.org/officeDocument/2006/relationships/printerSettings" Target="../printerSettings/printerSettings13.bin"/><Relationship Id="rId4" Type="http://schemas.openxmlformats.org/officeDocument/2006/relationships/ctrlProp" Target="../ctrlProps/ctrlProp1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syncVertical="1" syncRef="A1" transitionEvaluation="1" transitionEntry="1">
    <pageSetUpPr fitToPage="1"/>
  </sheetPr>
  <dimension ref="A1:CL233"/>
  <sheetViews>
    <sheetView showRowColHeaders="0" workbookViewId="0">
      <selection activeCell="I23" sqref="I23"/>
    </sheetView>
  </sheetViews>
  <sheetFormatPr defaultColWidth="9.625" defaultRowHeight="12"/>
  <cols>
    <col min="1" max="1" width="13" customWidth="1"/>
    <col min="2" max="2" width="10.375" customWidth="1"/>
    <col min="3" max="3" width="6.25" customWidth="1"/>
    <col min="4" max="4" width="7.625" customWidth="1"/>
    <col min="5" max="5" width="11.375" customWidth="1"/>
    <col min="6" max="6" width="2.5" customWidth="1"/>
    <col min="7" max="7" width="26.125" customWidth="1"/>
    <col min="8" max="8" width="12.75" customWidth="1"/>
    <col min="9" max="9" width="7.875" customWidth="1"/>
    <col min="10" max="10" width="7.625" customWidth="1"/>
    <col min="11" max="11" width="9.625" customWidth="1"/>
    <col min="12" max="12" width="6.625" customWidth="1"/>
    <col min="13" max="13" width="2.625" customWidth="1"/>
    <col min="14" max="14" width="3.625" customWidth="1"/>
    <col min="15" max="15" width="4.625" customWidth="1"/>
    <col min="16" max="16" width="5.625" customWidth="1"/>
    <col min="17" max="17" width="4.625" customWidth="1"/>
    <col min="18" max="18" width="5.625" customWidth="1"/>
    <col min="19" max="19" width="4.625" customWidth="1"/>
    <col min="20" max="20" width="9.625" customWidth="1"/>
    <col min="21" max="21" width="6.625" customWidth="1"/>
    <col min="22" max="24" width="3.625" customWidth="1"/>
    <col min="25" max="25" width="16.625" customWidth="1"/>
    <col min="26" max="35" width="8.625" customWidth="1"/>
    <col min="36" max="39" width="9.625" customWidth="1"/>
    <col min="40" max="40" width="10.625" customWidth="1"/>
    <col min="41" max="41" width="3.625" customWidth="1"/>
    <col min="42" max="42" width="8.625" customWidth="1"/>
    <col min="43" max="43" width="5.625" customWidth="1"/>
    <col min="44" max="44" width="6.625" customWidth="1"/>
    <col min="45" max="45" width="5.625" customWidth="1"/>
    <col min="46" max="46" width="6.625" customWidth="1"/>
    <col min="47" max="47" width="5.625" customWidth="1"/>
    <col min="48" max="48" width="2.625" customWidth="1"/>
    <col min="49" max="50" width="6.625" customWidth="1"/>
    <col min="51" max="51" width="2.625" customWidth="1"/>
    <col min="52" max="52" width="6.625" customWidth="1"/>
    <col min="53" max="53" width="2.625" customWidth="1"/>
    <col min="54" max="54" width="3.625" customWidth="1"/>
    <col min="55" max="55" width="2.625" customWidth="1"/>
    <col min="56" max="56" width="5.625" customWidth="1"/>
    <col min="57" max="57" width="2.625" customWidth="1"/>
    <col min="58" max="59" width="5.625" customWidth="1"/>
    <col min="60" max="61" width="6.625" customWidth="1"/>
    <col min="62" max="62" width="45.625" customWidth="1"/>
    <col min="63" max="63" width="12.625" customWidth="1"/>
    <col min="64" max="64" width="7.625" customWidth="1"/>
    <col min="65" max="65" width="4.625" customWidth="1"/>
    <col min="66" max="66" width="3.625" customWidth="1"/>
    <col min="67" max="67" width="7.625" customWidth="1"/>
    <col min="68" max="68" width="2.625" customWidth="1"/>
    <col min="69" max="69" width="23.625" customWidth="1"/>
    <col min="70" max="70" width="9.625" customWidth="1"/>
    <col min="71" max="71" width="5.625" customWidth="1"/>
  </cols>
  <sheetData>
    <row r="1" spans="1:90" ht="14.25" thickTop="1" thickBot="1">
      <c r="A1" s="417" t="s">
        <v>0</v>
      </c>
      <c r="B1" s="486"/>
      <c r="C1" s="284" t="s">
        <v>1</v>
      </c>
      <c r="D1" s="246"/>
      <c r="E1" s="246"/>
      <c r="F1" s="247" t="str">
        <f>IF(OR($C$6="f",$C$6="F"),"2WD TRACTOR ",IF(OR($C$8="u",$C$8="U"),"MFWD/4WD TRACTOR, Unpowered","MFWD/4WD TRACTOR"))</f>
        <v>MFWD/4WD TRACTOR</v>
      </c>
      <c r="G1" s="246"/>
      <c r="H1" s="248">
        <f ca="1">NOW()</f>
        <v>42416.627553819446</v>
      </c>
      <c r="I1" s="249" t="s">
        <v>2</v>
      </c>
      <c r="J1" s="1"/>
      <c r="L1" s="1"/>
      <c r="T1" s="1"/>
      <c r="U1" s="1"/>
      <c r="Y1" s="1"/>
      <c r="Z1" s="2"/>
      <c r="AC1" s="2"/>
      <c r="AD1" s="2"/>
      <c r="AE1" s="2"/>
      <c r="AF1" s="3"/>
      <c r="AG1" s="1"/>
      <c r="AH1" s="2"/>
      <c r="AN1" s="3"/>
      <c r="AO1" s="1"/>
      <c r="BF1" s="1"/>
      <c r="BK1" s="77"/>
      <c r="BL1" s="129" t="str">
        <f>tracperf!$C$1</f>
        <v>TRACTOR PERFORMANCE --</v>
      </c>
      <c r="BM1" s="78"/>
      <c r="BN1" s="78"/>
      <c r="BO1" s="78"/>
      <c r="BP1" s="79"/>
      <c r="BQ1" s="78" t="str">
        <f>tracperf!$F$1</f>
        <v>MFWD/4WD TRACTOR</v>
      </c>
      <c r="BR1" s="233"/>
      <c r="BS1" s="234"/>
      <c r="BT1" s="1" t="s">
        <v>3</v>
      </c>
      <c r="BU1" s="5">
        <f ca="1">ABS(($H$10*tire!$I$12*(tire!$I$35/2)*tire!$I$15/($E$11/2))*((1+H35*H37)/(1+H36*tire!$I$12*(tire!$I$35/2)/tire!$I$15)))</f>
        <v>7.7219486587871051</v>
      </c>
      <c r="BW1" s="1" t="s">
        <v>4</v>
      </c>
    </row>
    <row r="2" spans="1:90" ht="14.25" thickTop="1" thickBot="1">
      <c r="A2" s="505" t="s">
        <v>5</v>
      </c>
      <c r="B2" s="317" t="s">
        <v>6</v>
      </c>
      <c r="C2" s="246"/>
      <c r="D2" s="295"/>
      <c r="E2" s="326" t="s">
        <v>7</v>
      </c>
      <c r="F2" s="80"/>
      <c r="G2" s="292" t="s">
        <v>8</v>
      </c>
      <c r="H2" s="83"/>
      <c r="I2" s="250"/>
      <c r="L2" s="1"/>
      <c r="T2" s="2"/>
      <c r="U2" s="2"/>
      <c r="Y2" s="1"/>
      <c r="Z2" s="4"/>
      <c r="AA2" s="4"/>
      <c r="AB2" s="4"/>
      <c r="AC2" s="4"/>
      <c r="AD2" s="4"/>
      <c r="AE2" s="4"/>
      <c r="AF2" s="4"/>
      <c r="AG2" s="4"/>
      <c r="AH2" s="4"/>
      <c r="AI2" s="4"/>
      <c r="AJ2" s="4"/>
      <c r="AK2" s="4"/>
      <c r="AL2" s="4"/>
      <c r="AM2" s="4"/>
      <c r="AN2" s="4"/>
      <c r="AS2" s="7"/>
      <c r="AY2" s="8"/>
      <c r="AZ2" s="5"/>
      <c r="BK2" s="242" t="s">
        <v>9</v>
      </c>
      <c r="BL2" s="73" t="s">
        <v>6</v>
      </c>
      <c r="BM2" s="80"/>
      <c r="BN2" s="80"/>
      <c r="BO2" s="81" t="s">
        <v>7</v>
      </c>
      <c r="BP2" s="80"/>
      <c r="BQ2" s="82" t="str">
        <f>tracperf!$G$2</f>
        <v>JOHN DEERE 4055 PowerShift MFWD_________ 109 pto hp</v>
      </c>
      <c r="BR2" s="83">
        <f>tracperf!$H$2</f>
        <v>0</v>
      </c>
      <c r="BS2" s="84">
        <f>tracperf!$I$2</f>
        <v>0</v>
      </c>
      <c r="BT2" s="1" t="s">
        <v>10</v>
      </c>
      <c r="BU2" s="9">
        <f ca="1">(H30*(1-EXP(-H31*$B$27))*(1-EXP(-H32*($H$19/100)))+H33)</f>
        <v>0.48984662266618884</v>
      </c>
    </row>
    <row r="3" spans="1:90" ht="13.5" thickTop="1">
      <c r="A3" s="306" t="s">
        <v>11</v>
      </c>
      <c r="B3" s="318">
        <f>$B$4/(2*tire!$G$26)</f>
        <v>0.5706783439490446</v>
      </c>
      <c r="C3" s="307" t="s">
        <v>12</v>
      </c>
      <c r="D3" s="307">
        <f>tire!$G$12</f>
        <v>3</v>
      </c>
      <c r="E3" s="383" t="str">
        <f>CHOOSE(tire!$G$34,"Ply Rating","Star Rating")</f>
        <v>Star Rating</v>
      </c>
      <c r="F3" s="133"/>
      <c r="G3" s="332" t="s">
        <v>13</v>
      </c>
      <c r="H3" s="87">
        <v>105.314960629921</v>
      </c>
      <c r="I3" s="251" t="s">
        <v>14</v>
      </c>
      <c r="K3" s="2"/>
      <c r="L3" s="1"/>
      <c r="T3" s="2"/>
      <c r="U3" s="2"/>
      <c r="W3" s="1"/>
      <c r="Y3" s="1"/>
      <c r="Z3" s="11"/>
      <c r="AA3" s="11"/>
      <c r="AB3" s="11"/>
      <c r="AC3" s="11"/>
      <c r="AD3" s="11"/>
      <c r="AE3" s="11"/>
      <c r="AF3" s="11"/>
      <c r="AG3" s="11"/>
      <c r="AH3" s="11"/>
      <c r="AI3" s="11"/>
      <c r="AJ3" s="11"/>
      <c r="AK3" s="11"/>
      <c r="AL3" s="11"/>
      <c r="AM3" s="11"/>
      <c r="AN3" s="11"/>
      <c r="BK3" s="68" t="s">
        <v>11</v>
      </c>
      <c r="BL3" s="107">
        <f>tracperf!$B$3</f>
        <v>0.5706783439490446</v>
      </c>
      <c r="BM3" s="135" t="s">
        <v>12</v>
      </c>
      <c r="BN3" s="135">
        <f>tracperf!$D$3</f>
        <v>3</v>
      </c>
      <c r="BO3" s="85" t="str">
        <f>tracperf!$E$3</f>
        <v>Star Rating</v>
      </c>
      <c r="BP3" s="133"/>
      <c r="BQ3" s="86" t="s">
        <v>13</v>
      </c>
      <c r="BR3" s="87">
        <f>tracperf!$H$3*25.4</f>
        <v>2674.9999999999932</v>
      </c>
      <c r="BS3" s="88" t="s">
        <v>15</v>
      </c>
      <c r="BT3" s="1" t="s">
        <v>16</v>
      </c>
      <c r="BU3" s="9">
        <f ca="1">H34/$B$27+H33+0.5*($H$19/100)/SQRT($B$27)</f>
        <v>5.0389059346168781E-2</v>
      </c>
      <c r="BV3" s="2" t="str">
        <f ca="1">"BN = "&amp;FIXED($BU$1,1,TRUE)</f>
        <v>BN = 7.7</v>
      </c>
    </row>
    <row r="4" spans="1:90" ht="12.75">
      <c r="A4" s="252" t="s">
        <v>17</v>
      </c>
      <c r="B4" s="319">
        <v>5375.79</v>
      </c>
      <c r="C4" s="89" t="str">
        <f>IF($B$3&lt;=100,"Tire OK","Overload")</f>
        <v>Tire OK</v>
      </c>
      <c r="D4" s="296"/>
      <c r="E4" s="304">
        <f ca="1">+$B$4-$H$17/$H$3*($H$4+($H$5)*TAN($H$6/57.3))</f>
        <v>4387.5608415921761</v>
      </c>
      <c r="F4" s="90"/>
      <c r="G4" s="86" t="s">
        <v>18</v>
      </c>
      <c r="H4" s="87">
        <v>16.929133858267701</v>
      </c>
      <c r="I4" s="251" t="s">
        <v>14</v>
      </c>
      <c r="K4" s="2"/>
      <c r="L4" s="1"/>
      <c r="T4" s="2"/>
      <c r="U4" s="2"/>
      <c r="W4" s="12"/>
      <c r="X4" s="1"/>
      <c r="Y4" s="1"/>
      <c r="Z4" s="1"/>
      <c r="AA4" s="7"/>
      <c r="AB4" s="7"/>
      <c r="AC4" s="7"/>
      <c r="AD4" s="7"/>
      <c r="AE4" s="7"/>
      <c r="AF4" s="7"/>
      <c r="AG4" s="7"/>
      <c r="AH4" s="7"/>
      <c r="AI4" s="7"/>
      <c r="AJ4" s="7"/>
      <c r="AK4" s="7"/>
      <c r="AL4" s="7"/>
      <c r="AM4" s="7"/>
      <c r="AN4" s="7"/>
      <c r="AP4" s="1"/>
      <c r="AW4" s="1"/>
      <c r="BK4" s="69" t="s">
        <v>19</v>
      </c>
      <c r="BL4" s="74">
        <f>tracperf!$B$4/2.205</f>
        <v>2438</v>
      </c>
      <c r="BM4" s="89" t="str">
        <f>tracperf!$C$4</f>
        <v>Tire OK</v>
      </c>
      <c r="BN4" s="90"/>
      <c r="BO4" s="128">
        <f ca="1">tracperf!$E$4/2.205</f>
        <v>1989.8235109261568</v>
      </c>
      <c r="BP4" s="90"/>
      <c r="BQ4" s="86" t="s">
        <v>18</v>
      </c>
      <c r="BR4" s="87">
        <f>tracperf!$H$4*25.4</f>
        <v>429.99999999999955</v>
      </c>
      <c r="BS4" s="88" t="s">
        <v>15</v>
      </c>
      <c r="BT4" s="1" t="s">
        <v>20</v>
      </c>
      <c r="BU4" s="9">
        <f ca="1">$B$28-$B$29</f>
        <v>0.43945756332002006</v>
      </c>
    </row>
    <row r="5" spans="1:90" ht="12.75">
      <c r="A5" s="253" t="s">
        <v>21</v>
      </c>
      <c r="B5" s="320">
        <f>$B$4/($B$4+$B$11)*100</f>
        <v>38.515007898894147</v>
      </c>
      <c r="C5" s="91" t="s">
        <v>22</v>
      </c>
      <c r="D5" s="296"/>
      <c r="E5" s="305">
        <f ca="1">+$E$4/$E$18*100</f>
        <v>31.434810599149394</v>
      </c>
      <c r="F5" s="91" t="s">
        <v>22</v>
      </c>
      <c r="G5" s="86" t="s">
        <v>23</v>
      </c>
      <c r="H5" s="331">
        <v>31.594488188976399</v>
      </c>
      <c r="I5" s="251" t="s">
        <v>14</v>
      </c>
      <c r="J5" s="14"/>
      <c r="K5" s="15"/>
      <c r="M5" s="1"/>
      <c r="P5" s="15"/>
      <c r="Q5" s="9"/>
      <c r="S5" s="1"/>
      <c r="T5" s="2"/>
      <c r="U5" s="2"/>
      <c r="W5" s="12"/>
      <c r="X5" s="1"/>
      <c r="Y5" s="1"/>
      <c r="Z5" s="16"/>
      <c r="AA5" s="7"/>
      <c r="AB5" s="7"/>
      <c r="AC5" s="7"/>
      <c r="AD5" s="7"/>
      <c r="AE5" s="7"/>
      <c r="AF5" s="7"/>
      <c r="AG5" s="7"/>
      <c r="AH5" s="7"/>
      <c r="AI5" s="7"/>
      <c r="AJ5" s="7"/>
      <c r="AK5" s="7"/>
      <c r="AL5" s="7"/>
      <c r="AM5" s="7"/>
      <c r="AN5" s="7"/>
      <c r="AP5" s="1"/>
      <c r="AW5" s="1"/>
      <c r="BK5" s="70" t="s">
        <v>21</v>
      </c>
      <c r="BL5" s="109">
        <f>tracperf!$B$5</f>
        <v>38.515007898894147</v>
      </c>
      <c r="BM5" s="91" t="s">
        <v>22</v>
      </c>
      <c r="BN5" s="90"/>
      <c r="BO5" s="235">
        <f ca="1">tracperf!$E$5</f>
        <v>31.434810599149394</v>
      </c>
      <c r="BP5" s="91" t="s">
        <v>22</v>
      </c>
      <c r="BQ5" s="86" t="s">
        <v>23</v>
      </c>
      <c r="BR5" s="87">
        <f>tracperf!$H$5*25.4</f>
        <v>802.50000000000045</v>
      </c>
      <c r="BS5" s="88" t="s">
        <v>15</v>
      </c>
      <c r="BT5" s="1" t="s">
        <v>24</v>
      </c>
      <c r="BU5" s="9">
        <f ca="1">($B$28-$B$29)*(1-($H$19/100))/$B$28</f>
        <v>0.80219013932780714</v>
      </c>
    </row>
    <row r="6" spans="1:90" ht="12.75">
      <c r="A6" s="252" t="s">
        <v>25</v>
      </c>
      <c r="B6" s="336">
        <f>tire!$G$9</f>
        <v>14.9</v>
      </c>
      <c r="C6" s="337" t="str">
        <f>IF(tire!$G$10="B","-",tire!$G$10)</f>
        <v>R</v>
      </c>
      <c r="D6" s="421">
        <f>tire!$G$11</f>
        <v>26</v>
      </c>
      <c r="E6" s="328" t="str">
        <f>IF(B3&lt;1,"Tire OK","Tire Overload")</f>
        <v>Tire OK</v>
      </c>
      <c r="F6" s="90"/>
      <c r="G6" s="86" t="s">
        <v>26</v>
      </c>
      <c r="H6" s="130">
        <v>0</v>
      </c>
      <c r="I6" s="251" t="s">
        <v>27</v>
      </c>
      <c r="J6" s="1"/>
      <c r="K6" s="15"/>
      <c r="M6" s="1"/>
      <c r="O6" s="1"/>
      <c r="P6" s="15"/>
      <c r="Q6" s="1"/>
      <c r="R6" s="1"/>
      <c r="S6" s="1"/>
      <c r="U6" s="1"/>
      <c r="V6" s="2"/>
      <c r="X6" s="1"/>
      <c r="Y6" s="1"/>
      <c r="Z6" s="13"/>
      <c r="AA6" s="13"/>
      <c r="AB6" s="13"/>
      <c r="AC6" s="13"/>
      <c r="AD6" s="13"/>
      <c r="AE6" s="13"/>
      <c r="AF6" s="13"/>
      <c r="AG6" s="13"/>
      <c r="AH6" s="13"/>
      <c r="AI6" s="13"/>
      <c r="AJ6" s="13"/>
      <c r="AK6" s="13"/>
      <c r="AL6" s="13"/>
      <c r="AM6" s="13"/>
      <c r="AN6" s="13"/>
      <c r="AP6" s="1"/>
      <c r="AQ6" s="1"/>
      <c r="AS6" s="1"/>
      <c r="AT6" s="1"/>
      <c r="AU6" s="1"/>
      <c r="AW6" s="1"/>
      <c r="AX6" s="1"/>
      <c r="AY6" s="1"/>
      <c r="BC6" s="1"/>
      <c r="BG6" s="1"/>
      <c r="BH6" s="1"/>
      <c r="BI6" s="1"/>
      <c r="BK6" s="69" t="s">
        <v>25</v>
      </c>
      <c r="BL6" s="237">
        <f>tracperf!$B$6</f>
        <v>14.9</v>
      </c>
      <c r="BM6" s="238" t="str">
        <f>tracperf!$C$6</f>
        <v>R</v>
      </c>
      <c r="BN6" s="239">
        <f>tracperf!$D$6</f>
        <v>26</v>
      </c>
      <c r="BO6" s="127" t="str">
        <f>tracperf!$E$6</f>
        <v>Tire OK</v>
      </c>
      <c r="BP6" s="90"/>
      <c r="BQ6" s="86" t="s">
        <v>26</v>
      </c>
      <c r="BR6" s="130">
        <f>tracperf!$H$6</f>
        <v>0</v>
      </c>
      <c r="BS6" s="88" t="s">
        <v>27</v>
      </c>
      <c r="BT6" s="1" t="s">
        <v>28</v>
      </c>
      <c r="BU6" s="5">
        <f ca="1">H19</f>
        <v>10.582917832342954</v>
      </c>
    </row>
    <row r="7" spans="1:90" ht="12.75">
      <c r="A7" s="252" t="s">
        <v>29</v>
      </c>
      <c r="B7" s="339">
        <f>tire!$G$35*2</f>
        <v>2</v>
      </c>
      <c r="C7" s="108">
        <f>tire!G31</f>
        <v>13.137466318800245</v>
      </c>
      <c r="D7" s="411" t="str">
        <f>tire!$G$13</f>
        <v>R-1</v>
      </c>
      <c r="E7" s="328" t="str">
        <f>IF(OR($C$6="f",$C$6="F")," Bias",IF(OR($C$6="/50R",$C$6="/65R",$C$6="/70R",$C$6="/75R",$C$6="/80R",$C$6="/85R",$C$6="/90R",$C$6="R",$C$6="r")," Radial"," Bias"))</f>
        <v xml:space="preserve"> Radial</v>
      </c>
      <c r="F7" s="90"/>
      <c r="G7" s="86" t="s">
        <v>30</v>
      </c>
      <c r="H7" s="87">
        <v>5.5</v>
      </c>
      <c r="I7" s="251" t="s">
        <v>31</v>
      </c>
      <c r="J7" s="1"/>
      <c r="K7" s="1"/>
      <c r="L7" s="1"/>
      <c r="M7" s="1"/>
      <c r="Q7" s="1"/>
      <c r="R7" s="1"/>
      <c r="U7" s="1"/>
      <c r="V7" s="2"/>
      <c r="X7" s="1"/>
      <c r="Y7" s="1"/>
      <c r="Z7" s="6"/>
      <c r="AA7" s="6"/>
      <c r="AB7" s="6"/>
      <c r="AC7" s="6"/>
      <c r="AD7" s="6"/>
      <c r="AE7" s="6"/>
      <c r="AF7" s="6"/>
      <c r="AG7" s="6"/>
      <c r="AH7" s="6"/>
      <c r="AI7" s="6"/>
      <c r="AJ7" s="7"/>
      <c r="AK7" s="7"/>
      <c r="AL7" s="7"/>
      <c r="AM7" s="16"/>
      <c r="AN7" s="16"/>
      <c r="AP7" s="1"/>
      <c r="AQ7" s="1"/>
      <c r="AR7" s="1"/>
      <c r="AS7" s="1"/>
      <c r="AT7" s="1"/>
      <c r="AU7" s="1"/>
      <c r="AV7" s="1"/>
      <c r="AW7" s="1"/>
      <c r="AX7" s="1"/>
      <c r="AY7" s="1"/>
      <c r="BC7" s="1"/>
      <c r="BG7" s="1"/>
      <c r="BH7" s="1"/>
      <c r="BI7" s="1"/>
      <c r="BK7" s="69" t="s">
        <v>32</v>
      </c>
      <c r="BL7" s="240">
        <f>tire!$G$35</f>
        <v>1</v>
      </c>
      <c r="BM7" s="108">
        <f>tracperf!$C$7/0.145</f>
        <v>90.603215991725833</v>
      </c>
      <c r="BN7" s="89" t="str">
        <f>tracperf!$D$7</f>
        <v>R-1</v>
      </c>
      <c r="BO7" s="92" t="str">
        <f>tracperf!$E$7</f>
        <v xml:space="preserve"> Radial</v>
      </c>
      <c r="BP7" s="90"/>
      <c r="BQ7" s="86" t="s">
        <v>30</v>
      </c>
      <c r="BR7" s="87">
        <f>tracperf!$H$7*1.609</f>
        <v>8.849499999999999</v>
      </c>
      <c r="BS7" s="88" t="s">
        <v>33</v>
      </c>
      <c r="BT7" s="15" t="s">
        <v>28</v>
      </c>
      <c r="BU7" s="15" t="s">
        <v>34</v>
      </c>
      <c r="BV7" s="15" t="s">
        <v>16</v>
      </c>
      <c r="BW7" s="15" t="s">
        <v>35</v>
      </c>
      <c r="BX7" s="15" t="s">
        <v>24</v>
      </c>
      <c r="BY7" s="1" t="s">
        <v>36</v>
      </c>
      <c r="BZ7" s="1" t="s">
        <v>37</v>
      </c>
      <c r="CG7" s="1" t="s">
        <v>38</v>
      </c>
      <c r="CJ7" s="1" t="s">
        <v>39</v>
      </c>
    </row>
    <row r="8" spans="1:90" ht="12.75">
      <c r="A8" s="252" t="s">
        <v>40</v>
      </c>
      <c r="B8" s="323">
        <v>0.91880604348360095</v>
      </c>
      <c r="C8" s="241" t="s">
        <v>2</v>
      </c>
      <c r="D8" s="89" t="str">
        <f>IF(OR($C$6="f",$C$6="F")," 2WD",IF(OR($C$8="u",$C$8="U")," Unpowered"," Powered"))</f>
        <v xml:space="preserve"> Powered</v>
      </c>
      <c r="E8" s="335"/>
      <c r="F8" s="90"/>
      <c r="G8" s="86" t="s">
        <v>41</v>
      </c>
      <c r="H8" s="87">
        <v>109.17</v>
      </c>
      <c r="I8" s="251" t="s">
        <v>42</v>
      </c>
      <c r="J8" s="14"/>
      <c r="K8" s="1"/>
      <c r="L8" s="1"/>
      <c r="M8" s="1"/>
      <c r="N8" s="1"/>
      <c r="O8" s="1"/>
      <c r="P8" s="1"/>
      <c r="Q8" s="4"/>
      <c r="R8" s="1"/>
      <c r="T8" s="1"/>
      <c r="U8" s="4"/>
      <c r="V8" s="4"/>
      <c r="W8" s="1"/>
      <c r="X8" s="4"/>
      <c r="Y8" s="1"/>
      <c r="Z8" s="7"/>
      <c r="AA8" s="7"/>
      <c r="AB8" s="7"/>
      <c r="AC8" s="7"/>
      <c r="AD8" s="7"/>
      <c r="AE8" s="7"/>
      <c r="AF8" s="7"/>
      <c r="AG8" s="7"/>
      <c r="AH8" s="7"/>
      <c r="AI8" s="7"/>
      <c r="AJ8" s="7"/>
      <c r="AK8" s="7"/>
      <c r="AL8" s="7"/>
      <c r="AM8" s="7"/>
      <c r="AN8" s="7"/>
      <c r="AO8" s="17"/>
      <c r="AP8" s="17"/>
      <c r="AQ8" s="17"/>
      <c r="AR8" s="17"/>
      <c r="AS8" s="17"/>
      <c r="AT8" s="17"/>
      <c r="AU8" s="17"/>
      <c r="AV8" s="17"/>
      <c r="AW8" s="17"/>
      <c r="AX8" s="17"/>
      <c r="AY8" s="17"/>
      <c r="AZ8" s="17"/>
      <c r="BA8" s="17"/>
      <c r="BB8" s="17"/>
      <c r="BC8" s="17"/>
      <c r="BD8" s="17"/>
      <c r="BE8" s="17"/>
      <c r="BF8" s="17"/>
      <c r="BG8" s="17"/>
      <c r="BH8" s="17"/>
      <c r="BI8" s="17"/>
      <c r="BK8" s="69" t="s">
        <v>40</v>
      </c>
      <c r="BL8" s="75">
        <f>tracperf!$B$8</f>
        <v>0.91880604348360095</v>
      </c>
      <c r="BM8" s="241" t="str">
        <f>tracperf!$C$8</f>
        <v>P</v>
      </c>
      <c r="BN8" s="89" t="str">
        <f>tracperf!$D$8</f>
        <v xml:space="preserve"> Powered</v>
      </c>
      <c r="BO8" s="93"/>
      <c r="BP8" s="90"/>
      <c r="BQ8" s="86" t="s">
        <v>41</v>
      </c>
      <c r="BR8" s="87">
        <f>tracperf!$H$8*0.7457</f>
        <v>81.408068999999998</v>
      </c>
      <c r="BS8" s="88" t="s">
        <v>43</v>
      </c>
      <c r="BT8" s="2">
        <v>1</v>
      </c>
      <c r="BU8" s="9">
        <f t="shared" ref="BU8:BU32" ca="1" si="0">($H$30*(1-EXP(-$H$31*$B$27))*(1-EXP(-$H$32*(BT8/100)))+$H$33)</f>
        <v>8.9411956514593549E-2</v>
      </c>
      <c r="BV8" s="9">
        <f t="shared" ref="BV8:BV32" ca="1" si="1">$H$34/$B$27+$H$33+0.5*(BT8/100)/SQRT($B$27)</f>
        <v>4.5111132891390501E-2</v>
      </c>
      <c r="BW8" s="9">
        <f t="shared" ref="BW8:BW32" ca="1" si="2">BU8-BV8</f>
        <v>4.4300823623203048E-2</v>
      </c>
      <c r="BX8" s="9">
        <f t="shared" ref="BX8:BX32" ca="1" si="3">(BU8-BV8)*(1-(BT8/100))/BU8</f>
        <v>0.49051398824734005</v>
      </c>
      <c r="BY8" s="2">
        <f t="shared" ref="BY8:BY32" si="4">BT8/100</f>
        <v>0.01</v>
      </c>
      <c r="CA8" s="9">
        <f t="shared" ref="CA8:CA14" ca="1" si="5">BV8/BU8</f>
        <v>0.50453132500268683</v>
      </c>
      <c r="CB8" s="1" t="s">
        <v>37</v>
      </c>
      <c r="CH8" s="9">
        <f t="shared" ref="CH8:CH31" ca="1" si="6">1-BV8/BU8</f>
        <v>0.49546867499731317</v>
      </c>
      <c r="CK8" s="9">
        <f t="shared" ref="CK8:CK32" si="7">1-BY8</f>
        <v>0.99</v>
      </c>
      <c r="CL8" s="1" t="s">
        <v>44</v>
      </c>
    </row>
    <row r="9" spans="1:90" ht="13.5" thickBot="1">
      <c r="A9" s="309" t="s">
        <v>45</v>
      </c>
      <c r="B9" s="324"/>
      <c r="C9" s="310"/>
      <c r="D9" s="311"/>
      <c r="E9" s="294">
        <f ca="1">IF(OR($C$6="f",$C$6="F"),0,IF(OR($C$8="u",$C$8="U"),0,$H$8*$H$9/100*$B$15/(1/($E$4/$E$11*$E$28/$B$28)+$B$15/$B$8)))</f>
        <v>31.550543258485494</v>
      </c>
      <c r="F9" s="90"/>
      <c r="G9" s="254" t="s">
        <v>46</v>
      </c>
      <c r="H9" s="94">
        <v>100</v>
      </c>
      <c r="I9" s="255" t="s">
        <v>22</v>
      </c>
      <c r="J9" s="1"/>
      <c r="K9" s="12"/>
      <c r="L9" s="2"/>
      <c r="M9" s="2"/>
      <c r="N9" s="2"/>
      <c r="O9" s="2"/>
      <c r="P9" s="2"/>
      <c r="Q9" s="2"/>
      <c r="R9" s="2"/>
      <c r="S9" s="2"/>
      <c r="T9" s="2"/>
      <c r="U9" s="2"/>
      <c r="V9" s="2"/>
      <c r="W9" s="12"/>
      <c r="X9" s="2"/>
      <c r="Y9" s="1"/>
      <c r="Z9" s="10"/>
      <c r="AA9" s="10"/>
      <c r="AB9" s="10"/>
      <c r="AC9" s="10"/>
      <c r="AD9" s="10"/>
      <c r="AE9" s="10"/>
      <c r="AF9" s="10"/>
      <c r="AG9" s="10"/>
      <c r="AH9" s="10"/>
      <c r="AI9" s="10"/>
      <c r="AJ9" s="10"/>
      <c r="AK9" s="10"/>
      <c r="AL9" s="10"/>
      <c r="AM9" s="7"/>
      <c r="AN9" s="7"/>
      <c r="AO9" s="1"/>
      <c r="AP9" s="5"/>
      <c r="AQ9" s="5"/>
      <c r="AR9" s="5"/>
      <c r="AS9" s="5"/>
      <c r="AT9" s="5"/>
      <c r="AU9" s="12"/>
      <c r="AV9" s="12"/>
      <c r="AW9" s="12"/>
      <c r="AX9" s="12"/>
      <c r="AY9" s="12"/>
      <c r="AZ9" s="5"/>
      <c r="BA9" s="5"/>
      <c r="BB9" s="12"/>
      <c r="BC9" s="12"/>
      <c r="BD9" s="8"/>
      <c r="BE9" s="5"/>
      <c r="BF9" s="12"/>
      <c r="BG9" s="8"/>
      <c r="BH9" s="8"/>
      <c r="BI9" s="9"/>
      <c r="BK9" s="69" t="s">
        <v>47</v>
      </c>
      <c r="BL9" s="76"/>
      <c r="BM9" s="90"/>
      <c r="BN9" s="90"/>
      <c r="BO9" s="109">
        <f ca="1">tracperf!$E$9*0.7457</f>
        <v>23.527240107852634</v>
      </c>
      <c r="BP9" s="90"/>
      <c r="BQ9" s="131" t="s">
        <v>48</v>
      </c>
      <c r="BR9" s="94">
        <f>tracperf!$H$9</f>
        <v>100</v>
      </c>
      <c r="BS9" s="132" t="s">
        <v>49</v>
      </c>
      <c r="BT9" s="2">
        <v>2</v>
      </c>
      <c r="BU9" s="9">
        <f t="shared" ca="1" si="0"/>
        <v>0.14480729759732155</v>
      </c>
      <c r="BV9" s="9">
        <f t="shared" ca="1" si="1"/>
        <v>4.5661896922463058E-2</v>
      </c>
      <c r="BW9" s="9">
        <f t="shared" ca="1" si="2"/>
        <v>9.9145400674858497E-2</v>
      </c>
      <c r="BX9" s="9">
        <f t="shared" ca="1" si="3"/>
        <v>0.67097787386067831</v>
      </c>
      <c r="BY9" s="2">
        <f t="shared" si="4"/>
        <v>0.02</v>
      </c>
      <c r="CA9" s="9">
        <f t="shared" ca="1" si="5"/>
        <v>0.31532870014216502</v>
      </c>
      <c r="CH9" s="9">
        <f t="shared" ca="1" si="6"/>
        <v>0.68467129985783504</v>
      </c>
      <c r="CK9" s="9">
        <f t="shared" si="7"/>
        <v>0.98</v>
      </c>
    </row>
    <row r="10" spans="1:90" ht="13.5" thickTop="1">
      <c r="A10" s="306" t="s">
        <v>50</v>
      </c>
      <c r="B10" s="318">
        <f>$B$11/(2*tire!$I$26)</f>
        <v>0.6077804532577904</v>
      </c>
      <c r="C10" s="307" t="s">
        <v>12</v>
      </c>
      <c r="D10" s="307">
        <f>tire!$I$12</f>
        <v>2</v>
      </c>
      <c r="E10" s="383" t="str">
        <f>CHOOSE(tire!$I$34,"Ply Rating","Star Rating")</f>
        <v>Star Rating</v>
      </c>
      <c r="F10" s="133"/>
      <c r="G10" s="97" t="s">
        <v>51</v>
      </c>
      <c r="H10" s="95">
        <v>250</v>
      </c>
      <c r="I10" s="251" t="s">
        <v>52</v>
      </c>
      <c r="J10" s="1"/>
      <c r="K10" s="12"/>
      <c r="L10" s="5"/>
      <c r="M10" s="2"/>
      <c r="N10" s="2"/>
      <c r="O10" s="2"/>
      <c r="P10" s="2"/>
      <c r="Q10" s="2"/>
      <c r="R10" s="2"/>
      <c r="S10" s="2"/>
      <c r="T10" s="2"/>
      <c r="U10" s="2"/>
      <c r="V10" s="2"/>
      <c r="W10" s="12"/>
      <c r="X10" s="2"/>
      <c r="Y10" s="1"/>
      <c r="Z10" s="18"/>
      <c r="AA10" s="18"/>
      <c r="AB10" s="18"/>
      <c r="AC10" s="18"/>
      <c r="AD10" s="18"/>
      <c r="AE10" s="18"/>
      <c r="AF10" s="18"/>
      <c r="AG10" s="18"/>
      <c r="AH10" s="18"/>
      <c r="AI10" s="18"/>
      <c r="AJ10" s="7"/>
      <c r="AK10" s="7"/>
      <c r="AL10" s="7"/>
      <c r="AM10" s="7"/>
      <c r="AN10" s="7"/>
      <c r="AO10" s="17"/>
      <c r="AP10" s="1"/>
      <c r="AY10" s="17"/>
      <c r="AZ10" s="17"/>
      <c r="BA10" s="17"/>
      <c r="BB10" s="17"/>
      <c r="BC10" s="17"/>
      <c r="BD10" s="17"/>
      <c r="BE10" s="17"/>
      <c r="BF10" s="17"/>
      <c r="BG10" s="17"/>
      <c r="BH10" s="17"/>
      <c r="BI10" s="17"/>
      <c r="BK10" s="68" t="s">
        <v>50</v>
      </c>
      <c r="BL10" s="107">
        <f>tracperf!$B$10</f>
        <v>0.6077804532577904</v>
      </c>
      <c r="BM10" s="135" t="s">
        <v>12</v>
      </c>
      <c r="BN10" s="135">
        <f>tracperf!$D$10</f>
        <v>2</v>
      </c>
      <c r="BO10" s="85" t="str">
        <f>tracperf!$E$10</f>
        <v>Star Rating</v>
      </c>
      <c r="BP10" s="133"/>
      <c r="BQ10" s="97" t="s">
        <v>53</v>
      </c>
      <c r="BR10" s="95">
        <f>tracperf!$H$10/0.145</f>
        <v>1724.1379310344828</v>
      </c>
      <c r="BS10" s="88" t="s">
        <v>54</v>
      </c>
      <c r="BT10" s="2">
        <v>3</v>
      </c>
      <c r="BU10" s="9">
        <f t="shared" ca="1" si="0"/>
        <v>0.19645757127443927</v>
      </c>
      <c r="BV10" s="9">
        <f t="shared" ca="1" si="1"/>
        <v>4.6212660953535607E-2</v>
      </c>
      <c r="BW10" s="9">
        <f t="shared" ca="1" si="2"/>
        <v>0.15024491032090367</v>
      </c>
      <c r="BX10" s="9">
        <f t="shared" ca="1" si="3"/>
        <v>0.74182716433814633</v>
      </c>
      <c r="BY10" s="2">
        <f t="shared" si="4"/>
        <v>0.03</v>
      </c>
      <c r="CA10" s="9">
        <f t="shared" ca="1" si="5"/>
        <v>0.2352297274864471</v>
      </c>
      <c r="CH10" s="9">
        <f t="shared" ca="1" si="6"/>
        <v>0.7647702725135529</v>
      </c>
      <c r="CK10" s="9">
        <f t="shared" si="7"/>
        <v>0.97</v>
      </c>
    </row>
    <row r="11" spans="1:90" ht="12.75">
      <c r="A11" s="252" t="s">
        <v>17</v>
      </c>
      <c r="B11" s="319">
        <v>8581.86</v>
      </c>
      <c r="C11" s="89" t="str">
        <f>IF(B10&lt;=100,"Tire OK","Overload")</f>
        <v>Tire OK</v>
      </c>
      <c r="D11" s="296"/>
      <c r="E11" s="304">
        <f ca="1">+$B$11+$H$17*($H$4/$H$3+(TAN($H$6/57.3)*(1+$H$5/$H$3)))</f>
        <v>9570.0891584078254</v>
      </c>
      <c r="F11" s="90"/>
      <c r="G11" s="334" t="s">
        <v>55</v>
      </c>
      <c r="H11" s="256"/>
      <c r="I11" s="257"/>
      <c r="J11" s="1"/>
      <c r="K11" s="7"/>
      <c r="M11" s="17"/>
      <c r="N11" s="1"/>
      <c r="R11" s="17"/>
      <c r="S11" s="15"/>
      <c r="T11" s="17"/>
      <c r="U11" s="17"/>
      <c r="V11" s="17"/>
      <c r="W11" s="17"/>
      <c r="X11" s="17"/>
      <c r="Y11" s="1"/>
      <c r="Z11" s="13"/>
      <c r="AA11" s="13"/>
      <c r="AB11" s="13"/>
      <c r="AC11" s="13"/>
      <c r="AD11" s="13"/>
      <c r="AE11" s="13"/>
      <c r="AF11" s="13"/>
      <c r="AG11" s="13"/>
      <c r="AH11" s="13"/>
      <c r="AI11" s="13"/>
      <c r="AJ11" s="13"/>
      <c r="AK11" s="13"/>
      <c r="AL11" s="13"/>
      <c r="AM11" s="7"/>
      <c r="AN11" s="7"/>
      <c r="AO11" s="26"/>
      <c r="AP11" s="5"/>
      <c r="AQ11" s="1"/>
      <c r="AR11" s="1"/>
      <c r="AS11" s="1"/>
      <c r="AT11" s="1"/>
      <c r="AU11" s="2"/>
      <c r="AW11" s="12"/>
      <c r="AX11" s="12"/>
      <c r="AY11" s="2"/>
      <c r="AZ11" s="5"/>
      <c r="BA11" s="1"/>
      <c r="BB11" s="2"/>
      <c r="BC11" s="2"/>
      <c r="BD11" s="2"/>
      <c r="BE11" s="1"/>
      <c r="BF11" s="2"/>
      <c r="BG11" s="2"/>
      <c r="BH11" s="2"/>
      <c r="BI11" s="9"/>
      <c r="BK11" s="69" t="s">
        <v>19</v>
      </c>
      <c r="BL11" s="74">
        <f>tracperf!$B$11/2.205</f>
        <v>3892</v>
      </c>
      <c r="BM11" s="89" t="str">
        <f>tracperf!$C$11</f>
        <v>Tire OK</v>
      </c>
      <c r="BN11" s="90"/>
      <c r="BO11" s="128">
        <f ca="1">tracperf!$E$11/2.205</f>
        <v>4340.1764890738432</v>
      </c>
      <c r="BP11" s="90"/>
      <c r="BQ11" s="134" t="s">
        <v>56</v>
      </c>
      <c r="BR11" s="266">
        <f>tracperf!$H$12</f>
        <v>0.1607476635514021</v>
      </c>
      <c r="BT11" s="2">
        <v>5</v>
      </c>
      <c r="BU11" s="9">
        <f t="shared" ca="1" si="0"/>
        <v>0.28951855802923898</v>
      </c>
      <c r="BV11" s="9">
        <f t="shared" ca="1" si="1"/>
        <v>4.731418901568072E-2</v>
      </c>
      <c r="BW11" s="9">
        <f t="shared" ca="1" si="2"/>
        <v>0.24220436901355827</v>
      </c>
      <c r="BX11" s="9">
        <f t="shared" ca="1" si="3"/>
        <v>0.79474750126257099</v>
      </c>
      <c r="BY11" s="2">
        <f t="shared" si="4"/>
        <v>0.05</v>
      </c>
      <c r="CA11" s="9">
        <f t="shared" ca="1" si="5"/>
        <v>0.16342368288150419</v>
      </c>
      <c r="CH11" s="9">
        <f t="shared" ca="1" si="6"/>
        <v>0.83657631711849578</v>
      </c>
      <c r="CK11" s="9">
        <f t="shared" si="7"/>
        <v>0.95</v>
      </c>
    </row>
    <row r="12" spans="1:90" ht="12.75">
      <c r="A12" s="253" t="s">
        <v>21</v>
      </c>
      <c r="B12" s="415">
        <f>$B$11/$B$18*100</f>
        <v>61.484992101105838</v>
      </c>
      <c r="C12" s="91" t="s">
        <v>22</v>
      </c>
      <c r="D12" s="296"/>
      <c r="E12" s="414">
        <f ca="1">$E$11/$E$18*100</f>
        <v>68.565189400850599</v>
      </c>
      <c r="F12" s="91" t="s">
        <v>22</v>
      </c>
      <c r="G12" s="86" t="s">
        <v>56</v>
      </c>
      <c r="H12" s="111">
        <f>($H$4/$H$3+(1+$H$5/$H$3)*TAN($H$6/57.3))</f>
        <v>0.1607476635514021</v>
      </c>
      <c r="I12" s="258"/>
      <c r="J12" s="5"/>
      <c r="K12" s="2"/>
      <c r="L12" s="2"/>
      <c r="M12" s="1"/>
      <c r="N12" s="2"/>
      <c r="O12" s="2"/>
      <c r="P12" s="15"/>
      <c r="Q12" s="2"/>
      <c r="R12" s="2"/>
      <c r="S12" s="2"/>
      <c r="T12" s="1"/>
      <c r="Y12" s="1"/>
      <c r="Z12" s="6"/>
      <c r="AA12" s="6"/>
      <c r="AB12" s="6"/>
      <c r="AC12" s="6"/>
      <c r="AD12" s="6"/>
      <c r="AE12" s="6"/>
      <c r="AF12" s="6"/>
      <c r="AG12" s="6"/>
      <c r="AH12" s="6"/>
      <c r="AI12" s="6"/>
      <c r="AJ12" s="7"/>
      <c r="AK12" s="7"/>
      <c r="AL12" s="7"/>
      <c r="AM12" s="13"/>
      <c r="AN12" s="13"/>
      <c r="AO12" s="26"/>
      <c r="AP12" s="5"/>
      <c r="AQ12" s="1"/>
      <c r="AR12" s="1"/>
      <c r="AS12" s="1"/>
      <c r="AT12" s="1"/>
      <c r="AU12" s="2"/>
      <c r="AV12" s="1"/>
      <c r="AW12" s="12"/>
      <c r="AX12" s="12"/>
      <c r="AY12" s="2"/>
      <c r="AZ12" s="2"/>
      <c r="BA12" s="1"/>
      <c r="BB12" s="2"/>
      <c r="BC12" s="2"/>
      <c r="BD12" s="2"/>
      <c r="BE12" s="1"/>
      <c r="BF12" s="2"/>
      <c r="BG12" s="2"/>
      <c r="BH12" s="2"/>
      <c r="BI12" s="9"/>
      <c r="BK12" s="70" t="s">
        <v>21</v>
      </c>
      <c r="BL12" s="106">
        <f>tracperf!$B$12</f>
        <v>61.484992101105838</v>
      </c>
      <c r="BM12" s="90"/>
      <c r="BN12" s="90"/>
      <c r="BO12" s="106">
        <f ca="1">tracperf!$E$12</f>
        <v>68.565189400850599</v>
      </c>
      <c r="BP12" s="90"/>
      <c r="BQ12" s="86" t="s">
        <v>57</v>
      </c>
      <c r="BR12" s="111">
        <f ca="1">tracperf!$H$13/2.205</f>
        <v>0</v>
      </c>
      <c r="BS12" s="96" t="s">
        <v>58</v>
      </c>
      <c r="BT12" s="2">
        <v>7</v>
      </c>
      <c r="BU12" s="9">
        <f t="shared" ca="1" si="0"/>
        <v>0.37042189325886343</v>
      </c>
      <c r="BV12" s="9">
        <f t="shared" ca="1" si="1"/>
        <v>4.8415717077825833E-2</v>
      </c>
      <c r="BW12" s="9">
        <f t="shared" ca="1" si="2"/>
        <v>0.32200617618103761</v>
      </c>
      <c r="BX12" s="9">
        <f t="shared" ca="1" si="3"/>
        <v>0.80844504414615714</v>
      </c>
      <c r="BY12" s="2">
        <f t="shared" si="4"/>
        <v>7.0000000000000007E-2</v>
      </c>
      <c r="CA12" s="9">
        <f t="shared" ca="1" si="5"/>
        <v>0.1307042536062826</v>
      </c>
      <c r="CH12" s="9">
        <f t="shared" ca="1" si="6"/>
        <v>0.86929574639371743</v>
      </c>
      <c r="CK12" s="9">
        <f t="shared" si="7"/>
        <v>0.92999999999999994</v>
      </c>
    </row>
    <row r="13" spans="1:90" ht="12.75">
      <c r="A13" s="252" t="s">
        <v>59</v>
      </c>
      <c r="B13" s="336">
        <f>tire!$I$9</f>
        <v>18.399999999999999</v>
      </c>
      <c r="C13" s="337" t="str">
        <f>IF(tire!$I$10="B","-",tire!$I$10)</f>
        <v>R</v>
      </c>
      <c r="D13" s="338">
        <f>tire!$I$11</f>
        <v>38</v>
      </c>
      <c r="E13" s="328" t="str">
        <f>IF(B10&lt;1,"Tire OK","Tire Overload")</f>
        <v>Tire OK</v>
      </c>
      <c r="F13" s="90"/>
      <c r="G13" s="97" t="s">
        <v>60</v>
      </c>
      <c r="H13" s="108">
        <f ca="1">$E$18-$B$18</f>
        <v>0</v>
      </c>
      <c r="I13" s="251" t="s">
        <v>61</v>
      </c>
      <c r="J13" s="5"/>
      <c r="K13" s="2"/>
      <c r="L13" s="2"/>
      <c r="M13" s="1"/>
      <c r="N13" s="2"/>
      <c r="O13" s="2"/>
      <c r="P13" s="15"/>
      <c r="Q13" s="2"/>
      <c r="R13" s="2"/>
      <c r="S13" s="2"/>
      <c r="T13" s="9"/>
      <c r="U13" s="9"/>
      <c r="V13" s="2"/>
      <c r="W13" s="12"/>
      <c r="X13" s="2"/>
      <c r="Y13" s="1"/>
      <c r="Z13" s="7"/>
      <c r="AA13" s="7"/>
      <c r="AB13" s="7"/>
      <c r="AC13" s="7"/>
      <c r="AD13" s="7"/>
      <c r="AE13" s="7"/>
      <c r="AF13" s="7"/>
      <c r="AG13" s="7"/>
      <c r="AH13" s="7"/>
      <c r="AI13" s="7"/>
      <c r="AJ13" s="7"/>
      <c r="AK13" s="7"/>
      <c r="AL13" s="7"/>
      <c r="AM13" s="7"/>
      <c r="AN13" s="7"/>
      <c r="AO13" s="26"/>
      <c r="AP13" s="5"/>
      <c r="AQ13" s="1"/>
      <c r="AR13" s="1"/>
      <c r="AS13" s="1"/>
      <c r="AT13" s="1"/>
      <c r="AU13" s="2"/>
      <c r="AV13" s="1"/>
      <c r="AW13" s="12"/>
      <c r="AX13" s="12"/>
      <c r="AY13" s="2"/>
      <c r="AZ13" s="2"/>
      <c r="BA13" s="1"/>
      <c r="BB13" s="2"/>
      <c r="BC13" s="2"/>
      <c r="BD13" s="2"/>
      <c r="BE13" s="1"/>
      <c r="BF13" s="2"/>
      <c r="BG13" s="2"/>
      <c r="BH13" s="2"/>
      <c r="BI13" s="9"/>
      <c r="BK13" s="69" t="s">
        <v>59</v>
      </c>
      <c r="BL13" s="237">
        <f>tracperf!$B$13</f>
        <v>18.399999999999999</v>
      </c>
      <c r="BM13" s="238" t="str">
        <f>tracperf!$C$13</f>
        <v>R</v>
      </c>
      <c r="BN13" s="239">
        <f>tracperf!$D$13</f>
        <v>38</v>
      </c>
      <c r="BO13" s="127" t="str">
        <f>tracperf!$E$13</f>
        <v>Tire OK</v>
      </c>
      <c r="BP13" s="90"/>
      <c r="BQ13" s="97" t="s">
        <v>62</v>
      </c>
      <c r="BR13" s="108">
        <f ca="1">tracperf!$H$14/2.205</f>
        <v>448.17648907383682</v>
      </c>
      <c r="BS13" s="88" t="s">
        <v>58</v>
      </c>
      <c r="BT13" s="2">
        <v>10</v>
      </c>
      <c r="BU13" s="9">
        <f t="shared" ca="1" si="0"/>
        <v>0.47239819493341861</v>
      </c>
      <c r="BV13" s="9">
        <f t="shared" ca="1" si="1"/>
        <v>5.0068009171043495E-2</v>
      </c>
      <c r="BW13" s="9">
        <f t="shared" ca="1" si="2"/>
        <v>0.42233018576237513</v>
      </c>
      <c r="BX13" s="9">
        <f t="shared" ca="1" si="3"/>
        <v>0.80461181110082314</v>
      </c>
      <c r="BY13" s="2">
        <f t="shared" si="4"/>
        <v>0.1</v>
      </c>
      <c r="BZ13" s="1" t="s">
        <v>24</v>
      </c>
      <c r="CA13" s="9">
        <f t="shared" ca="1" si="5"/>
        <v>0.10598687655464105</v>
      </c>
      <c r="CH13" s="9">
        <f t="shared" ca="1" si="6"/>
        <v>0.89401312344535899</v>
      </c>
      <c r="CK13" s="9">
        <f t="shared" si="7"/>
        <v>0.9</v>
      </c>
    </row>
    <row r="14" spans="1:90" ht="12.75">
      <c r="A14" s="252" t="s">
        <v>29</v>
      </c>
      <c r="B14" s="339">
        <f>tire!$I$35*2</f>
        <v>2</v>
      </c>
      <c r="C14" s="108">
        <f>tire!I31</f>
        <v>11.330094125101711</v>
      </c>
      <c r="D14" s="412" t="str">
        <f>tire!$I$13</f>
        <v>R-1</v>
      </c>
      <c r="E14" s="328" t="str">
        <f>IF(OR($C$13="/50R",$C$13="/65R",$C$13="/70R",$C$13="/75R",$C$13="/80R",$C$13="/85R",$C$13="/90R",$C$13="R",$C$13="r")," Radial"," Bias")</f>
        <v xml:space="preserve"> Radial</v>
      </c>
      <c r="F14" s="90"/>
      <c r="G14" s="86" t="s">
        <v>62</v>
      </c>
      <c r="H14" s="108">
        <f ca="1">$B$4-$E$4</f>
        <v>988.22915840782389</v>
      </c>
      <c r="I14" s="251" t="s">
        <v>61</v>
      </c>
      <c r="J14" s="5"/>
      <c r="K14" s="2"/>
      <c r="L14" s="2"/>
      <c r="M14" s="1"/>
      <c r="N14" s="2"/>
      <c r="O14" s="2"/>
      <c r="P14" s="15"/>
      <c r="Q14" s="2"/>
      <c r="R14" s="2"/>
      <c r="S14" s="2"/>
      <c r="T14" s="9"/>
      <c r="U14" s="9"/>
      <c r="V14" s="2"/>
      <c r="X14" s="2"/>
      <c r="Y14" s="1"/>
      <c r="Z14" s="10"/>
      <c r="AA14" s="10"/>
      <c r="AB14" s="10"/>
      <c r="AC14" s="10"/>
      <c r="AD14" s="10"/>
      <c r="AE14" s="10"/>
      <c r="AF14" s="10"/>
      <c r="AG14" s="10"/>
      <c r="AH14" s="10"/>
      <c r="AI14" s="10"/>
      <c r="AJ14" s="10"/>
      <c r="AK14" s="10"/>
      <c r="AL14" s="10"/>
      <c r="AM14" s="7"/>
      <c r="AN14" s="7"/>
      <c r="AO14" s="26"/>
      <c r="AP14" s="2"/>
      <c r="AQ14" s="1"/>
      <c r="AR14" s="1"/>
      <c r="AS14" s="1"/>
      <c r="AT14" s="1"/>
      <c r="AU14" s="1"/>
      <c r="AW14" s="2"/>
      <c r="AX14" s="2"/>
      <c r="AY14" s="2"/>
      <c r="AZ14" s="2"/>
      <c r="BA14" s="1"/>
      <c r="BB14" s="2"/>
      <c r="BC14" s="2"/>
      <c r="BD14" s="2"/>
      <c r="BE14" s="1"/>
      <c r="BF14" s="2"/>
      <c r="BG14" s="2"/>
      <c r="BH14" s="2"/>
      <c r="BI14" s="2"/>
      <c r="BK14" s="69" t="s">
        <v>32</v>
      </c>
      <c r="BL14" s="240">
        <f>tire!$I$35</f>
        <v>1</v>
      </c>
      <c r="BM14" s="108">
        <f>tracperf!$C$14/0.145</f>
        <v>78.138580173115258</v>
      </c>
      <c r="BN14" s="91" t="str">
        <f>tracperf!$D$14</f>
        <v>R-1</v>
      </c>
      <c r="BO14" s="92" t="str">
        <f>tracperf!$E$14</f>
        <v xml:space="preserve"> Radial</v>
      </c>
      <c r="BP14" s="90"/>
      <c r="BQ14" s="86" t="s">
        <v>63</v>
      </c>
      <c r="BR14" s="108">
        <f ca="1">tracperf!$H$15</f>
        <v>0.73851887617605771</v>
      </c>
      <c r="BS14" s="88"/>
      <c r="BT14" s="2">
        <v>14</v>
      </c>
      <c r="BU14" s="9">
        <f t="shared" ca="1" si="0"/>
        <v>0.57897333022747322</v>
      </c>
      <c r="BV14" s="9">
        <f t="shared" ca="1" si="1"/>
        <v>5.2271065295333721E-2</v>
      </c>
      <c r="BW14" s="9">
        <f t="shared" ca="1" si="2"/>
        <v>0.52670226493213945</v>
      </c>
      <c r="BX14" s="9">
        <f t="shared" ca="1" si="3"/>
        <v>0.78235719020714578</v>
      </c>
      <c r="BY14" s="2">
        <f t="shared" si="4"/>
        <v>0.14000000000000001</v>
      </c>
      <c r="CA14" s="9">
        <f t="shared" ca="1" si="5"/>
        <v>9.028233696843499E-2</v>
      </c>
      <c r="CH14" s="9">
        <f t="shared" ca="1" si="6"/>
        <v>0.90971766303156498</v>
      </c>
      <c r="CK14" s="9">
        <f t="shared" si="7"/>
        <v>0.86</v>
      </c>
    </row>
    <row r="15" spans="1:90" ht="12.75">
      <c r="A15" s="252" t="s">
        <v>40</v>
      </c>
      <c r="B15" s="323">
        <v>0.91880604348360095</v>
      </c>
      <c r="C15" s="90"/>
      <c r="D15" s="296"/>
      <c r="E15" s="330" t="s">
        <v>64</v>
      </c>
      <c r="F15" s="90"/>
      <c r="G15" s="333" t="s">
        <v>65</v>
      </c>
      <c r="H15" s="111">
        <f ca="1">$H$20/($H$8)/$H$9*100</f>
        <v>0.73851887617606227</v>
      </c>
      <c r="I15" s="251" t="s">
        <v>66</v>
      </c>
      <c r="J15" s="5"/>
      <c r="K15" s="2"/>
      <c r="L15" s="2"/>
      <c r="M15" s="1"/>
      <c r="N15" s="2"/>
      <c r="O15" s="2"/>
      <c r="P15" s="15"/>
      <c r="Q15" s="2"/>
      <c r="R15" s="2"/>
      <c r="S15" s="2"/>
      <c r="T15" s="9"/>
      <c r="U15" s="9"/>
      <c r="V15" s="2"/>
      <c r="X15" s="2"/>
      <c r="Z15" s="18"/>
      <c r="AA15" s="7"/>
      <c r="AB15" s="7"/>
      <c r="AC15" s="7"/>
      <c r="AD15" s="7"/>
      <c r="AE15" s="7"/>
      <c r="AF15" s="7"/>
      <c r="AG15" s="7"/>
      <c r="AH15" s="7"/>
      <c r="AI15" s="7"/>
      <c r="AJ15" s="7"/>
      <c r="AK15" s="7"/>
      <c r="AL15" s="7"/>
      <c r="AM15" s="7"/>
      <c r="AN15" s="7"/>
      <c r="AO15" s="26"/>
      <c r="AP15" s="5"/>
      <c r="AQ15" s="1"/>
      <c r="AR15" s="1"/>
      <c r="AS15" s="1"/>
      <c r="AT15" s="1"/>
      <c r="AU15" s="2"/>
      <c r="AW15" s="12"/>
      <c r="AX15" s="12"/>
      <c r="AY15" s="2"/>
      <c r="AZ15" s="5"/>
      <c r="BA15" s="1"/>
      <c r="BB15" s="2"/>
      <c r="BC15" s="2"/>
      <c r="BD15" s="2"/>
      <c r="BE15" s="1"/>
      <c r="BF15" s="2"/>
      <c r="BG15" s="2"/>
      <c r="BH15" s="2"/>
      <c r="BI15" s="9"/>
      <c r="BK15" s="69" t="s">
        <v>40</v>
      </c>
      <c r="BL15" s="75">
        <f>tracperf!$B$15</f>
        <v>0.91880604348360095</v>
      </c>
      <c r="BM15" s="90"/>
      <c r="BN15" s="90"/>
      <c r="BO15" s="98" t="s">
        <v>64</v>
      </c>
      <c r="BP15" s="90"/>
      <c r="BQ15" s="97" t="s">
        <v>67</v>
      </c>
      <c r="BR15" s="111">
        <f ca="1">tracperf!$H$16</f>
        <v>0.44045413434457981</v>
      </c>
      <c r="BS15" s="88"/>
      <c r="BT15" s="2">
        <v>16</v>
      </c>
      <c r="BU15" s="9">
        <f t="shared" ca="1" si="0"/>
        <v>0.62206178324488359</v>
      </c>
      <c r="BV15" s="9">
        <f t="shared" ca="1" si="1"/>
        <v>5.3372593357478827E-2</v>
      </c>
      <c r="BW15" s="9">
        <f t="shared" ca="1" si="2"/>
        <v>0.5686891898874048</v>
      </c>
      <c r="BX15" s="9">
        <f t="shared" ca="1" si="3"/>
        <v>0.7679284154277759</v>
      </c>
      <c r="BY15" s="2">
        <f t="shared" si="4"/>
        <v>0.16</v>
      </c>
      <c r="CA15" s="9"/>
      <c r="CH15" s="9">
        <f t="shared" ca="1" si="6"/>
        <v>0.91420049455687602</v>
      </c>
      <c r="CK15" s="9">
        <f t="shared" si="7"/>
        <v>0.84</v>
      </c>
    </row>
    <row r="16" spans="1:90" ht="13.5" thickBot="1">
      <c r="A16" s="309" t="s">
        <v>68</v>
      </c>
      <c r="B16" s="324"/>
      <c r="C16" s="312" t="str">
        <f ca="1">IF($E$16&lt;0,"ERR&gt;","")</f>
        <v/>
      </c>
      <c r="D16" s="311"/>
      <c r="E16" s="294">
        <f ca="1">IF(OR($C$6="f",$C$6="F"),$H$8*$H$9/100*$B$15,IF(OR($C$8="u",$C$8="U"),$H$8*$H$9/100*$B$15,$H$8*$H$9/100*$B$8/(1/($E$11/$E$4*$B$28/$E$28)+$B$8/$B$15)))</f>
        <v>68.755512508619262</v>
      </c>
      <c r="F16" s="90"/>
      <c r="G16" s="333" t="s">
        <v>69</v>
      </c>
      <c r="H16" s="111">
        <f ca="1">$H$17/$B$18</f>
        <v>0.44045413434458591</v>
      </c>
      <c r="I16" s="251" t="s">
        <v>66</v>
      </c>
      <c r="J16" s="5"/>
      <c r="K16" s="2"/>
      <c r="L16" s="2"/>
      <c r="M16" s="1"/>
      <c r="N16" s="2"/>
      <c r="O16" s="2"/>
      <c r="P16" s="15"/>
      <c r="Q16" s="2"/>
      <c r="R16" s="2"/>
      <c r="S16" s="2"/>
      <c r="T16" s="2"/>
      <c r="U16" s="2"/>
      <c r="V16" s="2"/>
      <c r="X16" s="2"/>
      <c r="Y16" s="1"/>
      <c r="Z16" s="10"/>
      <c r="AA16" s="10"/>
      <c r="AB16" s="10"/>
      <c r="AC16" s="10"/>
      <c r="AD16" s="10"/>
      <c r="AE16" s="10"/>
      <c r="AF16" s="10"/>
      <c r="AG16" s="10"/>
      <c r="AH16" s="10"/>
      <c r="AI16" s="10"/>
      <c r="AJ16" s="13"/>
      <c r="AK16" s="10"/>
      <c r="AL16" s="10"/>
      <c r="AM16" s="7"/>
      <c r="AN16" s="7"/>
      <c r="AO16" s="26"/>
      <c r="AP16" s="5"/>
      <c r="AQ16" s="1"/>
      <c r="AR16" s="1"/>
      <c r="AS16" s="1"/>
      <c r="AT16" s="1"/>
      <c r="AU16" s="2"/>
      <c r="AW16" s="12"/>
      <c r="AX16" s="12"/>
      <c r="AY16" s="2"/>
      <c r="AZ16" s="5"/>
      <c r="BA16" s="1"/>
      <c r="BB16" s="2"/>
      <c r="BC16" s="2"/>
      <c r="BD16" s="2"/>
      <c r="BE16" s="1"/>
      <c r="BF16" s="2"/>
      <c r="BG16" s="2"/>
      <c r="BH16" s="2"/>
      <c r="BI16" s="9"/>
      <c r="BK16" s="69" t="s">
        <v>47</v>
      </c>
      <c r="BL16" s="76"/>
      <c r="BM16" s="89" t="str">
        <f ca="1">IF($E$16&lt;0,"ERR&gt;","")</f>
        <v/>
      </c>
      <c r="BN16" s="90"/>
      <c r="BO16" s="109">
        <f ca="1">tracperf!$E$16*0.7457</f>
        <v>51.270985677677388</v>
      </c>
      <c r="BP16" s="90"/>
      <c r="BQ16" s="86" t="s">
        <v>70</v>
      </c>
      <c r="BR16" s="111" t="e">
        <f>tracperf!#REF!*0.97855</f>
        <v>#REF!</v>
      </c>
      <c r="BS16" s="88"/>
      <c r="BT16" s="2">
        <v>18</v>
      </c>
      <c r="BU16" s="9">
        <f t="shared" ca="1" si="0"/>
        <v>0.65952108472616378</v>
      </c>
      <c r="BV16" s="9">
        <f t="shared" ca="1" si="1"/>
        <v>5.447412141962394E-2</v>
      </c>
      <c r="BW16" s="9">
        <f t="shared" ca="1" si="2"/>
        <v>0.60504696330653984</v>
      </c>
      <c r="BX16" s="9">
        <f t="shared" ca="1" si="3"/>
        <v>0.75227088473958603</v>
      </c>
      <c r="BY16" s="2">
        <f t="shared" si="4"/>
        <v>0.18</v>
      </c>
      <c r="CA16" s="9"/>
      <c r="CH16" s="9">
        <f t="shared" ca="1" si="6"/>
        <v>0.91740351797510489</v>
      </c>
      <c r="CK16" s="9">
        <f t="shared" si="7"/>
        <v>0.82000000000000006</v>
      </c>
    </row>
    <row r="17" spans="1:89" ht="13.5" thickTop="1">
      <c r="A17" s="313" t="s">
        <v>71</v>
      </c>
      <c r="B17" s="325" t="s">
        <v>72</v>
      </c>
      <c r="C17" s="314"/>
      <c r="D17" s="315"/>
      <c r="E17" s="316">
        <f ca="1">$E$16+$E$9</f>
        <v>100.30605576710475</v>
      </c>
      <c r="F17" s="133"/>
      <c r="G17" s="99" t="s">
        <v>73</v>
      </c>
      <c r="H17" s="100">
        <f ca="1">($B$28-$B$29)*$E$11+($E$28-$E$29)*$E$4</f>
        <v>6147.7046482346404</v>
      </c>
      <c r="I17" s="259" t="s">
        <v>61</v>
      </c>
      <c r="J17" s="5"/>
      <c r="K17" s="2"/>
      <c r="L17" s="2"/>
      <c r="M17" s="1"/>
      <c r="N17" s="2"/>
      <c r="O17" s="2"/>
      <c r="P17" s="15"/>
      <c r="Q17" s="2"/>
      <c r="R17" s="2"/>
      <c r="S17" s="2"/>
      <c r="T17" s="9"/>
      <c r="U17" s="9"/>
      <c r="V17" s="2"/>
      <c r="X17" s="2"/>
      <c r="Y17" s="1"/>
      <c r="Z17" s="10"/>
      <c r="AA17" s="10"/>
      <c r="AB17" s="10"/>
      <c r="AC17" s="10"/>
      <c r="AD17" s="10"/>
      <c r="AE17" s="10"/>
      <c r="AF17" s="10"/>
      <c r="AG17" s="10"/>
      <c r="AH17" s="10"/>
      <c r="AI17" s="10"/>
      <c r="AJ17" s="13"/>
      <c r="AK17" s="10"/>
      <c r="AL17" s="10"/>
      <c r="AM17" s="7"/>
      <c r="AN17" s="7"/>
      <c r="AO17" s="26"/>
      <c r="AP17" s="5"/>
      <c r="AQ17" s="1"/>
      <c r="AR17" s="1"/>
      <c r="AS17" s="1"/>
      <c r="AT17" s="1"/>
      <c r="AU17" s="2"/>
      <c r="AV17" s="1"/>
      <c r="AW17" s="12"/>
      <c r="AX17" s="12"/>
      <c r="AY17" s="2"/>
      <c r="AZ17" s="2"/>
      <c r="BA17" s="1"/>
      <c r="BB17" s="2"/>
      <c r="BC17" s="2"/>
      <c r="BD17" s="2"/>
      <c r="BE17" s="1"/>
      <c r="BF17" s="2"/>
      <c r="BG17" s="2"/>
      <c r="BH17" s="2"/>
      <c r="BI17" s="9"/>
      <c r="BK17" s="71" t="s">
        <v>74</v>
      </c>
      <c r="BL17" s="76"/>
      <c r="BM17" s="133"/>
      <c r="BN17" s="133"/>
      <c r="BO17" s="110">
        <f ca="1">tracperf!$E$17*0.7457</f>
        <v>74.798225785530022</v>
      </c>
      <c r="BP17" s="133"/>
      <c r="BQ17" s="99" t="s">
        <v>73</v>
      </c>
      <c r="BR17" s="100">
        <f ca="1">tracperf!$H$17*4.448/1000</f>
        <v>27.344990275347683</v>
      </c>
      <c r="BS17" s="101" t="s">
        <v>75</v>
      </c>
      <c r="BT17" s="2">
        <v>20</v>
      </c>
      <c r="BU17" s="9">
        <f t="shared" ca="1" si="0"/>
        <v>0.69208663696120154</v>
      </c>
      <c r="BV17" s="9">
        <f t="shared" ca="1" si="1"/>
        <v>5.5575649481769046E-2</v>
      </c>
      <c r="BW17" s="9">
        <f t="shared" ca="1" si="2"/>
        <v>0.63651098747943247</v>
      </c>
      <c r="BX17" s="9">
        <f t="shared" ca="1" si="3"/>
        <v>0.73575873711327322</v>
      </c>
      <c r="BY17" s="2">
        <f t="shared" si="4"/>
        <v>0.2</v>
      </c>
      <c r="CA17" s="9"/>
      <c r="CH17" s="9">
        <f t="shared" ca="1" si="6"/>
        <v>0.91969842139159141</v>
      </c>
      <c r="CK17" s="9">
        <f t="shared" si="7"/>
        <v>0.8</v>
      </c>
    </row>
    <row r="18" spans="1:89" ht="12.75">
      <c r="A18" s="260" t="s">
        <v>76</v>
      </c>
      <c r="B18" s="301">
        <f>$B$11+$B$4</f>
        <v>13957.650000000001</v>
      </c>
      <c r="C18" s="80"/>
      <c r="D18" s="258"/>
      <c r="E18" s="341">
        <f ca="1">$E$4+$E$11</f>
        <v>13957.650000000001</v>
      </c>
      <c r="F18" s="80"/>
      <c r="G18" s="99" t="s">
        <v>77</v>
      </c>
      <c r="H18" s="102">
        <f ca="1">$H$7*(1-($H$19/100))</f>
        <v>4.9179395192211377</v>
      </c>
      <c r="I18" s="259" t="s">
        <v>31</v>
      </c>
      <c r="J18" s="5"/>
      <c r="K18" s="2"/>
      <c r="L18" s="2"/>
      <c r="M18" s="1"/>
      <c r="N18" s="2"/>
      <c r="O18" s="2"/>
      <c r="P18" s="15"/>
      <c r="Q18" s="2"/>
      <c r="R18" s="2"/>
      <c r="S18" s="2"/>
      <c r="T18" s="9"/>
      <c r="U18" s="9"/>
      <c r="V18" s="2"/>
      <c r="X18" s="2"/>
      <c r="Y18" s="1"/>
      <c r="Z18" s="10"/>
      <c r="AA18" s="10"/>
      <c r="AB18" s="10"/>
      <c r="AC18" s="10"/>
      <c r="AD18" s="10"/>
      <c r="AE18" s="10"/>
      <c r="AF18" s="10"/>
      <c r="AG18" s="10"/>
      <c r="AH18" s="10"/>
      <c r="AI18" s="10"/>
      <c r="AJ18" s="13"/>
      <c r="AK18" s="10"/>
      <c r="AL18" s="10"/>
      <c r="AM18" s="10"/>
      <c r="AN18" s="10"/>
      <c r="AO18" s="26"/>
      <c r="AP18" s="5"/>
      <c r="AQ18" s="1"/>
      <c r="AR18" s="1"/>
      <c r="AS18" s="1"/>
      <c r="AT18" s="1"/>
      <c r="AU18" s="2"/>
      <c r="AW18" s="12"/>
      <c r="AX18" s="12"/>
      <c r="AY18" s="2"/>
      <c r="AZ18" s="5"/>
      <c r="BA18" s="1"/>
      <c r="BB18" s="2"/>
      <c r="BC18" s="2"/>
      <c r="BD18" s="2"/>
      <c r="BE18" s="1"/>
      <c r="BF18" s="2"/>
      <c r="BG18" s="2"/>
      <c r="BH18" s="2"/>
      <c r="BI18" s="9"/>
      <c r="BK18" s="72" t="s">
        <v>78</v>
      </c>
      <c r="BL18" s="108">
        <f>tracperf!$B$18/2.205</f>
        <v>6330.0000000000009</v>
      </c>
      <c r="BM18" s="80"/>
      <c r="BN18" s="80"/>
      <c r="BO18" s="108">
        <f ca="1">tracperf!$E$18/2.205</f>
        <v>6330.0000000000009</v>
      </c>
      <c r="BP18" s="80"/>
      <c r="BQ18" s="99" t="s">
        <v>77</v>
      </c>
      <c r="BR18" s="102">
        <f ca="1">tracperf!$H$18*1.609</f>
        <v>7.9129646864268102</v>
      </c>
      <c r="BS18" s="101" t="s">
        <v>33</v>
      </c>
      <c r="BT18" s="2">
        <v>22</v>
      </c>
      <c r="BU18" s="9">
        <f t="shared" ca="1" si="0"/>
        <v>0.72039776798704147</v>
      </c>
      <c r="BV18" s="9">
        <f t="shared" ca="1" si="1"/>
        <v>5.6677177543914159E-2</v>
      </c>
      <c r="BW18" s="9">
        <f t="shared" ca="1" si="2"/>
        <v>0.66372059044312737</v>
      </c>
      <c r="BX18" s="9">
        <f t="shared" ca="1" si="3"/>
        <v>0.71863362652027518</v>
      </c>
      <c r="BY18" s="2">
        <f t="shared" si="4"/>
        <v>0.22</v>
      </c>
      <c r="CA18" s="9"/>
      <c r="CH18" s="9">
        <f t="shared" ca="1" si="6"/>
        <v>0.92132516220548077</v>
      </c>
      <c r="CK18" s="9">
        <f t="shared" si="7"/>
        <v>0.78</v>
      </c>
    </row>
    <row r="19" spans="1:89" ht="12.75">
      <c r="A19" s="260" t="s">
        <v>79</v>
      </c>
      <c r="B19" s="297">
        <f ca="1">($B$11+$B$4)/($E$16+$E$9)</f>
        <v>139.15062149794346</v>
      </c>
      <c r="C19" s="80"/>
      <c r="D19" s="258"/>
      <c r="E19" s="342">
        <f ca="1">$E$18/($E$16+$E$9)</f>
        <v>139.15062149794346</v>
      </c>
      <c r="F19" s="80"/>
      <c r="G19" s="103" t="str">
        <f ca="1">IF(H19&gt;40,"SLIP OVR RANGE;Increase","  Travel Reduction (Slip) ")</f>
        <v xml:space="preserve">  Travel Reduction (Slip) </v>
      </c>
      <c r="H19" s="236">
        <f ca="1">IF(ISERROR((LN(1-(IF($E$5&gt;50,$E$34,$B$34)-$H$33)/$H$30/(1-EXP(-$H$31*$B$27)))/-$H$32)*100),100,(LN(1-(IF($E$5&gt;50,$E$34,$B$34)-$H$33)/$H$30/(1-EXP(-$H$31*$B$27)))/-$H$32)*100)</f>
        <v>10.58291783234343</v>
      </c>
      <c r="I19" s="259" t="s">
        <v>22</v>
      </c>
      <c r="J19" s="5"/>
      <c r="K19" s="2"/>
      <c r="L19" s="2"/>
      <c r="M19" s="1"/>
      <c r="N19" s="2"/>
      <c r="O19" s="2"/>
      <c r="P19" s="15"/>
      <c r="Q19" s="2"/>
      <c r="R19" s="2"/>
      <c r="S19" s="2"/>
      <c r="T19" s="9"/>
      <c r="U19" s="9"/>
      <c r="V19" s="2"/>
      <c r="X19" s="2"/>
      <c r="Y19" s="1"/>
      <c r="Z19" s="7"/>
      <c r="AA19" s="7"/>
      <c r="AB19" s="7"/>
      <c r="AC19" s="7"/>
      <c r="AD19" s="7"/>
      <c r="AE19" s="7"/>
      <c r="AF19" s="7"/>
      <c r="AG19" s="7"/>
      <c r="AH19" s="7"/>
      <c r="AI19" s="7"/>
      <c r="AJ19" s="7"/>
      <c r="AK19" s="7"/>
      <c r="AL19" s="7"/>
      <c r="AM19" s="10"/>
      <c r="AN19" s="10"/>
      <c r="AO19" s="26"/>
      <c r="AP19" s="2"/>
      <c r="AQ19" s="1"/>
      <c r="AR19" s="1"/>
      <c r="AS19" s="1"/>
      <c r="AT19" s="1"/>
      <c r="AU19" s="1"/>
      <c r="AW19" s="2"/>
      <c r="AX19" s="2"/>
      <c r="AY19" s="2"/>
      <c r="AZ19" s="2"/>
      <c r="BA19" s="1"/>
      <c r="BB19" s="2"/>
      <c r="BC19" s="2"/>
      <c r="BD19" s="2"/>
      <c r="BE19" s="1"/>
      <c r="BF19" s="2"/>
      <c r="BG19" s="2"/>
      <c r="BH19" s="2"/>
      <c r="BI19" s="2"/>
      <c r="BK19" s="72" t="s">
        <v>80</v>
      </c>
      <c r="BL19" s="109">
        <f ca="1">tracperf!$B$19/1.6443</f>
        <v>84.626054550838319</v>
      </c>
      <c r="BM19" s="80"/>
      <c r="BN19" s="80"/>
      <c r="BO19" s="109">
        <f ca="1">tracperf!$E$19/1.6443</f>
        <v>84.626054550838319</v>
      </c>
      <c r="BP19" s="80"/>
      <c r="BQ19" s="103" t="s">
        <v>81</v>
      </c>
      <c r="BR19" s="236">
        <f ca="1">tracperf!$H$19</f>
        <v>10.58291783234343</v>
      </c>
      <c r="BS19" s="101" t="s">
        <v>22</v>
      </c>
      <c r="BT19" s="2">
        <v>24</v>
      </c>
      <c r="BU19" s="9">
        <f t="shared" ca="1" si="0"/>
        <v>0.74501028289781013</v>
      </c>
      <c r="BV19" s="9">
        <f t="shared" ca="1" si="1"/>
        <v>5.7778705606059272E-2</v>
      </c>
      <c r="BW19" s="9">
        <f t="shared" ca="1" si="2"/>
        <v>0.68723157729175088</v>
      </c>
      <c r="BX19" s="9">
        <f t="shared" ca="1" si="3"/>
        <v>0.70105877828987206</v>
      </c>
      <c r="BY19" s="2">
        <f t="shared" si="4"/>
        <v>0.24</v>
      </c>
      <c r="CA19" s="9"/>
      <c r="CH19" s="9">
        <f t="shared" ca="1" si="6"/>
        <v>0.92244576090772623</v>
      </c>
      <c r="CK19" s="9">
        <f t="shared" si="7"/>
        <v>0.76</v>
      </c>
    </row>
    <row r="20" spans="1:89" ht="13.5" thickBot="1">
      <c r="A20" s="267" t="s">
        <v>82</v>
      </c>
      <c r="B20" s="302">
        <f>$B$18/$H$8</f>
        <v>127.85243198680958</v>
      </c>
      <c r="C20" s="268"/>
      <c r="D20" s="303"/>
      <c r="E20" s="294">
        <f ca="1">$E$18/$H$8</f>
        <v>127.85243198680958</v>
      </c>
      <c r="F20" s="86" t="s">
        <v>83</v>
      </c>
      <c r="G20" s="103" t="str">
        <f ca="1">IF(H19&gt;40," travel speed or weight","  Drawbar Power ")</f>
        <v xml:space="preserve">  Drawbar Power </v>
      </c>
      <c r="H20" s="105">
        <f ca="1">$H$17*$H$18/375</f>
        <v>80.62410571214032</v>
      </c>
      <c r="I20" s="259" t="s">
        <v>42</v>
      </c>
      <c r="J20" s="5"/>
      <c r="K20" s="2"/>
      <c r="L20" s="2"/>
      <c r="M20" s="1"/>
      <c r="N20" s="2"/>
      <c r="O20" s="2"/>
      <c r="P20" s="15"/>
      <c r="Q20" s="2"/>
      <c r="R20" s="2"/>
      <c r="S20" s="2"/>
      <c r="T20" s="9"/>
      <c r="U20" s="9"/>
      <c r="V20" s="2"/>
      <c r="X20" s="2"/>
      <c r="Y20" s="1"/>
      <c r="Z20" s="10"/>
      <c r="AA20" s="10"/>
      <c r="AB20" s="10"/>
      <c r="AC20" s="10"/>
      <c r="AD20" s="10"/>
      <c r="AE20" s="10"/>
      <c r="AF20" s="10"/>
      <c r="AG20" s="10"/>
      <c r="AH20" s="10"/>
      <c r="AI20" s="10"/>
      <c r="AJ20" s="10"/>
      <c r="AK20" s="10"/>
      <c r="AL20" s="10"/>
      <c r="AM20" s="10"/>
      <c r="AN20" s="10"/>
      <c r="AO20" s="26"/>
      <c r="AP20" s="5"/>
      <c r="AQ20" s="1"/>
      <c r="AR20" s="1"/>
      <c r="AS20" s="1"/>
      <c r="AT20" s="1"/>
      <c r="AU20" s="2"/>
      <c r="AV20" s="1"/>
      <c r="AW20" s="12"/>
      <c r="AX20" s="12"/>
      <c r="AY20" s="2"/>
      <c r="AZ20" s="2"/>
      <c r="BA20" s="1"/>
      <c r="BB20" s="2"/>
      <c r="BC20" s="2"/>
      <c r="BD20" s="2"/>
      <c r="BE20" s="1"/>
      <c r="BF20" s="2"/>
      <c r="BG20" s="2"/>
      <c r="BH20" s="2"/>
      <c r="BI20" s="9"/>
      <c r="BK20" s="72" t="s">
        <v>84</v>
      </c>
      <c r="BL20" s="109">
        <f>tracperf!$B$20/1.6443</f>
        <v>77.754930357483161</v>
      </c>
      <c r="BM20" s="104"/>
      <c r="BN20" s="104"/>
      <c r="BO20" s="109">
        <f ca="1">tracperf!$E$20/1.6443</f>
        <v>77.754930357483161</v>
      </c>
      <c r="BP20" s="86"/>
      <c r="BQ20" s="103" t="s">
        <v>85</v>
      </c>
      <c r="BR20" s="105">
        <f ca="1">tracperf!$H$20*0.7457</f>
        <v>60.121395629543038</v>
      </c>
      <c r="BS20" s="101" t="s">
        <v>43</v>
      </c>
      <c r="BT20" s="2">
        <v>26</v>
      </c>
      <c r="BU20" s="9">
        <f t="shared" ca="1" si="0"/>
        <v>0.76640737542936277</v>
      </c>
      <c r="BV20" s="9">
        <f t="shared" ca="1" si="1"/>
        <v>5.8880233668204385E-2</v>
      </c>
      <c r="BW20" s="9">
        <f t="shared" ca="1" si="2"/>
        <v>0.70752714176115838</v>
      </c>
      <c r="BX20" s="9">
        <f t="shared" ca="1" si="3"/>
        <v>0.68314854695903549</v>
      </c>
      <c r="BY20" s="2">
        <f t="shared" si="4"/>
        <v>0.26</v>
      </c>
      <c r="CA20" s="9"/>
      <c r="CH20" s="9">
        <f t="shared" ca="1" si="6"/>
        <v>0.92317371210680477</v>
      </c>
      <c r="CK20" s="9">
        <f t="shared" si="7"/>
        <v>0.74</v>
      </c>
    </row>
    <row r="21" spans="1:89" ht="14.25" customHeight="1" thickTop="1" thickBot="1">
      <c r="A21" s="261"/>
      <c r="B21" s="262"/>
      <c r="C21" s="262"/>
      <c r="D21" s="262"/>
      <c r="E21" s="262"/>
      <c r="F21" s="262"/>
      <c r="G21" s="262"/>
      <c r="H21" s="263">
        <f ca="1">H26</f>
        <v>1.7041923427996153E-14</v>
      </c>
      <c r="I21" s="264"/>
      <c r="J21" s="5"/>
      <c r="K21" s="2"/>
      <c r="L21" s="2"/>
      <c r="M21" s="1"/>
      <c r="N21" s="2"/>
      <c r="O21" s="2"/>
      <c r="P21" s="15"/>
      <c r="Q21" s="2"/>
      <c r="R21" s="2"/>
      <c r="S21" s="2"/>
      <c r="T21" s="9"/>
      <c r="U21" s="9"/>
      <c r="V21" s="2"/>
      <c r="X21" s="2"/>
      <c r="Y21" s="1"/>
      <c r="Z21" s="10"/>
      <c r="AA21" s="10"/>
      <c r="AB21" s="10"/>
      <c r="AC21" s="10"/>
      <c r="AD21" s="10"/>
      <c r="AE21" s="10"/>
      <c r="AF21" s="10"/>
      <c r="AG21" s="10"/>
      <c r="AH21" s="10"/>
      <c r="AI21" s="10"/>
      <c r="AJ21" s="10"/>
      <c r="AK21" s="10"/>
      <c r="AL21" s="10"/>
      <c r="AM21" s="7"/>
      <c r="AN21" s="7"/>
      <c r="AO21" s="26"/>
      <c r="AP21" s="5"/>
      <c r="AQ21" s="1"/>
      <c r="AR21" s="1"/>
      <c r="AS21" s="1"/>
      <c r="AT21" s="1"/>
      <c r="AU21" s="2"/>
      <c r="AW21" s="12"/>
      <c r="AX21" s="12"/>
      <c r="AY21" s="2"/>
      <c r="AZ21" s="5"/>
      <c r="BA21" s="1"/>
      <c r="BB21" s="2"/>
      <c r="BC21" s="2"/>
      <c r="BD21" s="2"/>
      <c r="BE21" s="1"/>
      <c r="BF21" s="2"/>
      <c r="BG21" s="2"/>
      <c r="BH21" s="2"/>
      <c r="BI21" s="9"/>
      <c r="BK21" s="62"/>
      <c r="BL21" s="62"/>
      <c r="BM21" s="62"/>
      <c r="BN21" s="62"/>
      <c r="BO21" s="62"/>
      <c r="BP21" s="62"/>
      <c r="BQ21" s="62"/>
      <c r="BR21" s="63"/>
      <c r="BS21" s="62"/>
      <c r="BT21" s="2">
        <v>28</v>
      </c>
      <c r="BU21" s="9">
        <f t="shared" ca="1" si="0"/>
        <v>0.7850091140352583</v>
      </c>
      <c r="BV21" s="9">
        <f t="shared" ca="1" si="1"/>
        <v>5.9981761730349491E-2</v>
      </c>
      <c r="BW21" s="9">
        <f t="shared" ca="1" si="2"/>
        <v>0.72502735230490878</v>
      </c>
      <c r="BX21" s="9">
        <f t="shared" ca="1" si="3"/>
        <v>0.66498551969179809</v>
      </c>
      <c r="BY21" s="2">
        <f t="shared" si="4"/>
        <v>0.28000000000000003</v>
      </c>
      <c r="CA21" s="9"/>
      <c r="CH21" s="9">
        <f t="shared" ca="1" si="6"/>
        <v>0.92359099957194202</v>
      </c>
      <c r="CK21" s="9">
        <f t="shared" si="7"/>
        <v>0.72</v>
      </c>
    </row>
    <row r="22" spans="1:89" ht="13.5" thickTop="1">
      <c r="A22" s="286" t="s">
        <v>86</v>
      </c>
      <c r="J22" s="5"/>
      <c r="K22" s="2"/>
      <c r="L22" s="2"/>
      <c r="M22" s="1"/>
      <c r="N22" s="2"/>
      <c r="O22" s="2"/>
      <c r="P22" s="15"/>
      <c r="Q22" s="2"/>
      <c r="R22" s="2"/>
      <c r="S22" s="2"/>
      <c r="T22" s="9"/>
      <c r="U22" s="9"/>
      <c r="V22" s="2"/>
      <c r="X22" s="2"/>
      <c r="Y22" s="1"/>
      <c r="Z22" s="13"/>
      <c r="AA22" s="13"/>
      <c r="AB22" s="13"/>
      <c r="AC22" s="13"/>
      <c r="AD22" s="13"/>
      <c r="AE22" s="13"/>
      <c r="AF22" s="13"/>
      <c r="AG22" s="13"/>
      <c r="AH22" s="13"/>
      <c r="AI22" s="13"/>
      <c r="AJ22" s="13"/>
      <c r="AK22" s="13"/>
      <c r="AL22" s="13"/>
      <c r="AM22" s="10"/>
      <c r="AN22" s="10"/>
      <c r="AO22" s="26"/>
      <c r="AP22" s="5"/>
      <c r="AQ22" s="1"/>
      <c r="AR22" s="1"/>
      <c r="AS22" s="1"/>
      <c r="AT22" s="1"/>
      <c r="AU22" s="2"/>
      <c r="AW22" s="12"/>
      <c r="AX22" s="12"/>
      <c r="AY22" s="2"/>
      <c r="AZ22" s="5"/>
      <c r="BA22" s="1"/>
      <c r="BB22" s="2"/>
      <c r="BC22" s="2"/>
      <c r="BD22" s="2"/>
      <c r="BE22" s="1"/>
      <c r="BF22" s="2"/>
      <c r="BG22" s="2"/>
      <c r="BH22" s="2"/>
      <c r="BI22" s="9"/>
      <c r="BK22" s="64"/>
      <c r="BL22" s="65"/>
      <c r="BM22" s="62"/>
      <c r="BN22" s="62"/>
      <c r="BO22" s="65"/>
      <c r="BP22" s="62"/>
      <c r="BQ22" s="61"/>
      <c r="BR22" s="7"/>
      <c r="BS22" s="7"/>
      <c r="BT22" s="2">
        <v>30</v>
      </c>
      <c r="BU22" s="9">
        <f t="shared" ca="1" si="0"/>
        <v>0.80118068868502956</v>
      </c>
      <c r="BV22" s="9">
        <f t="shared" ca="1" si="1"/>
        <v>6.1083289792494597E-2</v>
      </c>
      <c r="BW22" s="9">
        <f t="shared" ca="1" si="2"/>
        <v>0.74009739889253501</v>
      </c>
      <c r="BX22" s="9">
        <f t="shared" ca="1" si="3"/>
        <v>0.64663088681664926</v>
      </c>
      <c r="BY22" s="2">
        <f t="shared" si="4"/>
        <v>0.3</v>
      </c>
      <c r="CA22" s="9"/>
      <c r="CH22" s="9">
        <f t="shared" ca="1" si="6"/>
        <v>0.92375840973807044</v>
      </c>
      <c r="CK22" s="9">
        <f t="shared" si="7"/>
        <v>0.7</v>
      </c>
    </row>
    <row r="23" spans="1:89" ht="12.75">
      <c r="A23" s="349" t="s">
        <v>87</v>
      </c>
      <c r="J23" s="5"/>
      <c r="K23" s="2"/>
      <c r="L23" s="2"/>
      <c r="M23" s="1"/>
      <c r="N23" s="2"/>
      <c r="O23" s="2"/>
      <c r="P23" s="15"/>
      <c r="Q23" s="2"/>
      <c r="R23" s="2"/>
      <c r="S23" s="2"/>
      <c r="T23" s="9"/>
      <c r="U23" s="9"/>
      <c r="V23" s="2"/>
      <c r="X23" s="2"/>
      <c r="Y23" s="1"/>
      <c r="Z23" s="19"/>
      <c r="AA23" s="18"/>
      <c r="AB23" s="19"/>
      <c r="AC23" s="19"/>
      <c r="AD23" s="19"/>
      <c r="AE23" s="19"/>
      <c r="AF23" s="19"/>
      <c r="AG23" s="18"/>
      <c r="AH23" s="19"/>
      <c r="AI23" s="19"/>
      <c r="AJ23" s="10"/>
      <c r="AK23" s="10"/>
      <c r="AL23" s="10"/>
      <c r="AM23" s="10"/>
      <c r="AN23" s="10"/>
      <c r="AO23" s="26"/>
      <c r="AP23" s="5"/>
      <c r="AQ23" s="1"/>
      <c r="AR23" s="1"/>
      <c r="AS23" s="1"/>
      <c r="AT23" s="1"/>
      <c r="AU23" s="2"/>
      <c r="AW23" s="12"/>
      <c r="AX23" s="12"/>
      <c r="AY23" s="2"/>
      <c r="AZ23" s="5"/>
      <c r="BA23" s="1"/>
      <c r="BB23" s="2"/>
      <c r="BC23" s="2"/>
      <c r="BD23" s="2"/>
      <c r="BE23" s="1"/>
      <c r="BF23" s="2"/>
      <c r="BG23" s="2"/>
      <c r="BH23" s="2"/>
      <c r="BI23" s="9"/>
      <c r="BK23" s="64"/>
      <c r="BL23" s="66"/>
      <c r="BM23" s="64"/>
      <c r="BN23" s="62"/>
      <c r="BO23" s="67"/>
      <c r="BP23" s="62"/>
      <c r="BQ23" s="64"/>
      <c r="BR23" s="13"/>
      <c r="BS23" s="64"/>
      <c r="BT23" s="2">
        <v>32</v>
      </c>
      <c r="BU23" s="9">
        <f t="shared" ca="1" si="0"/>
        <v>0.81523958028617471</v>
      </c>
      <c r="BV23" s="9">
        <f t="shared" ca="1" si="1"/>
        <v>6.218481785463971E-2</v>
      </c>
      <c r="BW23" s="9">
        <f t="shared" ca="1" si="2"/>
        <v>0.75305476243153502</v>
      </c>
      <c r="BX23" s="9">
        <f t="shared" ca="1" si="3"/>
        <v>0.62813098239622833</v>
      </c>
      <c r="BY23" s="2">
        <f t="shared" si="4"/>
        <v>0.32</v>
      </c>
      <c r="CA23" s="9"/>
      <c r="CH23" s="9">
        <f t="shared" ca="1" si="6"/>
        <v>0.92372203293562993</v>
      </c>
      <c r="CK23" s="9">
        <f t="shared" si="7"/>
        <v>0.67999999999999994</v>
      </c>
    </row>
    <row r="24" spans="1:89" s="456" customFormat="1" ht="12.75" hidden="1">
      <c r="A24" s="483" t="s">
        <v>88</v>
      </c>
      <c r="B24" s="483" t="s">
        <v>88</v>
      </c>
      <c r="C24" s="483" t="s">
        <v>88</v>
      </c>
      <c r="D24" s="483" t="s">
        <v>88</v>
      </c>
      <c r="E24" s="483" t="s">
        <v>88</v>
      </c>
      <c r="F24" s="483" t="s">
        <v>88</v>
      </c>
      <c r="G24" s="483" t="s">
        <v>88</v>
      </c>
      <c r="H24" s="483" t="s">
        <v>88</v>
      </c>
      <c r="I24" s="483" t="s">
        <v>88</v>
      </c>
      <c r="J24" s="454"/>
      <c r="K24" s="15"/>
      <c r="L24" s="15"/>
      <c r="M24" s="15"/>
      <c r="N24" s="15"/>
      <c r="O24" s="15"/>
      <c r="P24" s="15"/>
      <c r="Q24" s="15"/>
      <c r="R24" s="15"/>
      <c r="S24" s="15"/>
      <c r="T24" s="455"/>
      <c r="U24" s="455"/>
      <c r="V24" s="15"/>
      <c r="X24" s="15"/>
      <c r="Y24" s="15"/>
      <c r="Z24" s="457"/>
      <c r="AA24" s="457"/>
      <c r="AB24" s="457"/>
      <c r="AC24" s="457"/>
      <c r="AD24" s="457"/>
      <c r="AE24" s="457"/>
      <c r="AF24" s="457"/>
      <c r="AG24" s="457"/>
      <c r="AH24" s="457"/>
      <c r="AI24" s="457"/>
      <c r="AJ24" s="457"/>
      <c r="AK24" s="457"/>
      <c r="AL24" s="457"/>
      <c r="AM24" s="457"/>
      <c r="AN24" s="457"/>
      <c r="AO24" s="458"/>
      <c r="AP24" s="454"/>
      <c r="AQ24" s="15"/>
      <c r="AR24" s="15"/>
      <c r="AS24" s="15"/>
      <c r="AT24" s="15"/>
      <c r="AU24" s="15"/>
      <c r="AW24" s="459"/>
      <c r="AX24" s="459"/>
      <c r="AY24" s="15"/>
      <c r="AZ24" s="15"/>
      <c r="BA24" s="15"/>
      <c r="BB24" s="15"/>
      <c r="BC24" s="15"/>
      <c r="BD24" s="15"/>
      <c r="BE24" s="15"/>
      <c r="BF24" s="15"/>
      <c r="BG24" s="15"/>
      <c r="BH24" s="15"/>
      <c r="BI24" s="455"/>
      <c r="BK24" s="460"/>
      <c r="BL24" s="556">
        <v>2</v>
      </c>
      <c r="BM24" s="460"/>
      <c r="BN24" s="460"/>
      <c r="BO24" s="461"/>
      <c r="BP24" s="460"/>
      <c r="BQ24" s="460"/>
      <c r="BR24" s="457"/>
      <c r="BS24" s="460"/>
      <c r="BT24" s="15">
        <v>34</v>
      </c>
      <c r="BU24" s="455">
        <f t="shared" ca="1" si="0"/>
        <v>0.82746179348020932</v>
      </c>
      <c r="BV24" s="455">
        <f t="shared" ca="1" si="1"/>
        <v>6.3286345916784822E-2</v>
      </c>
      <c r="BW24" s="455">
        <f t="shared" ca="1" si="2"/>
        <v>0.76417544756342448</v>
      </c>
      <c r="BX24" s="455">
        <f t="shared" ca="1" si="3"/>
        <v>0.60952155056077884</v>
      </c>
      <c r="BY24" s="15">
        <f t="shared" si="4"/>
        <v>0.34</v>
      </c>
      <c r="CA24" s="455"/>
      <c r="CH24" s="455">
        <f t="shared" ca="1" si="6"/>
        <v>0.923517500849665</v>
      </c>
      <c r="CK24" s="455">
        <f t="shared" si="7"/>
        <v>0.65999999999999992</v>
      </c>
    </row>
    <row r="25" spans="1:89" s="456" customFormat="1" ht="12.75" hidden="1">
      <c r="A25" s="243" t="s">
        <v>89</v>
      </c>
      <c r="B25" s="449"/>
      <c r="C25" s="449"/>
      <c r="D25" s="449"/>
      <c r="E25" s="449"/>
      <c r="F25" s="449" t="s">
        <v>88</v>
      </c>
      <c r="G25" s="450" t="s">
        <v>90</v>
      </c>
      <c r="H25" s="478">
        <f ca="1">($B$28-$B$29)*$E$11+($E$28-$E$29)*$E$4</f>
        <v>6147.7046482346404</v>
      </c>
      <c r="I25" s="462">
        <f ca="1">ABS(H17-$H$25)</f>
        <v>0</v>
      </c>
      <c r="J25" s="454"/>
      <c r="K25" s="15"/>
      <c r="L25" s="15"/>
      <c r="M25" s="15"/>
      <c r="N25" s="15"/>
      <c r="O25" s="15"/>
      <c r="P25" s="15"/>
      <c r="Q25" s="15"/>
      <c r="R25" s="15"/>
      <c r="S25" s="15"/>
      <c r="T25" s="455"/>
      <c r="U25" s="455"/>
      <c r="V25" s="15"/>
      <c r="X25" s="15"/>
      <c r="Y25" s="15"/>
      <c r="Z25" s="457"/>
      <c r="AA25" s="457"/>
      <c r="AB25" s="457"/>
      <c r="AC25" s="457"/>
      <c r="AD25" s="457"/>
      <c r="AE25" s="457"/>
      <c r="AF25" s="457"/>
      <c r="AG25" s="457"/>
      <c r="AH25" s="457"/>
      <c r="AI25" s="457"/>
      <c r="AJ25" s="457"/>
      <c r="AK25" s="457"/>
      <c r="AL25" s="457"/>
      <c r="AM25" s="458"/>
      <c r="AN25" s="458"/>
      <c r="AO25" s="458"/>
      <c r="AP25" s="15"/>
      <c r="AQ25" s="15"/>
      <c r="AR25" s="15"/>
      <c r="AS25" s="15"/>
      <c r="AT25" s="15"/>
      <c r="AU25" s="15"/>
      <c r="AW25" s="15"/>
      <c r="AX25" s="15"/>
      <c r="AY25" s="15"/>
      <c r="AZ25" s="15"/>
      <c r="BA25" s="15"/>
      <c r="BB25" s="15"/>
      <c r="BC25" s="15"/>
      <c r="BD25" s="15"/>
      <c r="BE25" s="15"/>
      <c r="BF25" s="15"/>
      <c r="BG25" s="15"/>
      <c r="BH25" s="15"/>
      <c r="BI25" s="15"/>
      <c r="BK25" s="460"/>
      <c r="BL25" s="463"/>
      <c r="BM25" s="460"/>
      <c r="BN25" s="460"/>
      <c r="BO25" s="557">
        <f ca="1">+$BO$5</f>
        <v>31.434810599149394</v>
      </c>
      <c r="BP25" s="460"/>
      <c r="BQ25" s="460"/>
      <c r="BR25" s="457"/>
      <c r="BS25" s="460"/>
      <c r="BT25" s="15">
        <v>36</v>
      </c>
      <c r="BU25" s="455">
        <f t="shared" ca="1" si="0"/>
        <v>0.83808727517524317</v>
      </c>
      <c r="BV25" s="455">
        <f t="shared" ca="1" si="1"/>
        <v>6.4387873978929935E-2</v>
      </c>
      <c r="BW25" s="455">
        <f t="shared" ca="1" si="2"/>
        <v>0.7736994011963132</v>
      </c>
      <c r="BX25" s="455">
        <f t="shared" ca="1" si="3"/>
        <v>0.59083061088369515</v>
      </c>
      <c r="BY25" s="15">
        <f t="shared" si="4"/>
        <v>0.36</v>
      </c>
      <c r="CA25" s="455"/>
      <c r="CH25" s="455">
        <f t="shared" ca="1" si="6"/>
        <v>0.92317282950577373</v>
      </c>
      <c r="CK25" s="455">
        <f t="shared" si="7"/>
        <v>0.64</v>
      </c>
    </row>
    <row r="26" spans="1:89" s="456" customFormat="1" hidden="1">
      <c r="A26" s="451"/>
      <c r="B26" s="449" t="s">
        <v>50</v>
      </c>
      <c r="C26" s="449"/>
      <c r="D26" s="449"/>
      <c r="E26" s="449" t="s">
        <v>11</v>
      </c>
      <c r="F26" s="449" t="s">
        <v>88</v>
      </c>
      <c r="G26" s="449" t="s">
        <v>91</v>
      </c>
      <c r="H26" s="479">
        <f ca="1">ABS($B$28-IF($I$1="P",IF(E5&lt;50,$B$34,$E$34),$B$34))</f>
        <v>1.3988810110276972E-14</v>
      </c>
      <c r="I26" s="453"/>
      <c r="J26" s="454"/>
      <c r="K26" s="15"/>
      <c r="L26" s="15"/>
      <c r="M26" s="15"/>
      <c r="N26" s="15"/>
      <c r="O26" s="15"/>
      <c r="P26" s="15"/>
      <c r="Q26" s="15"/>
      <c r="R26" s="15"/>
      <c r="S26" s="15"/>
      <c r="T26" s="455"/>
      <c r="U26" s="455"/>
      <c r="V26" s="15"/>
      <c r="X26" s="15"/>
      <c r="Y26" s="15"/>
      <c r="Z26" s="464"/>
      <c r="AA26" s="464"/>
      <c r="AB26" s="464"/>
      <c r="AC26" s="464"/>
      <c r="AD26" s="464"/>
      <c r="AE26" s="464"/>
      <c r="AF26" s="464"/>
      <c r="AG26" s="464"/>
      <c r="AH26" s="464"/>
      <c r="AI26" s="464"/>
      <c r="AJ26" s="464"/>
      <c r="AK26" s="464"/>
      <c r="AL26" s="465"/>
      <c r="AM26" s="457"/>
      <c r="AN26" s="457"/>
      <c r="AO26" s="458"/>
      <c r="AP26" s="454"/>
      <c r="AQ26" s="15"/>
      <c r="AR26" s="15"/>
      <c r="AS26" s="15"/>
      <c r="AT26" s="15"/>
      <c r="AU26" s="15"/>
      <c r="AW26" s="459"/>
      <c r="AX26" s="459"/>
      <c r="AY26" s="15"/>
      <c r="AZ26" s="454"/>
      <c r="BA26" s="15"/>
      <c r="BB26" s="15"/>
      <c r="BC26" s="15"/>
      <c r="BD26" s="15"/>
      <c r="BE26" s="15"/>
      <c r="BF26" s="15"/>
      <c r="BG26" s="15"/>
      <c r="BH26" s="15"/>
      <c r="BI26" s="455"/>
      <c r="BK26" s="460"/>
      <c r="BL26" s="464"/>
      <c r="BM26" s="458"/>
      <c r="BN26" s="458"/>
      <c r="BO26" s="460"/>
      <c r="BP26" s="460"/>
      <c r="BQ26" s="460"/>
      <c r="BR26" s="458"/>
      <c r="BS26" s="460"/>
      <c r="BT26" s="15">
        <v>38</v>
      </c>
      <c r="BU26" s="455">
        <f t="shared" ca="1" si="0"/>
        <v>0.84732462519190033</v>
      </c>
      <c r="BV26" s="455">
        <f t="shared" ca="1" si="1"/>
        <v>6.5489402041075048E-2</v>
      </c>
      <c r="BW26" s="455">
        <f t="shared" ca="1" si="2"/>
        <v>0.78183522315082532</v>
      </c>
      <c r="BX26" s="455">
        <f t="shared" ca="1" si="3"/>
        <v>0.5720804328609348</v>
      </c>
      <c r="BY26" s="15">
        <f t="shared" si="4"/>
        <v>0.38</v>
      </c>
      <c r="CA26" s="455"/>
      <c r="CH26" s="455">
        <f t="shared" ca="1" si="6"/>
        <v>0.92271037558215285</v>
      </c>
      <c r="CK26" s="455">
        <f t="shared" si="7"/>
        <v>0.62</v>
      </c>
    </row>
    <row r="27" spans="1:89" s="456" customFormat="1" hidden="1">
      <c r="A27" s="451" t="s">
        <v>92</v>
      </c>
      <c r="B27" s="480">
        <f ca="1">ABS(($H$10*tire!$I$9*(tire!$I$35)*tire!$I$15/($E$11/2))*((1+H35*H37)/(1+H36*tire!$I$9*(tire!$I$35)/tire!$I$15)))</f>
        <v>82.415494518852057</v>
      </c>
      <c r="C27" s="449"/>
      <c r="D27" s="449"/>
      <c r="E27" s="480">
        <f ca="1">ABS(($H$10*tire!$G$16*(tire!$G$35)*tire!$G$15/($E$4/2))*((1+I35*I37)/(1+I36*tire!$G$16*(tire!$G$35)/tire!$G$15)))</f>
        <v>97.534290392811116</v>
      </c>
      <c r="F27" s="449" t="s">
        <v>88</v>
      </c>
      <c r="G27" s="449" t="s">
        <v>88</v>
      </c>
      <c r="H27" s="449" t="s">
        <v>88</v>
      </c>
      <c r="I27" s="453" t="s">
        <v>88</v>
      </c>
      <c r="J27" s="454"/>
      <c r="K27" s="15"/>
      <c r="L27" s="15"/>
      <c r="M27" s="15"/>
      <c r="N27" s="15"/>
      <c r="O27" s="15"/>
      <c r="P27" s="15"/>
      <c r="Q27" s="15"/>
      <c r="R27" s="15"/>
      <c r="S27" s="15"/>
      <c r="T27" s="455"/>
      <c r="U27" s="455"/>
      <c r="V27" s="15"/>
      <c r="X27" s="15"/>
      <c r="Y27" s="15"/>
      <c r="Z27" s="457"/>
      <c r="AA27" s="457"/>
      <c r="AB27" s="457"/>
      <c r="AC27" s="457"/>
      <c r="AD27" s="457"/>
      <c r="AE27" s="457"/>
      <c r="AF27" s="457"/>
      <c r="AG27" s="457"/>
      <c r="AH27" s="457"/>
      <c r="AI27" s="457"/>
      <c r="AJ27" s="457"/>
      <c r="AK27" s="457"/>
      <c r="AL27" s="457"/>
      <c r="AM27" s="457"/>
      <c r="AN27" s="457"/>
      <c r="AO27" s="458"/>
      <c r="AP27" s="454"/>
      <c r="AQ27" s="15"/>
      <c r="AR27" s="15"/>
      <c r="AS27" s="15"/>
      <c r="AT27" s="15"/>
      <c r="AU27" s="15"/>
      <c r="AW27" s="459"/>
      <c r="AX27" s="459"/>
      <c r="AY27" s="15"/>
      <c r="AZ27" s="15"/>
      <c r="BA27" s="15"/>
      <c r="BB27" s="15"/>
      <c r="BC27" s="15"/>
      <c r="BD27" s="15"/>
      <c r="BE27" s="15"/>
      <c r="BF27" s="15"/>
      <c r="BG27" s="15"/>
      <c r="BH27" s="15"/>
      <c r="BI27" s="455"/>
      <c r="BK27" s="460"/>
      <c r="BL27" s="458"/>
      <c r="BM27" s="461"/>
      <c r="BN27" s="460"/>
      <c r="BO27" s="460"/>
      <c r="BP27" s="460"/>
      <c r="BQ27" s="460"/>
      <c r="BR27" s="467"/>
      <c r="BS27" s="460"/>
      <c r="BT27" s="15">
        <v>40</v>
      </c>
      <c r="BU27" s="455">
        <f t="shared" ca="1" si="0"/>
        <v>0.85535519150214234</v>
      </c>
      <c r="BV27" s="455">
        <f t="shared" ca="1" si="1"/>
        <v>6.6590930103220203E-2</v>
      </c>
      <c r="BW27" s="455">
        <f t="shared" ca="1" si="2"/>
        <v>0.78876426139892208</v>
      </c>
      <c r="BX27" s="455">
        <f t="shared" ca="1" si="3"/>
        <v>0.55328892785257378</v>
      </c>
      <c r="BY27" s="15">
        <f t="shared" si="4"/>
        <v>0.4</v>
      </c>
      <c r="CA27" s="455"/>
      <c r="CH27" s="455">
        <f t="shared" ca="1" si="6"/>
        <v>0.92214821308762296</v>
      </c>
      <c r="CK27" s="455">
        <f t="shared" si="7"/>
        <v>0.6</v>
      </c>
    </row>
    <row r="28" spans="1:89" s="456" customFormat="1" hidden="1">
      <c r="A28" s="451" t="s">
        <v>93</v>
      </c>
      <c r="B28" s="481">
        <f ca="1">(H30*(1-EXP(-H31*$B$27))*(1-EXP(-H32*($H$19/100)))+H33)</f>
        <v>0.48984662266620282</v>
      </c>
      <c r="C28" s="449"/>
      <c r="D28" s="449"/>
      <c r="E28" s="481">
        <f ca="1">(I30*(1-EXP(-I31*$E$27))*(1-EXP(-I32*($E$37/100)))+I33)</f>
        <v>0.49028913367886973</v>
      </c>
      <c r="F28" s="449" t="s">
        <v>88</v>
      </c>
      <c r="G28" s="449" t="s">
        <v>94</v>
      </c>
      <c r="H28" s="449"/>
      <c r="I28" s="453"/>
      <c r="J28" s="454"/>
      <c r="K28" s="15"/>
      <c r="L28" s="15"/>
      <c r="M28" s="15"/>
      <c r="N28" s="15"/>
      <c r="O28" s="15"/>
      <c r="P28" s="15"/>
      <c r="Q28" s="15"/>
      <c r="R28" s="15"/>
      <c r="S28" s="15"/>
      <c r="T28" s="455"/>
      <c r="U28" s="455"/>
      <c r="V28" s="15"/>
      <c r="X28" s="15"/>
      <c r="Y28" s="15"/>
      <c r="Z28" s="457"/>
      <c r="AA28" s="457"/>
      <c r="AB28" s="457"/>
      <c r="AC28" s="457"/>
      <c r="AD28" s="457"/>
      <c r="AE28" s="457"/>
      <c r="AF28" s="457"/>
      <c r="AG28" s="457"/>
      <c r="AH28" s="457"/>
      <c r="AI28" s="457"/>
      <c r="AJ28" s="457"/>
      <c r="AK28" s="457"/>
      <c r="AL28" s="457"/>
      <c r="AM28" s="465"/>
      <c r="AN28" s="465"/>
      <c r="AO28" s="458"/>
      <c r="AP28" s="454"/>
      <c r="AQ28" s="15"/>
      <c r="AR28" s="15"/>
      <c r="AS28" s="15"/>
      <c r="AT28" s="15"/>
      <c r="AU28" s="15"/>
      <c r="AW28" s="459"/>
      <c r="AX28" s="459"/>
      <c r="AY28" s="15"/>
      <c r="AZ28" s="454"/>
      <c r="BA28" s="15"/>
      <c r="BB28" s="15"/>
      <c r="BC28" s="15"/>
      <c r="BD28" s="15"/>
      <c r="BE28" s="15"/>
      <c r="BF28" s="15"/>
      <c r="BG28" s="15"/>
      <c r="BH28" s="15"/>
      <c r="BI28" s="455"/>
      <c r="BK28" s="460"/>
      <c r="BL28" s="467"/>
      <c r="BM28" s="458"/>
      <c r="BN28" s="460"/>
      <c r="BO28" s="460"/>
      <c r="BP28" s="460"/>
      <c r="BQ28" s="460"/>
      <c r="BR28" s="467"/>
      <c r="BS28" s="460"/>
      <c r="BT28" s="15">
        <v>42</v>
      </c>
      <c r="BU28" s="455">
        <f t="shared" ca="1" si="0"/>
        <v>0.86233663045886755</v>
      </c>
      <c r="BV28" s="455">
        <f t="shared" ca="1" si="1"/>
        <v>6.7692458165365316E-2</v>
      </c>
      <c r="BW28" s="455">
        <f t="shared" ca="1" si="2"/>
        <v>0.79464417229350226</v>
      </c>
      <c r="BX28" s="455">
        <f t="shared" ca="1" si="3"/>
        <v>0.53447065061469112</v>
      </c>
      <c r="BY28" s="15">
        <f t="shared" si="4"/>
        <v>0.42</v>
      </c>
      <c r="CA28" s="455"/>
      <c r="CH28" s="455">
        <f t="shared" ca="1" si="6"/>
        <v>0.92150112174946719</v>
      </c>
      <c r="CK28" s="455">
        <f t="shared" si="7"/>
        <v>0.58000000000000007</v>
      </c>
    </row>
    <row r="29" spans="1:89" s="456" customFormat="1" hidden="1">
      <c r="A29" s="451" t="s">
        <v>95</v>
      </c>
      <c r="B29" s="481">
        <f ca="1">H34/$B$27+H33+H39*($H$19/100)/SQRT($B$27)</f>
        <v>5.0389059346169073E-2</v>
      </c>
      <c r="C29" s="449"/>
      <c r="D29" s="449"/>
      <c r="E29" s="481">
        <f ca="1">I34/$E$27+I33+I39*($E$37/100)/SQRT($E$27)</f>
        <v>4.7661291914154386E-2</v>
      </c>
      <c r="F29" s="449" t="s">
        <v>88</v>
      </c>
      <c r="G29" s="449" t="s">
        <v>96</v>
      </c>
      <c r="H29" s="449" t="s">
        <v>50</v>
      </c>
      <c r="I29" s="453" t="s">
        <v>11</v>
      </c>
      <c r="J29" s="454"/>
      <c r="K29" s="15"/>
      <c r="L29" s="15"/>
      <c r="M29" s="15"/>
      <c r="N29" s="15"/>
      <c r="O29" s="15"/>
      <c r="P29" s="15"/>
      <c r="Q29" s="15"/>
      <c r="R29" s="15"/>
      <c r="S29" s="15"/>
      <c r="T29" s="455"/>
      <c r="U29" s="455"/>
      <c r="V29" s="15"/>
      <c r="X29" s="15"/>
      <c r="Y29" s="15"/>
      <c r="Z29" s="457"/>
      <c r="AA29" s="457"/>
      <c r="AB29" s="457"/>
      <c r="AC29" s="457"/>
      <c r="AD29" s="457"/>
      <c r="AE29" s="457"/>
      <c r="AF29" s="457"/>
      <c r="AG29" s="457"/>
      <c r="AH29" s="457"/>
      <c r="AI29" s="457"/>
      <c r="AJ29" s="457"/>
      <c r="AK29" s="457"/>
      <c r="AL29" s="457"/>
      <c r="AM29" s="457"/>
      <c r="AN29" s="457"/>
      <c r="AO29" s="458"/>
      <c r="AP29" s="454"/>
      <c r="AQ29" s="15"/>
      <c r="AR29" s="15"/>
      <c r="AS29" s="15"/>
      <c r="AT29" s="15"/>
      <c r="AU29" s="15"/>
      <c r="AW29" s="459"/>
      <c r="AX29" s="459"/>
      <c r="AY29" s="15"/>
      <c r="AZ29" s="454"/>
      <c r="BA29" s="15"/>
      <c r="BB29" s="15"/>
      <c r="BC29" s="15"/>
      <c r="BD29" s="15"/>
      <c r="BE29" s="15"/>
      <c r="BF29" s="15"/>
      <c r="BG29" s="15"/>
      <c r="BH29" s="15"/>
      <c r="BI29" s="455"/>
      <c r="BK29" s="460"/>
      <c r="BL29" s="460"/>
      <c r="BM29" s="460"/>
      <c r="BN29" s="460"/>
      <c r="BO29" s="468"/>
      <c r="BP29" s="460"/>
      <c r="BQ29" s="460"/>
      <c r="BR29" s="458"/>
      <c r="BS29" s="460"/>
      <c r="BT29" s="15">
        <v>44</v>
      </c>
      <c r="BU29" s="455">
        <f t="shared" ca="1" si="0"/>
        <v>0.86840600191083062</v>
      </c>
      <c r="BV29" s="455">
        <f t="shared" ca="1" si="1"/>
        <v>6.8793986227510429E-2</v>
      </c>
      <c r="BW29" s="455">
        <f t="shared" ca="1" si="2"/>
        <v>0.79961201568332019</v>
      </c>
      <c r="BX29" s="455">
        <f t="shared" ca="1" si="3"/>
        <v>0.51563753336269369</v>
      </c>
      <c r="BY29" s="15">
        <f t="shared" si="4"/>
        <v>0.44</v>
      </c>
      <c r="CA29" s="455"/>
      <c r="CH29" s="455">
        <f t="shared" ca="1" si="6"/>
        <v>0.9207813095762386</v>
      </c>
      <c r="CK29" s="455">
        <f t="shared" si="7"/>
        <v>0.56000000000000005</v>
      </c>
    </row>
    <row r="30" spans="1:89" s="456" customFormat="1" hidden="1">
      <c r="A30" s="451" t="s">
        <v>97</v>
      </c>
      <c r="B30" s="481">
        <f ca="1">$B$28-$B$29</f>
        <v>0.43945756332003377</v>
      </c>
      <c r="C30" s="449"/>
      <c r="D30" s="449"/>
      <c r="E30" s="481">
        <f ca="1">$E$28-$E$29</f>
        <v>0.44262784176471537</v>
      </c>
      <c r="F30" s="449" t="s">
        <v>88</v>
      </c>
      <c r="G30" s="449" t="s">
        <v>98</v>
      </c>
      <c r="H30" s="480">
        <f t="shared" ref="H30:H36" si="8">IF(OR($F$20="C",$F$20="c"),C56,IF(OR($C$13="/50R",$C$13="/65R",$C$13="/70R",$C$13="/75R",$C$13="/80R",$C$13="/85R",$C$13="/90R",$C$13="R",$C$13="r"),E56,B56))</f>
        <v>0.88</v>
      </c>
      <c r="I30" s="466">
        <f t="shared" ref="I30:I36" si="9">IF(OR($F$20="C",$F$20="c"),C56,IF(OR($C$6="/50R",$C$6="/65R",$C$6="/70R",$C$6="/75R",$C$6="/80R",$C$6="/85R",$C$6="/90R",$C$6="R",$C$6="r"),E56,B56))</f>
        <v>0.88</v>
      </c>
      <c r="J30" s="454"/>
      <c r="K30" s="15"/>
      <c r="L30" s="15"/>
      <c r="M30" s="15"/>
      <c r="N30" s="15"/>
      <c r="O30" s="15"/>
      <c r="P30" s="15"/>
      <c r="Q30" s="15"/>
      <c r="R30" s="15"/>
      <c r="S30" s="15"/>
      <c r="T30" s="455"/>
      <c r="U30" s="455"/>
      <c r="V30" s="15"/>
      <c r="X30" s="15"/>
      <c r="Z30" s="457"/>
      <c r="AA30" s="458"/>
      <c r="AB30" s="458"/>
      <c r="AC30" s="458"/>
      <c r="AD30" s="458"/>
      <c r="AE30" s="458"/>
      <c r="AF30" s="458"/>
      <c r="AG30" s="458"/>
      <c r="AH30" s="458"/>
      <c r="AI30" s="458"/>
      <c r="AJ30" s="457"/>
      <c r="AK30" s="457"/>
      <c r="AL30" s="457"/>
      <c r="AM30" s="465"/>
      <c r="AN30" s="465"/>
      <c r="AO30" s="458"/>
      <c r="AP30" s="454"/>
      <c r="AQ30" s="15"/>
      <c r="AR30" s="15"/>
      <c r="AS30" s="15"/>
      <c r="AT30" s="15"/>
      <c r="AU30" s="15"/>
      <c r="AV30" s="15"/>
      <c r="AW30" s="15"/>
      <c r="AX30" s="15"/>
      <c r="AY30" s="15"/>
      <c r="AZ30" s="454"/>
      <c r="BA30" s="15"/>
      <c r="BB30" s="15"/>
      <c r="BC30" s="15"/>
      <c r="BD30" s="15"/>
      <c r="BE30" s="15"/>
      <c r="BF30" s="15"/>
      <c r="BG30" s="469"/>
      <c r="BH30" s="15"/>
      <c r="BI30" s="455"/>
      <c r="BK30" s="460"/>
      <c r="BL30" s="470"/>
      <c r="BM30" s="460"/>
      <c r="BN30" s="460"/>
      <c r="BO30" s="468"/>
      <c r="BP30" s="460"/>
      <c r="BQ30" s="460"/>
      <c r="BR30" s="457"/>
      <c r="BS30" s="460"/>
      <c r="BT30" s="15">
        <v>46</v>
      </c>
      <c r="BU30" s="455">
        <f t="shared" ca="1" si="0"/>
        <v>0.87368245996628913</v>
      </c>
      <c r="BV30" s="455">
        <f t="shared" ca="1" si="1"/>
        <v>6.9895514289655541E-2</v>
      </c>
      <c r="BW30" s="455">
        <f t="shared" ca="1" si="2"/>
        <v>0.80378694567663356</v>
      </c>
      <c r="BX30" s="455">
        <f t="shared" ca="1" si="3"/>
        <v>0.49679943292226519</v>
      </c>
      <c r="BY30" s="15">
        <f t="shared" si="4"/>
        <v>0.46</v>
      </c>
      <c r="CA30" s="455"/>
      <c r="CH30" s="455">
        <f t="shared" ca="1" si="6"/>
        <v>0.91999894985604669</v>
      </c>
      <c r="CK30" s="455">
        <f t="shared" si="7"/>
        <v>0.54</v>
      </c>
    </row>
    <row r="31" spans="1:89" s="456" customFormat="1" ht="12.75" hidden="1">
      <c r="A31" s="449" t="s">
        <v>99</v>
      </c>
      <c r="B31" s="481">
        <f ca="1">($B$28-$B$29)*(1-($H$19/100))/$B$28</f>
        <v>0.80219013932780503</v>
      </c>
      <c r="C31" s="449"/>
      <c r="D31" s="449"/>
      <c r="E31" s="481">
        <f ca="1">($E$28-$E$29)*(1-($E$37/100))/$E$28</f>
        <v>0.80724795591108145</v>
      </c>
      <c r="F31" s="449" t="s">
        <v>88</v>
      </c>
      <c r="G31" s="449" t="s">
        <v>100</v>
      </c>
      <c r="H31" s="480">
        <f t="shared" si="8"/>
        <v>0.08</v>
      </c>
      <c r="I31" s="466">
        <f t="shared" si="9"/>
        <v>0.08</v>
      </c>
      <c r="J31" s="454"/>
      <c r="K31" s="15"/>
      <c r="L31" s="15"/>
      <c r="M31" s="15"/>
      <c r="N31" s="15"/>
      <c r="O31" s="15"/>
      <c r="P31" s="15"/>
      <c r="Q31" s="15"/>
      <c r="R31" s="15"/>
      <c r="S31" s="15"/>
      <c r="T31" s="455"/>
      <c r="U31" s="455"/>
      <c r="V31" s="15"/>
      <c r="X31" s="15"/>
      <c r="Y31" s="15"/>
      <c r="Z31" s="464"/>
      <c r="AA31" s="464"/>
      <c r="AB31" s="464"/>
      <c r="AC31" s="464"/>
      <c r="AD31" s="464"/>
      <c r="AE31" s="464"/>
      <c r="AF31" s="464"/>
      <c r="AG31" s="464"/>
      <c r="AH31" s="464"/>
      <c r="AI31" s="464"/>
      <c r="AJ31" s="464"/>
      <c r="AK31" s="464"/>
      <c r="AL31" s="464"/>
      <c r="AM31" s="464"/>
      <c r="AN31" s="464"/>
      <c r="AO31" s="458"/>
      <c r="AP31" s="454"/>
      <c r="AQ31" s="15"/>
      <c r="AR31" s="15"/>
      <c r="AS31" s="15"/>
      <c r="AT31" s="15"/>
      <c r="AU31" s="15"/>
      <c r="AV31" s="15"/>
      <c r="AW31" s="15"/>
      <c r="AX31" s="15"/>
      <c r="AY31" s="15"/>
      <c r="AZ31" s="454"/>
      <c r="BA31" s="15"/>
      <c r="BB31" s="15"/>
      <c r="BC31" s="15"/>
      <c r="BD31" s="15"/>
      <c r="BE31" s="15"/>
      <c r="BF31" s="15"/>
      <c r="BG31" s="469"/>
      <c r="BH31" s="15"/>
      <c r="BI31" s="455"/>
      <c r="BK31" s="460"/>
      <c r="BL31" s="556">
        <v>3891.9999980853427</v>
      </c>
      <c r="BM31" s="460"/>
      <c r="BN31" s="460"/>
      <c r="BO31" s="461"/>
      <c r="BP31" s="460"/>
      <c r="BQ31" s="460"/>
      <c r="BR31" s="471"/>
      <c r="BS31" s="460"/>
      <c r="BT31" s="15">
        <v>48</v>
      </c>
      <c r="BU31" s="455">
        <f t="shared" ca="1" si="0"/>
        <v>0.87826959223053824</v>
      </c>
      <c r="BV31" s="455">
        <f t="shared" ca="1" si="1"/>
        <v>7.099704235180064E-2</v>
      </c>
      <c r="BW31" s="455">
        <f t="shared" ca="1" si="2"/>
        <v>0.80727254987873764</v>
      </c>
      <c r="BX31" s="455">
        <f t="shared" ca="1" si="3"/>
        <v>0.47796454488515921</v>
      </c>
      <c r="BY31" s="15">
        <f t="shared" si="4"/>
        <v>0.48</v>
      </c>
      <c r="CA31" s="455"/>
      <c r="CH31" s="455">
        <f t="shared" ca="1" si="6"/>
        <v>0.91916258631761383</v>
      </c>
      <c r="CI31" s="15" t="s">
        <v>101</v>
      </c>
      <c r="CK31" s="455">
        <f t="shared" si="7"/>
        <v>0.52</v>
      </c>
    </row>
    <row r="32" spans="1:89" s="456" customFormat="1" hidden="1">
      <c r="A32" s="449" t="s">
        <v>88</v>
      </c>
      <c r="B32" s="449" t="s">
        <v>88</v>
      </c>
      <c r="C32" s="449" t="s">
        <v>88</v>
      </c>
      <c r="D32" s="449" t="s">
        <v>88</v>
      </c>
      <c r="E32" s="449" t="s">
        <v>88</v>
      </c>
      <c r="F32" s="449" t="s">
        <v>88</v>
      </c>
      <c r="G32" s="449" t="s">
        <v>102</v>
      </c>
      <c r="H32" s="480">
        <f t="shared" si="8"/>
        <v>7</v>
      </c>
      <c r="I32" s="466">
        <f t="shared" si="9"/>
        <v>7</v>
      </c>
      <c r="J32" s="454"/>
      <c r="K32" s="15"/>
      <c r="L32" s="15"/>
      <c r="M32" s="15"/>
      <c r="N32" s="15"/>
      <c r="O32" s="15"/>
      <c r="P32" s="15"/>
      <c r="Q32" s="15"/>
      <c r="R32" s="15"/>
      <c r="S32" s="15"/>
      <c r="T32" s="455"/>
      <c r="U32" s="455"/>
      <c r="V32" s="15"/>
      <c r="X32" s="15"/>
      <c r="Y32" s="15"/>
      <c r="Z32" s="464"/>
      <c r="AA32" s="464"/>
      <c r="AB32" s="464"/>
      <c r="AC32" s="464"/>
      <c r="AD32" s="464"/>
      <c r="AE32" s="464"/>
      <c r="AF32" s="464"/>
      <c r="AG32" s="464"/>
      <c r="AH32" s="464"/>
      <c r="AI32" s="464"/>
      <c r="AJ32" s="464"/>
      <c r="AK32" s="464"/>
      <c r="AL32" s="464"/>
      <c r="AM32" s="464"/>
      <c r="AN32" s="464"/>
      <c r="AO32" s="458"/>
      <c r="AP32" s="15"/>
      <c r="AQ32" s="15"/>
      <c r="AR32" s="15"/>
      <c r="AS32" s="15"/>
      <c r="AT32" s="15"/>
      <c r="AU32" s="15"/>
      <c r="AW32" s="15"/>
      <c r="AX32" s="15"/>
      <c r="AY32" s="15"/>
      <c r="AZ32" s="15"/>
      <c r="BA32" s="15"/>
      <c r="BB32" s="15"/>
      <c r="BC32" s="15"/>
      <c r="BD32" s="15"/>
      <c r="BE32" s="15"/>
      <c r="BF32" s="15"/>
      <c r="BG32" s="15"/>
      <c r="BH32" s="15"/>
      <c r="BI32" s="15"/>
      <c r="BK32" s="460"/>
      <c r="BL32" s="472"/>
      <c r="BM32" s="460"/>
      <c r="BN32" s="460"/>
      <c r="BO32" s="472"/>
      <c r="BP32" s="460"/>
      <c r="BQ32" s="460"/>
      <c r="BR32" s="461"/>
      <c r="BS32" s="460"/>
      <c r="BT32" s="15">
        <v>50</v>
      </c>
      <c r="BU32" s="455">
        <f t="shared" ca="1" si="0"/>
        <v>0.882257453441327</v>
      </c>
      <c r="BV32" s="455">
        <f t="shared" ca="1" si="1"/>
        <v>7.2098570413945753E-2</v>
      </c>
      <c r="BW32" s="455">
        <f t="shared" ca="1" si="2"/>
        <v>0.81015888302738126</v>
      </c>
      <c r="BX32" s="455">
        <f t="shared" ca="1" si="3"/>
        <v>0.45913972155592531</v>
      </c>
      <c r="BY32" s="15">
        <f t="shared" si="4"/>
        <v>0.5</v>
      </c>
      <c r="CA32" s="455"/>
      <c r="CD32" s="15" t="s">
        <v>35</v>
      </c>
      <c r="CE32" s="15" t="s">
        <v>16</v>
      </c>
      <c r="CF32" s="15" t="s">
        <v>34</v>
      </c>
      <c r="CH32" s="455"/>
      <c r="CK32" s="455">
        <f t="shared" si="7"/>
        <v>0.5</v>
      </c>
    </row>
    <row r="33" spans="1:90" s="456" customFormat="1" hidden="1">
      <c r="A33" s="452" t="s">
        <v>103</v>
      </c>
      <c r="B33" s="449"/>
      <c r="C33" s="449"/>
      <c r="D33" s="449"/>
      <c r="E33" s="449"/>
      <c r="F33" s="449" t="s">
        <v>88</v>
      </c>
      <c r="G33" s="449" t="s">
        <v>104</v>
      </c>
      <c r="H33" s="480">
        <f t="shared" si="8"/>
        <v>0.03</v>
      </c>
      <c r="I33" s="466">
        <f t="shared" si="9"/>
        <v>0.03</v>
      </c>
      <c r="J33" s="454"/>
      <c r="K33" s="15"/>
      <c r="L33" s="15"/>
      <c r="M33" s="15"/>
      <c r="N33" s="15"/>
      <c r="O33" s="15"/>
      <c r="P33" s="15"/>
      <c r="Q33" s="15"/>
      <c r="R33" s="15"/>
      <c r="S33" s="15"/>
      <c r="T33" s="455"/>
      <c r="U33" s="455"/>
      <c r="V33" s="15"/>
      <c r="X33" s="15"/>
      <c r="Y33" s="15"/>
      <c r="Z33" s="457"/>
      <c r="AA33" s="457"/>
      <c r="AB33" s="457"/>
      <c r="AC33" s="457"/>
      <c r="AD33" s="457"/>
      <c r="AE33" s="457"/>
      <c r="AF33" s="457"/>
      <c r="AG33" s="457"/>
      <c r="AH33" s="457"/>
      <c r="AI33" s="457"/>
      <c r="AJ33" s="457"/>
      <c r="AK33" s="457"/>
      <c r="AL33" s="457"/>
      <c r="AM33" s="457"/>
      <c r="AN33" s="457"/>
      <c r="AO33" s="458"/>
      <c r="AP33" s="454"/>
      <c r="AQ33" s="15"/>
      <c r="AR33" s="15"/>
      <c r="AS33" s="15"/>
      <c r="AT33" s="15"/>
      <c r="AU33" s="15"/>
      <c r="AW33" s="459"/>
      <c r="AX33" s="459"/>
      <c r="AY33" s="15"/>
      <c r="AZ33" s="454"/>
      <c r="BA33" s="15"/>
      <c r="BB33" s="15"/>
      <c r="BC33" s="15"/>
      <c r="BD33" s="15"/>
      <c r="BE33" s="15"/>
      <c r="BF33" s="15"/>
      <c r="BG33" s="15"/>
      <c r="BH33" s="15"/>
      <c r="BI33" s="455"/>
      <c r="BK33" s="460"/>
      <c r="BL33" s="458"/>
      <c r="BM33" s="458"/>
      <c r="BN33" s="458"/>
      <c r="BO33" s="460"/>
      <c r="BP33" s="460"/>
      <c r="BQ33" s="460"/>
      <c r="BR33" s="461"/>
      <c r="BS33" s="460"/>
      <c r="BT33" s="469">
        <f ca="1">BU6</f>
        <v>10.582917832342954</v>
      </c>
      <c r="BU33" s="455">
        <f ca="1">BU2</f>
        <v>0.48984662266618884</v>
      </c>
      <c r="BW33" s="455">
        <f ca="1">BU4</f>
        <v>0.43945756332002006</v>
      </c>
      <c r="BZ33" s="455"/>
      <c r="CA33" s="15">
        <v>0</v>
      </c>
      <c r="CG33" s="455"/>
      <c r="CH33" s="15">
        <v>0</v>
      </c>
      <c r="CJ33" s="455"/>
      <c r="CK33" s="15">
        <v>0</v>
      </c>
    </row>
    <row r="34" spans="1:90" s="456" customFormat="1" hidden="1">
      <c r="A34" s="449" t="s">
        <v>105</v>
      </c>
      <c r="B34" s="481">
        <f ca="1">$E$16*375/$H$7/$E$11</f>
        <v>0.48984662266619117</v>
      </c>
      <c r="C34" s="449"/>
      <c r="D34" s="449"/>
      <c r="E34" s="481">
        <f ca="1">$E$9*375/($H$7)/$E$4</f>
        <v>0.49028913367888949</v>
      </c>
      <c r="F34" s="449" t="s">
        <v>88</v>
      </c>
      <c r="G34" s="449" t="s">
        <v>106</v>
      </c>
      <c r="H34" s="480">
        <f t="shared" si="8"/>
        <v>1.2</v>
      </c>
      <c r="I34" s="466">
        <f t="shared" si="9"/>
        <v>1.2</v>
      </c>
      <c r="J34" s="454"/>
      <c r="K34" s="15"/>
      <c r="L34" s="15"/>
      <c r="M34" s="15"/>
      <c r="N34" s="15"/>
      <c r="O34" s="15"/>
      <c r="P34" s="15"/>
      <c r="Q34" s="15"/>
      <c r="R34" s="15"/>
      <c r="S34" s="15"/>
      <c r="T34" s="455"/>
      <c r="U34" s="455"/>
      <c r="V34" s="15"/>
      <c r="X34" s="15"/>
      <c r="Y34" s="15"/>
      <c r="Z34" s="457"/>
      <c r="AA34" s="457"/>
      <c r="AB34" s="457"/>
      <c r="AC34" s="457"/>
      <c r="AD34" s="457"/>
      <c r="AE34" s="457"/>
      <c r="AF34" s="457"/>
      <c r="AG34" s="457"/>
      <c r="AH34" s="457"/>
      <c r="AI34" s="457"/>
      <c r="AJ34" s="457"/>
      <c r="AK34" s="457"/>
      <c r="AL34" s="457"/>
      <c r="AM34" s="457"/>
      <c r="AN34" s="457"/>
      <c r="AO34" s="458"/>
      <c r="AP34" s="454"/>
      <c r="AQ34" s="15"/>
      <c r="AR34" s="15"/>
      <c r="AS34" s="15"/>
      <c r="AT34" s="15"/>
      <c r="AU34" s="15"/>
      <c r="AV34" s="15"/>
      <c r="AW34" s="15"/>
      <c r="AX34" s="15"/>
      <c r="AY34" s="15"/>
      <c r="AZ34" s="15"/>
      <c r="BA34" s="15"/>
      <c r="BB34" s="15"/>
      <c r="BC34" s="15"/>
      <c r="BD34" s="15"/>
      <c r="BE34" s="15"/>
      <c r="BF34" s="15"/>
      <c r="BG34" s="469"/>
      <c r="BH34" s="15"/>
      <c r="BI34" s="455"/>
      <c r="BK34" s="460"/>
      <c r="BL34" s="458"/>
      <c r="BM34" s="461"/>
      <c r="BN34" s="460"/>
      <c r="BO34" s="460"/>
      <c r="BP34" s="460"/>
      <c r="BQ34" s="460"/>
      <c r="BR34" s="471"/>
      <c r="BS34" s="460"/>
      <c r="BT34" s="469">
        <f ca="1">BU6</f>
        <v>10.582917832342954</v>
      </c>
      <c r="BU34" s="455">
        <f ca="1">BU2</f>
        <v>0.48984662266618884</v>
      </c>
      <c r="BW34" s="455">
        <f ca="1">BU4</f>
        <v>0.43945756332002006</v>
      </c>
      <c r="BZ34" s="455"/>
      <c r="CA34" s="15">
        <v>1</v>
      </c>
      <c r="CB34" s="15" t="s">
        <v>107</v>
      </c>
      <c r="CG34" s="455"/>
      <c r="CH34" s="15">
        <v>1</v>
      </c>
      <c r="CI34" s="15" t="s">
        <v>107</v>
      </c>
      <c r="CJ34" s="455"/>
      <c r="CK34" s="15">
        <v>1</v>
      </c>
      <c r="CL34" s="15" t="s">
        <v>107</v>
      </c>
    </row>
    <row r="35" spans="1:90" s="456" customFormat="1" hidden="1">
      <c r="A35" s="449" t="s">
        <v>108</v>
      </c>
      <c r="B35" s="481">
        <f ca="1">$H$17/$E$11</f>
        <v>0.64238739540201251</v>
      </c>
      <c r="C35" s="449"/>
      <c r="D35" s="449"/>
      <c r="E35" s="449"/>
      <c r="F35" s="449" t="s">
        <v>88</v>
      </c>
      <c r="G35" s="449" t="s">
        <v>109</v>
      </c>
      <c r="H35" s="480">
        <f t="shared" si="8"/>
        <v>5</v>
      </c>
      <c r="I35" s="466">
        <f t="shared" si="9"/>
        <v>5</v>
      </c>
      <c r="J35" s="454"/>
      <c r="K35" s="15"/>
      <c r="L35" s="15"/>
      <c r="M35" s="15"/>
      <c r="N35" s="15"/>
      <c r="O35" s="15"/>
      <c r="P35" s="15"/>
      <c r="Q35" s="15"/>
      <c r="R35" s="15"/>
      <c r="S35" s="15"/>
      <c r="T35" s="455"/>
      <c r="U35" s="455"/>
      <c r="V35" s="15"/>
      <c r="X35" s="15"/>
      <c r="Y35" s="15"/>
      <c r="Z35" s="464"/>
      <c r="AA35" s="464"/>
      <c r="AB35" s="464"/>
      <c r="AC35" s="464"/>
      <c r="AD35" s="464"/>
      <c r="AE35" s="464"/>
      <c r="AF35" s="464"/>
      <c r="AG35" s="464"/>
      <c r="AH35" s="464"/>
      <c r="AI35" s="464"/>
      <c r="AJ35" s="464"/>
      <c r="AK35" s="464"/>
      <c r="AL35" s="464"/>
      <c r="AM35" s="465"/>
      <c r="AN35" s="465"/>
      <c r="AO35" s="458"/>
      <c r="AP35" s="454"/>
      <c r="AQ35" s="15"/>
      <c r="AR35" s="15"/>
      <c r="AS35" s="15"/>
      <c r="AT35" s="15"/>
      <c r="AU35" s="15"/>
      <c r="AW35" s="459"/>
      <c r="AX35" s="459"/>
      <c r="AY35" s="15"/>
      <c r="AZ35" s="454"/>
      <c r="BA35" s="15"/>
      <c r="BB35" s="15"/>
      <c r="BC35" s="15"/>
      <c r="BD35" s="15"/>
      <c r="BE35" s="15"/>
      <c r="BF35" s="15"/>
      <c r="BG35" s="15"/>
      <c r="BH35" s="15"/>
      <c r="BI35" s="455"/>
      <c r="BK35" s="460"/>
      <c r="BL35" s="467"/>
      <c r="BM35" s="460"/>
      <c r="BN35" s="460"/>
      <c r="BO35" s="460"/>
      <c r="BP35" s="460"/>
      <c r="BQ35" s="460"/>
      <c r="BR35" s="471"/>
      <c r="BS35" s="460"/>
      <c r="BT35" s="469"/>
      <c r="BU35" s="15">
        <v>1</v>
      </c>
      <c r="BW35" s="15">
        <v>1</v>
      </c>
      <c r="BZ35" s="455"/>
      <c r="CC35" s="15" t="s">
        <v>34</v>
      </c>
      <c r="CG35" s="455"/>
    </row>
    <row r="36" spans="1:90" s="456" customFormat="1" hidden="1">
      <c r="A36" s="449" t="s">
        <v>110</v>
      </c>
      <c r="B36" s="481">
        <f ca="1">$H$20/$H$8</f>
        <v>0.7385188761760586</v>
      </c>
      <c r="C36" s="449"/>
      <c r="D36" s="449"/>
      <c r="E36" s="449"/>
      <c r="F36" s="449" t="s">
        <v>88</v>
      </c>
      <c r="G36" s="449" t="s">
        <v>111</v>
      </c>
      <c r="H36" s="480">
        <f t="shared" si="8"/>
        <v>3</v>
      </c>
      <c r="I36" s="466">
        <f t="shared" si="9"/>
        <v>3</v>
      </c>
      <c r="J36" s="454"/>
      <c r="K36" s="15"/>
      <c r="L36" s="15"/>
      <c r="M36" s="15"/>
      <c r="N36" s="15"/>
      <c r="O36" s="15"/>
      <c r="P36" s="15"/>
      <c r="Q36" s="15"/>
      <c r="R36" s="15"/>
      <c r="S36" s="15"/>
      <c r="T36" s="455"/>
      <c r="U36" s="455"/>
      <c r="V36" s="15"/>
      <c r="X36" s="15"/>
      <c r="Y36" s="15"/>
      <c r="Z36" s="457"/>
      <c r="AA36" s="457"/>
      <c r="AB36" s="457"/>
      <c r="AC36" s="457"/>
      <c r="AD36" s="457"/>
      <c r="AE36" s="457"/>
      <c r="AF36" s="457"/>
      <c r="AG36" s="457"/>
      <c r="AH36" s="457"/>
      <c r="AI36" s="457"/>
      <c r="AJ36" s="457"/>
      <c r="AK36" s="457"/>
      <c r="AL36" s="457"/>
      <c r="AM36" s="457"/>
      <c r="AN36" s="457"/>
      <c r="AO36" s="458"/>
      <c r="AP36" s="454"/>
      <c r="AQ36" s="15"/>
      <c r="AR36" s="15"/>
      <c r="AS36" s="15"/>
      <c r="AT36" s="15"/>
      <c r="AU36" s="15"/>
      <c r="AV36" s="15"/>
      <c r="AW36" s="459"/>
      <c r="AX36" s="459"/>
      <c r="AY36" s="15"/>
      <c r="AZ36" s="15"/>
      <c r="BA36" s="15"/>
      <c r="BB36" s="15"/>
      <c r="BC36" s="15"/>
      <c r="BD36" s="15"/>
      <c r="BE36" s="15"/>
      <c r="BF36" s="15"/>
      <c r="BG36" s="15"/>
      <c r="BH36" s="15"/>
      <c r="BI36" s="455"/>
      <c r="BK36" s="460"/>
      <c r="BL36" s="460"/>
      <c r="BM36" s="460"/>
      <c r="BN36" s="460"/>
      <c r="BO36" s="468"/>
      <c r="BP36" s="460"/>
      <c r="BQ36" s="460"/>
      <c r="BR36" s="461"/>
      <c r="BS36" s="460"/>
    </row>
    <row r="37" spans="1:90" s="456" customFormat="1" hidden="1">
      <c r="A37" s="449" t="s">
        <v>28</v>
      </c>
      <c r="B37" s="480">
        <f ca="1">$H$19</f>
        <v>10.58291783234343</v>
      </c>
      <c r="C37" s="449"/>
      <c r="D37" s="449"/>
      <c r="E37" s="480">
        <f ca="1">IF(OR(OR(OR($C$8="u",$C$8="U"),$C$6="f"),$C$6="F"),0,$B$37)</f>
        <v>10.58291783234343</v>
      </c>
      <c r="F37" s="449" t="s">
        <v>88</v>
      </c>
      <c r="G37" s="449" t="s">
        <v>112</v>
      </c>
      <c r="H37" s="480">
        <f>(tire!$I$15-2*tire!$I$14)/(tire!$I$15-1.06*tire!$I$11)</f>
        <v>0.24635669673837637</v>
      </c>
      <c r="I37" s="466">
        <f>(tire!$G$15-2*tire!$G$14)/(tire!$G$15-1.06*tire!$G$11)</f>
        <v>0.18821603927986885</v>
      </c>
      <c r="J37" s="454"/>
      <c r="K37" s="15"/>
      <c r="L37" s="15"/>
      <c r="M37" s="15"/>
      <c r="N37" s="15"/>
      <c r="O37" s="15"/>
      <c r="P37" s="15"/>
      <c r="Q37" s="15"/>
      <c r="R37" s="15"/>
      <c r="S37" s="15"/>
      <c r="T37" s="455"/>
      <c r="U37" s="455"/>
      <c r="V37" s="15"/>
      <c r="X37" s="15"/>
      <c r="Z37" s="465"/>
      <c r="AA37" s="465"/>
      <c r="AB37" s="465"/>
      <c r="AC37" s="465"/>
      <c r="AD37" s="465"/>
      <c r="AE37" s="465"/>
      <c r="AF37" s="465"/>
      <c r="AG37" s="465"/>
      <c r="AH37" s="465"/>
      <c r="AI37" s="465"/>
      <c r="AJ37" s="465"/>
      <c r="AK37" s="465"/>
      <c r="AL37" s="465"/>
      <c r="AM37" s="465"/>
      <c r="AN37" s="465"/>
      <c r="AO37" s="458"/>
      <c r="AP37" s="454"/>
      <c r="AQ37" s="15"/>
      <c r="AR37" s="15"/>
      <c r="AS37" s="15"/>
      <c r="AT37" s="15"/>
      <c r="AU37" s="15"/>
      <c r="AV37" s="15"/>
      <c r="AW37" s="15"/>
      <c r="AX37" s="15"/>
      <c r="AY37" s="15"/>
      <c r="AZ37" s="15"/>
      <c r="BA37" s="15"/>
      <c r="BB37" s="15"/>
      <c r="BC37" s="15"/>
      <c r="BD37" s="15"/>
      <c r="BE37" s="15"/>
      <c r="BF37" s="15"/>
      <c r="BG37" s="469"/>
      <c r="BH37" s="15"/>
      <c r="BI37" s="455"/>
      <c r="BK37" s="460"/>
      <c r="BL37" s="460"/>
      <c r="BM37" s="460"/>
      <c r="BN37" s="460"/>
      <c r="BO37" s="468"/>
      <c r="BP37" s="460"/>
      <c r="BQ37" s="460"/>
      <c r="BR37" s="468"/>
      <c r="BS37" s="460"/>
      <c r="BT37" s="15" t="s">
        <v>113</v>
      </c>
      <c r="BU37" s="15" t="s">
        <v>114</v>
      </c>
    </row>
    <row r="38" spans="1:90" s="456" customFormat="1" hidden="1">
      <c r="A38" s="449" t="s">
        <v>88</v>
      </c>
      <c r="B38" s="449" t="s">
        <v>88</v>
      </c>
      <c r="C38" s="449" t="s">
        <v>88</v>
      </c>
      <c r="D38" s="449" t="s">
        <v>88</v>
      </c>
      <c r="E38" s="449" t="s">
        <v>88</v>
      </c>
      <c r="F38" s="449" t="s">
        <v>88</v>
      </c>
      <c r="G38" s="449" t="s">
        <v>115</v>
      </c>
      <c r="H38" s="449"/>
      <c r="I38" s="453"/>
      <c r="J38" s="454"/>
      <c r="K38" s="15"/>
      <c r="L38" s="15"/>
      <c r="M38" s="15"/>
      <c r="N38" s="15"/>
      <c r="O38" s="15"/>
      <c r="P38" s="15"/>
      <c r="Q38" s="15"/>
      <c r="R38" s="15"/>
      <c r="S38" s="15"/>
      <c r="T38" s="455"/>
      <c r="U38" s="455"/>
      <c r="V38" s="15"/>
      <c r="X38" s="15"/>
      <c r="Y38" s="15"/>
      <c r="Z38" s="467"/>
      <c r="AA38" s="467"/>
      <c r="AB38" s="467"/>
      <c r="AC38" s="467"/>
      <c r="AD38" s="467"/>
      <c r="AE38" s="467"/>
      <c r="AF38" s="467"/>
      <c r="AG38" s="467"/>
      <c r="AH38" s="467"/>
      <c r="AI38" s="467"/>
      <c r="AJ38" s="467"/>
      <c r="AK38" s="467"/>
      <c r="AL38" s="467"/>
      <c r="AM38" s="467"/>
      <c r="AN38" s="467"/>
      <c r="AO38" s="458"/>
      <c r="AP38" s="454"/>
      <c r="AQ38" s="15"/>
      <c r="AR38" s="15"/>
      <c r="AS38" s="15"/>
      <c r="AT38" s="15"/>
      <c r="AU38" s="15"/>
      <c r="AW38" s="459"/>
      <c r="AX38" s="459"/>
      <c r="AY38" s="15"/>
      <c r="AZ38" s="454"/>
      <c r="BA38" s="15"/>
      <c r="BB38" s="15"/>
      <c r="BC38" s="15"/>
      <c r="BD38" s="15"/>
      <c r="BE38" s="15"/>
      <c r="BF38" s="15"/>
      <c r="BG38" s="15"/>
      <c r="BH38" s="15"/>
      <c r="BI38" s="455"/>
      <c r="BK38" s="460"/>
      <c r="BL38" s="461"/>
      <c r="BM38" s="460"/>
      <c r="BN38" s="460"/>
      <c r="BO38" s="461"/>
      <c r="BP38" s="460"/>
      <c r="BQ38" s="460"/>
      <c r="BR38" s="468"/>
      <c r="BS38" s="460"/>
    </row>
    <row r="39" spans="1:90" s="456" customFormat="1" ht="12.75" hidden="1">
      <c r="A39" s="449" t="s">
        <v>116</v>
      </c>
      <c r="B39" s="449" t="s">
        <v>117</v>
      </c>
      <c r="C39" s="449"/>
      <c r="D39" s="449" t="s">
        <v>118</v>
      </c>
      <c r="E39" s="449"/>
      <c r="F39" s="449" t="s">
        <v>88</v>
      </c>
      <c r="G39" s="449" t="s">
        <v>119</v>
      </c>
      <c r="H39" s="480">
        <f>IF(OR($F$20="C",$F$20="c"),C63,IF(OR($C$13="/50R",$C$13="/65R",$C$13="/70R",$C$13="/75R",$C$13="/80R",$C$13="/85R",$C$13="/90R",$C$13="R",$C$13="r"),E63,B63))</f>
        <v>0.5</v>
      </c>
      <c r="I39" s="466">
        <f>IF(OR($F$20="C",$F$20="c"),C63,IF(OR($C$6="/50R",$C$6="/65R",$C$6="/70R",$C$6="/75R",$C$6="/80R",$C$6="/85R",$C$6="/90R",$C$6="R",$C$6="r"),E63,B63))</f>
        <v>0.5</v>
      </c>
      <c r="J39" s="454"/>
      <c r="K39" s="15"/>
      <c r="L39" s="15"/>
      <c r="M39" s="15"/>
      <c r="N39" s="15"/>
      <c r="O39" s="15"/>
      <c r="P39" s="15"/>
      <c r="Q39" s="15"/>
      <c r="R39" s="15"/>
      <c r="S39" s="15"/>
      <c r="T39" s="455"/>
      <c r="U39" s="455"/>
      <c r="V39" s="15"/>
      <c r="X39" s="15"/>
      <c r="Y39" s="15"/>
      <c r="Z39" s="467"/>
      <c r="AA39" s="467"/>
      <c r="AB39" s="467"/>
      <c r="AC39" s="467"/>
      <c r="AD39" s="467"/>
      <c r="AE39" s="467"/>
      <c r="AF39" s="467"/>
      <c r="AG39" s="467"/>
      <c r="AH39" s="467"/>
      <c r="AI39" s="467"/>
      <c r="AJ39" s="467"/>
      <c r="AK39" s="467"/>
      <c r="AL39" s="467"/>
      <c r="AM39" s="467"/>
      <c r="AN39" s="467"/>
      <c r="AO39" s="458"/>
      <c r="AP39" s="454"/>
      <c r="AQ39" s="15"/>
      <c r="AR39" s="15"/>
      <c r="AS39" s="15"/>
      <c r="AT39" s="15"/>
      <c r="AU39" s="15"/>
      <c r="AW39" s="459"/>
      <c r="AX39" s="459"/>
      <c r="AY39" s="15"/>
      <c r="AZ39" s="15"/>
      <c r="BA39" s="15"/>
      <c r="BB39" s="15"/>
      <c r="BC39" s="15"/>
      <c r="BD39" s="15"/>
      <c r="BE39" s="15"/>
      <c r="BF39" s="15"/>
      <c r="BG39" s="15"/>
      <c r="BH39" s="15"/>
      <c r="BI39" s="455"/>
      <c r="BK39" s="460"/>
      <c r="BL39" s="463"/>
      <c r="BM39" s="460"/>
      <c r="BN39" s="460"/>
      <c r="BO39" s="463"/>
      <c r="BP39" s="460"/>
      <c r="BQ39" s="460"/>
      <c r="BR39" s="558">
        <f ca="1">+$BR$19</f>
        <v>10.58291783234343</v>
      </c>
      <c r="BS39" s="460"/>
      <c r="BT39" s="15" t="s">
        <v>120</v>
      </c>
      <c r="CB39" s="15" t="str">
        <f>"Total Tractor Weight, lbs per "&amp;$BW$40</f>
        <v>Total Tractor Weight, lbs per Input Horsepower</v>
      </c>
    </row>
    <row r="40" spans="1:90" s="456" customFormat="1" hidden="1">
      <c r="A40" s="449" t="s">
        <v>121</v>
      </c>
      <c r="B40" s="449" t="str">
        <f>$D$14</f>
        <v>R-1</v>
      </c>
      <c r="C40" s="449"/>
      <c r="D40" s="449" t="str">
        <f>$D$7</f>
        <v>R-1</v>
      </c>
      <c r="E40" s="449"/>
      <c r="F40" s="449" t="s">
        <v>88</v>
      </c>
      <c r="G40" s="449"/>
      <c r="H40" s="449"/>
      <c r="I40" s="453"/>
      <c r="J40" s="454"/>
      <c r="K40" s="15"/>
      <c r="L40" s="15"/>
      <c r="M40" s="15"/>
      <c r="N40" s="15"/>
      <c r="O40" s="15"/>
      <c r="P40" s="15"/>
      <c r="Q40" s="15"/>
      <c r="R40" s="15"/>
      <c r="S40" s="15"/>
      <c r="T40" s="455"/>
      <c r="U40" s="455"/>
      <c r="V40" s="15"/>
      <c r="X40" s="15"/>
      <c r="Y40" s="15"/>
      <c r="Z40" s="473"/>
      <c r="AA40" s="473"/>
      <c r="AB40" s="473"/>
      <c r="AC40" s="473"/>
      <c r="AD40" s="473"/>
      <c r="AE40" s="473"/>
      <c r="AF40" s="473"/>
      <c r="AG40" s="473"/>
      <c r="AH40" s="473"/>
      <c r="AI40" s="473"/>
      <c r="AJ40" s="473"/>
      <c r="AK40" s="473"/>
      <c r="AL40" s="473"/>
      <c r="AM40" s="473"/>
      <c r="AN40" s="473"/>
      <c r="AO40" s="458"/>
      <c r="AP40" s="454"/>
      <c r="AQ40" s="15"/>
      <c r="AR40" s="15"/>
      <c r="AS40" s="15"/>
      <c r="AT40" s="15"/>
      <c r="AU40" s="15"/>
      <c r="AV40" s="15"/>
      <c r="AW40" s="15"/>
      <c r="AX40" s="15"/>
      <c r="AY40" s="15"/>
      <c r="AZ40" s="15"/>
      <c r="BA40" s="15"/>
      <c r="BB40" s="15"/>
      <c r="BC40" s="15"/>
      <c r="BD40" s="15"/>
      <c r="BE40" s="15"/>
      <c r="BF40" s="15"/>
      <c r="BG40" s="469"/>
      <c r="BH40" s="15"/>
      <c r="BI40" s="455"/>
      <c r="BK40" s="460"/>
      <c r="BL40" s="463"/>
      <c r="BM40" s="463"/>
      <c r="BN40" s="463"/>
      <c r="BO40" s="463"/>
      <c r="BP40" s="460"/>
      <c r="BQ40" s="460"/>
      <c r="BR40" s="468"/>
      <c r="BS40" s="460"/>
      <c r="BT40" s="15" t="s">
        <v>122</v>
      </c>
      <c r="BU40" s="458" t="s">
        <v>123</v>
      </c>
      <c r="BW40" s="459" t="str">
        <f>IF($BU$40="a","Axle Horsepower",IF($BU$40="p","Pto Horsepower",IF($BU$40="i","Input Horsepower","Flywheel Horsepower")))</f>
        <v>Input Horsepower</v>
      </c>
    </row>
    <row r="41" spans="1:90" s="456" customFormat="1" hidden="1">
      <c r="A41" s="449" t="s">
        <v>124</v>
      </c>
      <c r="B41" s="449" t="str">
        <f>$E$14</f>
        <v xml:space="preserve"> Radial</v>
      </c>
      <c r="C41" s="449"/>
      <c r="D41" s="449" t="str">
        <f>$E$7</f>
        <v xml:space="preserve"> Radial</v>
      </c>
      <c r="E41" s="449"/>
      <c r="F41" s="449" t="s">
        <v>88</v>
      </c>
      <c r="G41" s="449"/>
      <c r="H41" s="449"/>
      <c r="I41" s="453"/>
      <c r="J41" s="454"/>
      <c r="K41" s="15"/>
      <c r="L41" s="15"/>
      <c r="M41" s="15"/>
      <c r="N41" s="15"/>
      <c r="O41" s="15"/>
      <c r="P41" s="15"/>
      <c r="Q41" s="15"/>
      <c r="R41" s="15"/>
      <c r="S41" s="15"/>
      <c r="T41" s="455"/>
      <c r="U41" s="455"/>
      <c r="V41" s="15"/>
      <c r="X41" s="15"/>
      <c r="Y41" s="15"/>
      <c r="Z41" s="457"/>
      <c r="AA41" s="457"/>
      <c r="AB41" s="457"/>
      <c r="AC41" s="457"/>
      <c r="AD41" s="457"/>
      <c r="AE41" s="457"/>
      <c r="AF41" s="457"/>
      <c r="AG41" s="457"/>
      <c r="AH41" s="457"/>
      <c r="AI41" s="457"/>
      <c r="AJ41" s="457"/>
      <c r="AK41" s="457"/>
      <c r="AL41" s="457"/>
      <c r="AM41" s="457"/>
      <c r="AN41" s="457"/>
      <c r="AO41" s="458"/>
      <c r="AP41" s="454"/>
      <c r="AQ41" s="15"/>
      <c r="AR41" s="15"/>
      <c r="AS41" s="15"/>
      <c r="AT41" s="15"/>
      <c r="AU41" s="15"/>
      <c r="AW41" s="459"/>
      <c r="AX41" s="459"/>
      <c r="AY41" s="15"/>
      <c r="AZ41" s="454"/>
      <c r="BA41" s="15"/>
      <c r="BB41" s="15"/>
      <c r="BC41" s="15"/>
      <c r="BD41" s="15"/>
      <c r="BE41" s="15"/>
      <c r="BF41" s="15"/>
      <c r="BG41" s="15"/>
      <c r="BH41" s="15"/>
      <c r="BI41" s="455"/>
      <c r="BT41" s="15" t="s">
        <v>125</v>
      </c>
      <c r="BU41" s="458">
        <v>0.55000000000000004</v>
      </c>
      <c r="BW41" s="459" t="e">
        <f ca="1">IF($BU$40="a",375/$BU$42,IF($BU$40="p",375/$BU$42*0.96,IF($BU$42="f",375/$BU$42*0.96*0.85,#REF!)))</f>
        <v>#REF!</v>
      </c>
    </row>
    <row r="42" spans="1:90" s="456" customFormat="1" hidden="1">
      <c r="A42" s="449" t="s">
        <v>126</v>
      </c>
      <c r="B42" s="449" t="s">
        <v>127</v>
      </c>
      <c r="C42" s="449"/>
      <c r="D42" s="449" t="str">
        <f>$D$8</f>
        <v xml:space="preserve"> Powered</v>
      </c>
      <c r="E42" s="449"/>
      <c r="F42" s="449" t="s">
        <v>88</v>
      </c>
      <c r="G42" s="449"/>
      <c r="H42" s="449"/>
      <c r="I42" s="453"/>
      <c r="J42" s="454"/>
      <c r="K42" s="15"/>
      <c r="L42" s="15"/>
      <c r="M42" s="15"/>
      <c r="N42" s="15"/>
      <c r="O42" s="15"/>
      <c r="P42" s="15"/>
      <c r="Q42" s="15"/>
      <c r="R42" s="15"/>
      <c r="S42" s="15"/>
      <c r="T42" s="455"/>
      <c r="U42" s="455"/>
      <c r="V42" s="15"/>
      <c r="X42" s="15"/>
      <c r="Y42" s="15"/>
      <c r="Z42" s="457"/>
      <c r="AA42" s="457"/>
      <c r="AB42" s="457"/>
      <c r="AC42" s="457"/>
      <c r="AD42" s="457"/>
      <c r="AE42" s="457"/>
      <c r="AF42" s="457"/>
      <c r="AG42" s="457"/>
      <c r="AH42" s="457"/>
      <c r="AI42" s="457"/>
      <c r="AJ42" s="457"/>
      <c r="AK42" s="457"/>
      <c r="AL42" s="457"/>
      <c r="AM42" s="457"/>
      <c r="AN42" s="457"/>
      <c r="AO42" s="458"/>
      <c r="AP42" s="454"/>
      <c r="AQ42" s="15"/>
      <c r="AR42" s="15"/>
      <c r="AS42" s="15"/>
      <c r="AT42" s="15"/>
      <c r="AU42" s="15"/>
      <c r="AW42" s="459"/>
      <c r="AX42" s="459"/>
      <c r="AY42" s="15"/>
      <c r="AZ42" s="454"/>
      <c r="BA42" s="15"/>
      <c r="BB42" s="15"/>
      <c r="BC42" s="15"/>
      <c r="BD42" s="15"/>
      <c r="BE42" s="15"/>
      <c r="BF42" s="15"/>
      <c r="BG42" s="15"/>
      <c r="BH42" s="15"/>
      <c r="BI42" s="455"/>
      <c r="BT42" s="15" t="s">
        <v>128</v>
      </c>
      <c r="BU42" s="15">
        <f ca="1">IF($BU$40="i",$BU$2,$BU$41)</f>
        <v>0.48984662266618884</v>
      </c>
      <c r="BV42" s="15" t="s">
        <v>129</v>
      </c>
      <c r="BW42" s="15" t="s">
        <v>130</v>
      </c>
      <c r="BX42" s="15" t="s">
        <v>131</v>
      </c>
      <c r="CC42" s="15" t="s">
        <v>132</v>
      </c>
    </row>
    <row r="43" spans="1:90" s="456" customFormat="1" hidden="1">
      <c r="A43" s="449" t="s">
        <v>88</v>
      </c>
      <c r="B43" s="449" t="s">
        <v>88</v>
      </c>
      <c r="C43" s="449" t="s">
        <v>88</v>
      </c>
      <c r="D43" s="449" t="s">
        <v>88</v>
      </c>
      <c r="E43" s="449" t="s">
        <v>88</v>
      </c>
      <c r="F43" s="449" t="s">
        <v>88</v>
      </c>
      <c r="G43" s="449" t="s">
        <v>88</v>
      </c>
      <c r="H43" s="449" t="s">
        <v>88</v>
      </c>
      <c r="I43" s="453" t="s">
        <v>88</v>
      </c>
      <c r="J43" s="454"/>
      <c r="K43" s="15"/>
      <c r="L43" s="15"/>
      <c r="M43" s="15"/>
      <c r="N43" s="15"/>
      <c r="O43" s="15"/>
      <c r="P43" s="15"/>
      <c r="Q43" s="15"/>
      <c r="R43" s="15"/>
      <c r="S43" s="15"/>
      <c r="T43" s="455"/>
      <c r="U43" s="455"/>
      <c r="V43" s="15"/>
      <c r="X43" s="15"/>
      <c r="Y43" s="15"/>
      <c r="Z43" s="473"/>
      <c r="AA43" s="473"/>
      <c r="AB43" s="473"/>
      <c r="AC43" s="473"/>
      <c r="AD43" s="473"/>
      <c r="AE43" s="473"/>
      <c r="AF43" s="473"/>
      <c r="AG43" s="473"/>
      <c r="AH43" s="473"/>
      <c r="AI43" s="473"/>
      <c r="AJ43" s="473"/>
      <c r="AK43" s="473"/>
      <c r="AL43" s="473"/>
      <c r="AM43" s="473"/>
      <c r="AN43" s="473"/>
      <c r="AO43" s="458"/>
      <c r="AP43" s="454"/>
      <c r="AQ43" s="15"/>
      <c r="AR43" s="15"/>
      <c r="AS43" s="15"/>
      <c r="AT43" s="15"/>
      <c r="AU43" s="15"/>
      <c r="AW43" s="459"/>
      <c r="AX43" s="459"/>
      <c r="AY43" s="15"/>
      <c r="AZ43" s="15"/>
      <c r="BA43" s="15"/>
      <c r="BB43" s="15"/>
      <c r="BC43" s="15"/>
      <c r="BD43" s="15"/>
      <c r="BE43" s="15"/>
      <c r="BF43" s="15"/>
      <c r="BG43" s="15"/>
      <c r="BH43" s="15"/>
      <c r="BI43" s="455"/>
      <c r="BT43" s="15" t="s">
        <v>31</v>
      </c>
      <c r="BU43" s="459" t="s">
        <v>133</v>
      </c>
      <c r="BW43" s="15" t="s">
        <v>134</v>
      </c>
      <c r="BY43" s="15" t="s">
        <v>135</v>
      </c>
      <c r="CA43" s="15" t="s">
        <v>136</v>
      </c>
      <c r="CC43" s="15" t="s">
        <v>137</v>
      </c>
      <c r="CD43" s="15" t="s">
        <v>138</v>
      </c>
    </row>
    <row r="44" spans="1:90" s="456" customFormat="1" hidden="1">
      <c r="A44" s="452" t="s">
        <v>139</v>
      </c>
      <c r="B44" s="449"/>
      <c r="C44" s="449"/>
      <c r="D44" s="449"/>
      <c r="E44" s="449"/>
      <c r="F44" s="449"/>
      <c r="G44" s="449"/>
      <c r="H44" s="449" t="s">
        <v>88</v>
      </c>
      <c r="I44" s="453" t="s">
        <v>140</v>
      </c>
      <c r="J44" s="454"/>
      <c r="K44" s="15"/>
      <c r="L44" s="15"/>
      <c r="M44" s="15"/>
      <c r="N44" s="15"/>
      <c r="O44" s="15"/>
      <c r="P44" s="15"/>
      <c r="Q44" s="15"/>
      <c r="R44" s="15"/>
      <c r="S44" s="15"/>
      <c r="T44" s="455"/>
      <c r="U44" s="455"/>
      <c r="V44" s="15"/>
      <c r="X44" s="15"/>
      <c r="Y44" s="15"/>
      <c r="Z44" s="473"/>
      <c r="AA44" s="473"/>
      <c r="AB44" s="473"/>
      <c r="AC44" s="473"/>
      <c r="AD44" s="473"/>
      <c r="AE44" s="473"/>
      <c r="AF44" s="473"/>
      <c r="AG44" s="473"/>
      <c r="AH44" s="473"/>
      <c r="AI44" s="473"/>
      <c r="AJ44" s="473"/>
      <c r="AK44" s="473"/>
      <c r="AL44" s="473"/>
      <c r="AM44" s="473"/>
      <c r="AN44" s="473"/>
      <c r="AO44" s="458"/>
      <c r="AP44" s="454"/>
      <c r="AQ44" s="15"/>
      <c r="AR44" s="15"/>
      <c r="AS44" s="15"/>
      <c r="AT44" s="15"/>
      <c r="AU44" s="15"/>
      <c r="AW44" s="459"/>
      <c r="AX44" s="459"/>
      <c r="AY44" s="15"/>
      <c r="AZ44" s="454"/>
      <c r="BA44" s="15"/>
      <c r="BB44" s="15"/>
      <c r="BC44" s="15"/>
      <c r="BD44" s="15"/>
      <c r="BE44" s="15"/>
      <c r="BF44" s="15"/>
      <c r="BG44" s="15"/>
      <c r="BH44" s="15"/>
      <c r="BI44" s="455"/>
      <c r="BL44" s="15"/>
      <c r="BM44" s="15"/>
      <c r="BT44" s="15">
        <v>2</v>
      </c>
      <c r="BU44" s="459" t="e">
        <f t="shared" ref="BU44:BU76" ca="1" si="10">$BW$41/BT44</f>
        <v>#REF!</v>
      </c>
      <c r="BW44" s="459" t="e">
        <f t="shared" ref="BW44:BW76" ca="1" si="11">BU44*0.9</f>
        <v>#REF!</v>
      </c>
      <c r="BY44" s="459" t="e">
        <f t="shared" ref="BY44:BY76" ca="1" si="12">BU44*0.8</f>
        <v>#REF!</v>
      </c>
      <c r="CA44" s="459" t="e">
        <f t="shared" ref="CA44:CA76" ca="1" si="13">BU44*0.7</f>
        <v>#REF!</v>
      </c>
    </row>
    <row r="45" spans="1:90" s="456" customFormat="1" hidden="1">
      <c r="A45" s="449"/>
      <c r="B45" s="449" t="s">
        <v>141</v>
      </c>
      <c r="C45" s="449"/>
      <c r="D45" s="449"/>
      <c r="E45" s="449"/>
      <c r="F45" s="449"/>
      <c r="G45" s="449"/>
      <c r="H45" s="449"/>
      <c r="I45" s="453"/>
      <c r="J45" s="454"/>
      <c r="K45" s="15"/>
      <c r="L45" s="15"/>
      <c r="M45" s="15"/>
      <c r="N45" s="15"/>
      <c r="O45" s="15"/>
      <c r="P45" s="15"/>
      <c r="Q45" s="15"/>
      <c r="R45" s="15"/>
      <c r="S45" s="15"/>
      <c r="T45" s="455"/>
      <c r="U45" s="455"/>
      <c r="V45" s="15"/>
      <c r="X45" s="15"/>
      <c r="Y45" s="15"/>
      <c r="Z45" s="457"/>
      <c r="AA45" s="457"/>
      <c r="AB45" s="457"/>
      <c r="AC45" s="457"/>
      <c r="AD45" s="457"/>
      <c r="AE45" s="457"/>
      <c r="AF45" s="457"/>
      <c r="AG45" s="457"/>
      <c r="AH45" s="457"/>
      <c r="AI45" s="457"/>
      <c r="AJ45" s="457"/>
      <c r="AK45" s="457"/>
      <c r="AL45" s="457"/>
      <c r="AM45" s="458"/>
      <c r="AN45" s="458"/>
      <c r="AO45" s="458"/>
      <c r="AP45" s="454"/>
      <c r="AQ45" s="15"/>
      <c r="AR45" s="15"/>
      <c r="AS45" s="15"/>
      <c r="AT45" s="15"/>
      <c r="AU45" s="15"/>
      <c r="AW45" s="459"/>
      <c r="AX45" s="459"/>
      <c r="AY45" s="15"/>
      <c r="AZ45" s="454"/>
      <c r="BA45" s="15"/>
      <c r="BB45" s="15"/>
      <c r="BC45" s="15"/>
      <c r="BD45" s="15"/>
      <c r="BE45" s="15"/>
      <c r="BF45" s="15"/>
      <c r="BG45" s="15"/>
      <c r="BH45" s="15"/>
      <c r="BI45" s="455"/>
      <c r="BL45" s="15"/>
      <c r="BM45" s="15"/>
      <c r="BT45" s="15">
        <v>2.2000000000000002</v>
      </c>
      <c r="BU45" s="459" t="e">
        <f t="shared" ca="1" si="10"/>
        <v>#REF!</v>
      </c>
      <c r="BW45" s="459" t="e">
        <f t="shared" ca="1" si="11"/>
        <v>#REF!</v>
      </c>
      <c r="BY45" s="459" t="e">
        <f t="shared" ca="1" si="12"/>
        <v>#REF!</v>
      </c>
      <c r="CA45" s="459" t="e">
        <f t="shared" ca="1" si="13"/>
        <v>#REF!</v>
      </c>
    </row>
    <row r="46" spans="1:90" s="456" customFormat="1" hidden="1">
      <c r="A46" s="449"/>
      <c r="B46" s="449" t="s">
        <v>142</v>
      </c>
      <c r="C46" s="449"/>
      <c r="D46" s="449"/>
      <c r="E46" s="449"/>
      <c r="F46" s="449"/>
      <c r="G46" s="449"/>
      <c r="H46" s="449"/>
      <c r="I46" s="453"/>
      <c r="J46" s="15"/>
      <c r="K46" s="15"/>
      <c r="L46" s="15"/>
      <c r="M46" s="15"/>
      <c r="N46" s="15"/>
      <c r="O46" s="15"/>
      <c r="P46" s="15"/>
      <c r="Q46" s="15"/>
      <c r="R46" s="15"/>
      <c r="S46" s="15"/>
      <c r="T46" s="15"/>
      <c r="U46" s="15"/>
      <c r="V46" s="15"/>
      <c r="W46" s="15"/>
      <c r="X46" s="15"/>
      <c r="Z46" s="458"/>
      <c r="AA46" s="458"/>
      <c r="AB46" s="458"/>
      <c r="AC46" s="458"/>
      <c r="AD46" s="458"/>
      <c r="AE46" s="458"/>
      <c r="AF46" s="458"/>
      <c r="AG46" s="458"/>
      <c r="AH46" s="458"/>
      <c r="AI46" s="458"/>
      <c r="AJ46" s="464"/>
      <c r="AK46" s="467"/>
      <c r="AL46" s="464"/>
      <c r="AM46" s="458"/>
      <c r="AN46" s="458"/>
      <c r="AO46" s="458"/>
      <c r="AP46" s="454"/>
      <c r="AQ46" s="15"/>
      <c r="AR46" s="15"/>
      <c r="AS46" s="15"/>
      <c r="AT46" s="15"/>
      <c r="AU46" s="15"/>
      <c r="AW46" s="459"/>
      <c r="AX46" s="459"/>
      <c r="AY46" s="15"/>
      <c r="AZ46" s="454"/>
      <c r="BA46" s="15"/>
      <c r="BB46" s="15"/>
      <c r="BC46" s="15"/>
      <c r="BD46" s="15"/>
      <c r="BE46" s="15"/>
      <c r="BF46" s="15"/>
      <c r="BG46" s="15"/>
      <c r="BH46" s="15"/>
      <c r="BI46" s="455"/>
      <c r="BL46" s="15"/>
      <c r="BM46" s="15"/>
      <c r="BT46" s="15">
        <v>2.4</v>
      </c>
      <c r="BU46" s="459" t="e">
        <f t="shared" ca="1" si="10"/>
        <v>#REF!</v>
      </c>
      <c r="BW46" s="459" t="e">
        <f t="shared" ca="1" si="11"/>
        <v>#REF!</v>
      </c>
      <c r="BY46" s="459" t="e">
        <f t="shared" ca="1" si="12"/>
        <v>#REF!</v>
      </c>
      <c r="CA46" s="459" t="e">
        <f t="shared" ca="1" si="13"/>
        <v>#REF!</v>
      </c>
    </row>
    <row r="47" spans="1:90" s="456" customFormat="1" hidden="1">
      <c r="A47" s="449"/>
      <c r="B47" s="449"/>
      <c r="C47" s="449"/>
      <c r="D47" s="449"/>
      <c r="E47" s="449"/>
      <c r="F47" s="449"/>
      <c r="G47" s="449"/>
      <c r="H47" s="449"/>
      <c r="I47" s="453"/>
      <c r="J47" s="15"/>
      <c r="O47" s="15"/>
      <c r="S47" s="15"/>
      <c r="T47" s="15"/>
      <c r="U47" s="15"/>
      <c r="V47" s="15"/>
      <c r="W47" s="15"/>
      <c r="X47" s="15"/>
      <c r="Y47" s="15"/>
      <c r="Z47" s="464"/>
      <c r="AA47" s="464"/>
      <c r="AB47" s="464"/>
      <c r="AC47" s="464"/>
      <c r="AD47" s="464"/>
      <c r="AE47" s="464"/>
      <c r="AF47" s="464"/>
      <c r="AG47" s="464"/>
      <c r="AH47" s="464"/>
      <c r="AI47" s="464"/>
      <c r="AJ47" s="467"/>
      <c r="AK47" s="464"/>
      <c r="AL47" s="457"/>
      <c r="AM47" s="464"/>
      <c r="AN47" s="464"/>
      <c r="AO47" s="458"/>
      <c r="AP47" s="454"/>
      <c r="AQ47" s="15"/>
      <c r="AR47" s="15"/>
      <c r="AS47" s="15"/>
      <c r="AT47" s="15"/>
      <c r="AU47" s="15"/>
      <c r="AW47" s="459"/>
      <c r="AX47" s="459"/>
      <c r="AY47" s="15"/>
      <c r="AZ47" s="454"/>
      <c r="BA47" s="15"/>
      <c r="BB47" s="15"/>
      <c r="BC47" s="15"/>
      <c r="BD47" s="15"/>
      <c r="BE47" s="15"/>
      <c r="BF47" s="15"/>
      <c r="BG47" s="15"/>
      <c r="BH47" s="15"/>
      <c r="BI47" s="455"/>
      <c r="BL47" s="15"/>
      <c r="BM47" s="15"/>
      <c r="BT47" s="15">
        <v>2.6</v>
      </c>
      <c r="BU47" s="459" t="e">
        <f t="shared" ca="1" si="10"/>
        <v>#REF!</v>
      </c>
      <c r="BW47" s="459" t="e">
        <f t="shared" ca="1" si="11"/>
        <v>#REF!</v>
      </c>
      <c r="BY47" s="459" t="e">
        <f t="shared" ca="1" si="12"/>
        <v>#REF!</v>
      </c>
      <c r="CA47" s="459" t="e">
        <f t="shared" ca="1" si="13"/>
        <v>#REF!</v>
      </c>
    </row>
    <row r="48" spans="1:90" s="456" customFormat="1" hidden="1">
      <c r="A48" s="449" t="s">
        <v>143</v>
      </c>
      <c r="B48" s="449" t="s">
        <v>144</v>
      </c>
      <c r="C48" s="449"/>
      <c r="D48" s="449"/>
      <c r="E48" s="449" t="s">
        <v>117</v>
      </c>
      <c r="F48" s="449"/>
      <c r="G48" s="449" t="s">
        <v>145</v>
      </c>
      <c r="H48" s="449" t="s">
        <v>146</v>
      </c>
      <c r="I48" s="453" t="s">
        <v>147</v>
      </c>
      <c r="J48" s="454"/>
      <c r="K48" s="459"/>
      <c r="L48" s="454"/>
      <c r="M48" s="15"/>
      <c r="N48" s="454"/>
      <c r="O48" s="459"/>
      <c r="P48" s="15"/>
      <c r="Q48" s="459"/>
      <c r="R48" s="459"/>
      <c r="S48" s="459"/>
      <c r="T48" s="455"/>
      <c r="Y48" s="15"/>
      <c r="Z48" s="457"/>
      <c r="AA48" s="457"/>
      <c r="AB48" s="457"/>
      <c r="AC48" s="457"/>
      <c r="AD48" s="457"/>
      <c r="AE48" s="457"/>
      <c r="AF48" s="457"/>
      <c r="AG48" s="457"/>
      <c r="AH48" s="457"/>
      <c r="AI48" s="457"/>
      <c r="AJ48" s="467"/>
      <c r="AK48" s="457"/>
      <c r="AL48" s="467"/>
      <c r="AM48" s="457"/>
      <c r="AN48" s="457"/>
      <c r="AO48" s="458"/>
      <c r="AP48" s="454"/>
      <c r="AQ48" s="15"/>
      <c r="AR48" s="15"/>
      <c r="AS48" s="15"/>
      <c r="AT48" s="15"/>
      <c r="AU48" s="15"/>
      <c r="AW48" s="459"/>
      <c r="AX48" s="459"/>
      <c r="AY48" s="15"/>
      <c r="AZ48" s="454"/>
      <c r="BA48" s="15"/>
      <c r="BB48" s="15"/>
      <c r="BC48" s="15"/>
      <c r="BD48" s="15"/>
      <c r="BE48" s="15"/>
      <c r="BF48" s="15"/>
      <c r="BG48" s="15"/>
      <c r="BH48" s="15"/>
      <c r="BI48" s="455"/>
      <c r="BL48" s="15"/>
      <c r="BM48" s="15"/>
      <c r="BT48" s="15">
        <v>2.8</v>
      </c>
      <c r="BU48" s="459" t="e">
        <f t="shared" ca="1" si="10"/>
        <v>#REF!</v>
      </c>
      <c r="BW48" s="459" t="e">
        <f t="shared" ca="1" si="11"/>
        <v>#REF!</v>
      </c>
      <c r="BY48" s="459" t="e">
        <f t="shared" ca="1" si="12"/>
        <v>#REF!</v>
      </c>
      <c r="CA48" s="459" t="e">
        <f t="shared" ca="1" si="13"/>
        <v>#REF!</v>
      </c>
    </row>
    <row r="49" spans="1:80" s="456" customFormat="1" hidden="1">
      <c r="A49" s="451" t="s">
        <v>148</v>
      </c>
      <c r="B49" s="478">
        <f>0.3*130*$B$15*$H$8</f>
        <v>3911.9361749170839</v>
      </c>
      <c r="C49" s="449"/>
      <c r="D49" s="449"/>
      <c r="E49" s="478">
        <f>0.7*130*$B$15*$H$8</f>
        <v>9127.8510748065291</v>
      </c>
      <c r="F49" s="449"/>
      <c r="G49" s="449" t="s">
        <v>149</v>
      </c>
      <c r="H49" s="449"/>
      <c r="I49" s="453">
        <v>5</v>
      </c>
      <c r="J49" s="454"/>
      <c r="K49" s="459"/>
      <c r="L49" s="469"/>
      <c r="M49" s="15"/>
      <c r="N49" s="459"/>
      <c r="O49" s="459"/>
      <c r="P49" s="15"/>
      <c r="Q49" s="459"/>
      <c r="R49" s="459"/>
      <c r="S49" s="459"/>
      <c r="T49" s="455"/>
      <c r="U49" s="455"/>
      <c r="V49" s="15"/>
      <c r="X49" s="15"/>
      <c r="Y49" s="15"/>
      <c r="Z49" s="467"/>
      <c r="AA49" s="467"/>
      <c r="AB49" s="467"/>
      <c r="AC49" s="467"/>
      <c r="AD49" s="467"/>
      <c r="AE49" s="467"/>
      <c r="AF49" s="467"/>
      <c r="AG49" s="467"/>
      <c r="AH49" s="467"/>
      <c r="AI49" s="467"/>
      <c r="AJ49" s="467"/>
      <c r="AK49" s="467"/>
      <c r="AL49" s="467"/>
      <c r="AM49" s="467"/>
      <c r="AN49" s="467"/>
      <c r="AO49" s="458"/>
      <c r="AP49" s="454"/>
      <c r="AQ49" s="15"/>
      <c r="AR49" s="15"/>
      <c r="AS49" s="15"/>
      <c r="AT49" s="15"/>
      <c r="AU49" s="15"/>
      <c r="AW49" s="459"/>
      <c r="AX49" s="459"/>
      <c r="AY49" s="15"/>
      <c r="AZ49" s="15"/>
      <c r="BA49" s="15"/>
      <c r="BB49" s="15"/>
      <c r="BC49" s="15"/>
      <c r="BD49" s="15"/>
      <c r="BE49" s="15"/>
      <c r="BF49" s="15"/>
      <c r="BG49" s="15"/>
      <c r="BH49" s="15"/>
      <c r="BI49" s="455"/>
      <c r="BL49" s="15"/>
      <c r="BM49" s="15"/>
      <c r="BT49" s="15">
        <v>3</v>
      </c>
      <c r="BU49" s="459" t="e">
        <f t="shared" ca="1" si="10"/>
        <v>#REF!</v>
      </c>
      <c r="BV49" s="15" t="s">
        <v>150</v>
      </c>
      <c r="BW49" s="459" t="e">
        <f t="shared" ca="1" si="11"/>
        <v>#REF!</v>
      </c>
      <c r="BX49" s="15" t="s">
        <v>151</v>
      </c>
      <c r="BY49" s="459" t="e">
        <f t="shared" ca="1" si="12"/>
        <v>#REF!</v>
      </c>
      <c r="BZ49" s="15" t="s">
        <v>152</v>
      </c>
      <c r="CA49" s="459" t="e">
        <f t="shared" ca="1" si="13"/>
        <v>#REF!</v>
      </c>
      <c r="CB49" s="15">
        <v>70</v>
      </c>
    </row>
    <row r="50" spans="1:80" s="456" customFormat="1" hidden="1">
      <c r="A50" s="451" t="s">
        <v>153</v>
      </c>
      <c r="B50" s="478">
        <f>0.35*130*$B$15*$H$8</f>
        <v>4563.9255374032646</v>
      </c>
      <c r="C50" s="449"/>
      <c r="D50" s="449"/>
      <c r="E50" s="478">
        <f>0.65*130*$B$15*$H$8</f>
        <v>8475.8617123203476</v>
      </c>
      <c r="F50" s="449"/>
      <c r="G50" s="478">
        <f>0.25*$H$3</f>
        <v>26.328740157480251</v>
      </c>
      <c r="H50" s="478">
        <f>(0.45-($G$50/$H$3)-TAN($I$50/57.3))*$H$3/TAN($I$50/57.3)</f>
        <v>14.148184099375415</v>
      </c>
      <c r="I50" s="453">
        <v>10</v>
      </c>
      <c r="J50" s="454"/>
      <c r="K50" s="459"/>
      <c r="L50" s="469"/>
      <c r="M50" s="15"/>
      <c r="N50" s="459"/>
      <c r="O50" s="459"/>
      <c r="P50" s="15"/>
      <c r="Q50" s="459"/>
      <c r="R50" s="459"/>
      <c r="S50" s="459"/>
      <c r="T50" s="455"/>
      <c r="U50" s="455"/>
      <c r="V50" s="15"/>
      <c r="X50" s="15"/>
      <c r="Y50" s="15"/>
      <c r="Z50" s="467"/>
      <c r="AA50" s="467"/>
      <c r="AB50" s="467"/>
      <c r="AC50" s="467"/>
      <c r="AD50" s="467"/>
      <c r="AE50" s="467"/>
      <c r="AF50" s="467"/>
      <c r="AG50" s="467"/>
      <c r="AH50" s="467"/>
      <c r="AI50" s="467"/>
      <c r="AJ50" s="467"/>
      <c r="AK50" s="467"/>
      <c r="AL50" s="467"/>
      <c r="AM50" s="467"/>
      <c r="AN50" s="467"/>
      <c r="AO50" s="458"/>
      <c r="AP50" s="454"/>
      <c r="AQ50" s="15"/>
      <c r="AR50" s="15"/>
      <c r="AS50" s="15"/>
      <c r="AT50" s="15"/>
      <c r="AU50" s="15"/>
      <c r="AW50" s="459"/>
      <c r="AX50" s="459"/>
      <c r="AY50" s="15"/>
      <c r="AZ50" s="454"/>
      <c r="BA50" s="15"/>
      <c r="BB50" s="15"/>
      <c r="BC50" s="15"/>
      <c r="BD50" s="15"/>
      <c r="BE50" s="15"/>
      <c r="BF50" s="15"/>
      <c r="BG50" s="15"/>
      <c r="BH50" s="15"/>
      <c r="BI50" s="455"/>
      <c r="BL50" s="15"/>
      <c r="BM50" s="15"/>
      <c r="BT50" s="15">
        <v>3.2</v>
      </c>
      <c r="BU50" s="459" t="e">
        <f t="shared" ca="1" si="10"/>
        <v>#REF!</v>
      </c>
      <c r="BW50" s="459" t="e">
        <f t="shared" ca="1" si="11"/>
        <v>#REF!</v>
      </c>
      <c r="BY50" s="459" t="e">
        <f t="shared" ca="1" si="12"/>
        <v>#REF!</v>
      </c>
      <c r="CA50" s="459" t="e">
        <f t="shared" ca="1" si="13"/>
        <v>#REF!</v>
      </c>
    </row>
    <row r="51" spans="1:80" s="456" customFormat="1" hidden="1">
      <c r="A51" s="451" t="s">
        <v>154</v>
      </c>
      <c r="B51" s="478">
        <f>0.4*130*$B$15*$H$8</f>
        <v>5215.9148998894452</v>
      </c>
      <c r="C51" s="449"/>
      <c r="D51" s="449"/>
      <c r="E51" s="478">
        <f>0.6*130*$B$15*$H$8</f>
        <v>7823.8723498341678</v>
      </c>
      <c r="F51" s="449"/>
      <c r="G51" s="478">
        <f>0.3*$H$3</f>
        <v>31.5944881889763</v>
      </c>
      <c r="H51" s="478">
        <f>(0.65-($G$51/$H$3)-TAN($I$51/57.3))*$H$3/TAN($I$51/57.3)</f>
        <v>32.259925143070433</v>
      </c>
      <c r="I51" s="453">
        <v>15</v>
      </c>
      <c r="J51" s="454"/>
      <c r="K51" s="459"/>
      <c r="L51" s="469"/>
      <c r="M51" s="15"/>
      <c r="N51" s="459"/>
      <c r="O51" s="459"/>
      <c r="P51" s="15"/>
      <c r="Q51" s="459"/>
      <c r="R51" s="459"/>
      <c r="S51" s="459"/>
      <c r="T51" s="455"/>
      <c r="U51" s="455"/>
      <c r="V51" s="15"/>
      <c r="X51" s="15"/>
      <c r="Y51" s="458"/>
      <c r="Z51" s="458"/>
      <c r="AA51" s="458"/>
      <c r="AB51" s="458"/>
      <c r="AC51" s="458"/>
      <c r="AD51" s="458"/>
      <c r="AE51" s="458"/>
      <c r="AF51" s="458"/>
      <c r="AG51" s="458"/>
      <c r="AH51" s="458"/>
      <c r="AI51" s="458"/>
      <c r="AJ51" s="458"/>
      <c r="AK51" s="458"/>
      <c r="AL51" s="458"/>
      <c r="AM51" s="458"/>
      <c r="AN51" s="458"/>
      <c r="AO51" s="458"/>
      <c r="AP51" s="454"/>
      <c r="AQ51" s="15"/>
      <c r="AR51" s="15"/>
      <c r="AS51" s="15"/>
      <c r="AT51" s="15"/>
      <c r="AU51" s="15"/>
      <c r="AW51" s="15"/>
      <c r="AX51" s="15"/>
      <c r="AY51" s="15"/>
      <c r="AZ51" s="15"/>
      <c r="BA51" s="15"/>
      <c r="BB51" s="15"/>
      <c r="BC51" s="15"/>
      <c r="BD51" s="15"/>
      <c r="BE51" s="15"/>
      <c r="BF51" s="15"/>
      <c r="BG51" s="15"/>
      <c r="BH51" s="15"/>
      <c r="BI51" s="455"/>
      <c r="BL51" s="15"/>
      <c r="BM51" s="15"/>
      <c r="BT51" s="15">
        <v>3.4</v>
      </c>
      <c r="BU51" s="459" t="e">
        <f t="shared" ca="1" si="10"/>
        <v>#REF!</v>
      </c>
      <c r="BW51" s="459" t="e">
        <f t="shared" ca="1" si="11"/>
        <v>#REF!</v>
      </c>
      <c r="BY51" s="459" t="e">
        <f t="shared" ca="1" si="12"/>
        <v>#REF!</v>
      </c>
      <c r="CA51" s="459" t="e">
        <f t="shared" ca="1" si="13"/>
        <v>#REF!</v>
      </c>
    </row>
    <row r="52" spans="1:80" s="456" customFormat="1" hidden="1">
      <c r="A52" s="449" t="s">
        <v>155</v>
      </c>
      <c r="B52" s="478">
        <f>0.6*130*$B$15*$H$8</f>
        <v>7823.8723498341678</v>
      </c>
      <c r="C52" s="449"/>
      <c r="D52" s="449"/>
      <c r="E52" s="478">
        <f>0.4*130*$B$15*$H$8</f>
        <v>5215.9148998894452</v>
      </c>
      <c r="F52" s="449"/>
      <c r="G52" s="449" t="s">
        <v>156</v>
      </c>
      <c r="H52" s="449"/>
      <c r="I52" s="453"/>
      <c r="J52" s="454"/>
      <c r="K52" s="459"/>
      <c r="L52" s="469"/>
      <c r="M52" s="15"/>
      <c r="N52" s="459"/>
      <c r="O52" s="459"/>
      <c r="P52" s="15"/>
      <c r="Q52" s="459"/>
      <c r="R52" s="459"/>
      <c r="S52" s="459"/>
      <c r="T52" s="455"/>
      <c r="U52" s="455"/>
      <c r="V52" s="15"/>
      <c r="X52" s="15"/>
      <c r="AO52" s="458"/>
      <c r="AP52" s="454"/>
      <c r="AQ52" s="15"/>
      <c r="AR52" s="15"/>
      <c r="AS52" s="15"/>
      <c r="AT52" s="15"/>
      <c r="AU52" s="15"/>
      <c r="AW52" s="459"/>
      <c r="AX52" s="459"/>
      <c r="AY52" s="15"/>
      <c r="AZ52" s="454"/>
      <c r="BA52" s="15"/>
      <c r="BB52" s="15"/>
      <c r="BC52" s="15"/>
      <c r="BD52" s="15"/>
      <c r="BE52" s="15"/>
      <c r="BF52" s="15"/>
      <c r="BG52" s="15"/>
      <c r="BH52" s="15"/>
      <c r="BI52" s="455"/>
      <c r="BL52" s="15"/>
      <c r="BM52" s="15"/>
      <c r="BT52" s="15">
        <v>3.6</v>
      </c>
      <c r="BU52" s="459" t="e">
        <f t="shared" ca="1" si="10"/>
        <v>#REF!</v>
      </c>
      <c r="BW52" s="459" t="e">
        <f t="shared" ca="1" si="11"/>
        <v>#REF!</v>
      </c>
      <c r="BY52" s="459" t="e">
        <f t="shared" ca="1" si="12"/>
        <v>#REF!</v>
      </c>
      <c r="CA52" s="459" t="e">
        <f t="shared" ca="1" si="13"/>
        <v>#REF!</v>
      </c>
    </row>
    <row r="53" spans="1:80" s="456" customFormat="1" hidden="1">
      <c r="A53" s="452" t="s">
        <v>157</v>
      </c>
      <c r="B53" s="449"/>
      <c r="C53" s="449"/>
      <c r="D53" s="449"/>
      <c r="E53" s="449"/>
      <c r="F53" s="449"/>
      <c r="G53" s="449"/>
      <c r="H53" s="449"/>
      <c r="I53" s="453"/>
      <c r="J53" s="454"/>
      <c r="K53" s="459"/>
      <c r="L53" s="469"/>
      <c r="M53" s="15"/>
      <c r="N53" s="459"/>
      <c r="O53" s="459"/>
      <c r="P53" s="15"/>
      <c r="Q53" s="459"/>
      <c r="R53" s="459"/>
      <c r="S53" s="459"/>
      <c r="T53" s="455"/>
      <c r="U53" s="455"/>
      <c r="V53" s="15"/>
      <c r="X53" s="15"/>
      <c r="Y53" s="15"/>
      <c r="Z53" s="454"/>
      <c r="AA53" s="454"/>
      <c r="AB53" s="454"/>
      <c r="AC53" s="454"/>
      <c r="AD53" s="454"/>
      <c r="AE53" s="454"/>
      <c r="AF53" s="454"/>
      <c r="AG53" s="454"/>
      <c r="AH53" s="454"/>
      <c r="AI53" s="454"/>
      <c r="AJ53" s="454"/>
      <c r="AK53" s="454"/>
      <c r="AL53" s="454"/>
      <c r="AM53" s="454"/>
      <c r="AN53" s="454"/>
      <c r="AO53" s="458"/>
      <c r="AP53" s="15"/>
      <c r="AQ53" s="15"/>
      <c r="AR53" s="15"/>
      <c r="AS53" s="15"/>
      <c r="AT53" s="15"/>
      <c r="AU53" s="15"/>
      <c r="AW53" s="15"/>
      <c r="AX53" s="15"/>
      <c r="AY53" s="15"/>
      <c r="AZ53" s="15"/>
      <c r="BA53" s="15"/>
      <c r="BB53" s="15"/>
      <c r="BC53" s="15"/>
      <c r="BD53" s="15"/>
      <c r="BE53" s="15"/>
      <c r="BF53" s="15"/>
      <c r="BG53" s="15"/>
      <c r="BH53" s="15"/>
      <c r="BI53" s="455"/>
      <c r="BL53" s="15"/>
      <c r="BM53" s="15"/>
      <c r="BT53" s="15">
        <v>3.8</v>
      </c>
      <c r="BU53" s="459" t="e">
        <f t="shared" ca="1" si="10"/>
        <v>#REF!</v>
      </c>
      <c r="BW53" s="459" t="e">
        <f t="shared" ca="1" si="11"/>
        <v>#REF!</v>
      </c>
      <c r="BY53" s="459" t="e">
        <f t="shared" ca="1" si="12"/>
        <v>#REF!</v>
      </c>
      <c r="CA53" s="459" t="e">
        <f t="shared" ca="1" si="13"/>
        <v>#REF!</v>
      </c>
    </row>
    <row r="54" spans="1:80" s="456" customFormat="1" hidden="1">
      <c r="A54" s="449" t="s">
        <v>158</v>
      </c>
      <c r="B54" s="449"/>
      <c r="C54" s="449"/>
      <c r="D54" s="449"/>
      <c r="E54" s="449"/>
      <c r="F54" s="449"/>
      <c r="G54" s="449"/>
      <c r="H54" s="449"/>
      <c r="I54" s="453"/>
      <c r="J54" s="454"/>
      <c r="K54" s="459"/>
      <c r="L54" s="469"/>
      <c r="M54" s="15"/>
      <c r="N54" s="459"/>
      <c r="O54" s="459"/>
      <c r="P54" s="15"/>
      <c r="Q54" s="459"/>
      <c r="R54" s="459"/>
      <c r="S54" s="459"/>
      <c r="T54" s="455"/>
      <c r="U54" s="455"/>
      <c r="V54" s="15"/>
      <c r="X54" s="15"/>
      <c r="AO54" s="458"/>
      <c r="AP54" s="15"/>
      <c r="AQ54" s="15"/>
      <c r="AR54" s="15"/>
      <c r="AS54" s="15"/>
      <c r="AT54" s="15"/>
      <c r="AU54" s="15"/>
      <c r="AW54" s="15"/>
      <c r="AX54" s="15"/>
      <c r="AY54" s="15"/>
      <c r="AZ54" s="15"/>
      <c r="BA54" s="15"/>
      <c r="BB54" s="15"/>
      <c r="BC54" s="15"/>
      <c r="BD54" s="15"/>
      <c r="BE54" s="15"/>
      <c r="BF54" s="15"/>
      <c r="BG54" s="469"/>
      <c r="BH54" s="15"/>
      <c r="BI54" s="15"/>
      <c r="BL54" s="15"/>
      <c r="BM54" s="15"/>
      <c r="BT54" s="15">
        <v>4</v>
      </c>
      <c r="BU54" s="459" t="e">
        <f t="shared" ca="1" si="10"/>
        <v>#REF!</v>
      </c>
      <c r="BW54" s="459" t="e">
        <f t="shared" ca="1" si="11"/>
        <v>#REF!</v>
      </c>
      <c r="BY54" s="459" t="e">
        <f t="shared" ca="1" si="12"/>
        <v>#REF!</v>
      </c>
      <c r="CA54" s="459" t="e">
        <f t="shared" ca="1" si="13"/>
        <v>#REF!</v>
      </c>
    </row>
    <row r="55" spans="1:80" s="456" customFormat="1" hidden="1">
      <c r="A55" s="449"/>
      <c r="B55" s="449" t="s">
        <v>159</v>
      </c>
      <c r="C55" s="449" t="s">
        <v>160</v>
      </c>
      <c r="D55" s="449"/>
      <c r="E55" s="449" t="s">
        <v>161</v>
      </c>
      <c r="F55" s="449" t="s">
        <v>162</v>
      </c>
      <c r="G55" s="449"/>
      <c r="H55" s="449"/>
      <c r="I55" s="453"/>
      <c r="J55" s="454"/>
      <c r="K55" s="459"/>
      <c r="L55" s="469"/>
      <c r="M55" s="15"/>
      <c r="N55" s="459"/>
      <c r="O55" s="459"/>
      <c r="P55" s="15"/>
      <c r="Q55" s="459"/>
      <c r="R55" s="459"/>
      <c r="S55" s="459"/>
      <c r="T55" s="455"/>
      <c r="U55" s="455"/>
      <c r="V55" s="15"/>
      <c r="X55" s="15"/>
      <c r="AO55" s="458"/>
      <c r="AP55" s="454"/>
      <c r="AQ55" s="15"/>
      <c r="AR55" s="15"/>
      <c r="AS55" s="15"/>
      <c r="AT55" s="15"/>
      <c r="AU55" s="15"/>
      <c r="AW55" s="15"/>
      <c r="AX55" s="15"/>
      <c r="AY55" s="15"/>
      <c r="AZ55" s="15"/>
      <c r="BA55" s="15"/>
      <c r="BB55" s="15"/>
      <c r="BC55" s="15"/>
      <c r="BD55" s="15"/>
      <c r="BE55" s="15"/>
      <c r="BF55" s="15"/>
      <c r="BG55" s="469"/>
      <c r="BH55" s="15"/>
      <c r="BI55" s="15"/>
      <c r="BM55" s="15"/>
      <c r="BT55" s="15">
        <v>4.2</v>
      </c>
      <c r="BU55" s="459" t="e">
        <f t="shared" ca="1" si="10"/>
        <v>#REF!</v>
      </c>
      <c r="BW55" s="459" t="e">
        <f t="shared" ca="1" si="11"/>
        <v>#REF!</v>
      </c>
      <c r="BY55" s="459" t="e">
        <f t="shared" ca="1" si="12"/>
        <v>#REF!</v>
      </c>
      <c r="CA55" s="459" t="e">
        <f t="shared" ca="1" si="13"/>
        <v>#REF!</v>
      </c>
    </row>
    <row r="56" spans="1:80" s="456" customFormat="1" hidden="1">
      <c r="A56" s="449" t="s">
        <v>163</v>
      </c>
      <c r="B56" s="480">
        <v>0.88</v>
      </c>
      <c r="C56" s="449">
        <v>1.3</v>
      </c>
      <c r="D56" s="449"/>
      <c r="E56" s="480">
        <v>0.88</v>
      </c>
      <c r="F56" s="449"/>
      <c r="G56" s="449" t="s">
        <v>164</v>
      </c>
      <c r="H56" s="449" t="s">
        <v>165</v>
      </c>
      <c r="I56" s="466">
        <v>0.88</v>
      </c>
      <c r="J56" s="454"/>
      <c r="K56" s="459"/>
      <c r="L56" s="469"/>
      <c r="M56" s="15"/>
      <c r="N56" s="459"/>
      <c r="O56" s="459"/>
      <c r="P56" s="15"/>
      <c r="Q56" s="459"/>
      <c r="R56" s="459"/>
      <c r="S56" s="459"/>
      <c r="T56" s="455"/>
      <c r="U56" s="455"/>
      <c r="V56" s="15"/>
      <c r="X56" s="15"/>
      <c r="AO56" s="458"/>
      <c r="AP56" s="454"/>
      <c r="AQ56" s="15"/>
      <c r="AR56" s="15"/>
      <c r="AS56" s="15"/>
      <c r="AT56" s="15"/>
      <c r="AU56" s="15"/>
      <c r="AW56" s="459"/>
      <c r="AX56" s="459"/>
      <c r="AY56" s="15"/>
      <c r="AZ56" s="454"/>
      <c r="BA56" s="15"/>
      <c r="BB56" s="15"/>
      <c r="BC56" s="15"/>
      <c r="BD56" s="15"/>
      <c r="BE56" s="15"/>
      <c r="BF56" s="15"/>
      <c r="BG56" s="15"/>
      <c r="BH56" s="15"/>
      <c r="BI56" s="455"/>
      <c r="BM56" s="15"/>
      <c r="BT56" s="15">
        <v>4.4000000000000004</v>
      </c>
      <c r="BU56" s="459" t="e">
        <f t="shared" ca="1" si="10"/>
        <v>#REF!</v>
      </c>
      <c r="BW56" s="459" t="e">
        <f t="shared" ca="1" si="11"/>
        <v>#REF!</v>
      </c>
      <c r="BY56" s="459" t="e">
        <f t="shared" ca="1" si="12"/>
        <v>#REF!</v>
      </c>
      <c r="CA56" s="459" t="e">
        <f t="shared" ca="1" si="13"/>
        <v>#REF!</v>
      </c>
    </row>
    <row r="57" spans="1:80" s="456" customFormat="1" hidden="1">
      <c r="A57" s="449" t="s">
        <v>163</v>
      </c>
      <c r="B57" s="480">
        <v>0.1</v>
      </c>
      <c r="C57" s="449">
        <v>0.3</v>
      </c>
      <c r="D57" s="449"/>
      <c r="E57" s="480">
        <v>0.08</v>
      </c>
      <c r="F57" s="449"/>
      <c r="G57" s="449" t="s">
        <v>166</v>
      </c>
      <c r="H57" s="449" t="s">
        <v>167</v>
      </c>
      <c r="I57" s="466">
        <v>0.1</v>
      </c>
      <c r="J57" s="454"/>
      <c r="K57" s="459"/>
      <c r="L57" s="469"/>
      <c r="M57" s="15"/>
      <c r="N57" s="459"/>
      <c r="O57" s="459"/>
      <c r="P57" s="15"/>
      <c r="Q57" s="459"/>
      <c r="R57" s="459"/>
      <c r="S57" s="459"/>
      <c r="T57" s="455"/>
      <c r="U57" s="455"/>
      <c r="V57" s="15"/>
      <c r="X57" s="15"/>
      <c r="AO57" s="458"/>
      <c r="AP57" s="454"/>
      <c r="AQ57" s="15"/>
      <c r="AR57" s="15"/>
      <c r="AS57" s="15"/>
      <c r="AT57" s="15"/>
      <c r="AU57" s="15"/>
      <c r="AW57" s="459"/>
      <c r="AX57" s="459"/>
      <c r="AY57" s="15"/>
      <c r="AZ57" s="454"/>
      <c r="BA57" s="15"/>
      <c r="BB57" s="15"/>
      <c r="BC57" s="15"/>
      <c r="BD57" s="15"/>
      <c r="BE57" s="15"/>
      <c r="BF57" s="15"/>
      <c r="BG57" s="15"/>
      <c r="BH57" s="15"/>
      <c r="BI57" s="455"/>
      <c r="BT57" s="15">
        <v>4.5999999999999996</v>
      </c>
      <c r="BU57" s="459" t="e">
        <f t="shared" ca="1" si="10"/>
        <v>#REF!</v>
      </c>
      <c r="BW57" s="459" t="e">
        <f t="shared" ca="1" si="11"/>
        <v>#REF!</v>
      </c>
      <c r="BY57" s="459" t="e">
        <f t="shared" ca="1" si="12"/>
        <v>#REF!</v>
      </c>
      <c r="CA57" s="459" t="e">
        <f t="shared" ca="1" si="13"/>
        <v>#REF!</v>
      </c>
    </row>
    <row r="58" spans="1:80" s="456" customFormat="1" hidden="1">
      <c r="A58" s="449" t="s">
        <v>163</v>
      </c>
      <c r="B58" s="480">
        <v>7.5</v>
      </c>
      <c r="C58" s="449">
        <v>10</v>
      </c>
      <c r="D58" s="449"/>
      <c r="E58" s="480">
        <v>7</v>
      </c>
      <c r="F58" s="449"/>
      <c r="G58" s="449" t="s">
        <v>168</v>
      </c>
      <c r="H58" s="449"/>
      <c r="I58" s="466">
        <v>9.5</v>
      </c>
      <c r="J58" s="454"/>
      <c r="K58" s="459"/>
      <c r="L58" s="469"/>
      <c r="M58" s="15"/>
      <c r="N58" s="459"/>
      <c r="O58" s="459"/>
      <c r="P58" s="15"/>
      <c r="Q58" s="459"/>
      <c r="R58" s="459"/>
      <c r="S58" s="459"/>
      <c r="T58" s="455"/>
      <c r="U58" s="455"/>
      <c r="V58" s="15"/>
      <c r="X58" s="15"/>
      <c r="AO58" s="458"/>
      <c r="AP58" s="454"/>
      <c r="AQ58" s="15"/>
      <c r="AR58" s="15"/>
      <c r="AS58" s="15"/>
      <c r="AT58" s="15"/>
      <c r="AU58" s="15"/>
      <c r="AW58" s="459"/>
      <c r="AX58" s="459"/>
      <c r="AY58" s="15"/>
      <c r="AZ58" s="15"/>
      <c r="BA58" s="15"/>
      <c r="BB58" s="15"/>
      <c r="BC58" s="15"/>
      <c r="BD58" s="15"/>
      <c r="BE58" s="15"/>
      <c r="BF58" s="15"/>
      <c r="BG58" s="15"/>
      <c r="BH58" s="15"/>
      <c r="BI58" s="455"/>
      <c r="BT58" s="15">
        <v>4.8</v>
      </c>
      <c r="BU58" s="459" t="e">
        <f t="shared" ca="1" si="10"/>
        <v>#REF!</v>
      </c>
      <c r="BW58" s="459" t="e">
        <f t="shared" ca="1" si="11"/>
        <v>#REF!</v>
      </c>
      <c r="BY58" s="459" t="e">
        <f t="shared" ca="1" si="12"/>
        <v>#REF!</v>
      </c>
      <c r="CA58" s="459" t="e">
        <f t="shared" ca="1" si="13"/>
        <v>#REF!</v>
      </c>
    </row>
    <row r="59" spans="1:80" s="456" customFormat="1" hidden="1">
      <c r="A59" s="449" t="s">
        <v>163</v>
      </c>
      <c r="B59" s="480">
        <v>0.04</v>
      </c>
      <c r="C59" s="449">
        <v>0</v>
      </c>
      <c r="D59" s="449"/>
      <c r="E59" s="480">
        <v>0.03</v>
      </c>
      <c r="F59" s="449"/>
      <c r="G59" s="449" t="s">
        <v>169</v>
      </c>
      <c r="H59" s="449"/>
      <c r="I59" s="466">
        <v>0.03</v>
      </c>
      <c r="J59" s="454"/>
      <c r="K59" s="459"/>
      <c r="L59" s="469"/>
      <c r="M59" s="15"/>
      <c r="N59" s="459"/>
      <c r="O59" s="459"/>
      <c r="P59" s="15"/>
      <c r="Q59" s="459"/>
      <c r="R59" s="459"/>
      <c r="S59" s="459"/>
      <c r="T59" s="455"/>
      <c r="U59" s="455"/>
      <c r="V59" s="15"/>
      <c r="X59" s="15"/>
      <c r="AO59" s="458"/>
      <c r="AP59" s="454"/>
      <c r="AQ59" s="15"/>
      <c r="AR59" s="15"/>
      <c r="AS59" s="15"/>
      <c r="AT59" s="15"/>
      <c r="AU59" s="15"/>
      <c r="AW59" s="459"/>
      <c r="AX59" s="459"/>
      <c r="AY59" s="15"/>
      <c r="AZ59" s="454"/>
      <c r="BA59" s="15"/>
      <c r="BB59" s="15"/>
      <c r="BC59" s="15"/>
      <c r="BD59" s="15"/>
      <c r="BE59" s="15"/>
      <c r="BF59" s="15"/>
      <c r="BG59" s="15"/>
      <c r="BH59" s="15"/>
      <c r="BI59" s="455"/>
      <c r="BT59" s="15">
        <v>5</v>
      </c>
      <c r="BU59" s="459" t="e">
        <f t="shared" ca="1" si="10"/>
        <v>#REF!</v>
      </c>
      <c r="BW59" s="459" t="e">
        <f t="shared" ca="1" si="11"/>
        <v>#REF!</v>
      </c>
      <c r="BY59" s="459" t="e">
        <f t="shared" ca="1" si="12"/>
        <v>#REF!</v>
      </c>
      <c r="CA59" s="459" t="e">
        <f t="shared" ca="1" si="13"/>
        <v>#REF!</v>
      </c>
    </row>
    <row r="60" spans="1:80" s="456" customFormat="1" hidden="1">
      <c r="A60" s="449" t="s">
        <v>170</v>
      </c>
      <c r="B60" s="480">
        <v>1</v>
      </c>
      <c r="C60" s="449">
        <v>1.2</v>
      </c>
      <c r="D60" s="449"/>
      <c r="E60" s="480">
        <v>1.2</v>
      </c>
      <c r="F60" s="449"/>
      <c r="G60" s="449" t="s">
        <v>171</v>
      </c>
      <c r="H60" s="449"/>
      <c r="I60" s="466">
        <v>0.9</v>
      </c>
      <c r="J60" s="454"/>
      <c r="K60" s="459"/>
      <c r="L60" s="469"/>
      <c r="M60" s="15"/>
      <c r="N60" s="459"/>
      <c r="O60" s="459"/>
      <c r="P60" s="15"/>
      <c r="Q60" s="459"/>
      <c r="R60" s="459"/>
      <c r="S60" s="459"/>
      <c r="T60" s="455"/>
      <c r="U60" s="455"/>
      <c r="V60" s="15"/>
      <c r="X60" s="15"/>
      <c r="AO60" s="458"/>
      <c r="AP60" s="454"/>
      <c r="AQ60" s="15"/>
      <c r="AR60" s="15"/>
      <c r="AS60" s="15"/>
      <c r="AT60" s="15"/>
      <c r="AU60" s="15"/>
      <c r="AW60" s="15"/>
      <c r="AX60" s="15"/>
      <c r="AY60" s="15"/>
      <c r="AZ60" s="15"/>
      <c r="BA60" s="15"/>
      <c r="BB60" s="15"/>
      <c r="BC60" s="15"/>
      <c r="BD60" s="15"/>
      <c r="BE60" s="15"/>
      <c r="BF60" s="15"/>
      <c r="BG60" s="15"/>
      <c r="BH60" s="15"/>
      <c r="BI60" s="455"/>
      <c r="BT60" s="15">
        <v>5.2</v>
      </c>
      <c r="BU60" s="459" t="e">
        <f t="shared" ca="1" si="10"/>
        <v>#REF!</v>
      </c>
      <c r="BW60" s="459" t="e">
        <f t="shared" ca="1" si="11"/>
        <v>#REF!</v>
      </c>
      <c r="BY60" s="459" t="e">
        <f t="shared" ca="1" si="12"/>
        <v>#REF!</v>
      </c>
      <c r="CA60" s="459" t="e">
        <f t="shared" ca="1" si="13"/>
        <v>#REF!</v>
      </c>
    </row>
    <row r="61" spans="1:80" s="456" customFormat="1" hidden="1">
      <c r="A61" s="449" t="s">
        <v>172</v>
      </c>
      <c r="B61" s="480">
        <v>5</v>
      </c>
      <c r="C61" s="449">
        <v>5</v>
      </c>
      <c r="D61" s="449"/>
      <c r="E61" s="480">
        <v>5</v>
      </c>
      <c r="F61" s="449"/>
      <c r="G61" s="449"/>
      <c r="H61" s="449"/>
      <c r="I61" s="466">
        <v>5</v>
      </c>
      <c r="J61" s="454"/>
      <c r="K61" s="459"/>
      <c r="L61" s="469"/>
      <c r="M61" s="15"/>
      <c r="N61" s="459"/>
      <c r="O61" s="459"/>
      <c r="P61" s="15"/>
      <c r="Q61" s="459"/>
      <c r="R61" s="459"/>
      <c r="S61" s="459"/>
      <c r="T61" s="455"/>
      <c r="U61" s="455"/>
      <c r="V61" s="15"/>
      <c r="X61" s="15"/>
      <c r="Y61" s="15"/>
      <c r="AB61" s="15"/>
      <c r="AC61" s="15"/>
      <c r="AD61" s="15"/>
      <c r="AE61" s="15"/>
      <c r="AF61" s="15"/>
      <c r="AG61" s="474"/>
      <c r="AH61" s="15"/>
      <c r="AO61" s="458"/>
      <c r="AP61" s="454"/>
      <c r="AQ61" s="15"/>
      <c r="AR61" s="15"/>
      <c r="AS61" s="15"/>
      <c r="AT61" s="15"/>
      <c r="AU61" s="15"/>
      <c r="AW61" s="15"/>
      <c r="AX61" s="15"/>
      <c r="AY61" s="15"/>
      <c r="AZ61" s="15"/>
      <c r="BA61" s="15"/>
      <c r="BB61" s="15"/>
      <c r="BC61" s="15"/>
      <c r="BD61" s="15"/>
      <c r="BE61" s="15"/>
      <c r="BF61" s="15"/>
      <c r="BG61" s="15"/>
      <c r="BH61" s="15"/>
      <c r="BI61" s="455"/>
      <c r="BT61" s="15">
        <v>5.4</v>
      </c>
      <c r="BU61" s="459" t="e">
        <f t="shared" ca="1" si="10"/>
        <v>#REF!</v>
      </c>
      <c r="BW61" s="459" t="e">
        <f t="shared" ca="1" si="11"/>
        <v>#REF!</v>
      </c>
      <c r="BY61" s="459" t="e">
        <f t="shared" ca="1" si="12"/>
        <v>#REF!</v>
      </c>
      <c r="CA61" s="459" t="e">
        <f t="shared" ca="1" si="13"/>
        <v>#REF!</v>
      </c>
    </row>
    <row r="62" spans="1:80" s="456" customFormat="1" hidden="1">
      <c r="A62" s="449" t="s">
        <v>172</v>
      </c>
      <c r="B62" s="480">
        <v>3</v>
      </c>
      <c r="C62" s="449">
        <v>3</v>
      </c>
      <c r="D62" s="449"/>
      <c r="E62" s="480">
        <v>3</v>
      </c>
      <c r="F62" s="449"/>
      <c r="G62" s="449" t="s">
        <v>173</v>
      </c>
      <c r="H62" s="449"/>
      <c r="I62" s="466">
        <v>3</v>
      </c>
      <c r="J62" s="454"/>
      <c r="K62" s="459"/>
      <c r="L62" s="469"/>
      <c r="M62" s="15"/>
      <c r="N62" s="459"/>
      <c r="O62" s="459"/>
      <c r="P62" s="15"/>
      <c r="Q62" s="459"/>
      <c r="R62" s="459"/>
      <c r="S62" s="459"/>
      <c r="T62" s="455"/>
      <c r="U62" s="455"/>
      <c r="V62" s="15"/>
      <c r="X62" s="15"/>
      <c r="Y62" s="475"/>
      <c r="AF62" s="15"/>
      <c r="AG62" s="474"/>
      <c r="AH62" s="15"/>
      <c r="AO62" s="458"/>
      <c r="AP62" s="454"/>
      <c r="AQ62" s="15"/>
      <c r="AR62" s="15"/>
      <c r="AS62" s="15"/>
      <c r="AT62" s="15"/>
      <c r="AU62" s="15"/>
      <c r="AW62" s="459"/>
      <c r="AX62" s="459"/>
      <c r="AY62" s="15"/>
      <c r="AZ62" s="454"/>
      <c r="BA62" s="15"/>
      <c r="BB62" s="15"/>
      <c r="BC62" s="15"/>
      <c r="BD62" s="15"/>
      <c r="BE62" s="15"/>
      <c r="BF62" s="15"/>
      <c r="BG62" s="15"/>
      <c r="BH62" s="15"/>
      <c r="BI62" s="455"/>
      <c r="BT62" s="15">
        <v>5.6</v>
      </c>
      <c r="BU62" s="459" t="e">
        <f t="shared" ca="1" si="10"/>
        <v>#REF!</v>
      </c>
      <c r="BW62" s="459" t="e">
        <f t="shared" ca="1" si="11"/>
        <v>#REF!</v>
      </c>
      <c r="BY62" s="459" t="e">
        <f t="shared" ca="1" si="12"/>
        <v>#REF!</v>
      </c>
      <c r="CA62" s="459" t="e">
        <f t="shared" ca="1" si="13"/>
        <v>#REF!</v>
      </c>
    </row>
    <row r="63" spans="1:80" s="456" customFormat="1" hidden="1">
      <c r="A63" s="449" t="s">
        <v>170</v>
      </c>
      <c r="B63" s="449">
        <v>0.5</v>
      </c>
      <c r="C63" s="449">
        <v>0.01</v>
      </c>
      <c r="D63" s="449"/>
      <c r="E63" s="449">
        <v>0.5</v>
      </c>
      <c r="F63" s="449"/>
      <c r="G63" s="449"/>
      <c r="H63" s="449"/>
      <c r="I63" s="453"/>
      <c r="J63" s="454"/>
      <c r="K63" s="459"/>
      <c r="L63" s="469"/>
      <c r="M63" s="15"/>
      <c r="N63" s="459"/>
      <c r="O63" s="459"/>
      <c r="P63" s="15"/>
      <c r="Q63" s="459"/>
      <c r="R63" s="459"/>
      <c r="S63" s="459"/>
      <c r="T63" s="455"/>
      <c r="U63" s="455"/>
      <c r="V63" s="15"/>
      <c r="X63" s="15"/>
      <c r="Y63" s="476"/>
      <c r="Z63" s="477"/>
      <c r="AA63" s="476"/>
      <c r="AB63" s="477"/>
      <c r="AC63" s="477"/>
      <c r="AD63" s="477"/>
      <c r="AE63" s="477"/>
      <c r="AF63" s="476"/>
      <c r="AG63" s="474"/>
      <c r="AH63" s="15"/>
      <c r="AO63" s="458"/>
      <c r="AP63" s="454"/>
      <c r="AQ63" s="15"/>
      <c r="AR63" s="15"/>
      <c r="AS63" s="15"/>
      <c r="AT63" s="15"/>
      <c r="AU63" s="15"/>
      <c r="AW63" s="15"/>
      <c r="AX63" s="15"/>
      <c r="AY63" s="15"/>
      <c r="AZ63" s="15"/>
      <c r="BA63" s="15"/>
      <c r="BB63" s="15"/>
      <c r="BC63" s="15"/>
      <c r="BD63" s="15"/>
      <c r="BE63" s="15"/>
      <c r="BF63" s="15"/>
      <c r="BG63" s="469"/>
      <c r="BH63" s="15"/>
      <c r="BI63" s="15"/>
      <c r="BT63" s="15">
        <v>5.8</v>
      </c>
      <c r="BU63" s="459" t="e">
        <f t="shared" ca="1" si="10"/>
        <v>#REF!</v>
      </c>
      <c r="BW63" s="459" t="e">
        <f t="shared" ca="1" si="11"/>
        <v>#REF!</v>
      </c>
      <c r="BY63" s="459" t="e">
        <f t="shared" ca="1" si="12"/>
        <v>#REF!</v>
      </c>
      <c r="CA63" s="459" t="e">
        <f t="shared" ca="1" si="13"/>
        <v>#REF!</v>
      </c>
    </row>
    <row r="64" spans="1:80" s="456" customFormat="1" hidden="1">
      <c r="A64" s="449" t="s">
        <v>88</v>
      </c>
      <c r="B64" s="449" t="s">
        <v>88</v>
      </c>
      <c r="C64" s="449" t="s">
        <v>88</v>
      </c>
      <c r="D64" s="449" t="s">
        <v>88</v>
      </c>
      <c r="E64" s="449" t="s">
        <v>88</v>
      </c>
      <c r="F64" s="449" t="s">
        <v>88</v>
      </c>
      <c r="G64" s="449" t="s">
        <v>88</v>
      </c>
      <c r="H64" s="449" t="s">
        <v>88</v>
      </c>
      <c r="I64" s="453" t="s">
        <v>88</v>
      </c>
      <c r="J64" s="454"/>
      <c r="K64" s="459"/>
      <c r="L64" s="469"/>
      <c r="M64" s="15"/>
      <c r="N64" s="459"/>
      <c r="O64" s="459"/>
      <c r="P64" s="15"/>
      <c r="Q64" s="459"/>
      <c r="R64" s="459"/>
      <c r="S64" s="459"/>
      <c r="T64" s="455"/>
      <c r="U64" s="455"/>
      <c r="V64" s="15"/>
      <c r="X64" s="15"/>
      <c r="Y64" s="15"/>
      <c r="Z64" s="15"/>
      <c r="AF64" s="15"/>
      <c r="AG64" s="474"/>
      <c r="AH64" s="15"/>
      <c r="AO64" s="458"/>
      <c r="AP64" s="454"/>
      <c r="AQ64" s="15"/>
      <c r="AR64" s="15"/>
      <c r="AS64" s="15"/>
      <c r="AT64" s="15"/>
      <c r="AU64" s="15"/>
      <c r="AW64" s="15"/>
      <c r="AX64" s="15"/>
      <c r="AY64" s="15"/>
      <c r="AZ64" s="15"/>
      <c r="BA64" s="15"/>
      <c r="BB64" s="15"/>
      <c r="BC64" s="15"/>
      <c r="BD64" s="15"/>
      <c r="BE64" s="15"/>
      <c r="BF64" s="15"/>
      <c r="BG64" s="469"/>
      <c r="BH64" s="15"/>
      <c r="BI64" s="15"/>
      <c r="BT64" s="15">
        <v>6</v>
      </c>
      <c r="BU64" s="459" t="e">
        <f t="shared" ca="1" si="10"/>
        <v>#REF!</v>
      </c>
      <c r="BW64" s="459" t="e">
        <f t="shared" ca="1" si="11"/>
        <v>#REF!</v>
      </c>
      <c r="BY64" s="459" t="e">
        <f t="shared" ca="1" si="12"/>
        <v>#REF!</v>
      </c>
      <c r="CA64" s="459" t="e">
        <f t="shared" ca="1" si="13"/>
        <v>#REF!</v>
      </c>
    </row>
    <row r="65" spans="1:84" s="456" customFormat="1" hidden="1">
      <c r="A65" s="1"/>
      <c r="B65" s="20"/>
      <c r="C65" s="1"/>
      <c r="D65" s="1"/>
      <c r="E65" s="1"/>
      <c r="F65" s="1"/>
      <c r="G65" s="1"/>
      <c r="H65" s="1"/>
      <c r="I65" s="15"/>
      <c r="J65" s="454"/>
      <c r="K65" s="459"/>
      <c r="L65" s="469"/>
      <c r="M65" s="15"/>
      <c r="N65" s="459"/>
      <c r="O65" s="459"/>
      <c r="P65" s="15"/>
      <c r="Q65" s="459"/>
      <c r="R65" s="459"/>
      <c r="S65" s="459"/>
      <c r="T65" s="455"/>
      <c r="U65" s="455"/>
      <c r="V65" s="15"/>
      <c r="X65" s="15"/>
      <c r="Y65" s="15"/>
      <c r="Z65" s="15"/>
      <c r="AF65" s="15"/>
      <c r="AH65" s="15"/>
      <c r="AO65" s="458"/>
      <c r="AP65" s="454"/>
      <c r="AQ65" s="15"/>
      <c r="AR65" s="15"/>
      <c r="AS65" s="15"/>
      <c r="AT65" s="15"/>
      <c r="AU65" s="15"/>
      <c r="AW65" s="459"/>
      <c r="AX65" s="459"/>
      <c r="AY65" s="15"/>
      <c r="AZ65" s="454"/>
      <c r="BA65" s="15"/>
      <c r="BB65" s="15"/>
      <c r="BC65" s="15"/>
      <c r="BD65" s="15"/>
      <c r="BE65" s="15"/>
      <c r="BF65" s="15"/>
      <c r="BG65" s="15"/>
      <c r="BH65" s="15"/>
      <c r="BI65" s="455"/>
      <c r="BT65" s="15">
        <v>6.2</v>
      </c>
      <c r="BU65" s="459" t="e">
        <f t="shared" ca="1" si="10"/>
        <v>#REF!</v>
      </c>
      <c r="BW65" s="459" t="e">
        <f t="shared" ca="1" si="11"/>
        <v>#REF!</v>
      </c>
      <c r="BY65" s="459" t="e">
        <f t="shared" ca="1" si="12"/>
        <v>#REF!</v>
      </c>
      <c r="CA65" s="459" t="e">
        <f t="shared" ca="1" si="13"/>
        <v>#REF!</v>
      </c>
    </row>
    <row r="66" spans="1:84" s="456" customFormat="1" hidden="1">
      <c r="A66" s="244" t="s">
        <v>174</v>
      </c>
      <c r="B66" s="482"/>
      <c r="C66" s="482"/>
      <c r="D66" s="482"/>
      <c r="E66" s="482"/>
      <c r="F66" s="482"/>
      <c r="G66" s="482"/>
      <c r="H66" s="482"/>
      <c r="J66" s="454"/>
      <c r="K66" s="459"/>
      <c r="L66" s="469"/>
      <c r="M66" s="15"/>
      <c r="N66" s="459"/>
      <c r="O66" s="459"/>
      <c r="P66" s="15"/>
      <c r="Q66" s="459"/>
      <c r="R66" s="459"/>
      <c r="S66" s="459"/>
      <c r="T66" s="455"/>
      <c r="U66" s="455"/>
      <c r="V66" s="15"/>
      <c r="X66" s="15"/>
      <c r="Y66" s="15"/>
      <c r="Z66" s="15"/>
      <c r="AF66" s="15"/>
      <c r="AH66" s="15"/>
      <c r="AO66" s="458"/>
      <c r="AP66" s="454"/>
      <c r="AQ66" s="15"/>
      <c r="AR66" s="15"/>
      <c r="AS66" s="15"/>
      <c r="AT66" s="15"/>
      <c r="AU66" s="15"/>
      <c r="AW66" s="459"/>
      <c r="AX66" s="459"/>
      <c r="AY66" s="15"/>
      <c r="AZ66" s="454"/>
      <c r="BA66" s="15"/>
      <c r="BB66" s="15"/>
      <c r="BC66" s="15"/>
      <c r="BD66" s="15"/>
      <c r="BE66" s="15"/>
      <c r="BF66" s="15"/>
      <c r="BG66" s="15"/>
      <c r="BH66" s="15"/>
      <c r="BI66" s="455"/>
      <c r="BT66" s="15">
        <v>6.4</v>
      </c>
      <c r="BU66" s="459" t="e">
        <f t="shared" ca="1" si="10"/>
        <v>#REF!</v>
      </c>
      <c r="BW66" s="459" t="e">
        <f t="shared" ca="1" si="11"/>
        <v>#REF!</v>
      </c>
      <c r="BY66" s="459" t="e">
        <f t="shared" ca="1" si="12"/>
        <v>#REF!</v>
      </c>
      <c r="CA66" s="459" t="e">
        <f t="shared" ca="1" si="13"/>
        <v>#REF!</v>
      </c>
    </row>
    <row r="67" spans="1:84" s="456" customFormat="1" hidden="1">
      <c r="A67" s="350" t="s">
        <v>175</v>
      </c>
      <c r="B67" s="482"/>
      <c r="C67" s="482"/>
      <c r="D67" s="482"/>
      <c r="E67" s="482"/>
      <c r="F67" s="482"/>
      <c r="G67" s="482"/>
      <c r="H67" s="482"/>
      <c r="J67" s="454"/>
      <c r="K67" s="459"/>
      <c r="L67" s="469"/>
      <c r="M67" s="15"/>
      <c r="N67" s="459"/>
      <c r="O67" s="459"/>
      <c r="P67" s="15"/>
      <c r="Q67" s="459"/>
      <c r="R67" s="459"/>
      <c r="S67" s="459"/>
      <c r="T67" s="455"/>
      <c r="U67" s="455"/>
      <c r="V67" s="15"/>
      <c r="X67" s="15"/>
      <c r="Y67" s="15"/>
      <c r="Z67" s="15"/>
      <c r="AF67" s="15"/>
      <c r="AH67" s="15"/>
      <c r="AO67" s="458"/>
      <c r="AP67" s="454"/>
      <c r="AQ67" s="15"/>
      <c r="AR67" s="15"/>
      <c r="AS67" s="15"/>
      <c r="AT67" s="15"/>
      <c r="AU67" s="15"/>
      <c r="AW67" s="459"/>
      <c r="AX67" s="459"/>
      <c r="AY67" s="15"/>
      <c r="AZ67" s="15"/>
      <c r="BA67" s="15"/>
      <c r="BB67" s="15"/>
      <c r="BC67" s="15"/>
      <c r="BD67" s="15"/>
      <c r="BE67" s="15"/>
      <c r="BF67" s="15"/>
      <c r="BG67" s="15"/>
      <c r="BH67" s="15"/>
      <c r="BI67" s="455"/>
      <c r="BT67" s="15">
        <v>6.6</v>
      </c>
      <c r="BU67" s="459" t="e">
        <f t="shared" ca="1" si="10"/>
        <v>#REF!</v>
      </c>
      <c r="BW67" s="459" t="e">
        <f t="shared" ca="1" si="11"/>
        <v>#REF!</v>
      </c>
      <c r="BY67" s="459" t="e">
        <f t="shared" ca="1" si="12"/>
        <v>#REF!</v>
      </c>
      <c r="CA67" s="459" t="e">
        <f t="shared" ca="1" si="13"/>
        <v>#REF!</v>
      </c>
    </row>
    <row r="68" spans="1:84" s="456" customFormat="1" hidden="1">
      <c r="A68" s="244" t="s">
        <v>176</v>
      </c>
      <c r="B68" s="482"/>
      <c r="C68" s="482"/>
      <c r="D68" s="482"/>
      <c r="E68" s="482"/>
      <c r="F68" s="482"/>
      <c r="G68" s="482"/>
      <c r="H68" s="482"/>
      <c r="J68" s="454"/>
      <c r="K68" s="459"/>
      <c r="L68" s="469"/>
      <c r="M68" s="15"/>
      <c r="N68" s="459"/>
      <c r="O68" s="459"/>
      <c r="P68" s="15"/>
      <c r="Q68" s="459"/>
      <c r="R68" s="459"/>
      <c r="S68" s="459"/>
      <c r="T68" s="455"/>
      <c r="U68" s="455"/>
      <c r="V68" s="15"/>
      <c r="X68" s="15"/>
      <c r="Y68" s="15"/>
      <c r="Z68" s="15"/>
      <c r="AF68" s="15"/>
      <c r="AO68" s="458"/>
      <c r="AP68" s="454"/>
      <c r="AQ68" s="15"/>
      <c r="AR68" s="15"/>
      <c r="AS68" s="15"/>
      <c r="AT68" s="15"/>
      <c r="AU68" s="15"/>
      <c r="AW68" s="459"/>
      <c r="AX68" s="459"/>
      <c r="AY68" s="15"/>
      <c r="AZ68" s="454"/>
      <c r="BA68" s="15"/>
      <c r="BB68" s="15"/>
      <c r="BC68" s="15"/>
      <c r="BD68" s="15"/>
      <c r="BE68" s="15"/>
      <c r="BF68" s="15"/>
      <c r="BG68" s="469"/>
      <c r="BH68" s="15"/>
      <c r="BI68" s="455"/>
      <c r="BT68" s="15">
        <v>6.8</v>
      </c>
      <c r="BU68" s="459" t="e">
        <f t="shared" ca="1" si="10"/>
        <v>#REF!</v>
      </c>
      <c r="BW68" s="459" t="e">
        <f t="shared" ca="1" si="11"/>
        <v>#REF!</v>
      </c>
      <c r="BY68" s="459" t="e">
        <f t="shared" ca="1" si="12"/>
        <v>#REF!</v>
      </c>
      <c r="CA68" s="459" t="e">
        <f t="shared" ca="1" si="13"/>
        <v>#REF!</v>
      </c>
    </row>
    <row r="69" spans="1:84" s="456" customFormat="1" hidden="1">
      <c r="A69" s="350" t="s">
        <v>177</v>
      </c>
      <c r="B69" s="482"/>
      <c r="C69" s="482"/>
      <c r="D69" s="482"/>
      <c r="E69" s="482"/>
      <c r="F69" s="482"/>
      <c r="G69" s="482"/>
      <c r="H69" s="482"/>
      <c r="J69" s="454"/>
      <c r="K69" s="459"/>
      <c r="L69" s="469"/>
      <c r="M69" s="15"/>
      <c r="N69" s="459"/>
      <c r="O69" s="459"/>
      <c r="P69" s="15"/>
      <c r="Q69" s="459"/>
      <c r="R69" s="459"/>
      <c r="S69" s="459"/>
      <c r="T69" s="455"/>
      <c r="U69" s="455"/>
      <c r="V69" s="15"/>
      <c r="X69" s="15"/>
      <c r="Y69" s="15"/>
      <c r="Z69" s="15"/>
      <c r="AF69" s="15"/>
      <c r="AO69" s="458"/>
      <c r="AP69" s="454"/>
      <c r="AQ69" s="15"/>
      <c r="AR69" s="15"/>
      <c r="AS69" s="15"/>
      <c r="AT69" s="15"/>
      <c r="AU69" s="15"/>
      <c r="AW69" s="15"/>
      <c r="AX69" s="15"/>
      <c r="AY69" s="15"/>
      <c r="AZ69" s="15"/>
      <c r="BA69" s="15"/>
      <c r="BB69" s="15"/>
      <c r="BC69" s="15"/>
      <c r="BD69" s="15"/>
      <c r="BE69" s="15"/>
      <c r="BF69" s="15"/>
      <c r="BG69" s="15"/>
      <c r="BH69" s="15"/>
      <c r="BI69" s="455"/>
      <c r="BT69" s="15">
        <v>7</v>
      </c>
      <c r="BU69" s="459" t="e">
        <f t="shared" ca="1" si="10"/>
        <v>#REF!</v>
      </c>
      <c r="BW69" s="459" t="e">
        <f t="shared" ca="1" si="11"/>
        <v>#REF!</v>
      </c>
      <c r="BY69" s="459" t="e">
        <f t="shared" ca="1" si="12"/>
        <v>#REF!</v>
      </c>
      <c r="CA69" s="459" t="e">
        <f t="shared" ca="1" si="13"/>
        <v>#REF!</v>
      </c>
    </row>
    <row r="70" spans="1:84" s="456" customFormat="1" hidden="1">
      <c r="A70" s="350" t="s">
        <v>178</v>
      </c>
      <c r="B70" s="482"/>
      <c r="C70" s="482"/>
      <c r="D70" s="482"/>
      <c r="E70" s="482"/>
      <c r="F70" s="482"/>
      <c r="G70" s="482"/>
      <c r="H70" s="482"/>
      <c r="J70" s="469"/>
      <c r="K70" s="15"/>
      <c r="L70" s="15"/>
      <c r="M70" s="15"/>
      <c r="N70" s="15"/>
      <c r="O70" s="15"/>
      <c r="P70" s="15"/>
      <c r="Q70" s="15"/>
      <c r="R70" s="15"/>
      <c r="S70" s="15"/>
      <c r="T70" s="15"/>
      <c r="U70" s="455"/>
      <c r="V70" s="15"/>
      <c r="X70" s="15"/>
      <c r="Y70" s="15"/>
      <c r="Z70" s="15"/>
      <c r="AF70" s="15"/>
      <c r="AO70" s="458"/>
      <c r="AP70" s="454"/>
      <c r="AQ70" s="15"/>
      <c r="AR70" s="15"/>
      <c r="AS70" s="15"/>
      <c r="AT70" s="15"/>
      <c r="AU70" s="15"/>
      <c r="AW70" s="15"/>
      <c r="AX70" s="15"/>
      <c r="AY70" s="15"/>
      <c r="AZ70" s="15"/>
      <c r="BA70" s="15"/>
      <c r="BB70" s="15"/>
      <c r="BC70" s="15"/>
      <c r="BD70" s="15"/>
      <c r="BE70" s="15"/>
      <c r="BF70" s="15"/>
      <c r="BG70" s="15"/>
      <c r="BH70" s="15"/>
      <c r="BI70" s="455"/>
      <c r="BT70" s="15">
        <v>7.2</v>
      </c>
      <c r="BU70" s="459" t="e">
        <f t="shared" ca="1" si="10"/>
        <v>#REF!</v>
      </c>
      <c r="BW70" s="459" t="e">
        <f t="shared" ca="1" si="11"/>
        <v>#REF!</v>
      </c>
      <c r="BY70" s="459" t="e">
        <f t="shared" ca="1" si="12"/>
        <v>#REF!</v>
      </c>
      <c r="CA70" s="459" t="e">
        <f t="shared" ca="1" si="13"/>
        <v>#REF!</v>
      </c>
    </row>
    <row r="71" spans="1:84" s="456" customFormat="1" hidden="1">
      <c r="A71" s="20" t="s">
        <v>179</v>
      </c>
      <c r="B71" s="482"/>
      <c r="C71" s="482"/>
      <c r="D71" s="482"/>
      <c r="E71" s="482"/>
      <c r="F71" s="482"/>
      <c r="G71" s="482"/>
      <c r="H71" s="482"/>
      <c r="J71" s="469"/>
      <c r="K71" s="459"/>
      <c r="L71" s="459"/>
      <c r="M71" s="15"/>
      <c r="N71" s="459"/>
      <c r="O71" s="459"/>
      <c r="P71" s="15"/>
      <c r="Q71" s="459"/>
      <c r="R71" s="459"/>
      <c r="S71" s="459"/>
      <c r="T71" s="455"/>
      <c r="U71" s="455"/>
      <c r="V71" s="15"/>
      <c r="X71" s="15"/>
      <c r="Y71" s="15"/>
      <c r="AF71" s="15"/>
      <c r="AO71" s="458"/>
      <c r="AP71" s="454"/>
      <c r="AQ71" s="15"/>
      <c r="AR71" s="15"/>
      <c r="AS71" s="15"/>
      <c r="AT71" s="15"/>
      <c r="AU71" s="15"/>
      <c r="AW71" s="15"/>
      <c r="AX71" s="15"/>
      <c r="AY71" s="15"/>
      <c r="AZ71" s="15"/>
      <c r="BA71" s="15"/>
      <c r="BB71" s="15"/>
      <c r="BC71" s="15"/>
      <c r="BD71" s="15"/>
      <c r="BE71" s="15"/>
      <c r="BF71" s="15"/>
      <c r="BG71" s="469"/>
      <c r="BH71" s="15"/>
      <c r="BI71" s="15"/>
      <c r="BT71" s="15">
        <v>7.4</v>
      </c>
      <c r="BU71" s="459" t="e">
        <f t="shared" ca="1" si="10"/>
        <v>#REF!</v>
      </c>
      <c r="BW71" s="459" t="e">
        <f t="shared" ca="1" si="11"/>
        <v>#REF!</v>
      </c>
      <c r="BY71" s="459" t="e">
        <f t="shared" ca="1" si="12"/>
        <v>#REF!</v>
      </c>
      <c r="CA71" s="459" t="e">
        <f t="shared" ca="1" si="13"/>
        <v>#REF!</v>
      </c>
    </row>
    <row r="72" spans="1:84" s="456" customFormat="1" hidden="1">
      <c r="A72" s="1" t="s">
        <v>180</v>
      </c>
      <c r="B72" s="482"/>
      <c r="C72" s="482"/>
      <c r="D72" s="482"/>
      <c r="E72" s="482"/>
      <c r="F72" s="482"/>
      <c r="G72" s="482"/>
      <c r="H72" s="482"/>
      <c r="J72" s="15"/>
      <c r="K72" s="15"/>
      <c r="L72" s="15"/>
      <c r="M72" s="15"/>
      <c r="N72" s="15"/>
      <c r="O72" s="15"/>
      <c r="P72" s="15"/>
      <c r="Q72" s="15"/>
      <c r="R72" s="15"/>
      <c r="S72" s="15"/>
      <c r="T72" s="15"/>
      <c r="U72" s="15"/>
      <c r="V72" s="15"/>
      <c r="W72" s="15"/>
      <c r="X72" s="15"/>
      <c r="Y72" s="15"/>
      <c r="Z72" s="15"/>
      <c r="AF72" s="15"/>
      <c r="AO72" s="458"/>
      <c r="AP72" s="454"/>
      <c r="AQ72" s="15"/>
      <c r="AR72" s="15"/>
      <c r="AS72" s="15"/>
      <c r="AT72" s="15"/>
      <c r="AU72" s="15"/>
      <c r="AW72" s="15"/>
      <c r="AX72" s="15"/>
      <c r="AY72" s="15"/>
      <c r="AZ72" s="15"/>
      <c r="BA72" s="15"/>
      <c r="BB72" s="15"/>
      <c r="BC72" s="15"/>
      <c r="BD72" s="15"/>
      <c r="BE72" s="15"/>
      <c r="BF72" s="15"/>
      <c r="BG72" s="469"/>
      <c r="BH72" s="15"/>
      <c r="BI72" s="15"/>
      <c r="BT72" s="15">
        <v>7.6</v>
      </c>
      <c r="BU72" s="459" t="e">
        <f t="shared" ca="1" si="10"/>
        <v>#REF!</v>
      </c>
      <c r="BW72" s="459" t="e">
        <f t="shared" ca="1" si="11"/>
        <v>#REF!</v>
      </c>
      <c r="BY72" s="459" t="e">
        <f t="shared" ca="1" si="12"/>
        <v>#REF!</v>
      </c>
      <c r="CA72" s="459" t="e">
        <f t="shared" ca="1" si="13"/>
        <v>#REF!</v>
      </c>
    </row>
    <row r="73" spans="1:84" s="456" customFormat="1" hidden="1">
      <c r="A73" s="1" t="s">
        <v>181</v>
      </c>
      <c r="B73" s="482"/>
      <c r="C73" s="482"/>
      <c r="D73" s="482"/>
      <c r="E73" s="482"/>
      <c r="F73" s="482"/>
      <c r="G73" s="482"/>
      <c r="H73" s="482"/>
      <c r="J73" s="15"/>
      <c r="K73" s="15"/>
      <c r="Q73" s="15"/>
      <c r="R73" s="15"/>
      <c r="S73" s="15"/>
      <c r="T73" s="15"/>
      <c r="U73" s="15"/>
      <c r="V73" s="15"/>
      <c r="W73" s="15"/>
      <c r="X73" s="15"/>
      <c r="Y73" s="15"/>
      <c r="Z73" s="15"/>
      <c r="AF73" s="15"/>
      <c r="AO73" s="458"/>
      <c r="AP73" s="454"/>
      <c r="AQ73" s="15"/>
      <c r="AR73" s="15"/>
      <c r="AS73" s="15"/>
      <c r="AT73" s="15"/>
      <c r="AU73" s="15"/>
      <c r="AW73" s="459"/>
      <c r="AX73" s="459"/>
      <c r="AY73" s="15"/>
      <c r="AZ73" s="454"/>
      <c r="BA73" s="15"/>
      <c r="BB73" s="15"/>
      <c r="BC73" s="15"/>
      <c r="BD73" s="15"/>
      <c r="BE73" s="15"/>
      <c r="BF73" s="15"/>
      <c r="BG73" s="15"/>
      <c r="BH73" s="15"/>
      <c r="BI73" s="455"/>
      <c r="BT73" s="15">
        <v>7.8</v>
      </c>
      <c r="BU73" s="459" t="e">
        <f t="shared" ca="1" si="10"/>
        <v>#REF!</v>
      </c>
      <c r="BW73" s="459" t="e">
        <f t="shared" ca="1" si="11"/>
        <v>#REF!</v>
      </c>
      <c r="BY73" s="459" t="e">
        <f t="shared" ca="1" si="12"/>
        <v>#REF!</v>
      </c>
      <c r="CA73" s="459" t="e">
        <f t="shared" ca="1" si="13"/>
        <v>#REF!</v>
      </c>
    </row>
    <row r="74" spans="1:84" s="456" customFormat="1" hidden="1">
      <c r="A74" s="1" t="s">
        <v>182</v>
      </c>
      <c r="B74" s="482"/>
      <c r="C74" s="482"/>
      <c r="D74" s="482"/>
      <c r="E74" s="482"/>
      <c r="F74" s="482"/>
      <c r="G74" s="482"/>
      <c r="H74" s="482"/>
      <c r="J74" s="454"/>
      <c r="K74" s="15"/>
      <c r="L74" s="454"/>
      <c r="M74" s="15"/>
      <c r="N74" s="15"/>
      <c r="O74" s="15"/>
      <c r="P74" s="15"/>
      <c r="Q74" s="15"/>
      <c r="R74" s="15"/>
      <c r="S74" s="15"/>
      <c r="T74" s="15"/>
      <c r="Y74" s="15"/>
      <c r="Z74" s="15"/>
      <c r="AF74" s="15"/>
      <c r="AO74" s="458"/>
      <c r="AP74" s="454"/>
      <c r="AQ74" s="15"/>
      <c r="AR74" s="15"/>
      <c r="AS74" s="15"/>
      <c r="AT74" s="15"/>
      <c r="AU74" s="15"/>
      <c r="AW74" s="459"/>
      <c r="AX74" s="459"/>
      <c r="AY74" s="15"/>
      <c r="AZ74" s="454"/>
      <c r="BA74" s="15"/>
      <c r="BB74" s="15"/>
      <c r="BC74" s="15"/>
      <c r="BD74" s="15"/>
      <c r="BE74" s="15"/>
      <c r="BF74" s="15"/>
      <c r="BG74" s="15"/>
      <c r="BH74" s="15"/>
      <c r="BI74" s="455"/>
      <c r="BT74" s="15">
        <v>8</v>
      </c>
      <c r="BU74" s="459" t="e">
        <f t="shared" ca="1" si="10"/>
        <v>#REF!</v>
      </c>
      <c r="BW74" s="459" t="e">
        <f t="shared" ca="1" si="11"/>
        <v>#REF!</v>
      </c>
      <c r="BY74" s="459" t="e">
        <f t="shared" ca="1" si="12"/>
        <v>#REF!</v>
      </c>
      <c r="CA74" s="459" t="e">
        <f t="shared" ca="1" si="13"/>
        <v>#REF!</v>
      </c>
    </row>
    <row r="75" spans="1:84" s="456" customFormat="1" hidden="1">
      <c r="A75" s="20" t="s">
        <v>183</v>
      </c>
      <c r="B75" s="482"/>
      <c r="C75" s="482"/>
      <c r="D75" s="482"/>
      <c r="E75" s="482"/>
      <c r="F75" s="482"/>
      <c r="G75" s="482"/>
      <c r="H75" s="482"/>
      <c r="J75" s="454"/>
      <c r="K75" s="15"/>
      <c r="L75" s="454"/>
      <c r="M75" s="15"/>
      <c r="N75" s="15"/>
      <c r="O75" s="15"/>
      <c r="P75" s="15"/>
      <c r="Q75" s="15"/>
      <c r="R75" s="15"/>
      <c r="S75" s="15"/>
      <c r="T75" s="455"/>
      <c r="U75" s="15"/>
      <c r="V75" s="15"/>
      <c r="W75" s="15"/>
      <c r="X75" s="459"/>
      <c r="Y75" s="15"/>
      <c r="AF75" s="15"/>
      <c r="AO75" s="458"/>
      <c r="AP75" s="454"/>
      <c r="AQ75" s="15"/>
      <c r="AR75" s="15"/>
      <c r="AS75" s="15"/>
      <c r="AT75" s="15"/>
      <c r="AU75" s="15"/>
      <c r="AW75" s="459"/>
      <c r="AX75" s="459"/>
      <c r="AY75" s="15"/>
      <c r="AZ75" s="15"/>
      <c r="BA75" s="15"/>
      <c r="BB75" s="15"/>
      <c r="BC75" s="15"/>
      <c r="BD75" s="15"/>
      <c r="BE75" s="15"/>
      <c r="BF75" s="15"/>
      <c r="BG75" s="15"/>
      <c r="BH75" s="15"/>
      <c r="BI75" s="455"/>
      <c r="BT75" s="15">
        <v>8.1999999999999993</v>
      </c>
      <c r="BU75" s="459" t="e">
        <f t="shared" ca="1" si="10"/>
        <v>#REF!</v>
      </c>
      <c r="BW75" s="459" t="e">
        <f t="shared" ca="1" si="11"/>
        <v>#REF!</v>
      </c>
      <c r="BY75" s="459" t="e">
        <f t="shared" ca="1" si="12"/>
        <v>#REF!</v>
      </c>
      <c r="CA75" s="459" t="e">
        <f t="shared" ca="1" si="13"/>
        <v>#REF!</v>
      </c>
    </row>
    <row r="76" spans="1:84" s="456" customFormat="1" hidden="1">
      <c r="A76" s="20" t="s">
        <v>184</v>
      </c>
      <c r="B76" s="482"/>
      <c r="C76" s="482"/>
      <c r="D76" s="482"/>
      <c r="E76" s="482"/>
      <c r="F76" s="482"/>
      <c r="G76" s="482"/>
      <c r="H76" s="482"/>
      <c r="J76" s="454"/>
      <c r="K76" s="15"/>
      <c r="L76" s="454"/>
      <c r="M76" s="15"/>
      <c r="N76" s="15"/>
      <c r="O76" s="15"/>
      <c r="P76" s="15"/>
      <c r="Q76" s="15"/>
      <c r="R76" s="15"/>
      <c r="S76" s="15"/>
      <c r="Y76" s="15"/>
      <c r="AF76" s="15"/>
      <c r="AO76" s="458"/>
      <c r="AP76" s="454"/>
      <c r="AQ76" s="15"/>
      <c r="AR76" s="15"/>
      <c r="AS76" s="15"/>
      <c r="AT76" s="15"/>
      <c r="AU76" s="15"/>
      <c r="AW76" s="15"/>
      <c r="AX76" s="15"/>
      <c r="AY76" s="15"/>
      <c r="AZ76" s="15"/>
      <c r="BA76" s="15"/>
      <c r="BB76" s="15"/>
      <c r="BC76" s="15"/>
      <c r="BD76" s="15"/>
      <c r="BE76" s="15"/>
      <c r="BF76" s="15"/>
      <c r="BG76" s="469"/>
      <c r="BH76" s="15"/>
      <c r="BI76" s="455"/>
      <c r="BT76" s="15">
        <v>8.4</v>
      </c>
      <c r="BU76" s="459" t="e">
        <f t="shared" ca="1" si="10"/>
        <v>#REF!</v>
      </c>
      <c r="BW76" s="459" t="e">
        <f t="shared" ca="1" si="11"/>
        <v>#REF!</v>
      </c>
      <c r="BY76" s="459" t="e">
        <f t="shared" ca="1" si="12"/>
        <v>#REF!</v>
      </c>
      <c r="CA76" s="459" t="e">
        <f t="shared" ca="1" si="13"/>
        <v>#REF!</v>
      </c>
    </row>
    <row r="77" spans="1:84" s="456" customFormat="1" hidden="1">
      <c r="A77" s="1" t="s">
        <v>185</v>
      </c>
      <c r="B77" s="482"/>
      <c r="C77" s="482"/>
      <c r="D77" s="482"/>
      <c r="E77" s="482"/>
      <c r="F77" s="482"/>
      <c r="G77" s="482"/>
      <c r="H77" s="482"/>
      <c r="J77" s="454"/>
      <c r="K77" s="15"/>
      <c r="L77" s="454"/>
      <c r="M77" s="15"/>
      <c r="N77" s="15"/>
      <c r="O77" s="15"/>
      <c r="P77" s="15"/>
      <c r="Q77" s="15"/>
      <c r="R77" s="15"/>
      <c r="S77" s="15"/>
      <c r="Y77" s="15"/>
      <c r="AC77" s="15"/>
      <c r="AF77" s="15"/>
      <c r="AO77" s="458"/>
      <c r="AP77" s="454"/>
      <c r="AQ77" s="15"/>
      <c r="AR77" s="15"/>
      <c r="AS77" s="15"/>
      <c r="AT77" s="15"/>
      <c r="AU77" s="15"/>
      <c r="AW77" s="459"/>
      <c r="AX77" s="459"/>
      <c r="AY77" s="15"/>
      <c r="AZ77" s="454"/>
      <c r="BA77" s="15"/>
      <c r="BB77" s="15"/>
      <c r="BC77" s="15"/>
      <c r="BD77" s="15"/>
      <c r="BE77" s="15"/>
      <c r="BF77" s="15"/>
      <c r="BG77" s="15"/>
      <c r="BH77" s="15"/>
      <c r="BI77" s="455"/>
      <c r="BT77" s="15">
        <f>H7</f>
        <v>5.5</v>
      </c>
    </row>
    <row r="78" spans="1:84" s="456" customFormat="1" hidden="1">
      <c r="A78" s="1" t="s">
        <v>186</v>
      </c>
      <c r="B78" s="482"/>
      <c r="C78" s="482"/>
      <c r="D78" s="482"/>
      <c r="E78" s="482"/>
      <c r="F78" s="482"/>
      <c r="G78" s="482"/>
      <c r="H78" s="482"/>
      <c r="J78" s="454"/>
      <c r="K78" s="15"/>
      <c r="L78" s="454"/>
      <c r="M78" s="15"/>
      <c r="N78" s="15"/>
      <c r="O78" s="15"/>
      <c r="P78" s="15"/>
      <c r="Q78" s="15"/>
      <c r="R78" s="15"/>
      <c r="S78" s="15"/>
      <c r="Y78" s="15"/>
      <c r="AB78" s="15"/>
      <c r="AC78" s="15"/>
      <c r="AF78" s="15"/>
      <c r="AO78" s="458"/>
      <c r="AP78" s="454"/>
      <c r="AQ78" s="15"/>
      <c r="AR78" s="15"/>
      <c r="AS78" s="15"/>
      <c r="AT78" s="15"/>
      <c r="AU78" s="15"/>
      <c r="AW78" s="459"/>
      <c r="AX78" s="459"/>
      <c r="AY78" s="15"/>
      <c r="AZ78" s="454"/>
      <c r="BA78" s="15"/>
      <c r="BB78" s="15"/>
      <c r="BC78" s="15"/>
      <c r="BD78" s="15"/>
      <c r="BE78" s="15"/>
      <c r="BF78" s="15"/>
      <c r="BG78" s="15"/>
      <c r="BH78" s="15"/>
      <c r="BI78" s="455"/>
      <c r="BT78" s="15">
        <f>H7</f>
        <v>5.5</v>
      </c>
      <c r="CF78" s="15">
        <f>B20</f>
        <v>127.85243198680958</v>
      </c>
    </row>
    <row r="79" spans="1:84" s="456" customFormat="1" hidden="1">
      <c r="A79" s="1" t="s">
        <v>187</v>
      </c>
      <c r="B79" s="482"/>
      <c r="C79" s="482"/>
      <c r="D79" s="482"/>
      <c r="E79" s="482"/>
      <c r="F79" s="482"/>
      <c r="G79" s="482"/>
      <c r="H79" s="482"/>
      <c r="J79" s="454"/>
      <c r="K79" s="15"/>
      <c r="L79" s="454"/>
      <c r="M79" s="15"/>
      <c r="N79" s="15"/>
      <c r="O79" s="15"/>
      <c r="P79" s="15"/>
      <c r="Q79" s="15"/>
      <c r="R79" s="15"/>
      <c r="S79" s="15"/>
      <c r="Y79" s="15"/>
      <c r="AC79" s="15"/>
      <c r="AF79" s="15"/>
      <c r="AO79" s="458"/>
      <c r="AP79" s="454"/>
      <c r="AQ79" s="15"/>
      <c r="AR79" s="15"/>
      <c r="AS79" s="15"/>
      <c r="AT79" s="15"/>
      <c r="AU79" s="15"/>
      <c r="AW79" s="459"/>
      <c r="AX79" s="459"/>
      <c r="AY79" s="15"/>
      <c r="AZ79" s="15"/>
      <c r="BA79" s="15"/>
      <c r="BB79" s="15"/>
      <c r="BC79" s="15"/>
      <c r="BD79" s="15"/>
      <c r="BE79" s="15"/>
      <c r="BF79" s="15"/>
      <c r="BG79" s="15"/>
      <c r="BH79" s="15"/>
      <c r="BI79" s="455"/>
      <c r="BT79" s="15">
        <f>H7</f>
        <v>5.5</v>
      </c>
      <c r="CF79" s="15">
        <f>B20</f>
        <v>127.85243198680958</v>
      </c>
    </row>
    <row r="80" spans="1:84" s="456" customFormat="1" hidden="1">
      <c r="A80" s="1"/>
      <c r="B80" s="482"/>
      <c r="C80" s="482"/>
      <c r="D80" s="482"/>
      <c r="E80" s="482"/>
      <c r="F80" s="482"/>
      <c r="G80" s="482"/>
      <c r="H80" s="482"/>
      <c r="J80" s="454"/>
      <c r="K80" s="15"/>
      <c r="L80" s="454"/>
      <c r="M80" s="15"/>
      <c r="N80" s="15"/>
      <c r="O80" s="15"/>
      <c r="P80" s="15"/>
      <c r="Q80" s="15"/>
      <c r="R80" s="15"/>
      <c r="S80" s="15"/>
      <c r="Y80" s="15"/>
      <c r="Z80" s="15"/>
      <c r="AA80" s="15"/>
      <c r="AB80" s="15"/>
      <c r="AC80" s="15"/>
      <c r="AD80" s="15"/>
      <c r="AE80" s="15"/>
      <c r="AF80" s="15"/>
      <c r="AO80" s="458"/>
      <c r="AP80" s="454"/>
      <c r="AQ80" s="15"/>
      <c r="AR80" s="15"/>
      <c r="AS80" s="15"/>
      <c r="AT80" s="15"/>
      <c r="AU80" s="15"/>
      <c r="AW80" s="459"/>
      <c r="AX80" s="459"/>
      <c r="AY80" s="15"/>
      <c r="AZ80" s="454"/>
      <c r="BA80" s="15"/>
      <c r="BB80" s="15"/>
      <c r="BC80" s="15"/>
      <c r="BD80" s="15"/>
      <c r="BE80" s="15"/>
      <c r="BF80" s="15"/>
      <c r="BG80" s="15"/>
      <c r="BH80" s="15"/>
      <c r="BI80" s="455"/>
      <c r="BT80" s="15">
        <f>H7</f>
        <v>5.5</v>
      </c>
      <c r="CF80" s="15">
        <f>B20</f>
        <v>127.85243198680958</v>
      </c>
    </row>
    <row r="81" spans="1:86" s="456" customFormat="1" hidden="1">
      <c r="A81" s="482"/>
      <c r="B81" s="482"/>
      <c r="C81" s="482"/>
      <c r="D81" s="482"/>
      <c r="E81" s="482"/>
      <c r="F81" s="482"/>
      <c r="G81" s="482"/>
      <c r="H81" s="482"/>
      <c r="J81" s="454"/>
      <c r="K81" s="15"/>
      <c r="L81" s="454"/>
      <c r="M81" s="15"/>
      <c r="N81" s="15"/>
      <c r="O81" s="15"/>
      <c r="P81" s="15"/>
      <c r="Q81" s="15"/>
      <c r="R81" s="15"/>
      <c r="S81" s="15"/>
      <c r="Y81" s="15"/>
      <c r="AO81" s="458"/>
      <c r="AP81" s="454"/>
      <c r="AQ81" s="15"/>
      <c r="AR81" s="15"/>
      <c r="AS81" s="15"/>
      <c r="AT81" s="15"/>
      <c r="AU81" s="15"/>
      <c r="AW81" s="15"/>
      <c r="AX81" s="15"/>
      <c r="AY81" s="15"/>
      <c r="AZ81" s="15"/>
      <c r="BA81" s="15"/>
      <c r="BB81" s="15"/>
      <c r="BC81" s="15"/>
      <c r="BD81" s="15"/>
      <c r="BE81" s="15"/>
      <c r="BF81" s="15"/>
      <c r="BG81" s="469"/>
      <c r="BH81" s="15"/>
      <c r="BI81" s="455"/>
      <c r="BT81" s="15">
        <f>H7</f>
        <v>5.5</v>
      </c>
      <c r="CF81" s="15">
        <f>B20</f>
        <v>127.85243198680958</v>
      </c>
      <c r="CG81" s="15" t="str">
        <f ca="1">"TE = "&amp;FIXED($H$15,3,TRUE)</f>
        <v>TE = 0.739</v>
      </c>
      <c r="CH81" s="15" t="str">
        <f ca="1">"Slip = "&amp;FIXED($H$19,3,TRUE)</f>
        <v>Slip = 10.583</v>
      </c>
    </row>
    <row r="82" spans="1:86" s="456" customFormat="1" hidden="1">
      <c r="A82" s="20" t="s">
        <v>188</v>
      </c>
      <c r="B82" s="482"/>
      <c r="C82" s="482"/>
      <c r="D82" s="482"/>
      <c r="E82" s="482"/>
      <c r="F82" s="482"/>
      <c r="G82" s="482"/>
      <c r="H82" s="482"/>
      <c r="J82" s="454"/>
      <c r="K82" s="15"/>
      <c r="L82" s="454"/>
      <c r="M82" s="15"/>
      <c r="N82" s="15"/>
      <c r="O82" s="15"/>
      <c r="P82" s="15"/>
      <c r="Q82" s="15"/>
      <c r="R82" s="15"/>
      <c r="S82" s="15"/>
      <c r="Y82" s="15"/>
      <c r="AO82" s="458"/>
      <c r="AP82" s="454"/>
      <c r="AQ82" s="15"/>
      <c r="AR82" s="15"/>
      <c r="AS82" s="15"/>
      <c r="AT82" s="15"/>
      <c r="AU82" s="15"/>
      <c r="AW82" s="459"/>
      <c r="AX82" s="459"/>
      <c r="AY82" s="15"/>
      <c r="AZ82" s="15"/>
      <c r="BA82" s="15"/>
      <c r="BB82" s="15"/>
      <c r="BC82" s="15"/>
      <c r="BD82" s="15"/>
      <c r="BE82" s="15"/>
      <c r="BF82" s="15"/>
      <c r="BG82" s="15"/>
      <c r="BH82" s="469"/>
      <c r="BI82" s="455"/>
      <c r="BT82" s="15">
        <v>5</v>
      </c>
      <c r="CC82" s="15">
        <v>205</v>
      </c>
      <c r="CD82" s="15" t="str">
        <f ca="1">"Q/rW = "&amp;FIXED($BU$42,3,TRUE)</f>
        <v>Q/rW = 0.490</v>
      </c>
    </row>
    <row r="83" spans="1:86" s="456" customFormat="1" hidden="1">
      <c r="A83" s="20" t="s">
        <v>189</v>
      </c>
      <c r="B83" s="482"/>
      <c r="C83" s="482"/>
      <c r="D83" s="482"/>
      <c r="E83" s="482"/>
      <c r="F83" s="482"/>
      <c r="G83" s="482"/>
      <c r="H83" s="482"/>
      <c r="J83" s="454"/>
      <c r="K83" s="15"/>
      <c r="L83" s="469"/>
      <c r="M83" s="15"/>
      <c r="N83" s="15"/>
      <c r="O83" s="15"/>
      <c r="P83" s="15"/>
      <c r="Q83" s="15"/>
      <c r="R83" s="15"/>
      <c r="S83" s="15"/>
      <c r="Y83" s="15"/>
      <c r="AO83" s="458"/>
      <c r="AP83" s="454"/>
      <c r="AQ83" s="15"/>
      <c r="AR83" s="15"/>
      <c r="AS83" s="15"/>
      <c r="AT83" s="15"/>
      <c r="AU83" s="15"/>
      <c r="AW83" s="459"/>
      <c r="AX83" s="459"/>
      <c r="AY83" s="15"/>
      <c r="AZ83" s="454"/>
      <c r="BA83" s="15"/>
      <c r="BB83" s="15"/>
      <c r="BC83" s="15"/>
      <c r="BD83" s="15"/>
      <c r="BE83" s="15"/>
      <c r="BF83" s="15"/>
      <c r="BG83" s="15"/>
      <c r="BH83" s="15"/>
      <c r="BI83" s="455"/>
      <c r="BT83" s="15">
        <v>5</v>
      </c>
      <c r="CC83" s="15">
        <v>195</v>
      </c>
      <c r="CD83" s="15" t="e">
        <f ca="1">"WS/P = "&amp;FIXED($BW$41,0,TRUE)</f>
        <v>#VALUE!</v>
      </c>
    </row>
    <row r="84" spans="1:86" s="456" customFormat="1" hidden="1">
      <c r="A84" s="1" t="s">
        <v>190</v>
      </c>
      <c r="B84" s="482"/>
      <c r="C84" s="482"/>
      <c r="D84" s="482"/>
      <c r="E84" s="482"/>
      <c r="F84" s="482"/>
      <c r="G84" s="482"/>
      <c r="H84" s="482"/>
      <c r="J84" s="454"/>
      <c r="K84" s="15"/>
      <c r="L84" s="469"/>
      <c r="M84" s="15"/>
      <c r="N84" s="15"/>
      <c r="O84" s="15"/>
      <c r="P84" s="15"/>
      <c r="Q84" s="15"/>
      <c r="R84" s="15"/>
      <c r="S84" s="15"/>
      <c r="Y84" s="15"/>
      <c r="AO84" s="458"/>
      <c r="AP84" s="454"/>
      <c r="AQ84" s="15"/>
      <c r="AR84" s="15"/>
      <c r="AS84" s="15"/>
      <c r="AT84" s="15"/>
      <c r="AU84" s="15"/>
      <c r="AW84" s="459"/>
      <c r="AX84" s="459"/>
      <c r="AY84" s="15"/>
      <c r="AZ84" s="15"/>
      <c r="BA84" s="15"/>
      <c r="BB84" s="15"/>
      <c r="BC84" s="15"/>
      <c r="BD84" s="15"/>
      <c r="BE84" s="15"/>
      <c r="BF84" s="15"/>
      <c r="BG84" s="15"/>
      <c r="BH84" s="15"/>
      <c r="BI84" s="455"/>
      <c r="BT84" s="15">
        <v>5</v>
      </c>
      <c r="CC84" s="15">
        <v>185</v>
      </c>
      <c r="CD84" s="15" t="str">
        <f ca="1">"Slip = "&amp;FIXED($BU$6,2,TRUE)&amp;" %"</f>
        <v>Slip = 10.58 %</v>
      </c>
    </row>
    <row r="85" spans="1:86" s="456" customFormat="1" hidden="1">
      <c r="A85" s="1" t="s">
        <v>191</v>
      </c>
      <c r="B85" s="482"/>
      <c r="C85" s="482"/>
      <c r="D85" s="482"/>
      <c r="E85" s="482"/>
      <c r="F85" s="482"/>
      <c r="G85" s="482"/>
      <c r="H85" s="482"/>
      <c r="J85" s="454"/>
      <c r="K85" s="15"/>
      <c r="L85" s="469"/>
      <c r="M85" s="15"/>
      <c r="N85" s="15"/>
      <c r="O85" s="15"/>
      <c r="P85" s="15"/>
      <c r="Q85" s="15"/>
      <c r="R85" s="15"/>
      <c r="S85" s="15"/>
      <c r="Y85" s="15"/>
      <c r="AO85" s="458"/>
      <c r="AP85" s="454"/>
      <c r="AQ85" s="15"/>
      <c r="AR85" s="15"/>
      <c r="AS85" s="15"/>
      <c r="AT85" s="15"/>
      <c r="AU85" s="15"/>
      <c r="AW85" s="459"/>
      <c r="AX85" s="459"/>
      <c r="AY85" s="15"/>
      <c r="AZ85" s="15"/>
      <c r="BA85" s="15"/>
      <c r="BB85" s="15"/>
      <c r="BC85" s="15"/>
      <c r="BD85" s="15"/>
      <c r="BE85" s="15"/>
      <c r="BF85" s="15"/>
      <c r="BG85" s="15"/>
      <c r="BH85" s="15"/>
      <c r="BI85" s="455"/>
    </row>
    <row r="86" spans="1:86" s="456" customFormat="1" hidden="1">
      <c r="A86" s="482"/>
      <c r="B86" s="482"/>
      <c r="C86" s="482"/>
      <c r="D86" s="482"/>
      <c r="E86" s="482"/>
      <c r="F86" s="482"/>
      <c r="G86" s="482"/>
      <c r="H86" s="482"/>
      <c r="J86" s="454"/>
      <c r="K86" s="15"/>
      <c r="L86" s="469"/>
      <c r="M86" s="15"/>
      <c r="N86" s="15"/>
      <c r="O86" s="15"/>
      <c r="P86" s="15"/>
      <c r="Q86" s="15"/>
      <c r="R86" s="15"/>
      <c r="S86" s="15"/>
      <c r="Y86" s="15"/>
      <c r="AO86" s="458"/>
      <c r="AP86" s="454"/>
      <c r="AQ86" s="15"/>
      <c r="AR86" s="15"/>
      <c r="AS86" s="15"/>
      <c r="AT86" s="15"/>
      <c r="AU86" s="15"/>
      <c r="AW86" s="15"/>
      <c r="AX86" s="15"/>
      <c r="AY86" s="15"/>
      <c r="AZ86" s="15"/>
      <c r="BA86" s="15"/>
      <c r="BB86" s="15"/>
      <c r="BC86" s="15"/>
      <c r="BD86" s="15"/>
      <c r="BE86" s="15"/>
      <c r="BF86" s="15"/>
      <c r="BG86" s="469"/>
      <c r="BH86" s="15"/>
      <c r="BI86" s="455"/>
      <c r="BT86" s="15" t="s">
        <v>192</v>
      </c>
    </row>
    <row r="87" spans="1:86" s="456" customFormat="1" hidden="1">
      <c r="A87" s="1" t="s">
        <v>193</v>
      </c>
      <c r="B87" s="482"/>
      <c r="C87" s="482"/>
      <c r="D87" s="482"/>
      <c r="E87" s="482"/>
      <c r="F87" s="482"/>
      <c r="G87" s="482"/>
      <c r="H87" s="482"/>
      <c r="J87" s="454"/>
      <c r="K87" s="15"/>
      <c r="L87" s="469"/>
      <c r="M87" s="15"/>
      <c r="N87" s="15"/>
      <c r="O87" s="15"/>
      <c r="P87" s="15"/>
      <c r="Q87" s="15"/>
      <c r="R87" s="15"/>
      <c r="S87" s="15"/>
      <c r="Y87" s="15"/>
      <c r="AO87" s="458"/>
      <c r="AP87" s="15"/>
      <c r="AQ87" s="15"/>
      <c r="AR87" s="15"/>
      <c r="AS87" s="15"/>
      <c r="AT87" s="15"/>
      <c r="AU87" s="15"/>
      <c r="AW87" s="15"/>
      <c r="AX87" s="15"/>
      <c r="AY87" s="15"/>
      <c r="AZ87" s="15"/>
      <c r="BA87" s="15"/>
      <c r="BB87" s="15"/>
      <c r="BC87" s="15"/>
      <c r="BD87" s="15"/>
      <c r="BE87" s="15"/>
      <c r="BF87" s="15"/>
      <c r="BG87" s="15"/>
      <c r="BH87" s="15"/>
      <c r="BI87" s="455"/>
      <c r="BT87" s="15" t="s">
        <v>10</v>
      </c>
      <c r="BU87" s="15" t="s">
        <v>194</v>
      </c>
      <c r="BV87" s="15" t="s">
        <v>31</v>
      </c>
      <c r="BW87" s="15" t="s">
        <v>195</v>
      </c>
      <c r="BX87" s="15" t="s">
        <v>196</v>
      </c>
      <c r="BY87" s="15" t="s">
        <v>197</v>
      </c>
    </row>
    <row r="88" spans="1:86" s="456" customFormat="1" hidden="1">
      <c r="A88" s="1" t="s">
        <v>198</v>
      </c>
      <c r="B88" s="482"/>
      <c r="C88" s="482"/>
      <c r="D88" s="482"/>
      <c r="E88" s="482"/>
      <c r="F88" s="482"/>
      <c r="G88" s="482"/>
      <c r="H88" s="482"/>
      <c r="J88" s="454"/>
      <c r="K88" s="15"/>
      <c r="L88" s="469"/>
      <c r="M88" s="15"/>
      <c r="N88" s="15"/>
      <c r="O88" s="15"/>
      <c r="P88" s="15"/>
      <c r="Q88" s="15"/>
      <c r="R88" s="15"/>
      <c r="S88" s="15"/>
      <c r="Y88" s="15"/>
      <c r="AO88" s="458"/>
      <c r="AP88" s="454"/>
      <c r="AQ88" s="15"/>
      <c r="AR88" s="15"/>
      <c r="AS88" s="15"/>
      <c r="AT88" s="15"/>
      <c r="AU88" s="15"/>
      <c r="AW88" s="459"/>
      <c r="AX88" s="459"/>
      <c r="AY88" s="15"/>
      <c r="AZ88" s="15"/>
      <c r="BA88" s="15"/>
      <c r="BB88" s="15"/>
      <c r="BC88" s="15"/>
      <c r="BD88" s="15"/>
      <c r="BE88" s="15"/>
      <c r="BF88" s="15"/>
      <c r="BG88" s="469"/>
      <c r="BH88" s="15"/>
      <c r="BI88" s="455"/>
      <c r="BT88" s="15">
        <v>0.55000000000000004</v>
      </c>
      <c r="BU88" s="459">
        <f>+375/BT88</f>
        <v>681.81818181818176</v>
      </c>
      <c r="BV88" s="15">
        <v>3.5</v>
      </c>
      <c r="BW88" s="459">
        <f t="shared" ref="BW88:BW108" si="14">+$BU$88/BV88</f>
        <v>194.80519480519479</v>
      </c>
      <c r="BX88" s="459">
        <f t="shared" ref="BX88:BX108" si="15">+BW88*0.96</f>
        <v>187.012987012987</v>
      </c>
      <c r="BY88" s="459">
        <f t="shared" ref="BY88:BY108" si="16">BX88*$B$15</f>
        <v>171.82866267745263</v>
      </c>
      <c r="BZ88" s="15" t="s">
        <v>199</v>
      </c>
    </row>
    <row r="89" spans="1:86" s="456" customFormat="1" hidden="1">
      <c r="A89" s="1" t="s">
        <v>200</v>
      </c>
      <c r="B89" s="482"/>
      <c r="C89" s="482"/>
      <c r="D89" s="482"/>
      <c r="E89" s="482"/>
      <c r="F89" s="482"/>
      <c r="G89" s="482"/>
      <c r="H89" s="482"/>
      <c r="J89" s="454"/>
      <c r="K89" s="15"/>
      <c r="L89" s="469"/>
      <c r="M89" s="15"/>
      <c r="N89" s="15"/>
      <c r="O89" s="15"/>
      <c r="P89" s="15"/>
      <c r="Q89" s="15"/>
      <c r="R89" s="15"/>
      <c r="S89" s="15"/>
      <c r="Y89" s="15"/>
      <c r="AO89" s="458"/>
      <c r="AP89" s="454"/>
      <c r="AQ89" s="15"/>
      <c r="AR89" s="15"/>
      <c r="AS89" s="15"/>
      <c r="AT89" s="15"/>
      <c r="AU89" s="15"/>
      <c r="AW89" s="15"/>
      <c r="AX89" s="15"/>
      <c r="AY89" s="15"/>
      <c r="AZ89" s="15"/>
      <c r="BA89" s="15"/>
      <c r="BB89" s="15"/>
      <c r="BC89" s="15"/>
      <c r="BD89" s="15"/>
      <c r="BE89" s="15"/>
      <c r="BF89" s="15"/>
      <c r="BG89" s="469"/>
      <c r="BH89" s="15"/>
      <c r="BI89" s="455"/>
      <c r="BV89" s="15">
        <v>4</v>
      </c>
      <c r="BW89" s="459">
        <f t="shared" si="14"/>
        <v>170.45454545454544</v>
      </c>
      <c r="BX89" s="459">
        <f t="shared" si="15"/>
        <v>163.63636363636363</v>
      </c>
      <c r="BY89" s="459">
        <f t="shared" si="16"/>
        <v>150.35007984277107</v>
      </c>
    </row>
    <row r="90" spans="1:86" s="456" customFormat="1" hidden="1">
      <c r="A90" s="1" t="s">
        <v>201</v>
      </c>
      <c r="B90" s="482"/>
      <c r="C90" s="482"/>
      <c r="D90" s="482"/>
      <c r="E90" s="482"/>
      <c r="F90" s="482"/>
      <c r="G90" s="482"/>
      <c r="H90" s="482"/>
      <c r="J90" s="15"/>
      <c r="K90" s="15"/>
      <c r="L90" s="15"/>
      <c r="M90" s="15"/>
      <c r="N90" s="15"/>
      <c r="O90" s="15"/>
      <c r="P90" s="15"/>
      <c r="Q90" s="15"/>
      <c r="R90" s="15"/>
      <c r="S90" s="15"/>
      <c r="T90" s="15"/>
      <c r="U90" s="15"/>
      <c r="V90" s="15"/>
      <c r="W90" s="15"/>
      <c r="X90" s="15"/>
      <c r="Y90" s="15"/>
      <c r="AO90" s="458"/>
      <c r="AP90" s="454"/>
      <c r="AQ90" s="15"/>
      <c r="AR90" s="15"/>
      <c r="AS90" s="15"/>
      <c r="AT90" s="15"/>
      <c r="AU90" s="15"/>
      <c r="AW90" s="459"/>
      <c r="AX90" s="459"/>
      <c r="AY90" s="15"/>
      <c r="AZ90" s="15"/>
      <c r="BA90" s="15"/>
      <c r="BB90" s="15"/>
      <c r="BC90" s="15"/>
      <c r="BD90" s="15"/>
      <c r="BE90" s="15"/>
      <c r="BF90" s="15"/>
      <c r="BG90" s="15"/>
      <c r="BH90" s="469"/>
      <c r="BI90" s="455"/>
      <c r="BV90" s="15">
        <v>4.5</v>
      </c>
      <c r="BW90" s="459">
        <f t="shared" si="14"/>
        <v>151.5151515151515</v>
      </c>
      <c r="BX90" s="459">
        <f t="shared" si="15"/>
        <v>145.45454545454544</v>
      </c>
      <c r="BY90" s="459">
        <f t="shared" si="16"/>
        <v>133.64451541579649</v>
      </c>
    </row>
    <row r="91" spans="1:86" s="456" customFormat="1" hidden="1">
      <c r="A91" s="1" t="s">
        <v>202</v>
      </c>
      <c r="B91" s="482"/>
      <c r="C91" s="482"/>
      <c r="D91" s="482"/>
      <c r="E91" s="482"/>
      <c r="F91" s="482"/>
      <c r="G91" s="482"/>
      <c r="H91" s="482"/>
      <c r="J91" s="15" t="s">
        <v>203</v>
      </c>
      <c r="Y91" s="15"/>
      <c r="AO91" s="458"/>
      <c r="AP91" s="454"/>
      <c r="AQ91" s="15"/>
      <c r="AR91" s="15"/>
      <c r="AS91" s="15"/>
      <c r="AT91" s="15"/>
      <c r="AU91" s="15"/>
      <c r="AW91" s="459"/>
      <c r="AX91" s="459"/>
      <c r="AY91" s="15"/>
      <c r="AZ91" s="15"/>
      <c r="BA91" s="15"/>
      <c r="BB91" s="15"/>
      <c r="BC91" s="15"/>
      <c r="BD91" s="15"/>
      <c r="BE91" s="15"/>
      <c r="BF91" s="15"/>
      <c r="BG91" s="15"/>
      <c r="BH91" s="15"/>
      <c r="BI91" s="455"/>
      <c r="BV91" s="15">
        <v>5</v>
      </c>
      <c r="BW91" s="459">
        <f t="shared" si="14"/>
        <v>136.36363636363635</v>
      </c>
      <c r="BX91" s="459">
        <f t="shared" si="15"/>
        <v>130.90909090909088</v>
      </c>
      <c r="BY91" s="459">
        <f t="shared" si="16"/>
        <v>120.28006387421682</v>
      </c>
    </row>
    <row r="92" spans="1:86" s="456" customFormat="1" hidden="1">
      <c r="A92" s="1" t="s">
        <v>204</v>
      </c>
      <c r="B92" s="482"/>
      <c r="C92" s="482"/>
      <c r="D92" s="482"/>
      <c r="E92" s="482"/>
      <c r="F92" s="482"/>
      <c r="G92" s="482"/>
      <c r="H92" s="482"/>
      <c r="Y92" s="15"/>
      <c r="AO92" s="458"/>
      <c r="AP92" s="15"/>
      <c r="AQ92" s="15"/>
      <c r="AR92" s="15"/>
      <c r="AS92" s="15"/>
      <c r="AT92" s="15"/>
      <c r="AU92" s="15"/>
      <c r="AW92" s="15"/>
      <c r="AX92" s="15"/>
      <c r="AY92" s="15"/>
      <c r="AZ92" s="15"/>
      <c r="BA92" s="15"/>
      <c r="BB92" s="15"/>
      <c r="BC92" s="15"/>
      <c r="BD92" s="15"/>
      <c r="BE92" s="15"/>
      <c r="BF92" s="15"/>
      <c r="BG92" s="15"/>
      <c r="BH92" s="15"/>
      <c r="BI92" s="455"/>
      <c r="BV92" s="15">
        <v>5.5</v>
      </c>
      <c r="BW92" s="459">
        <f t="shared" si="14"/>
        <v>123.96694214876032</v>
      </c>
      <c r="BX92" s="459">
        <f t="shared" si="15"/>
        <v>119.0082644628099</v>
      </c>
      <c r="BY92" s="459">
        <f t="shared" si="16"/>
        <v>109.3455126129244</v>
      </c>
    </row>
    <row r="93" spans="1:86" s="456" customFormat="1" hidden="1">
      <c r="A93" s="482"/>
      <c r="B93" s="482"/>
      <c r="C93" s="482"/>
      <c r="D93" s="482"/>
      <c r="E93" s="482"/>
      <c r="F93" s="482"/>
      <c r="G93" s="482"/>
      <c r="H93" s="482"/>
      <c r="AO93" s="458"/>
      <c r="AP93" s="454"/>
      <c r="AQ93" s="15"/>
      <c r="AR93" s="15"/>
      <c r="AS93" s="15"/>
      <c r="AT93" s="15"/>
      <c r="AU93" s="15"/>
      <c r="AW93" s="459"/>
      <c r="AX93" s="459"/>
      <c r="AY93" s="15"/>
      <c r="AZ93" s="15"/>
      <c r="BA93" s="15"/>
      <c r="BB93" s="15"/>
      <c r="BC93" s="15"/>
      <c r="BD93" s="15"/>
      <c r="BE93" s="15"/>
      <c r="BF93" s="15"/>
      <c r="BG93" s="15"/>
      <c r="BH93" s="15"/>
      <c r="BI93" s="455"/>
      <c r="BV93" s="15">
        <v>6</v>
      </c>
      <c r="BW93" s="459">
        <f t="shared" si="14"/>
        <v>113.63636363636363</v>
      </c>
      <c r="BX93" s="459">
        <f t="shared" si="15"/>
        <v>109.09090909090908</v>
      </c>
      <c r="BY93" s="459">
        <f t="shared" si="16"/>
        <v>100.23338656184737</v>
      </c>
    </row>
    <row r="94" spans="1:86" s="456" customFormat="1" hidden="1">
      <c r="A94" s="1" t="s">
        <v>205</v>
      </c>
      <c r="B94" s="482"/>
      <c r="C94" s="482"/>
      <c r="D94" s="482"/>
      <c r="E94" s="482"/>
      <c r="F94" s="482"/>
      <c r="G94" s="482"/>
      <c r="H94" s="482"/>
      <c r="Y94" s="15"/>
      <c r="AO94" s="458"/>
      <c r="AP94" s="15"/>
      <c r="AQ94" s="15"/>
      <c r="AR94" s="15"/>
      <c r="AS94" s="15"/>
      <c r="AT94" s="15"/>
      <c r="AU94" s="15"/>
      <c r="AW94" s="15"/>
      <c r="AX94" s="15"/>
      <c r="AY94" s="15"/>
      <c r="AZ94" s="15"/>
      <c r="BA94" s="15"/>
      <c r="BB94" s="15"/>
      <c r="BC94" s="15"/>
      <c r="BD94" s="15"/>
      <c r="BE94" s="15"/>
      <c r="BF94" s="15"/>
      <c r="BG94" s="469"/>
      <c r="BH94" s="15"/>
      <c r="BI94" s="15"/>
      <c r="BV94" s="15">
        <v>6.5</v>
      </c>
      <c r="BW94" s="459">
        <f t="shared" si="14"/>
        <v>104.89510489510488</v>
      </c>
      <c r="BX94" s="459">
        <f t="shared" si="15"/>
        <v>100.69930069930068</v>
      </c>
      <c r="BY94" s="459">
        <f t="shared" si="16"/>
        <v>92.523126057089868</v>
      </c>
    </row>
    <row r="95" spans="1:86" s="456" customFormat="1" hidden="1">
      <c r="A95" s="1" t="s">
        <v>206</v>
      </c>
      <c r="B95" s="482"/>
      <c r="C95" s="482"/>
      <c r="D95" s="482"/>
      <c r="E95" s="482"/>
      <c r="F95" s="482"/>
      <c r="G95" s="482"/>
      <c r="H95" s="482"/>
      <c r="Y95" s="15"/>
      <c r="AO95" s="458"/>
      <c r="AP95" s="15"/>
      <c r="AQ95" s="15"/>
      <c r="AR95" s="15"/>
      <c r="AS95" s="15"/>
      <c r="AT95" s="15"/>
      <c r="AU95" s="15"/>
      <c r="AW95" s="15"/>
      <c r="AX95" s="15"/>
      <c r="AY95" s="15"/>
      <c r="AZ95" s="15"/>
      <c r="BA95" s="15"/>
      <c r="BB95" s="15"/>
      <c r="BC95" s="15"/>
      <c r="BD95" s="15"/>
      <c r="BE95" s="15"/>
      <c r="BF95" s="15"/>
      <c r="BG95" s="15"/>
      <c r="BH95" s="15"/>
      <c r="BI95" s="455"/>
      <c r="BV95" s="15">
        <v>7</v>
      </c>
      <c r="BW95" s="459">
        <f t="shared" si="14"/>
        <v>97.402597402597394</v>
      </c>
      <c r="BX95" s="459">
        <f t="shared" si="15"/>
        <v>93.506493506493499</v>
      </c>
      <c r="BY95" s="459">
        <f t="shared" si="16"/>
        <v>85.914331338726313</v>
      </c>
    </row>
    <row r="96" spans="1:86" s="456" customFormat="1" hidden="1">
      <c r="A96" s="1" t="s">
        <v>207</v>
      </c>
      <c r="B96" s="482"/>
      <c r="C96" s="482"/>
      <c r="D96" s="482"/>
      <c r="E96" s="482"/>
      <c r="F96" s="482"/>
      <c r="G96" s="482"/>
      <c r="H96" s="482"/>
      <c r="Y96" s="15"/>
      <c r="AO96" s="458"/>
      <c r="AP96" s="454"/>
      <c r="AQ96" s="15"/>
      <c r="AR96" s="15"/>
      <c r="AS96" s="15"/>
      <c r="AT96" s="15"/>
      <c r="AU96" s="15"/>
      <c r="AW96" s="459"/>
      <c r="AX96" s="459"/>
      <c r="AY96" s="15"/>
      <c r="AZ96" s="15"/>
      <c r="BA96" s="15"/>
      <c r="BB96" s="15"/>
      <c r="BC96" s="15"/>
      <c r="BD96" s="15"/>
      <c r="BE96" s="15"/>
      <c r="BF96" s="15"/>
      <c r="BG96" s="15"/>
      <c r="BH96" s="15"/>
      <c r="BI96" s="455"/>
      <c r="BV96" s="15">
        <v>7.5</v>
      </c>
      <c r="BW96" s="459">
        <f t="shared" si="14"/>
        <v>90.909090909090907</v>
      </c>
      <c r="BX96" s="459">
        <f t="shared" si="15"/>
        <v>87.272727272727266</v>
      </c>
      <c r="BY96" s="459">
        <f t="shared" si="16"/>
        <v>80.1867092494779</v>
      </c>
    </row>
    <row r="97" spans="1:78" s="456" customFormat="1" hidden="1">
      <c r="A97" s="20" t="s">
        <v>208</v>
      </c>
      <c r="B97" s="482"/>
      <c r="C97" s="482"/>
      <c r="D97" s="482"/>
      <c r="E97" s="482"/>
      <c r="F97" s="482"/>
      <c r="G97" s="482"/>
      <c r="H97" s="482"/>
      <c r="Y97" s="15"/>
      <c r="AO97" s="458"/>
      <c r="AP97" s="15"/>
      <c r="AQ97" s="15"/>
      <c r="AR97" s="15"/>
      <c r="AS97" s="15"/>
      <c r="AT97" s="15"/>
      <c r="AU97" s="15"/>
      <c r="AW97" s="15"/>
      <c r="AX97" s="15"/>
      <c r="AY97" s="15"/>
      <c r="AZ97" s="15"/>
      <c r="BA97" s="15"/>
      <c r="BB97" s="15"/>
      <c r="BC97" s="15"/>
      <c r="BD97" s="15"/>
      <c r="BE97" s="15"/>
      <c r="BF97" s="15"/>
      <c r="BG97" s="469"/>
      <c r="BH97" s="15"/>
      <c r="BI97" s="15"/>
      <c r="BV97" s="15">
        <v>8</v>
      </c>
      <c r="BW97" s="459">
        <f t="shared" si="14"/>
        <v>85.22727272727272</v>
      </c>
      <c r="BX97" s="459">
        <f t="shared" si="15"/>
        <v>81.818181818181813</v>
      </c>
      <c r="BY97" s="459">
        <f t="shared" si="16"/>
        <v>75.175039921385533</v>
      </c>
    </row>
    <row r="98" spans="1:78" s="456" customFormat="1" hidden="1">
      <c r="A98" s="20" t="s">
        <v>209</v>
      </c>
      <c r="B98" s="482"/>
      <c r="C98" s="482"/>
      <c r="D98" s="482"/>
      <c r="E98" s="482"/>
      <c r="F98" s="482"/>
      <c r="G98" s="482"/>
      <c r="H98" s="482"/>
      <c r="AO98" s="458"/>
      <c r="AP98" s="15"/>
      <c r="AQ98" s="15"/>
      <c r="AR98" s="15"/>
      <c r="AS98" s="15"/>
      <c r="AT98" s="15"/>
      <c r="AU98" s="15"/>
      <c r="AW98" s="15"/>
      <c r="AX98" s="15"/>
      <c r="AY98" s="15"/>
      <c r="AZ98" s="15"/>
      <c r="BA98" s="15"/>
      <c r="BB98" s="15"/>
      <c r="BC98" s="15"/>
      <c r="BD98" s="15"/>
      <c r="BE98" s="15"/>
      <c r="BF98" s="15"/>
      <c r="BG98" s="469"/>
      <c r="BH98" s="15"/>
      <c r="BI98" s="15"/>
      <c r="BV98" s="15">
        <v>8.5</v>
      </c>
      <c r="BW98" s="459">
        <f t="shared" si="14"/>
        <v>80.213903743315498</v>
      </c>
      <c r="BX98" s="459">
        <f t="shared" si="15"/>
        <v>77.005347593582869</v>
      </c>
      <c r="BY98" s="459">
        <f t="shared" si="16"/>
        <v>70.752978749539309</v>
      </c>
    </row>
    <row r="99" spans="1:78" s="456" customFormat="1" hidden="1">
      <c r="A99" s="482"/>
      <c r="B99" s="482"/>
      <c r="C99" s="482"/>
      <c r="D99" s="482"/>
      <c r="E99" s="482"/>
      <c r="F99" s="482"/>
      <c r="G99" s="482"/>
      <c r="H99" s="482"/>
      <c r="Y99" s="15"/>
      <c r="AO99" s="458"/>
      <c r="AP99" s="454"/>
      <c r="AQ99" s="15"/>
      <c r="AR99" s="15"/>
      <c r="AS99" s="15"/>
      <c r="AT99" s="15"/>
      <c r="AU99" s="15"/>
      <c r="AW99" s="459"/>
      <c r="AX99" s="459"/>
      <c r="AY99" s="15"/>
      <c r="AZ99" s="15"/>
      <c r="BA99" s="15"/>
      <c r="BB99" s="15"/>
      <c r="BC99" s="15"/>
      <c r="BD99" s="15"/>
      <c r="BE99" s="15"/>
      <c r="BF99" s="15"/>
      <c r="BG99" s="15"/>
      <c r="BH99" s="15"/>
      <c r="BI99" s="455"/>
      <c r="BV99" s="15">
        <v>9</v>
      </c>
      <c r="BW99" s="459">
        <f t="shared" si="14"/>
        <v>75.757575757575751</v>
      </c>
      <c r="BX99" s="459">
        <f t="shared" si="15"/>
        <v>72.72727272727272</v>
      </c>
      <c r="BY99" s="459">
        <f t="shared" si="16"/>
        <v>66.822257707898245</v>
      </c>
    </row>
    <row r="100" spans="1:78" s="456" customFormat="1" hidden="1">
      <c r="A100" s="20" t="s">
        <v>210</v>
      </c>
      <c r="B100" s="482"/>
      <c r="C100" s="482"/>
      <c r="D100" s="482"/>
      <c r="E100" s="482"/>
      <c r="F100" s="482"/>
      <c r="G100" s="482"/>
      <c r="H100" s="482"/>
      <c r="Y100" s="15"/>
      <c r="AO100" s="458"/>
      <c r="AP100" s="454"/>
      <c r="AQ100" s="15"/>
      <c r="AR100" s="15"/>
      <c r="AS100" s="15"/>
      <c r="AT100" s="15"/>
      <c r="AU100" s="15"/>
      <c r="AW100" s="459"/>
      <c r="AX100" s="459"/>
      <c r="AY100" s="15"/>
      <c r="AZ100" s="15"/>
      <c r="BA100" s="15"/>
      <c r="BB100" s="15"/>
      <c r="BC100" s="15"/>
      <c r="BD100" s="15"/>
      <c r="BE100" s="15"/>
      <c r="BF100" s="15"/>
      <c r="BG100" s="15"/>
      <c r="BH100" s="15"/>
      <c r="BI100" s="455"/>
      <c r="BV100" s="15">
        <v>9.5</v>
      </c>
      <c r="BW100" s="459">
        <f t="shared" si="14"/>
        <v>71.770334928229659</v>
      </c>
      <c r="BX100" s="459">
        <f t="shared" si="15"/>
        <v>68.899521531100476</v>
      </c>
      <c r="BY100" s="459">
        <f t="shared" si="16"/>
        <v>63.305296775903606</v>
      </c>
    </row>
    <row r="101" spans="1:78" s="456" customFormat="1" hidden="1">
      <c r="A101" s="1" t="s">
        <v>211</v>
      </c>
      <c r="B101" s="482"/>
      <c r="C101" s="482"/>
      <c r="D101" s="482"/>
      <c r="E101" s="482"/>
      <c r="F101" s="482"/>
      <c r="G101" s="482"/>
      <c r="H101" s="482"/>
      <c r="Y101" s="15"/>
      <c r="AO101" s="458"/>
      <c r="AP101" s="454"/>
      <c r="AQ101" s="15"/>
      <c r="AR101" s="459"/>
      <c r="AS101" s="15"/>
      <c r="AT101" s="15"/>
      <c r="AU101" s="15"/>
      <c r="AW101" s="15"/>
      <c r="AX101" s="15"/>
      <c r="AY101" s="15"/>
      <c r="AZ101" s="15"/>
      <c r="BA101" s="15"/>
      <c r="BB101" s="15"/>
      <c r="BC101" s="15"/>
      <c r="BD101" s="15"/>
      <c r="BE101" s="15"/>
      <c r="BF101" s="15"/>
      <c r="BG101" s="469"/>
      <c r="BH101" s="15"/>
      <c r="BI101" s="455"/>
      <c r="BV101" s="15">
        <v>10</v>
      </c>
      <c r="BW101" s="459">
        <f t="shared" si="14"/>
        <v>68.181818181818173</v>
      </c>
      <c r="BX101" s="459">
        <f t="shared" si="15"/>
        <v>65.454545454545439</v>
      </c>
      <c r="BY101" s="459">
        <f t="shared" si="16"/>
        <v>60.140031937108411</v>
      </c>
    </row>
    <row r="102" spans="1:78" s="456" customFormat="1" hidden="1">
      <c r="A102" s="1" t="s">
        <v>212</v>
      </c>
      <c r="B102" s="482"/>
      <c r="C102" s="482"/>
      <c r="D102" s="482"/>
      <c r="E102" s="482"/>
      <c r="F102" s="482"/>
      <c r="G102" s="482"/>
      <c r="H102" s="482"/>
      <c r="J102" s="15" t="s">
        <v>203</v>
      </c>
      <c r="Y102" s="15"/>
      <c r="AO102" s="458"/>
      <c r="AP102" s="454"/>
      <c r="AQ102" s="15"/>
      <c r="AR102" s="15"/>
      <c r="AS102" s="15"/>
      <c r="AU102" s="15"/>
      <c r="AW102" s="15"/>
      <c r="AX102" s="15"/>
      <c r="AY102" s="15"/>
      <c r="AZ102" s="15"/>
      <c r="BA102" s="15"/>
      <c r="BB102" s="15"/>
      <c r="BC102" s="15"/>
      <c r="BD102" s="15"/>
      <c r="BE102" s="15"/>
      <c r="BF102" s="15"/>
      <c r="BG102" s="15"/>
      <c r="BH102" s="15"/>
      <c r="BI102" s="455"/>
      <c r="BV102" s="15">
        <v>10.5</v>
      </c>
      <c r="BW102" s="459">
        <f t="shared" si="14"/>
        <v>64.935064935064929</v>
      </c>
      <c r="BX102" s="459">
        <f t="shared" si="15"/>
        <v>62.33766233766233</v>
      </c>
      <c r="BY102" s="459">
        <f t="shared" si="16"/>
        <v>57.276220892484211</v>
      </c>
    </row>
    <row r="103" spans="1:78" s="456" customFormat="1" hidden="1">
      <c r="A103" s="1" t="s">
        <v>213</v>
      </c>
      <c r="B103" s="482"/>
      <c r="C103" s="482"/>
      <c r="D103" s="482"/>
      <c r="E103" s="482"/>
      <c r="F103" s="482"/>
      <c r="G103" s="482"/>
      <c r="H103" s="482"/>
      <c r="J103" s="15" t="s">
        <v>203</v>
      </c>
      <c r="AO103" s="15"/>
      <c r="AP103" s="15"/>
      <c r="AQ103" s="15"/>
      <c r="AR103" s="15"/>
      <c r="AS103" s="15"/>
      <c r="AT103" s="15"/>
      <c r="AU103" s="15"/>
      <c r="AV103" s="15"/>
      <c r="AW103" s="15"/>
      <c r="AX103" s="15"/>
      <c r="AY103" s="15"/>
      <c r="AZ103" s="15"/>
      <c r="BA103" s="15"/>
      <c r="BB103" s="15"/>
      <c r="BC103" s="15"/>
      <c r="BD103" s="15"/>
      <c r="BE103" s="15"/>
      <c r="BF103" s="15"/>
      <c r="BG103" s="15"/>
      <c r="BH103" s="15"/>
      <c r="BI103" s="15"/>
      <c r="BV103" s="15">
        <v>11</v>
      </c>
      <c r="BW103" s="459">
        <f t="shared" si="14"/>
        <v>61.983471074380162</v>
      </c>
      <c r="BX103" s="459">
        <f t="shared" si="15"/>
        <v>59.504132231404952</v>
      </c>
      <c r="BY103" s="459">
        <f t="shared" si="16"/>
        <v>54.672756306462198</v>
      </c>
    </row>
    <row r="104" spans="1:78" s="456" customFormat="1" hidden="1">
      <c r="A104" s="20" t="s">
        <v>214</v>
      </c>
      <c r="B104" s="482"/>
      <c r="C104" s="482"/>
      <c r="D104" s="482"/>
      <c r="E104" s="482"/>
      <c r="F104" s="482"/>
      <c r="G104" s="482"/>
      <c r="H104" s="482"/>
      <c r="J104" s="15" t="s">
        <v>203</v>
      </c>
      <c r="Y104" s="15"/>
      <c r="BV104" s="15">
        <v>11.5</v>
      </c>
      <c r="BW104" s="459">
        <f t="shared" si="14"/>
        <v>59.28853754940711</v>
      </c>
      <c r="BX104" s="459">
        <f t="shared" si="15"/>
        <v>56.916996047430821</v>
      </c>
      <c r="BY104" s="459">
        <f t="shared" si="16"/>
        <v>52.295679945311669</v>
      </c>
    </row>
    <row r="105" spans="1:78" s="456" customFormat="1" hidden="1">
      <c r="A105" s="1" t="s">
        <v>215</v>
      </c>
      <c r="B105" s="482"/>
      <c r="C105" s="482"/>
      <c r="D105" s="482"/>
      <c r="E105" s="482"/>
      <c r="F105" s="482"/>
      <c r="G105" s="482"/>
      <c r="H105" s="482"/>
      <c r="J105" s="15" t="s">
        <v>203</v>
      </c>
      <c r="Y105" s="15"/>
      <c r="BV105" s="15">
        <v>12</v>
      </c>
      <c r="BW105" s="459">
        <f t="shared" si="14"/>
        <v>56.818181818181813</v>
      </c>
      <c r="BX105" s="459">
        <f t="shared" si="15"/>
        <v>54.54545454545454</v>
      </c>
      <c r="BY105" s="459">
        <f t="shared" si="16"/>
        <v>50.116693280923684</v>
      </c>
    </row>
    <row r="106" spans="1:78" s="456" customFormat="1" hidden="1">
      <c r="A106" s="482"/>
      <c r="B106" s="482"/>
      <c r="C106" s="482"/>
      <c r="D106" s="482"/>
      <c r="E106" s="482"/>
      <c r="F106" s="482"/>
      <c r="G106" s="482"/>
      <c r="H106" s="482"/>
      <c r="J106" s="15" t="s">
        <v>203</v>
      </c>
      <c r="Y106" s="15"/>
      <c r="BV106" s="15">
        <v>12.5</v>
      </c>
      <c r="BW106" s="459">
        <f t="shared" si="14"/>
        <v>54.54545454545454</v>
      </c>
      <c r="BX106" s="459">
        <f t="shared" si="15"/>
        <v>52.363636363636353</v>
      </c>
      <c r="BY106" s="459">
        <f t="shared" si="16"/>
        <v>48.112025549686727</v>
      </c>
    </row>
    <row r="107" spans="1:78" s="456" customFormat="1" hidden="1">
      <c r="A107" s="20" t="s">
        <v>216</v>
      </c>
      <c r="B107" s="482"/>
      <c r="C107" s="482"/>
      <c r="D107" s="482"/>
      <c r="E107" s="482"/>
      <c r="F107" s="482"/>
      <c r="G107" s="482"/>
      <c r="H107" s="482"/>
      <c r="J107" s="15" t="s">
        <v>203</v>
      </c>
      <c r="Y107" s="15"/>
      <c r="BV107" s="15">
        <v>13</v>
      </c>
      <c r="BW107" s="459">
        <f t="shared" si="14"/>
        <v>52.44755244755244</v>
      </c>
      <c r="BX107" s="459">
        <f t="shared" si="15"/>
        <v>50.349650349650339</v>
      </c>
      <c r="BY107" s="459">
        <f t="shared" si="16"/>
        <v>46.261563028544934</v>
      </c>
    </row>
    <row r="108" spans="1:78" s="456" customFormat="1" hidden="1">
      <c r="A108" s="1" t="s">
        <v>217</v>
      </c>
      <c r="B108" s="482"/>
      <c r="C108" s="482"/>
      <c r="D108" s="482"/>
      <c r="E108" s="482"/>
      <c r="F108" s="482"/>
      <c r="G108" s="482"/>
      <c r="H108" s="482"/>
      <c r="J108" s="15" t="s">
        <v>203</v>
      </c>
      <c r="Y108" s="15"/>
      <c r="BV108" s="15">
        <v>13.5</v>
      </c>
      <c r="BW108" s="459">
        <f t="shared" si="14"/>
        <v>50.505050505050498</v>
      </c>
      <c r="BX108" s="459">
        <f t="shared" si="15"/>
        <v>48.484848484848477</v>
      </c>
      <c r="BY108" s="459">
        <f t="shared" si="16"/>
        <v>44.548171805265497</v>
      </c>
    </row>
    <row r="109" spans="1:78" s="456" customFormat="1" hidden="1">
      <c r="A109" s="1" t="s">
        <v>218</v>
      </c>
      <c r="B109" s="482"/>
      <c r="C109" s="482"/>
      <c r="D109" s="482"/>
      <c r="E109" s="482"/>
      <c r="F109" s="482"/>
      <c r="G109" s="482"/>
      <c r="H109" s="482"/>
      <c r="J109" s="15" t="s">
        <v>203</v>
      </c>
      <c r="Y109" s="15"/>
    </row>
    <row r="110" spans="1:78" s="456" customFormat="1" hidden="1">
      <c r="A110" s="1" t="s">
        <v>219</v>
      </c>
      <c r="B110" s="482"/>
      <c r="C110" s="482"/>
      <c r="D110" s="482"/>
      <c r="E110" s="482"/>
      <c r="F110" s="482"/>
      <c r="G110" s="482"/>
      <c r="H110" s="482"/>
      <c r="J110" s="15" t="s">
        <v>203</v>
      </c>
      <c r="Y110" s="15"/>
      <c r="BT110" s="454">
        <v>0.5</v>
      </c>
      <c r="BU110" s="459">
        <f>+375/BT110</f>
        <v>750</v>
      </c>
      <c r="BV110" s="15">
        <v>3.5</v>
      </c>
      <c r="BW110" s="459">
        <f t="shared" ref="BW110:BW129" si="17">+$BU$110/BV110</f>
        <v>214.28571428571428</v>
      </c>
      <c r="BX110" s="459">
        <f t="shared" ref="BX110:BX129" si="18">+BW110*0.96</f>
        <v>205.71428571428569</v>
      </c>
      <c r="BY110" s="459">
        <f t="shared" ref="BY110:BY129" si="19">BX110*$B$15</f>
        <v>189.01152894519788</v>
      </c>
      <c r="BZ110" s="15" t="s">
        <v>220</v>
      </c>
    </row>
    <row r="111" spans="1:78" s="456" customFormat="1" hidden="1">
      <c r="A111" s="482"/>
      <c r="B111" s="482"/>
      <c r="C111" s="482"/>
      <c r="D111" s="482"/>
      <c r="E111" s="482"/>
      <c r="F111" s="482"/>
      <c r="G111" s="482"/>
      <c r="H111" s="482"/>
      <c r="J111" s="15" t="s">
        <v>203</v>
      </c>
      <c r="Y111" s="15"/>
      <c r="BV111" s="15">
        <v>4</v>
      </c>
      <c r="BW111" s="459">
        <f t="shared" si="17"/>
        <v>187.5</v>
      </c>
      <c r="BX111" s="459">
        <f t="shared" si="18"/>
        <v>180</v>
      </c>
      <c r="BY111" s="459">
        <f t="shared" si="19"/>
        <v>165.38508782704818</v>
      </c>
    </row>
    <row r="112" spans="1:78" s="456" customFormat="1" hidden="1">
      <c r="A112" s="20" t="s">
        <v>221</v>
      </c>
      <c r="B112" s="482"/>
      <c r="C112" s="482"/>
      <c r="D112" s="482"/>
      <c r="E112" s="482"/>
      <c r="F112" s="482"/>
      <c r="G112" s="482"/>
      <c r="H112" s="482"/>
      <c r="J112" s="15" t="s">
        <v>203</v>
      </c>
      <c r="Y112" s="15"/>
      <c r="BV112" s="15">
        <v>4.5</v>
      </c>
      <c r="BW112" s="459">
        <f t="shared" si="17"/>
        <v>166.66666666666666</v>
      </c>
      <c r="BX112" s="459">
        <f t="shared" si="18"/>
        <v>159.99999999999997</v>
      </c>
      <c r="BY112" s="459">
        <f t="shared" si="19"/>
        <v>147.00896695737612</v>
      </c>
    </row>
    <row r="113" spans="1:77" s="456" customFormat="1" hidden="1">
      <c r="A113" s="1" t="s">
        <v>222</v>
      </c>
      <c r="B113" s="482"/>
      <c r="C113" s="482"/>
      <c r="D113" s="482"/>
      <c r="E113" s="482"/>
      <c r="F113" s="482"/>
      <c r="G113" s="482"/>
      <c r="H113" s="482"/>
      <c r="J113" s="15" t="s">
        <v>203</v>
      </c>
      <c r="Y113" s="15"/>
      <c r="BV113" s="15">
        <v>5</v>
      </c>
      <c r="BW113" s="459">
        <f t="shared" si="17"/>
        <v>150</v>
      </c>
      <c r="BX113" s="459">
        <f t="shared" si="18"/>
        <v>144</v>
      </c>
      <c r="BY113" s="459">
        <f t="shared" si="19"/>
        <v>132.30807026163853</v>
      </c>
    </row>
    <row r="114" spans="1:77" s="456" customFormat="1" hidden="1">
      <c r="A114" s="1" t="s">
        <v>223</v>
      </c>
      <c r="B114" s="482"/>
      <c r="C114" s="482"/>
      <c r="D114" s="482"/>
      <c r="E114" s="482"/>
      <c r="F114" s="482"/>
      <c r="G114" s="482"/>
      <c r="H114" s="482"/>
      <c r="J114" s="15" t="s">
        <v>203</v>
      </c>
      <c r="Y114" s="15"/>
      <c r="BV114" s="15">
        <v>5.5</v>
      </c>
      <c r="BW114" s="459">
        <f t="shared" si="17"/>
        <v>136.36363636363637</v>
      </c>
      <c r="BX114" s="459">
        <f t="shared" si="18"/>
        <v>130.90909090909091</v>
      </c>
      <c r="BY114" s="459">
        <f t="shared" si="19"/>
        <v>120.28006387421685</v>
      </c>
    </row>
    <row r="115" spans="1:77" s="456" customFormat="1" hidden="1">
      <c r="A115" s="1" t="s">
        <v>224</v>
      </c>
      <c r="B115" s="482"/>
      <c r="C115" s="482"/>
      <c r="D115" s="482"/>
      <c r="E115" s="482"/>
      <c r="F115" s="482"/>
      <c r="G115" s="482"/>
      <c r="H115" s="482"/>
      <c r="J115" s="15" t="s">
        <v>203</v>
      </c>
      <c r="BV115" s="15">
        <v>6</v>
      </c>
      <c r="BW115" s="459">
        <f t="shared" si="17"/>
        <v>125</v>
      </c>
      <c r="BX115" s="459">
        <f t="shared" si="18"/>
        <v>120</v>
      </c>
      <c r="BY115" s="459">
        <f t="shared" si="19"/>
        <v>110.25672521803212</v>
      </c>
    </row>
    <row r="116" spans="1:77" s="456" customFormat="1" hidden="1">
      <c r="A116" s="1" t="s">
        <v>225</v>
      </c>
      <c r="B116" s="482"/>
      <c r="C116" s="482"/>
      <c r="D116" s="482"/>
      <c r="E116" s="482"/>
      <c r="F116" s="482"/>
      <c r="G116" s="482"/>
      <c r="H116" s="482"/>
      <c r="J116" s="15" t="s">
        <v>203</v>
      </c>
      <c r="BV116" s="15">
        <v>6.5</v>
      </c>
      <c r="BW116" s="459">
        <f t="shared" si="17"/>
        <v>115.38461538461539</v>
      </c>
      <c r="BX116" s="459">
        <f t="shared" si="18"/>
        <v>110.76923076923077</v>
      </c>
      <c r="BY116" s="459">
        <f t="shared" si="19"/>
        <v>101.77543866279888</v>
      </c>
    </row>
    <row r="117" spans="1:77" s="456" customFormat="1" hidden="1">
      <c r="A117" s="1" t="s">
        <v>226</v>
      </c>
      <c r="B117" s="482"/>
      <c r="C117" s="482"/>
      <c r="D117" s="482"/>
      <c r="E117" s="482"/>
      <c r="F117" s="482"/>
      <c r="G117" s="482"/>
      <c r="H117" s="482"/>
      <c r="J117" s="15" t="s">
        <v>203</v>
      </c>
      <c r="Y117" s="15"/>
      <c r="BV117" s="15">
        <v>7</v>
      </c>
      <c r="BW117" s="459">
        <f t="shared" si="17"/>
        <v>107.14285714285714</v>
      </c>
      <c r="BX117" s="459">
        <f t="shared" si="18"/>
        <v>102.85714285714285</v>
      </c>
      <c r="BY117" s="459">
        <f t="shared" si="19"/>
        <v>94.505764472598941</v>
      </c>
    </row>
    <row r="118" spans="1:77" s="456" customFormat="1" hidden="1">
      <c r="A118" s="1" t="s">
        <v>227</v>
      </c>
      <c r="B118" s="482"/>
      <c r="C118" s="482"/>
      <c r="D118" s="482"/>
      <c r="E118" s="482"/>
      <c r="F118" s="482"/>
      <c r="G118" s="482"/>
      <c r="H118" s="482"/>
      <c r="J118" s="15" t="s">
        <v>203</v>
      </c>
      <c r="Y118" s="15"/>
      <c r="BV118" s="15">
        <v>7.5</v>
      </c>
      <c r="BW118" s="459">
        <f t="shared" si="17"/>
        <v>100</v>
      </c>
      <c r="BX118" s="459">
        <f t="shared" si="18"/>
        <v>96</v>
      </c>
      <c r="BY118" s="459">
        <f t="shared" si="19"/>
        <v>88.205380174425699</v>
      </c>
    </row>
    <row r="119" spans="1:77" s="456" customFormat="1" hidden="1">
      <c r="A119" s="482"/>
      <c r="B119" s="482"/>
      <c r="C119" s="482"/>
      <c r="D119" s="482"/>
      <c r="E119" s="482"/>
      <c r="F119" s="482"/>
      <c r="G119" s="482"/>
      <c r="H119" s="482"/>
      <c r="J119" s="15" t="s">
        <v>203</v>
      </c>
      <c r="Y119" s="15"/>
      <c r="BV119" s="15">
        <v>8</v>
      </c>
      <c r="BW119" s="459">
        <f t="shared" si="17"/>
        <v>93.75</v>
      </c>
      <c r="BX119" s="459">
        <f t="shared" si="18"/>
        <v>90</v>
      </c>
      <c r="BY119" s="459">
        <f t="shared" si="19"/>
        <v>82.692543913524091</v>
      </c>
    </row>
    <row r="120" spans="1:77" s="456" customFormat="1" hidden="1">
      <c r="A120" s="1" t="s">
        <v>228</v>
      </c>
      <c r="B120" s="482"/>
      <c r="C120" s="482"/>
      <c r="D120" s="482"/>
      <c r="E120" s="482"/>
      <c r="F120" s="482"/>
      <c r="G120" s="482"/>
      <c r="H120" s="482"/>
      <c r="J120" s="15" t="s">
        <v>203</v>
      </c>
      <c r="Y120" s="15"/>
      <c r="BV120" s="15">
        <v>8.5</v>
      </c>
      <c r="BW120" s="459">
        <f t="shared" si="17"/>
        <v>88.235294117647058</v>
      </c>
      <c r="BX120" s="459">
        <f t="shared" si="18"/>
        <v>84.705882352941174</v>
      </c>
      <c r="BY120" s="459">
        <f t="shared" si="19"/>
        <v>77.828276624493256</v>
      </c>
    </row>
    <row r="121" spans="1:77" s="456" customFormat="1" hidden="1">
      <c r="A121" s="1" t="s">
        <v>229</v>
      </c>
      <c r="B121" s="482"/>
      <c r="C121" s="482"/>
      <c r="D121" s="482"/>
      <c r="E121" s="482"/>
      <c r="F121" s="482"/>
      <c r="G121" s="482"/>
      <c r="H121" s="482"/>
      <c r="Y121" s="15"/>
      <c r="BV121" s="15">
        <v>9</v>
      </c>
      <c r="BW121" s="459">
        <f t="shared" si="17"/>
        <v>83.333333333333329</v>
      </c>
      <c r="BX121" s="459">
        <f t="shared" si="18"/>
        <v>79.999999999999986</v>
      </c>
      <c r="BY121" s="459">
        <f t="shared" si="19"/>
        <v>73.504483478688059</v>
      </c>
    </row>
    <row r="122" spans="1:77" s="456" customFormat="1" hidden="1">
      <c r="A122" s="1" t="s">
        <v>230</v>
      </c>
      <c r="B122" s="482"/>
      <c r="C122" s="482"/>
      <c r="D122" s="482"/>
      <c r="E122" s="482"/>
      <c r="F122" s="482"/>
      <c r="G122" s="482"/>
      <c r="H122" s="482"/>
      <c r="Y122" s="15"/>
      <c r="BV122" s="15">
        <v>9.5</v>
      </c>
      <c r="BW122" s="459">
        <f t="shared" si="17"/>
        <v>78.94736842105263</v>
      </c>
      <c r="BX122" s="459">
        <f t="shared" si="18"/>
        <v>75.78947368421052</v>
      </c>
      <c r="BY122" s="459">
        <f t="shared" si="19"/>
        <v>69.635826453493962</v>
      </c>
    </row>
    <row r="123" spans="1:77" s="456" customFormat="1" hidden="1">
      <c r="A123" s="1" t="s">
        <v>231</v>
      </c>
      <c r="B123" s="482"/>
      <c r="C123" s="482"/>
      <c r="D123" s="482"/>
      <c r="E123" s="482"/>
      <c r="F123" s="482"/>
      <c r="G123" s="482"/>
      <c r="H123" s="482"/>
      <c r="Y123" s="15"/>
      <c r="BV123" s="15">
        <v>10</v>
      </c>
      <c r="BW123" s="459">
        <f t="shared" si="17"/>
        <v>75</v>
      </c>
      <c r="BX123" s="459">
        <f t="shared" si="18"/>
        <v>72</v>
      </c>
      <c r="BY123" s="459">
        <f t="shared" si="19"/>
        <v>66.154035130819267</v>
      </c>
    </row>
    <row r="124" spans="1:77" s="456" customFormat="1" hidden="1">
      <c r="A124" s="20" t="s">
        <v>232</v>
      </c>
      <c r="B124" s="482"/>
      <c r="C124" s="482"/>
      <c r="D124" s="482"/>
      <c r="E124" s="482"/>
      <c r="F124" s="482"/>
      <c r="G124" s="482"/>
      <c r="H124" s="482"/>
      <c r="Y124" s="15"/>
      <c r="BV124" s="15">
        <v>10.5</v>
      </c>
      <c r="BW124" s="459">
        <f t="shared" si="17"/>
        <v>71.428571428571431</v>
      </c>
      <c r="BX124" s="459">
        <f t="shared" si="18"/>
        <v>68.571428571428569</v>
      </c>
      <c r="BY124" s="459">
        <f t="shared" si="19"/>
        <v>63.003842981732632</v>
      </c>
    </row>
    <row r="125" spans="1:77" s="456" customFormat="1" hidden="1">
      <c r="A125" s="20" t="s">
        <v>233</v>
      </c>
      <c r="B125" s="482"/>
      <c r="C125" s="482"/>
      <c r="D125" s="482"/>
      <c r="E125" s="482"/>
      <c r="F125" s="482"/>
      <c r="G125" s="482"/>
      <c r="H125" s="482"/>
      <c r="Y125" s="15"/>
      <c r="BV125" s="15">
        <v>11</v>
      </c>
      <c r="BW125" s="459">
        <f t="shared" si="17"/>
        <v>68.181818181818187</v>
      </c>
      <c r="BX125" s="459">
        <f t="shared" si="18"/>
        <v>65.454545454545453</v>
      </c>
      <c r="BY125" s="459">
        <f t="shared" si="19"/>
        <v>60.140031937108425</v>
      </c>
    </row>
    <row r="126" spans="1:77" s="456" customFormat="1" hidden="1">
      <c r="A126" s="482"/>
      <c r="B126" s="482"/>
      <c r="C126" s="482"/>
      <c r="D126" s="482"/>
      <c r="E126" s="482"/>
      <c r="F126" s="482"/>
      <c r="G126" s="482"/>
      <c r="H126" s="482"/>
      <c r="BV126" s="15">
        <v>11.5</v>
      </c>
      <c r="BW126" s="459">
        <f t="shared" si="17"/>
        <v>65.217391304347828</v>
      </c>
      <c r="BX126" s="459">
        <f t="shared" si="18"/>
        <v>62.608695652173914</v>
      </c>
      <c r="BY126" s="459">
        <f t="shared" si="19"/>
        <v>57.525247939842842</v>
      </c>
    </row>
    <row r="127" spans="1:77" s="456" customFormat="1" hidden="1">
      <c r="A127" s="20" t="s">
        <v>234</v>
      </c>
      <c r="B127" s="482"/>
      <c r="C127" s="482"/>
      <c r="D127" s="482"/>
      <c r="E127" s="482"/>
      <c r="F127" s="482"/>
      <c r="G127" s="482"/>
      <c r="H127" s="482"/>
      <c r="BV127" s="15">
        <v>12</v>
      </c>
      <c r="BW127" s="459">
        <f t="shared" si="17"/>
        <v>62.5</v>
      </c>
      <c r="BX127" s="459">
        <f t="shared" si="18"/>
        <v>60</v>
      </c>
      <c r="BY127" s="459">
        <f t="shared" si="19"/>
        <v>55.128362609016058</v>
      </c>
    </row>
    <row r="128" spans="1:77" s="456" customFormat="1" hidden="1">
      <c r="A128" s="1" t="s">
        <v>235</v>
      </c>
      <c r="B128" s="482"/>
      <c r="C128" s="482"/>
      <c r="D128" s="482"/>
      <c r="E128" s="482"/>
      <c r="F128" s="482"/>
      <c r="G128" s="482"/>
      <c r="H128" s="482"/>
      <c r="BV128" s="15">
        <v>12.5</v>
      </c>
      <c r="BW128" s="459">
        <f t="shared" si="17"/>
        <v>60</v>
      </c>
      <c r="BX128" s="459">
        <f t="shared" si="18"/>
        <v>57.599999999999994</v>
      </c>
      <c r="BY128" s="459">
        <f t="shared" si="19"/>
        <v>52.923228104655408</v>
      </c>
    </row>
    <row r="129" spans="1:78" s="456" customFormat="1" hidden="1">
      <c r="A129" s="1" t="s">
        <v>236</v>
      </c>
      <c r="B129" s="482"/>
      <c r="C129" s="482"/>
      <c r="D129" s="482"/>
      <c r="E129" s="482"/>
      <c r="F129" s="482"/>
      <c r="G129" s="482"/>
      <c r="H129" s="482"/>
      <c r="BV129" s="15">
        <v>13</v>
      </c>
      <c r="BW129" s="459">
        <f t="shared" si="17"/>
        <v>57.692307692307693</v>
      </c>
      <c r="BX129" s="459">
        <f t="shared" si="18"/>
        <v>55.384615384615387</v>
      </c>
      <c r="BY129" s="459">
        <f t="shared" si="19"/>
        <v>50.887719331399438</v>
      </c>
    </row>
    <row r="130" spans="1:78" s="456" customFormat="1" hidden="1">
      <c r="A130" s="1" t="s">
        <v>237</v>
      </c>
      <c r="B130" s="482"/>
      <c r="C130" s="482"/>
      <c r="D130" s="482"/>
      <c r="E130" s="482"/>
      <c r="F130" s="482"/>
      <c r="G130" s="482"/>
      <c r="H130" s="482"/>
    </row>
    <row r="131" spans="1:78" s="456" customFormat="1" hidden="1">
      <c r="A131" s="1" t="s">
        <v>238</v>
      </c>
      <c r="B131" s="482"/>
      <c r="C131" s="482"/>
      <c r="D131" s="482"/>
      <c r="E131" s="482"/>
      <c r="F131" s="482"/>
      <c r="G131" s="482"/>
      <c r="H131" s="482"/>
      <c r="BV131" s="15">
        <v>3.5</v>
      </c>
      <c r="BW131" s="15">
        <v>230</v>
      </c>
      <c r="BZ131" s="15" t="s">
        <v>10</v>
      </c>
    </row>
    <row r="132" spans="1:78" s="456" customFormat="1" hidden="1">
      <c r="A132" s="482"/>
      <c r="B132" s="482"/>
      <c r="C132" s="482"/>
      <c r="D132" s="482"/>
      <c r="E132" s="482"/>
      <c r="F132" s="482"/>
      <c r="G132" s="482"/>
      <c r="H132" s="482"/>
    </row>
    <row r="133" spans="1:78" s="456" customFormat="1" hidden="1">
      <c r="A133" s="1" t="s">
        <v>239</v>
      </c>
      <c r="B133" s="482"/>
      <c r="C133" s="482"/>
      <c r="D133" s="482"/>
      <c r="E133" s="482"/>
      <c r="F133" s="482"/>
      <c r="G133" s="482"/>
      <c r="H133" s="482"/>
      <c r="BT133" s="454">
        <v>0.6</v>
      </c>
      <c r="BU133" s="459">
        <f>+375/BT133</f>
        <v>625</v>
      </c>
      <c r="BV133" s="15">
        <v>3.5</v>
      </c>
      <c r="BW133" s="459">
        <f t="shared" ref="BW133:BW152" si="20">$BU$133/BV133</f>
        <v>178.57142857142858</v>
      </c>
      <c r="BX133" s="459">
        <f t="shared" ref="BX133:BX152" si="21">+BW133*0.96</f>
        <v>171.42857142857144</v>
      </c>
      <c r="BY133" s="459">
        <f t="shared" ref="BY133:BY152" si="22">BX133*$B$15</f>
        <v>157.50960745433161</v>
      </c>
      <c r="BZ133" s="15" t="s">
        <v>240</v>
      </c>
    </row>
    <row r="134" spans="1:78" s="456" customFormat="1" hidden="1">
      <c r="A134" s="1" t="s">
        <v>241</v>
      </c>
      <c r="B134" s="482"/>
      <c r="C134" s="482"/>
      <c r="D134" s="482"/>
      <c r="E134" s="482"/>
      <c r="F134" s="482"/>
      <c r="G134" s="482"/>
      <c r="H134" s="482"/>
      <c r="BV134" s="15">
        <v>4</v>
      </c>
      <c r="BW134" s="459">
        <f t="shared" si="20"/>
        <v>156.25</v>
      </c>
      <c r="BX134" s="459">
        <f t="shared" si="21"/>
        <v>150</v>
      </c>
      <c r="BY134" s="459">
        <f t="shared" si="22"/>
        <v>137.82090652254016</v>
      </c>
    </row>
    <row r="135" spans="1:78" s="456" customFormat="1" hidden="1">
      <c r="A135" s="1" t="s">
        <v>242</v>
      </c>
      <c r="B135" s="482"/>
      <c r="C135" s="482"/>
      <c r="D135" s="482"/>
      <c r="E135" s="482"/>
      <c r="F135" s="482"/>
      <c r="G135" s="482"/>
      <c r="H135" s="482"/>
      <c r="BV135" s="15">
        <v>4.5</v>
      </c>
      <c r="BW135" s="459">
        <f t="shared" si="20"/>
        <v>138.88888888888889</v>
      </c>
      <c r="BX135" s="459">
        <f t="shared" si="21"/>
        <v>133.33333333333331</v>
      </c>
      <c r="BY135" s="459">
        <f t="shared" si="22"/>
        <v>122.50747246448012</v>
      </c>
    </row>
    <row r="136" spans="1:78" s="456" customFormat="1" hidden="1">
      <c r="A136" s="482"/>
      <c r="B136" s="482"/>
      <c r="C136" s="482"/>
      <c r="D136" s="482"/>
      <c r="E136" s="482"/>
      <c r="F136" s="482"/>
      <c r="G136" s="482"/>
      <c r="H136" s="482"/>
      <c r="BV136" s="15">
        <v>5</v>
      </c>
      <c r="BW136" s="459">
        <f t="shared" si="20"/>
        <v>125</v>
      </c>
      <c r="BX136" s="459">
        <f t="shared" si="21"/>
        <v>120</v>
      </c>
      <c r="BY136" s="459">
        <f t="shared" si="22"/>
        <v>110.25672521803212</v>
      </c>
    </row>
    <row r="137" spans="1:78" s="456" customFormat="1" hidden="1">
      <c r="A137" s="20" t="s">
        <v>243</v>
      </c>
      <c r="B137" s="482"/>
      <c r="C137" s="482"/>
      <c r="D137" s="482"/>
      <c r="E137" s="482"/>
      <c r="F137" s="482"/>
      <c r="G137" s="482"/>
      <c r="H137" s="482"/>
      <c r="BV137" s="15">
        <v>5.5</v>
      </c>
      <c r="BW137" s="459">
        <f t="shared" si="20"/>
        <v>113.63636363636364</v>
      </c>
      <c r="BX137" s="459">
        <f t="shared" si="21"/>
        <v>109.09090909090909</v>
      </c>
      <c r="BY137" s="459">
        <f t="shared" si="22"/>
        <v>100.23338656184738</v>
      </c>
    </row>
    <row r="138" spans="1:78" s="456" customFormat="1" hidden="1">
      <c r="A138" s="1" t="s">
        <v>244</v>
      </c>
      <c r="B138" s="482"/>
      <c r="C138" s="482"/>
      <c r="D138" s="482"/>
      <c r="E138" s="482"/>
      <c r="F138" s="482"/>
      <c r="G138" s="482"/>
      <c r="H138" s="482"/>
      <c r="BV138" s="15">
        <v>6</v>
      </c>
      <c r="BW138" s="459">
        <f t="shared" si="20"/>
        <v>104.16666666666667</v>
      </c>
      <c r="BX138" s="459">
        <f t="shared" si="21"/>
        <v>100</v>
      </c>
      <c r="BY138" s="459">
        <f t="shared" si="22"/>
        <v>91.880604348360094</v>
      </c>
    </row>
    <row r="139" spans="1:78" s="456" customFormat="1" hidden="1">
      <c r="A139" s="1" t="s">
        <v>245</v>
      </c>
      <c r="B139" s="482"/>
      <c r="C139" s="482"/>
      <c r="D139" s="482"/>
      <c r="E139" s="482"/>
      <c r="F139" s="482"/>
      <c r="G139" s="482"/>
      <c r="H139" s="482"/>
      <c r="BV139" s="15">
        <v>6.5</v>
      </c>
      <c r="BW139" s="459">
        <f t="shared" si="20"/>
        <v>96.15384615384616</v>
      </c>
      <c r="BX139" s="459">
        <f t="shared" si="21"/>
        <v>92.307692307692307</v>
      </c>
      <c r="BY139" s="459">
        <f t="shared" si="22"/>
        <v>84.812865552332397</v>
      </c>
    </row>
    <row r="140" spans="1:78" s="456" customFormat="1" hidden="1">
      <c r="A140" s="1" t="s">
        <v>246</v>
      </c>
      <c r="B140" s="482"/>
      <c r="C140" s="482"/>
      <c r="D140" s="482"/>
      <c r="E140" s="482"/>
      <c r="F140" s="482"/>
      <c r="G140" s="482"/>
      <c r="H140" s="482"/>
      <c r="BV140" s="15">
        <v>7</v>
      </c>
      <c r="BW140" s="459">
        <f t="shared" si="20"/>
        <v>89.285714285714292</v>
      </c>
      <c r="BX140" s="459">
        <f t="shared" si="21"/>
        <v>85.714285714285722</v>
      </c>
      <c r="BY140" s="459">
        <f t="shared" si="22"/>
        <v>78.754803727165807</v>
      </c>
    </row>
    <row r="141" spans="1:78" s="456" customFormat="1" hidden="1">
      <c r="A141" s="482"/>
      <c r="B141" s="482"/>
      <c r="C141" s="482"/>
      <c r="D141" s="482"/>
      <c r="E141" s="482"/>
      <c r="F141" s="482"/>
      <c r="G141" s="482"/>
      <c r="H141" s="482"/>
      <c r="BV141" s="15">
        <v>7.5</v>
      </c>
      <c r="BW141" s="459">
        <f t="shared" si="20"/>
        <v>83.333333333333329</v>
      </c>
      <c r="BX141" s="459">
        <f t="shared" si="21"/>
        <v>79.999999999999986</v>
      </c>
      <c r="BY141" s="459">
        <f t="shared" si="22"/>
        <v>73.504483478688059</v>
      </c>
    </row>
    <row r="142" spans="1:78" s="456" customFormat="1" hidden="1">
      <c r="A142" s="1" t="s">
        <v>247</v>
      </c>
      <c r="B142" s="482"/>
      <c r="C142" s="482"/>
      <c r="D142" s="482"/>
      <c r="E142" s="482"/>
      <c r="F142" s="482"/>
      <c r="G142" s="482"/>
      <c r="H142" s="482"/>
      <c r="BV142" s="15">
        <v>8</v>
      </c>
      <c r="BW142" s="459">
        <f t="shared" si="20"/>
        <v>78.125</v>
      </c>
      <c r="BX142" s="459">
        <f t="shared" si="21"/>
        <v>75</v>
      </c>
      <c r="BY142" s="459">
        <f t="shared" si="22"/>
        <v>68.910453261270078</v>
      </c>
    </row>
    <row r="143" spans="1:78" s="456" customFormat="1" hidden="1">
      <c r="A143" s="1" t="s">
        <v>248</v>
      </c>
      <c r="B143" s="482"/>
      <c r="C143" s="482"/>
      <c r="D143" s="482"/>
      <c r="E143" s="482"/>
      <c r="F143" s="482"/>
      <c r="G143" s="482"/>
      <c r="H143" s="482"/>
      <c r="BV143" s="15">
        <v>8.5</v>
      </c>
      <c r="BW143" s="459">
        <f t="shared" si="20"/>
        <v>73.529411764705884</v>
      </c>
      <c r="BX143" s="459">
        <f t="shared" si="21"/>
        <v>70.588235294117652</v>
      </c>
      <c r="BY143" s="459">
        <f t="shared" si="22"/>
        <v>64.85689718707772</v>
      </c>
    </row>
    <row r="144" spans="1:78" s="456" customFormat="1" hidden="1">
      <c r="A144" s="1" t="s">
        <v>249</v>
      </c>
      <c r="B144" s="482"/>
      <c r="C144" s="482"/>
      <c r="D144" s="482"/>
      <c r="E144" s="482"/>
      <c r="F144" s="482"/>
      <c r="G144" s="482"/>
      <c r="H144" s="482"/>
      <c r="BV144" s="15">
        <v>9</v>
      </c>
      <c r="BW144" s="459">
        <f t="shared" si="20"/>
        <v>69.444444444444443</v>
      </c>
      <c r="BX144" s="459">
        <f t="shared" si="21"/>
        <v>66.666666666666657</v>
      </c>
      <c r="BY144" s="459">
        <f t="shared" si="22"/>
        <v>61.253736232240058</v>
      </c>
    </row>
    <row r="145" spans="1:77" s="456" customFormat="1" hidden="1">
      <c r="A145" s="1" t="s">
        <v>250</v>
      </c>
      <c r="B145" s="482"/>
      <c r="C145" s="482"/>
      <c r="D145" s="482"/>
      <c r="E145" s="482"/>
      <c r="F145" s="482"/>
      <c r="G145" s="482"/>
      <c r="H145" s="482"/>
      <c r="BV145" s="15">
        <v>9.5</v>
      </c>
      <c r="BW145" s="459">
        <f t="shared" si="20"/>
        <v>65.78947368421052</v>
      </c>
      <c r="BX145" s="459">
        <f t="shared" si="21"/>
        <v>63.157894736842096</v>
      </c>
      <c r="BY145" s="459">
        <f t="shared" si="22"/>
        <v>58.02985537791163</v>
      </c>
    </row>
    <row r="146" spans="1:77" s="456" customFormat="1" hidden="1">
      <c r="A146" s="482"/>
      <c r="B146" s="482"/>
      <c r="C146" s="482"/>
      <c r="D146" s="482"/>
      <c r="E146" s="482"/>
      <c r="F146" s="482"/>
      <c r="G146" s="482"/>
      <c r="H146" s="482"/>
      <c r="BV146" s="15">
        <v>10</v>
      </c>
      <c r="BW146" s="459">
        <f t="shared" si="20"/>
        <v>62.5</v>
      </c>
      <c r="BX146" s="459">
        <f t="shared" si="21"/>
        <v>60</v>
      </c>
      <c r="BY146" s="459">
        <f t="shared" si="22"/>
        <v>55.128362609016058</v>
      </c>
    </row>
    <row r="147" spans="1:77" s="456" customFormat="1" hidden="1">
      <c r="A147" s="20" t="s">
        <v>251</v>
      </c>
      <c r="B147" s="482"/>
      <c r="C147" s="482"/>
      <c r="D147" s="482"/>
      <c r="E147" s="482"/>
      <c r="F147" s="482"/>
      <c r="G147" s="482"/>
      <c r="H147" s="482"/>
      <c r="BV147" s="15">
        <v>10.5</v>
      </c>
      <c r="BW147" s="459">
        <f t="shared" si="20"/>
        <v>59.523809523809526</v>
      </c>
      <c r="BX147" s="459">
        <f t="shared" si="21"/>
        <v>57.142857142857146</v>
      </c>
      <c r="BY147" s="459">
        <f t="shared" si="22"/>
        <v>52.503202484777198</v>
      </c>
    </row>
    <row r="148" spans="1:77" s="456" customFormat="1" hidden="1">
      <c r="A148" s="1" t="s">
        <v>252</v>
      </c>
      <c r="B148" s="482"/>
      <c r="C148" s="482"/>
      <c r="D148" s="482"/>
      <c r="E148" s="482"/>
      <c r="F148" s="482"/>
      <c r="G148" s="482"/>
      <c r="H148" s="482"/>
      <c r="BV148" s="15">
        <v>11</v>
      </c>
      <c r="BW148" s="459">
        <f t="shared" si="20"/>
        <v>56.81818181818182</v>
      </c>
      <c r="BX148" s="459">
        <f t="shared" si="21"/>
        <v>54.545454545454547</v>
      </c>
      <c r="BY148" s="459">
        <f t="shared" si="22"/>
        <v>50.116693280923691</v>
      </c>
    </row>
    <row r="149" spans="1:77" s="456" customFormat="1" hidden="1">
      <c r="A149" s="1" t="s">
        <v>253</v>
      </c>
      <c r="B149" s="482"/>
      <c r="C149" s="482"/>
      <c r="D149" s="482"/>
      <c r="E149" s="482"/>
      <c r="F149" s="482"/>
      <c r="G149" s="482"/>
      <c r="H149" s="482"/>
      <c r="BV149" s="15">
        <v>11.5</v>
      </c>
      <c r="BW149" s="459">
        <f t="shared" si="20"/>
        <v>54.347826086956523</v>
      </c>
      <c r="BX149" s="459">
        <f t="shared" si="21"/>
        <v>52.173913043478258</v>
      </c>
      <c r="BY149" s="459">
        <f t="shared" si="22"/>
        <v>47.937706616535699</v>
      </c>
    </row>
    <row r="150" spans="1:77" s="456" customFormat="1" hidden="1">
      <c r="A150" s="1" t="s">
        <v>254</v>
      </c>
      <c r="B150" s="482"/>
      <c r="C150" s="482"/>
      <c r="D150" s="482"/>
      <c r="E150" s="482"/>
      <c r="F150" s="482"/>
      <c r="G150" s="482"/>
      <c r="H150" s="482"/>
      <c r="BV150" s="15">
        <v>12</v>
      </c>
      <c r="BW150" s="459">
        <f t="shared" si="20"/>
        <v>52.083333333333336</v>
      </c>
      <c r="BX150" s="459">
        <f t="shared" si="21"/>
        <v>50</v>
      </c>
      <c r="BY150" s="459">
        <f t="shared" si="22"/>
        <v>45.940302174180047</v>
      </c>
    </row>
    <row r="151" spans="1:77" s="456" customFormat="1" hidden="1">
      <c r="A151" s="482"/>
      <c r="B151" s="482"/>
      <c r="C151" s="482"/>
      <c r="D151" s="482"/>
      <c r="E151" s="482"/>
      <c r="F151" s="482"/>
      <c r="G151" s="482"/>
      <c r="H151" s="482"/>
      <c r="BV151" s="15">
        <v>12.5</v>
      </c>
      <c r="BW151" s="459">
        <f t="shared" si="20"/>
        <v>50</v>
      </c>
      <c r="BX151" s="459">
        <f t="shared" si="21"/>
        <v>48</v>
      </c>
      <c r="BY151" s="459">
        <f t="shared" si="22"/>
        <v>44.102690087212849</v>
      </c>
    </row>
    <row r="152" spans="1:77" s="456" customFormat="1" hidden="1">
      <c r="A152" s="1" t="s">
        <v>255</v>
      </c>
      <c r="B152" s="482"/>
      <c r="C152" s="482"/>
      <c r="D152" s="482"/>
      <c r="E152" s="482"/>
      <c r="F152" s="482"/>
      <c r="G152" s="482"/>
      <c r="H152" s="482"/>
      <c r="BV152" s="15">
        <v>13</v>
      </c>
      <c r="BW152" s="459">
        <f t="shared" si="20"/>
        <v>48.07692307692308</v>
      </c>
      <c r="BX152" s="459">
        <f t="shared" si="21"/>
        <v>46.153846153846153</v>
      </c>
      <c r="BY152" s="459">
        <f t="shared" si="22"/>
        <v>42.406432776166199</v>
      </c>
    </row>
    <row r="153" spans="1:77" s="456" customFormat="1" hidden="1">
      <c r="A153" s="20" t="s">
        <v>256</v>
      </c>
      <c r="B153" s="482"/>
      <c r="C153" s="482"/>
      <c r="D153" s="482"/>
      <c r="E153" s="482"/>
      <c r="F153" s="482"/>
      <c r="G153" s="482"/>
      <c r="H153" s="482"/>
    </row>
    <row r="154" spans="1:77" s="456" customFormat="1" hidden="1">
      <c r="A154" s="1" t="s">
        <v>257</v>
      </c>
      <c r="B154" s="482"/>
      <c r="C154" s="482"/>
      <c r="D154" s="482"/>
      <c r="E154" s="482"/>
      <c r="F154" s="482"/>
      <c r="G154" s="482"/>
      <c r="H154" s="482"/>
      <c r="BT154" s="454">
        <v>0.45</v>
      </c>
      <c r="BU154" s="459">
        <f>+375/BT154</f>
        <v>833.33333333333326</v>
      </c>
      <c r="BV154" s="15">
        <v>3.5</v>
      </c>
      <c r="BW154" s="459">
        <f t="shared" ref="BW154:BW173" si="23">$BU$154/BV154</f>
        <v>238.09523809523807</v>
      </c>
      <c r="BX154" s="459">
        <f t="shared" ref="BX154:BX173" si="24">+BW154*0.96</f>
        <v>228.57142857142856</v>
      </c>
      <c r="BY154" s="459">
        <f t="shared" ref="BY154:BY173" si="25">BX154*$B$15</f>
        <v>210.01280993910876</v>
      </c>
    </row>
    <row r="155" spans="1:77" s="456" customFormat="1" hidden="1">
      <c r="A155" s="20" t="s">
        <v>258</v>
      </c>
      <c r="B155" s="482"/>
      <c r="C155" s="482"/>
      <c r="D155" s="482"/>
      <c r="E155" s="482"/>
      <c r="F155" s="482"/>
      <c r="G155" s="482"/>
      <c r="H155" s="482"/>
      <c r="BV155" s="15">
        <v>4</v>
      </c>
      <c r="BW155" s="459">
        <f t="shared" si="23"/>
        <v>208.33333333333331</v>
      </c>
      <c r="BX155" s="459">
        <f t="shared" si="24"/>
        <v>199.99999999999997</v>
      </c>
      <c r="BY155" s="459">
        <f t="shared" si="25"/>
        <v>183.76120869672016</v>
      </c>
    </row>
    <row r="156" spans="1:77" s="456" customFormat="1" hidden="1">
      <c r="A156" s="1" t="s">
        <v>259</v>
      </c>
      <c r="B156" s="482"/>
      <c r="C156" s="482"/>
      <c r="D156" s="482"/>
      <c r="E156" s="482"/>
      <c r="F156" s="482"/>
      <c r="G156" s="482"/>
      <c r="H156" s="482"/>
      <c r="BV156" s="15">
        <v>4.5</v>
      </c>
      <c r="BW156" s="459">
        <f t="shared" si="23"/>
        <v>185.18518518518516</v>
      </c>
      <c r="BX156" s="459">
        <f t="shared" si="24"/>
        <v>177.77777777777774</v>
      </c>
      <c r="BY156" s="459">
        <f t="shared" si="25"/>
        <v>163.34329661930681</v>
      </c>
    </row>
    <row r="157" spans="1:77" s="456" customFormat="1" hidden="1">
      <c r="A157" s="1" t="s">
        <v>260</v>
      </c>
      <c r="B157" s="482"/>
      <c r="C157" s="482"/>
      <c r="D157" s="482"/>
      <c r="E157" s="482"/>
      <c r="F157" s="482"/>
      <c r="G157" s="482"/>
      <c r="H157" s="482"/>
      <c r="BV157" s="15">
        <v>5</v>
      </c>
      <c r="BW157" s="459">
        <f t="shared" si="23"/>
        <v>166.66666666666666</v>
      </c>
      <c r="BX157" s="459">
        <f t="shared" si="24"/>
        <v>159.99999999999997</v>
      </c>
      <c r="BY157" s="459">
        <f t="shared" si="25"/>
        <v>147.00896695737612</v>
      </c>
    </row>
    <row r="158" spans="1:77" s="456" customFormat="1" hidden="1">
      <c r="A158" s="482"/>
      <c r="B158" s="482"/>
      <c r="C158" s="482"/>
      <c r="D158" s="482"/>
      <c r="E158" s="482"/>
      <c r="F158" s="482"/>
      <c r="G158" s="482"/>
      <c r="H158" s="482"/>
      <c r="BV158" s="15">
        <v>5.5</v>
      </c>
      <c r="BW158" s="459">
        <f t="shared" si="23"/>
        <v>151.5151515151515</v>
      </c>
      <c r="BX158" s="459">
        <f t="shared" si="24"/>
        <v>145.45454545454544</v>
      </c>
      <c r="BY158" s="459">
        <f t="shared" si="25"/>
        <v>133.64451541579649</v>
      </c>
    </row>
    <row r="159" spans="1:77" s="456" customFormat="1" hidden="1">
      <c r="A159" s="1" t="s">
        <v>261</v>
      </c>
      <c r="B159" s="482"/>
      <c r="C159" s="482"/>
      <c r="D159" s="482"/>
      <c r="E159" s="482"/>
      <c r="F159" s="482"/>
      <c r="G159" s="482"/>
      <c r="H159" s="482"/>
      <c r="BV159" s="15">
        <v>6</v>
      </c>
      <c r="BW159" s="459">
        <f t="shared" si="23"/>
        <v>138.88888888888889</v>
      </c>
      <c r="BX159" s="459">
        <f t="shared" si="24"/>
        <v>133.33333333333331</v>
      </c>
      <c r="BY159" s="459">
        <f t="shared" si="25"/>
        <v>122.50747246448012</v>
      </c>
    </row>
    <row r="160" spans="1:77" s="456" customFormat="1" hidden="1">
      <c r="A160" s="1" t="s">
        <v>262</v>
      </c>
      <c r="B160" s="482"/>
      <c r="C160" s="482"/>
      <c r="D160" s="482"/>
      <c r="E160" s="482"/>
      <c r="F160" s="482"/>
      <c r="G160" s="482"/>
      <c r="H160" s="482"/>
      <c r="BV160" s="15">
        <v>6.5</v>
      </c>
      <c r="BW160" s="459">
        <f t="shared" si="23"/>
        <v>128.2051282051282</v>
      </c>
      <c r="BX160" s="459">
        <f t="shared" si="24"/>
        <v>123.07692307692307</v>
      </c>
      <c r="BY160" s="459">
        <f t="shared" si="25"/>
        <v>113.08382073644319</v>
      </c>
    </row>
    <row r="161" spans="1:77" s="456" customFormat="1" hidden="1">
      <c r="A161" s="1" t="s">
        <v>263</v>
      </c>
      <c r="B161" s="482"/>
      <c r="C161" s="482"/>
      <c r="D161" s="482"/>
      <c r="E161" s="482"/>
      <c r="F161" s="482"/>
      <c r="G161" s="482"/>
      <c r="H161" s="482"/>
      <c r="BV161" s="15">
        <v>7</v>
      </c>
      <c r="BW161" s="459">
        <f t="shared" si="23"/>
        <v>119.04761904761904</v>
      </c>
      <c r="BX161" s="459">
        <f t="shared" si="24"/>
        <v>114.28571428571428</v>
      </c>
      <c r="BY161" s="459">
        <f t="shared" si="25"/>
        <v>105.00640496955438</v>
      </c>
    </row>
    <row r="162" spans="1:77" s="456" customFormat="1" hidden="1">
      <c r="A162" s="1" t="s">
        <v>264</v>
      </c>
      <c r="B162" s="482"/>
      <c r="C162" s="482"/>
      <c r="D162" s="482"/>
      <c r="E162" s="482"/>
      <c r="F162" s="482"/>
      <c r="G162" s="482"/>
      <c r="H162" s="482"/>
      <c r="BV162" s="15">
        <v>7.5</v>
      </c>
      <c r="BW162" s="459">
        <f t="shared" si="23"/>
        <v>111.1111111111111</v>
      </c>
      <c r="BX162" s="459">
        <f t="shared" si="24"/>
        <v>106.66666666666666</v>
      </c>
      <c r="BY162" s="459">
        <f t="shared" si="25"/>
        <v>98.005977971584088</v>
      </c>
    </row>
    <row r="163" spans="1:77" s="456" customFormat="1" hidden="1">
      <c r="A163" s="482"/>
      <c r="B163" s="482"/>
      <c r="C163" s="482"/>
      <c r="D163" s="482"/>
      <c r="E163" s="482"/>
      <c r="F163" s="482"/>
      <c r="G163" s="482"/>
      <c r="H163" s="482"/>
      <c r="BV163" s="15">
        <v>8</v>
      </c>
      <c r="BW163" s="459">
        <f t="shared" si="23"/>
        <v>104.16666666666666</v>
      </c>
      <c r="BX163" s="459">
        <f t="shared" si="24"/>
        <v>99.999999999999986</v>
      </c>
      <c r="BY163" s="459">
        <f t="shared" si="25"/>
        <v>91.88060434836008</v>
      </c>
    </row>
    <row r="164" spans="1:77" s="456" customFormat="1" hidden="1">
      <c r="A164" s="20" t="s">
        <v>265</v>
      </c>
      <c r="B164" s="482"/>
      <c r="C164" s="482"/>
      <c r="D164" s="482"/>
      <c r="E164" s="482"/>
      <c r="F164" s="482"/>
      <c r="G164" s="482"/>
      <c r="H164" s="482"/>
      <c r="BV164" s="15">
        <v>8.5</v>
      </c>
      <c r="BW164" s="459">
        <f t="shared" si="23"/>
        <v>98.039215686274503</v>
      </c>
      <c r="BX164" s="459">
        <f t="shared" si="24"/>
        <v>94.117647058823522</v>
      </c>
      <c r="BY164" s="459">
        <f t="shared" si="25"/>
        <v>86.475862916103608</v>
      </c>
    </row>
    <row r="165" spans="1:77" s="456" customFormat="1" hidden="1">
      <c r="A165" s="20" t="s">
        <v>266</v>
      </c>
      <c r="B165" s="482"/>
      <c r="C165" s="482"/>
      <c r="D165" s="482"/>
      <c r="E165" s="482"/>
      <c r="F165" s="482"/>
      <c r="G165" s="482"/>
      <c r="H165" s="482"/>
      <c r="BV165" s="15">
        <v>9</v>
      </c>
      <c r="BW165" s="459">
        <f t="shared" si="23"/>
        <v>92.592592592592581</v>
      </c>
      <c r="BX165" s="459">
        <f t="shared" si="24"/>
        <v>88.888888888888872</v>
      </c>
      <c r="BY165" s="459">
        <f t="shared" si="25"/>
        <v>81.671648309653406</v>
      </c>
    </row>
    <row r="166" spans="1:77" s="456" customFormat="1" hidden="1">
      <c r="A166" s="482" t="s">
        <v>267</v>
      </c>
      <c r="B166" s="482"/>
      <c r="C166" s="482"/>
      <c r="D166" s="482"/>
      <c r="E166" s="482"/>
      <c r="F166" s="482"/>
      <c r="G166" s="482"/>
      <c r="H166" s="482"/>
      <c r="BV166" s="15">
        <v>9.5</v>
      </c>
      <c r="BW166" s="459">
        <f t="shared" si="23"/>
        <v>87.719298245614027</v>
      </c>
      <c r="BX166" s="459">
        <f t="shared" si="24"/>
        <v>84.210526315789465</v>
      </c>
      <c r="BY166" s="459">
        <f t="shared" si="25"/>
        <v>77.373140503882183</v>
      </c>
    </row>
    <row r="167" spans="1:77" s="456" customFormat="1" hidden="1">
      <c r="A167" s="351" t="s">
        <v>268</v>
      </c>
      <c r="B167" s="482"/>
      <c r="C167" s="482"/>
      <c r="D167" s="482"/>
      <c r="E167" s="482"/>
      <c r="F167" s="482"/>
      <c r="G167" s="482"/>
      <c r="H167" s="482"/>
      <c r="BV167" s="15">
        <v>10</v>
      </c>
      <c r="BW167" s="459">
        <f t="shared" si="23"/>
        <v>83.333333333333329</v>
      </c>
      <c r="BX167" s="459">
        <f t="shared" si="24"/>
        <v>79.999999999999986</v>
      </c>
      <c r="BY167" s="459">
        <f t="shared" si="25"/>
        <v>73.504483478688059</v>
      </c>
    </row>
    <row r="168" spans="1:77" s="456" customFormat="1" hidden="1">
      <c r="A168" s="351" t="s">
        <v>269</v>
      </c>
      <c r="B168" s="482"/>
      <c r="C168" s="482"/>
      <c r="D168" s="482"/>
      <c r="E168" s="482"/>
      <c r="F168" s="482"/>
      <c r="G168" s="482"/>
      <c r="H168" s="482"/>
      <c r="BV168" s="15">
        <v>10.5</v>
      </c>
      <c r="BW168" s="459">
        <f t="shared" si="23"/>
        <v>79.365079365079353</v>
      </c>
      <c r="BX168" s="459">
        <f t="shared" si="24"/>
        <v>76.190476190476176</v>
      </c>
      <c r="BY168" s="459">
        <f t="shared" si="25"/>
        <v>70.004269979702912</v>
      </c>
    </row>
    <row r="169" spans="1:77" s="456" customFormat="1" hidden="1">
      <c r="A169" s="482" t="s">
        <v>270</v>
      </c>
      <c r="B169" s="482"/>
      <c r="C169" s="482"/>
      <c r="D169" s="482"/>
      <c r="E169" s="482"/>
      <c r="F169" s="482"/>
      <c r="G169" s="482"/>
      <c r="H169" s="482"/>
      <c r="BV169" s="15">
        <v>11</v>
      </c>
      <c r="BW169" s="459">
        <f t="shared" si="23"/>
        <v>75.757575757575751</v>
      </c>
      <c r="BX169" s="459">
        <f t="shared" si="24"/>
        <v>72.72727272727272</v>
      </c>
      <c r="BY169" s="459">
        <f t="shared" si="25"/>
        <v>66.822257707898245</v>
      </c>
    </row>
    <row r="170" spans="1:77">
      <c r="A170" s="482"/>
      <c r="B170" s="482"/>
      <c r="C170" s="482"/>
      <c r="D170" s="482"/>
      <c r="E170" s="482"/>
      <c r="F170" s="482"/>
      <c r="G170" s="482"/>
      <c r="H170" s="482"/>
      <c r="BV170" s="2">
        <v>11.5</v>
      </c>
      <c r="BW170" s="12">
        <f t="shared" si="23"/>
        <v>72.463768115942017</v>
      </c>
      <c r="BX170" s="12">
        <f t="shared" si="24"/>
        <v>69.56521739130433</v>
      </c>
      <c r="BY170" s="12">
        <f t="shared" si="25"/>
        <v>63.916942155380923</v>
      </c>
    </row>
    <row r="171" spans="1:77">
      <c r="A171" s="482"/>
      <c r="B171" s="482"/>
      <c r="C171" s="482"/>
      <c r="D171" s="482"/>
      <c r="E171" s="482"/>
      <c r="F171" s="482"/>
      <c r="G171" s="482"/>
      <c r="H171" s="482"/>
      <c r="BV171" s="2">
        <v>12</v>
      </c>
      <c r="BW171" s="12">
        <f t="shared" si="23"/>
        <v>69.444444444444443</v>
      </c>
      <c r="BX171" s="12">
        <f t="shared" si="24"/>
        <v>66.666666666666657</v>
      </c>
      <c r="BY171" s="12">
        <f t="shared" si="25"/>
        <v>61.253736232240058</v>
      </c>
    </row>
    <row r="172" spans="1:77">
      <c r="A172" s="482"/>
      <c r="B172" s="482"/>
      <c r="C172" s="482"/>
      <c r="D172" s="482"/>
      <c r="E172" s="482"/>
      <c r="F172" s="482"/>
      <c r="G172" s="482"/>
      <c r="H172" s="482"/>
      <c r="BV172" s="2">
        <v>12.5</v>
      </c>
      <c r="BW172" s="12">
        <f t="shared" si="23"/>
        <v>66.666666666666657</v>
      </c>
      <c r="BX172" s="12">
        <f t="shared" si="24"/>
        <v>63.999999999999986</v>
      </c>
      <c r="BY172" s="12">
        <f t="shared" si="25"/>
        <v>58.803586782950447</v>
      </c>
    </row>
    <row r="173" spans="1:77">
      <c r="A173" s="482"/>
      <c r="B173" s="482"/>
      <c r="C173" s="482"/>
      <c r="D173" s="482"/>
      <c r="E173" s="482"/>
      <c r="F173" s="482"/>
      <c r="G173" s="482"/>
      <c r="H173" s="482"/>
      <c r="BV173" s="2">
        <v>13</v>
      </c>
      <c r="BW173" s="12">
        <f t="shared" si="23"/>
        <v>64.102564102564102</v>
      </c>
      <c r="BX173" s="12">
        <f t="shared" si="24"/>
        <v>61.538461538461533</v>
      </c>
      <c r="BY173" s="12">
        <f t="shared" si="25"/>
        <v>56.541910368221593</v>
      </c>
    </row>
    <row r="174" spans="1:77">
      <c r="A174" s="482"/>
      <c r="B174" s="482"/>
      <c r="C174" s="482"/>
      <c r="D174" s="482"/>
      <c r="E174" s="482"/>
      <c r="F174" s="482"/>
      <c r="G174" s="482"/>
      <c r="H174" s="482"/>
    </row>
    <row r="175" spans="1:77">
      <c r="A175" s="482"/>
      <c r="B175" s="482"/>
      <c r="C175" s="482"/>
      <c r="D175" s="482"/>
      <c r="E175" s="482"/>
      <c r="F175" s="482"/>
      <c r="G175" s="482"/>
      <c r="H175" s="482"/>
      <c r="BT175" s="5">
        <v>0.4</v>
      </c>
      <c r="BU175" s="12">
        <f>+375/BT175</f>
        <v>937.5</v>
      </c>
      <c r="BV175" s="2">
        <v>3.9</v>
      </c>
      <c r="BW175" s="12">
        <f t="shared" ref="BW175:BW194" si="26">$BU$175/BV175</f>
        <v>240.38461538461539</v>
      </c>
      <c r="BX175" s="12">
        <f t="shared" ref="BX175:BX194" si="27">+BW175*0.96</f>
        <v>230.76923076923077</v>
      </c>
      <c r="BY175" s="12">
        <f t="shared" ref="BY175:BY194" si="28">BX175*$B$15</f>
        <v>212.03216388083101</v>
      </c>
    </row>
    <row r="176" spans="1:77">
      <c r="A176" s="482"/>
      <c r="B176" s="482"/>
      <c r="C176" s="482"/>
      <c r="D176" s="482"/>
      <c r="E176" s="482"/>
      <c r="F176" s="482"/>
      <c r="G176" s="482"/>
      <c r="H176" s="482"/>
      <c r="BV176" s="2">
        <v>4</v>
      </c>
      <c r="BW176" s="12">
        <f t="shared" si="26"/>
        <v>234.375</v>
      </c>
      <c r="BX176" s="12">
        <f t="shared" si="27"/>
        <v>225</v>
      </c>
      <c r="BY176" s="12">
        <f t="shared" si="28"/>
        <v>206.73135978381021</v>
      </c>
    </row>
    <row r="177" spans="1:77">
      <c r="A177" s="482"/>
      <c r="B177" s="482"/>
      <c r="C177" s="482"/>
      <c r="D177" s="482"/>
      <c r="E177" s="482"/>
      <c r="F177" s="482"/>
      <c r="G177" s="482"/>
      <c r="H177" s="482"/>
      <c r="BV177" s="2">
        <v>4.5</v>
      </c>
      <c r="BW177" s="12">
        <f t="shared" si="26"/>
        <v>208.33333333333334</v>
      </c>
      <c r="BX177" s="12">
        <f t="shared" si="27"/>
        <v>200</v>
      </c>
      <c r="BY177" s="12">
        <f t="shared" si="28"/>
        <v>183.76120869672019</v>
      </c>
    </row>
    <row r="178" spans="1:77">
      <c r="BV178" s="2">
        <v>5</v>
      </c>
      <c r="BW178" s="12">
        <f t="shared" si="26"/>
        <v>187.5</v>
      </c>
      <c r="BX178" s="12">
        <f t="shared" si="27"/>
        <v>180</v>
      </c>
      <c r="BY178" s="12">
        <f t="shared" si="28"/>
        <v>165.38508782704818</v>
      </c>
    </row>
    <row r="179" spans="1:77">
      <c r="BV179" s="2">
        <v>5.5</v>
      </c>
      <c r="BW179" s="12">
        <f t="shared" si="26"/>
        <v>170.45454545454547</v>
      </c>
      <c r="BX179" s="12">
        <f t="shared" si="27"/>
        <v>163.63636363636365</v>
      </c>
      <c r="BY179" s="12">
        <f t="shared" si="28"/>
        <v>150.35007984277109</v>
      </c>
    </row>
    <row r="180" spans="1:77">
      <c r="BV180" s="2">
        <v>6</v>
      </c>
      <c r="BW180" s="12">
        <f t="shared" si="26"/>
        <v>156.25</v>
      </c>
      <c r="BX180" s="12">
        <f t="shared" si="27"/>
        <v>150</v>
      </c>
      <c r="BY180" s="12">
        <f t="shared" si="28"/>
        <v>137.82090652254016</v>
      </c>
    </row>
    <row r="181" spans="1:77">
      <c r="BV181" s="2">
        <v>6.5</v>
      </c>
      <c r="BW181" s="12">
        <f t="shared" si="26"/>
        <v>144.23076923076923</v>
      </c>
      <c r="BX181" s="12">
        <f t="shared" si="27"/>
        <v>138.46153846153845</v>
      </c>
      <c r="BY181" s="12">
        <f t="shared" si="28"/>
        <v>127.21929832849858</v>
      </c>
    </row>
    <row r="182" spans="1:77">
      <c r="BV182" s="2">
        <v>7</v>
      </c>
      <c r="BW182" s="12">
        <f t="shared" si="26"/>
        <v>133.92857142857142</v>
      </c>
      <c r="BX182" s="12">
        <f t="shared" si="27"/>
        <v>128.57142857142856</v>
      </c>
      <c r="BY182" s="12">
        <f t="shared" si="28"/>
        <v>118.13220559074868</v>
      </c>
    </row>
    <row r="183" spans="1:77">
      <c r="BV183" s="2">
        <v>7.5</v>
      </c>
      <c r="BW183" s="12">
        <f t="shared" si="26"/>
        <v>125</v>
      </c>
      <c r="BX183" s="12">
        <f t="shared" si="27"/>
        <v>120</v>
      </c>
      <c r="BY183" s="12">
        <f t="shared" si="28"/>
        <v>110.25672521803212</v>
      </c>
    </row>
    <row r="184" spans="1:77">
      <c r="BV184" s="2">
        <v>8</v>
      </c>
      <c r="BW184" s="12">
        <f t="shared" si="26"/>
        <v>117.1875</v>
      </c>
      <c r="BX184" s="12">
        <f t="shared" si="27"/>
        <v>112.5</v>
      </c>
      <c r="BY184" s="12">
        <f t="shared" si="28"/>
        <v>103.3656798919051</v>
      </c>
    </row>
    <row r="185" spans="1:77">
      <c r="BV185" s="2">
        <v>8.5</v>
      </c>
      <c r="BW185" s="12">
        <f t="shared" si="26"/>
        <v>110.29411764705883</v>
      </c>
      <c r="BX185" s="12">
        <f t="shared" si="27"/>
        <v>105.88235294117646</v>
      </c>
      <c r="BY185" s="12">
        <f t="shared" si="28"/>
        <v>97.285345780616566</v>
      </c>
    </row>
    <row r="186" spans="1:77">
      <c r="BV186" s="2">
        <v>9</v>
      </c>
      <c r="BW186" s="12">
        <f t="shared" si="26"/>
        <v>104.16666666666667</v>
      </c>
      <c r="BX186" s="12">
        <f t="shared" si="27"/>
        <v>100</v>
      </c>
      <c r="BY186" s="12">
        <f t="shared" si="28"/>
        <v>91.880604348360094</v>
      </c>
    </row>
    <row r="187" spans="1:77">
      <c r="BV187" s="2">
        <v>9.5</v>
      </c>
      <c r="BW187" s="12">
        <f t="shared" si="26"/>
        <v>98.684210526315795</v>
      </c>
      <c r="BX187" s="12">
        <f t="shared" si="27"/>
        <v>94.736842105263165</v>
      </c>
      <c r="BY187" s="12">
        <f t="shared" si="28"/>
        <v>87.044783066867467</v>
      </c>
    </row>
    <row r="188" spans="1:77">
      <c r="BV188" s="2">
        <v>10</v>
      </c>
      <c r="BW188" s="12">
        <f t="shared" si="26"/>
        <v>93.75</v>
      </c>
      <c r="BX188" s="12">
        <f t="shared" si="27"/>
        <v>90</v>
      </c>
      <c r="BY188" s="12">
        <f t="shared" si="28"/>
        <v>82.692543913524091</v>
      </c>
    </row>
    <row r="189" spans="1:77">
      <c r="BV189" s="2">
        <v>10.5</v>
      </c>
      <c r="BW189" s="12">
        <f t="shared" si="26"/>
        <v>89.285714285714292</v>
      </c>
      <c r="BX189" s="12">
        <f t="shared" si="27"/>
        <v>85.714285714285722</v>
      </c>
      <c r="BY189" s="12">
        <f t="shared" si="28"/>
        <v>78.754803727165807</v>
      </c>
    </row>
    <row r="190" spans="1:77">
      <c r="BV190" s="2">
        <v>11</v>
      </c>
      <c r="BW190" s="12">
        <f t="shared" si="26"/>
        <v>85.227272727272734</v>
      </c>
      <c r="BX190" s="12">
        <f t="shared" si="27"/>
        <v>81.818181818181827</v>
      </c>
      <c r="BY190" s="12">
        <f t="shared" si="28"/>
        <v>75.175039921385547</v>
      </c>
    </row>
    <row r="191" spans="1:77">
      <c r="BV191" s="2">
        <v>11.5</v>
      </c>
      <c r="BW191" s="12">
        <f t="shared" si="26"/>
        <v>81.521739130434781</v>
      </c>
      <c r="BX191" s="12">
        <f t="shared" si="27"/>
        <v>78.260869565217391</v>
      </c>
      <c r="BY191" s="12">
        <f t="shared" si="28"/>
        <v>71.906559924803545</v>
      </c>
    </row>
    <row r="192" spans="1:77">
      <c r="BV192" s="2">
        <v>12</v>
      </c>
      <c r="BW192" s="12">
        <f t="shared" si="26"/>
        <v>78.125</v>
      </c>
      <c r="BX192" s="12">
        <f t="shared" si="27"/>
        <v>75</v>
      </c>
      <c r="BY192" s="12">
        <f t="shared" si="28"/>
        <v>68.910453261270078</v>
      </c>
    </row>
    <row r="193" spans="72:82">
      <c r="BV193" s="2">
        <v>12.5</v>
      </c>
      <c r="BW193" s="12">
        <f t="shared" si="26"/>
        <v>75</v>
      </c>
      <c r="BX193" s="12">
        <f t="shared" si="27"/>
        <v>72</v>
      </c>
      <c r="BY193" s="12">
        <f t="shared" si="28"/>
        <v>66.154035130819267</v>
      </c>
    </row>
    <row r="194" spans="72:82">
      <c r="BV194" s="2">
        <v>13</v>
      </c>
      <c r="BW194" s="12">
        <f t="shared" si="26"/>
        <v>72.115384615384613</v>
      </c>
      <c r="BX194" s="12">
        <f t="shared" si="27"/>
        <v>69.230769230769226</v>
      </c>
      <c r="BY194" s="12">
        <f t="shared" si="28"/>
        <v>63.609649164249291</v>
      </c>
    </row>
    <row r="197" spans="72:82">
      <c r="BV197" s="2">
        <f>$H$7</f>
        <v>5.5</v>
      </c>
      <c r="CA197" s="5">
        <f>$B$20</f>
        <v>127.85243198680958</v>
      </c>
      <c r="CD197" s="2" t="str">
        <f ca="1">"Slip = "&amp;FIXED($H$19,1,TRUE)</f>
        <v>Slip = 10.6</v>
      </c>
    </row>
    <row r="198" spans="72:82">
      <c r="BV198" s="2">
        <f>$H$7</f>
        <v>5.5</v>
      </c>
      <c r="CA198" s="5">
        <f>$B$20</f>
        <v>127.85243198680958</v>
      </c>
      <c r="CC198" s="2" t="str">
        <f ca="1">"  P/Wt = "&amp;FIXED($H$16,3,TRUE)</f>
        <v xml:space="preserve">  P/Wt = 0.440</v>
      </c>
    </row>
    <row r="199" spans="72:82">
      <c r="BV199" s="2">
        <f>$H$7</f>
        <v>5.5</v>
      </c>
      <c r="CA199" s="5">
        <f>$B$20</f>
        <v>127.85243198680958</v>
      </c>
      <c r="CB199" s="2" t="str">
        <f ca="1">"Dbhp/Input Hp = "&amp;FIXED($H$15,3,TRUE)</f>
        <v>Dbhp/Input Hp = 0.739</v>
      </c>
    </row>
    <row r="200" spans="72:82">
      <c r="BT200" s="1" t="s">
        <v>10</v>
      </c>
      <c r="BV200" s="2">
        <v>3.5</v>
      </c>
      <c r="BW200" s="2">
        <v>190</v>
      </c>
      <c r="BY200" s="2">
        <v>198</v>
      </c>
      <c r="BZ200" s="1" t="s">
        <v>10</v>
      </c>
    </row>
    <row r="226" spans="1:9">
      <c r="H226" s="285"/>
      <c r="I226" s="285"/>
    </row>
    <row r="227" spans="1:9">
      <c r="A227" s="285"/>
      <c r="B227" s="285"/>
      <c r="C227" s="285"/>
      <c r="D227" s="285"/>
      <c r="E227" s="285"/>
      <c r="F227" s="285"/>
      <c r="G227" s="285"/>
      <c r="H227" s="285"/>
      <c r="I227" s="285"/>
    </row>
    <row r="228" spans="1:9">
      <c r="A228" s="285"/>
      <c r="B228" s="285"/>
      <c r="C228" s="285"/>
      <c r="D228" s="285"/>
      <c r="E228" s="285"/>
      <c r="F228" s="285"/>
      <c r="G228" s="285"/>
      <c r="H228" s="285"/>
      <c r="I228" s="285"/>
    </row>
    <row r="229" spans="1:9">
      <c r="A229" s="285"/>
      <c r="B229" s="285"/>
      <c r="C229" s="285"/>
      <c r="D229" s="285"/>
      <c r="E229" s="285"/>
      <c r="F229" s="285"/>
      <c r="G229" s="285"/>
      <c r="H229" s="285"/>
      <c r="I229" s="285"/>
    </row>
    <row r="230" spans="1:9">
      <c r="A230" s="285"/>
      <c r="B230" s="285"/>
      <c r="C230" s="285"/>
      <c r="D230" s="285"/>
      <c r="E230" s="285"/>
      <c r="F230" s="285"/>
      <c r="G230" s="285"/>
      <c r="H230" s="285"/>
      <c r="I230" s="285"/>
    </row>
    <row r="231" spans="1:9">
      <c r="A231" s="285"/>
      <c r="B231" s="285"/>
      <c r="C231" s="285"/>
      <c r="D231" s="285"/>
      <c r="E231" s="285"/>
      <c r="F231" s="285"/>
      <c r="G231" s="285"/>
      <c r="H231" s="285"/>
      <c r="I231" s="285"/>
    </row>
    <row r="232" spans="1:9">
      <c r="A232" s="285"/>
      <c r="B232" s="285"/>
      <c r="C232" s="285"/>
      <c r="D232" s="285"/>
      <c r="E232" s="285"/>
      <c r="F232" s="285"/>
      <c r="G232" s="285"/>
      <c r="H232" s="285"/>
      <c r="I232" s="285"/>
    </row>
    <row r="233" spans="1:9">
      <c r="A233" s="285"/>
      <c r="B233" s="285"/>
      <c r="C233" s="285"/>
      <c r="D233" s="285"/>
      <c r="E233" s="285"/>
      <c r="F233" s="285"/>
      <c r="G233" s="285"/>
      <c r="H233" s="285"/>
      <c r="I233" s="285"/>
    </row>
  </sheetData>
  <pageMargins left="0.75" right="0.75" top="1" bottom="1" header="0.5" footer="0.5"/>
  <pageSetup scale="87" orientation="portrait"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Line="0" autoPict="0" macro="[0]!Button1_Click">
                <anchor moveWithCells="1" sizeWithCells="1">
                  <from>
                    <xdr:col>6</xdr:col>
                    <xdr:colOff>38100</xdr:colOff>
                    <xdr:row>7</xdr:row>
                    <xdr:rowOff>152400</xdr:rowOff>
                  </from>
                  <to>
                    <xdr:col>6</xdr:col>
                    <xdr:colOff>952500</xdr:colOff>
                    <xdr:row>9</xdr:row>
                    <xdr:rowOff>0</xdr:rowOff>
                  </to>
                </anchor>
              </controlPr>
            </control>
          </mc:Choice>
        </mc:AlternateContent>
        <mc:AlternateContent xmlns:mc="http://schemas.openxmlformats.org/markup-compatibility/2006">
          <mc:Choice Requires="x14">
            <control shapeId="1033" r:id="rId5" name="Button 9">
              <controlPr defaultSize="0" print="0" autoFill="0" autoLine="0" autoPict="0" macro="[0]!Module2.addSummary">
                <anchor moveWithCells="1" sizeWithCells="1">
                  <from>
                    <xdr:col>0</xdr:col>
                    <xdr:colOff>28575</xdr:colOff>
                    <xdr:row>20</xdr:row>
                    <xdr:rowOff>9525</xdr:rowOff>
                  </from>
                  <to>
                    <xdr:col>2</xdr:col>
                    <xdr:colOff>9525</xdr:colOff>
                    <xdr:row>21</xdr:row>
                    <xdr:rowOff>0</xdr:rowOff>
                  </to>
                </anchor>
              </controlPr>
            </control>
          </mc:Choice>
        </mc:AlternateContent>
        <mc:AlternateContent xmlns:mc="http://schemas.openxmlformats.org/markup-compatibility/2006">
          <mc:Choice Requires="x14">
            <control shapeId="1034" r:id="rId6" name="Button 10">
              <controlPr defaultSize="0" print="0" autoFill="0" autoLine="0" autoPict="0" macro="[0]!Module2.clearSummary">
                <anchor moveWithCells="1" sizeWithCells="1">
                  <from>
                    <xdr:col>2</xdr:col>
                    <xdr:colOff>76200</xdr:colOff>
                    <xdr:row>20</xdr:row>
                    <xdr:rowOff>9525</xdr:rowOff>
                  </from>
                  <to>
                    <xdr:col>4</xdr:col>
                    <xdr:colOff>685800</xdr:colOff>
                    <xdr:row>21</xdr:row>
                    <xdr:rowOff>0</xdr:rowOff>
                  </to>
                </anchor>
              </controlPr>
            </control>
          </mc:Choice>
        </mc:AlternateContent>
        <mc:AlternateContent xmlns:mc="http://schemas.openxmlformats.org/markup-compatibility/2006">
          <mc:Choice Requires="x14">
            <control shapeId="1035" r:id="rId7" name="Button 11">
              <controlPr defaultSize="0" print="0" autoFill="0" autoLine="0" autoPict="0" macro="[0]!GoToSummaryChart">
                <anchor moveWithCells="1" sizeWithCells="1">
                  <from>
                    <xdr:col>4</xdr:col>
                    <xdr:colOff>781050</xdr:colOff>
                    <xdr:row>20</xdr:row>
                    <xdr:rowOff>9525</xdr:rowOff>
                  </from>
                  <to>
                    <xdr:col>6</xdr:col>
                    <xdr:colOff>1438275</xdr:colOff>
                    <xdr:row>21</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showRowColHeaders="0" workbookViewId="0">
      <selection activeCell="K18" sqref="K18"/>
    </sheetView>
  </sheetViews>
  <sheetFormatPr defaultRowHeight="12"/>
  <cols>
    <col min="1" max="1" width="13" customWidth="1"/>
    <col min="2" max="2" width="9.125" customWidth="1"/>
    <col min="3" max="3" width="4.875" customWidth="1"/>
    <col min="4" max="4" width="4.125" customWidth="1"/>
    <col min="5" max="5" width="11.375" customWidth="1"/>
    <col min="6" max="6" width="2.5" customWidth="1"/>
    <col min="7" max="7" width="26.125" customWidth="1"/>
    <col min="8" max="8" width="11.125" customWidth="1"/>
    <col min="9" max="9" width="7.875" customWidth="1"/>
  </cols>
  <sheetData>
    <row r="1" spans="1:9" ht="14.25" thickTop="1" thickBot="1">
      <c r="A1" s="245"/>
      <c r="B1" s="265" t="str">
        <f>tracperf!$C$1</f>
        <v>TRACTOR PERFORMANCE --</v>
      </c>
      <c r="C1" s="247"/>
      <c r="D1" s="247"/>
      <c r="E1" s="247"/>
      <c r="F1" s="247"/>
      <c r="G1" s="247" t="str">
        <f>tracperf!$F$1</f>
        <v>MFWD/4WD TRACTOR</v>
      </c>
      <c r="H1" s="248"/>
      <c r="I1" s="249"/>
    </row>
    <row r="2" spans="1:9" ht="14.25" thickTop="1" thickBot="1">
      <c r="A2" s="272" t="s">
        <v>9</v>
      </c>
      <c r="B2" s="317" t="s">
        <v>6</v>
      </c>
      <c r="C2" s="246"/>
      <c r="D2" s="295"/>
      <c r="E2" s="326" t="s">
        <v>7</v>
      </c>
      <c r="F2" s="273"/>
      <c r="G2" s="293" t="str">
        <f>tracperf!$G$2</f>
        <v>JOHN DEERE 4055 PowerShift MFWD_________ 109 pto hp</v>
      </c>
      <c r="H2" s="276"/>
      <c r="I2" s="277"/>
    </row>
    <row r="3" spans="1:9" ht="13.5" thickTop="1">
      <c r="A3" s="306" t="s">
        <v>11</v>
      </c>
      <c r="B3" s="318">
        <f>tracperf!$B$3</f>
        <v>0.5706783439490446</v>
      </c>
      <c r="C3" s="307" t="s">
        <v>12</v>
      </c>
      <c r="D3" s="308">
        <f>tracperf!$D$3</f>
        <v>3</v>
      </c>
      <c r="E3" s="327" t="str">
        <f>tracperf!$E$3</f>
        <v>Star Rating</v>
      </c>
      <c r="F3" s="274"/>
      <c r="G3" s="86" t="s">
        <v>13</v>
      </c>
      <c r="H3" s="278">
        <f>tracperf!$H$3*25.4</f>
        <v>2674.9999999999932</v>
      </c>
      <c r="I3" s="251" t="s">
        <v>15</v>
      </c>
    </row>
    <row r="4" spans="1:9" ht="12.75">
      <c r="A4" s="252" t="s">
        <v>19</v>
      </c>
      <c r="B4" s="319">
        <f>tracperf!$B$4/2.205</f>
        <v>2438</v>
      </c>
      <c r="C4" s="89" t="str">
        <f>tracperf!$C$4</f>
        <v>Tire OK</v>
      </c>
      <c r="D4" s="296"/>
      <c r="E4" s="304">
        <f ca="1">tracperf!$E$4/2.205</f>
        <v>1989.8235109261568</v>
      </c>
      <c r="F4" s="89"/>
      <c r="G4" s="86" t="s">
        <v>18</v>
      </c>
      <c r="H4" s="278">
        <f>tracperf!$H$4*25.4</f>
        <v>429.99999999999955</v>
      </c>
      <c r="I4" s="251" t="s">
        <v>15</v>
      </c>
    </row>
    <row r="5" spans="1:9" ht="12.75">
      <c r="A5" s="253" t="s">
        <v>21</v>
      </c>
      <c r="B5" s="320">
        <f>tracperf!$B$5</f>
        <v>38.515007898894147</v>
      </c>
      <c r="C5" s="91" t="s">
        <v>22</v>
      </c>
      <c r="D5" s="296"/>
      <c r="E5" s="305">
        <f ca="1">tracperf!$E$5</f>
        <v>31.434810599149394</v>
      </c>
      <c r="F5" s="91" t="s">
        <v>22</v>
      </c>
      <c r="G5" s="86" t="s">
        <v>23</v>
      </c>
      <c r="H5" s="278">
        <f>tracperf!$H$5*25.4</f>
        <v>802.50000000000045</v>
      </c>
      <c r="I5" s="251" t="s">
        <v>15</v>
      </c>
    </row>
    <row r="6" spans="1:9" ht="12.75">
      <c r="A6" s="252" t="s">
        <v>25</v>
      </c>
      <c r="B6" s="321">
        <f>tracperf!$B$6</f>
        <v>14.9</v>
      </c>
      <c r="C6" s="238" t="str">
        <f>tracperf!$C$6</f>
        <v>R</v>
      </c>
      <c r="D6" s="422">
        <f>tracperf!$D$6</f>
        <v>26</v>
      </c>
      <c r="E6" s="328" t="str">
        <f>tracperf!$E$6</f>
        <v>Tire OK</v>
      </c>
      <c r="F6" s="89"/>
      <c r="G6" s="86" t="s">
        <v>26</v>
      </c>
      <c r="H6" s="279">
        <f>tracperf!$H$6</f>
        <v>0</v>
      </c>
      <c r="I6" s="251" t="s">
        <v>27</v>
      </c>
    </row>
    <row r="7" spans="1:9" ht="12.75">
      <c r="A7" s="252" t="s">
        <v>32</v>
      </c>
      <c r="B7" s="322">
        <f>tire!$G$35*2</f>
        <v>2</v>
      </c>
      <c r="C7" s="108">
        <f>tracperf!$C$7/0.145</f>
        <v>90.603215991725833</v>
      </c>
      <c r="D7" s="299" t="str">
        <f>tracperf!$D$7</f>
        <v>R-1</v>
      </c>
      <c r="E7" s="328" t="str">
        <f>tracperf!$E$7</f>
        <v xml:space="preserve"> Radial</v>
      </c>
      <c r="F7" s="89"/>
      <c r="G7" s="86" t="s">
        <v>30</v>
      </c>
      <c r="H7" s="278">
        <f>tracperf!$H$7*1.609</f>
        <v>8.849499999999999</v>
      </c>
      <c r="I7" s="251" t="s">
        <v>33</v>
      </c>
    </row>
    <row r="8" spans="1:9" ht="12.75">
      <c r="A8" s="252" t="s">
        <v>40</v>
      </c>
      <c r="B8" s="323">
        <f>tracperf!$B$8</f>
        <v>0.91880604348360095</v>
      </c>
      <c r="C8" s="241" t="str">
        <f>tracperf!$C$8</f>
        <v>P</v>
      </c>
      <c r="D8" s="299" t="str">
        <f>tracperf!$D$8</f>
        <v xml:space="preserve"> Powered</v>
      </c>
      <c r="E8" s="329"/>
      <c r="F8" s="89"/>
      <c r="G8" s="86" t="s">
        <v>41</v>
      </c>
      <c r="H8" s="278">
        <f>tracperf!$H$8*0.7457</f>
        <v>81.408068999999998</v>
      </c>
      <c r="I8" s="251" t="s">
        <v>43</v>
      </c>
    </row>
    <row r="9" spans="1:9" ht="13.5" thickBot="1">
      <c r="A9" s="309" t="s">
        <v>47</v>
      </c>
      <c r="B9" s="324"/>
      <c r="C9" s="310"/>
      <c r="D9" s="311"/>
      <c r="E9" s="294">
        <f ca="1">tracperf!$E$9*0.7457</f>
        <v>23.527240107852634</v>
      </c>
      <c r="F9" s="89"/>
      <c r="G9" s="254" t="s">
        <v>46</v>
      </c>
      <c r="H9" s="280">
        <f>tracperf!$H$9</f>
        <v>100</v>
      </c>
      <c r="I9" s="255" t="s">
        <v>49</v>
      </c>
    </row>
    <row r="10" spans="1:9" ht="13.5" thickTop="1">
      <c r="A10" s="306" t="s">
        <v>50</v>
      </c>
      <c r="B10" s="318">
        <f>tracperf!$B$10</f>
        <v>0.6077804532577904</v>
      </c>
      <c r="C10" s="307" t="s">
        <v>12</v>
      </c>
      <c r="D10" s="308">
        <f>tracperf!$D$10</f>
        <v>2</v>
      </c>
      <c r="E10" s="327" t="str">
        <f>tracperf!$E$10</f>
        <v>Star Rating</v>
      </c>
      <c r="F10" s="274"/>
      <c r="G10" s="97" t="s">
        <v>271</v>
      </c>
      <c r="H10" s="281">
        <f>tracperf!$H$10/0.145</f>
        <v>1724.1379310344828</v>
      </c>
      <c r="I10" s="251" t="s">
        <v>54</v>
      </c>
    </row>
    <row r="11" spans="1:9" ht="12.75">
      <c r="A11" s="252" t="s">
        <v>19</v>
      </c>
      <c r="B11" s="319">
        <f>tracperf!$B$11/2.205</f>
        <v>3892</v>
      </c>
      <c r="C11" s="89" t="str">
        <f>tracperf!$C$11</f>
        <v>Tire OK</v>
      </c>
      <c r="D11" s="296"/>
      <c r="E11" s="304">
        <f ca="1">tracperf!$E$11/2.205</f>
        <v>4340.1764890738432</v>
      </c>
      <c r="F11" s="89"/>
      <c r="G11" s="282" t="s">
        <v>272</v>
      </c>
      <c r="H11" s="256"/>
      <c r="I11" s="257"/>
    </row>
    <row r="12" spans="1:9" ht="12.75">
      <c r="A12" s="253" t="s">
        <v>21</v>
      </c>
      <c r="B12" s="415">
        <f>tracperf!$B$12</f>
        <v>61.484992101105838</v>
      </c>
      <c r="C12" s="91" t="s">
        <v>22</v>
      </c>
      <c r="D12" s="296"/>
      <c r="E12" s="414">
        <f ca="1">tracperf!$E$12</f>
        <v>68.565189400850599</v>
      </c>
      <c r="F12" s="91" t="s">
        <v>22</v>
      </c>
      <c r="G12" s="134" t="s">
        <v>56</v>
      </c>
      <c r="H12" s="283">
        <f>tracperf!$H$12</f>
        <v>0.1607476635514021</v>
      </c>
      <c r="I12" s="257"/>
    </row>
    <row r="13" spans="1:9" ht="12.75">
      <c r="A13" s="252" t="s">
        <v>59</v>
      </c>
      <c r="B13" s="321">
        <f>tracperf!$B$13</f>
        <v>18.399999999999999</v>
      </c>
      <c r="C13" s="238" t="str">
        <f>tracperf!$C$13</f>
        <v>R</v>
      </c>
      <c r="D13" s="298">
        <f>tracperf!$D$13</f>
        <v>38</v>
      </c>
      <c r="E13" s="328" t="str">
        <f>tracperf!$E$13</f>
        <v>Tire OK</v>
      </c>
      <c r="F13" s="89"/>
      <c r="G13" s="86" t="s">
        <v>57</v>
      </c>
      <c r="H13" s="111">
        <f ca="1">tracperf!$H$13/2.205</f>
        <v>0</v>
      </c>
      <c r="I13" s="275" t="s">
        <v>58</v>
      </c>
    </row>
    <row r="14" spans="1:9" ht="12.75">
      <c r="A14" s="252" t="s">
        <v>32</v>
      </c>
      <c r="B14" s="322">
        <f>tire!$I$35*2</f>
        <v>2</v>
      </c>
      <c r="C14" s="108">
        <f>tracperf!$C$14/0.145</f>
        <v>78.138580173115258</v>
      </c>
      <c r="D14" s="300" t="str">
        <f>tracperf!$D$14</f>
        <v>R-1</v>
      </c>
      <c r="E14" s="328" t="str">
        <f>tracperf!$E$14</f>
        <v xml:space="preserve"> Radial</v>
      </c>
      <c r="F14" s="89"/>
      <c r="G14" s="97" t="s">
        <v>62</v>
      </c>
      <c r="H14" s="108">
        <f ca="1">tracperf!$H$14/2.205</f>
        <v>448.17648907384302</v>
      </c>
      <c r="I14" s="251" t="s">
        <v>58</v>
      </c>
    </row>
    <row r="15" spans="1:9" ht="12.75">
      <c r="A15" s="252" t="s">
        <v>40</v>
      </c>
      <c r="B15" s="323">
        <f>tracperf!$B$15</f>
        <v>0.91880604348360095</v>
      </c>
      <c r="C15" s="90"/>
      <c r="D15" s="296"/>
      <c r="E15" s="330" t="s">
        <v>64</v>
      </c>
      <c r="F15" s="89"/>
      <c r="G15" s="333" t="s">
        <v>65</v>
      </c>
      <c r="H15" s="111">
        <f ca="1">tracperf!$H$15</f>
        <v>0.73851887617606227</v>
      </c>
      <c r="I15" s="251"/>
    </row>
    <row r="16" spans="1:9" ht="13.5" thickBot="1">
      <c r="A16" s="309" t="s">
        <v>47</v>
      </c>
      <c r="B16" s="324"/>
      <c r="C16" s="312" t="str">
        <f ca="1">IF($E$16&lt;0,"ERR&gt;","")</f>
        <v/>
      </c>
      <c r="D16" s="311"/>
      <c r="E16" s="294">
        <f ca="1">tracperf!$E$16*0.7457</f>
        <v>51.270985677677388</v>
      </c>
      <c r="F16" s="89"/>
      <c r="G16" s="333" t="s">
        <v>69</v>
      </c>
      <c r="H16" s="111">
        <f ca="1">tracperf!$H$16</f>
        <v>0.44045413434458591</v>
      </c>
      <c r="I16" s="251"/>
    </row>
    <row r="17" spans="1:9" ht="13.5" thickTop="1">
      <c r="A17" s="313" t="s">
        <v>74</v>
      </c>
      <c r="B17" s="325"/>
      <c r="C17" s="314"/>
      <c r="D17" s="315"/>
      <c r="E17" s="316">
        <f ca="1">tracperf!$E$17*0.7457</f>
        <v>74.798225785530022</v>
      </c>
      <c r="F17" s="274"/>
      <c r="G17" s="99" t="s">
        <v>73</v>
      </c>
      <c r="H17" s="100">
        <f ca="1">tracperf!$H$17*4.448/1000</f>
        <v>27.344990275347683</v>
      </c>
      <c r="I17" s="259" t="s">
        <v>75</v>
      </c>
    </row>
    <row r="18" spans="1:9" ht="12.75">
      <c r="A18" s="260" t="s">
        <v>78</v>
      </c>
      <c r="B18" s="301">
        <f>tracperf!$B$18/2.205</f>
        <v>6330.0000000000009</v>
      </c>
      <c r="C18" s="80"/>
      <c r="D18" s="258"/>
      <c r="E18" s="301">
        <f ca="1">tracperf!$E$18/2.205</f>
        <v>6330.0000000000009</v>
      </c>
      <c r="F18" s="273"/>
      <c r="G18" s="99" t="s">
        <v>77</v>
      </c>
      <c r="H18" s="102">
        <f ca="1">tracperf!$H$18*1.609</f>
        <v>7.9129646864268102</v>
      </c>
      <c r="I18" s="259" t="s">
        <v>33</v>
      </c>
    </row>
    <row r="19" spans="1:9" ht="12.75">
      <c r="A19" s="260" t="s">
        <v>80</v>
      </c>
      <c r="B19" s="297">
        <f ca="1">tracperf!$B$19/1.6443</f>
        <v>84.626054550838319</v>
      </c>
      <c r="C19" s="80"/>
      <c r="D19" s="258"/>
      <c r="E19" s="297">
        <f ca="1">tracperf!$E$19/1.6443</f>
        <v>84.626054550838319</v>
      </c>
      <c r="F19" s="273"/>
      <c r="G19" s="103" t="str">
        <f ca="1">IF(H19&gt;40,"SLIP OVR RANGE;Increase","  Travel Reduction (Slip) ")</f>
        <v xml:space="preserve">  Travel Reduction (Slip) </v>
      </c>
      <c r="H19" s="236">
        <f ca="1">tracperf!$H$19</f>
        <v>10.58291783234343</v>
      </c>
      <c r="I19" s="259" t="s">
        <v>22</v>
      </c>
    </row>
    <row r="20" spans="1:9" ht="13.5" thickBot="1">
      <c r="A20" s="267" t="s">
        <v>84</v>
      </c>
      <c r="B20" s="302">
        <f>tracperf!$B$20/1.6443</f>
        <v>77.754930357483161</v>
      </c>
      <c r="C20" s="268"/>
      <c r="D20" s="303"/>
      <c r="E20" s="302">
        <f ca="1">tracperf!$E$20/1.6443</f>
        <v>77.754930357483161</v>
      </c>
      <c r="F20" s="269"/>
      <c r="G20" s="103" t="str">
        <f ca="1">IF(H19&gt;40," travel speed or weight","  Drawbar Power ")</f>
        <v xml:space="preserve">  Drawbar Power </v>
      </c>
      <c r="H20" s="270">
        <f ca="1">tracperf!$H$20*0.7457</f>
        <v>60.121395629543038</v>
      </c>
      <c r="I20" s="271" t="s">
        <v>43</v>
      </c>
    </row>
    <row r="21" spans="1:9" ht="12.75" thickTop="1">
      <c r="A21" s="62"/>
      <c r="B21" s="62"/>
      <c r="C21" s="62"/>
      <c r="D21" s="62"/>
      <c r="E21" s="62"/>
      <c r="F21" s="62"/>
      <c r="G21" s="62"/>
      <c r="H21" s="63"/>
      <c r="I21" s="62"/>
    </row>
  </sheetData>
  <sheetProtection password="C526" sheet="1" objects="1" scenarios="1"/>
  <pageMargins left="0.75" right="0.75" top="1" bottom="1" header="0.5" footer="0.5"/>
  <pageSetup orientation="portrait" r:id="rId1"/>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72"/>
  <sheetViews>
    <sheetView workbookViewId="0">
      <selection activeCell="E9" sqref="E9:W55"/>
    </sheetView>
  </sheetViews>
  <sheetFormatPr defaultRowHeight="12.75"/>
  <cols>
    <col min="1" max="1" width="4" style="112" customWidth="1"/>
    <col min="2" max="2" width="3.375" style="112" customWidth="1"/>
    <col min="3" max="3" width="17.625" style="112" customWidth="1"/>
    <col min="4" max="4" width="10.5" style="112" customWidth="1"/>
    <col min="5" max="17" width="9.375" style="112" customWidth="1"/>
    <col min="18" max="25" width="9" style="112"/>
    <col min="26" max="26" width="3.375" style="112" customWidth="1"/>
    <col min="27" max="27" width="3.125" style="112" customWidth="1"/>
    <col min="28" max="28" width="16.125" style="112" customWidth="1"/>
    <col min="29" max="29" width="10" style="112" customWidth="1"/>
    <col min="30" max="30" width="23" style="112" customWidth="1"/>
    <col min="31" max="31" width="23.5" style="112" customWidth="1"/>
    <col min="32" max="32" width="10.5" style="112" customWidth="1"/>
    <col min="33" max="33" width="9" style="112"/>
    <col min="34" max="80" width="0" style="112" hidden="1" customWidth="1"/>
    <col min="81" max="16384" width="9" style="112"/>
  </cols>
  <sheetData>
    <row r="1" spans="1:76">
      <c r="B1" s="529"/>
      <c r="C1" s="529"/>
      <c r="D1" s="529"/>
    </row>
    <row r="2" spans="1:76">
      <c r="B2" s="529"/>
      <c r="C2" s="529"/>
      <c r="D2" s="529"/>
    </row>
    <row r="3" spans="1:76" ht="13.5" thickBot="1">
      <c r="B3" s="529"/>
      <c r="C3" s="120" t="s">
        <v>273</v>
      </c>
      <c r="D3" s="529"/>
      <c r="AB3" s="112" t="s">
        <v>274</v>
      </c>
    </row>
    <row r="4" spans="1:76" ht="25.5">
      <c r="A4" s="529"/>
      <c r="B4" s="529"/>
      <c r="C4" s="529"/>
      <c r="D4" s="529"/>
      <c r="E4" s="529">
        <f t="shared" ref="E4:O4" si="0">IF(ISBLANK(E11),E5,F4)</f>
        <v>20</v>
      </c>
      <c r="F4" s="529">
        <f t="shared" si="0"/>
        <v>20</v>
      </c>
      <c r="G4" s="529">
        <f t="shared" si="0"/>
        <v>20</v>
      </c>
      <c r="H4" s="529">
        <f t="shared" si="0"/>
        <v>20</v>
      </c>
      <c r="I4" s="529">
        <f t="shared" si="0"/>
        <v>20</v>
      </c>
      <c r="J4" s="529">
        <f t="shared" si="0"/>
        <v>20</v>
      </c>
      <c r="K4" s="529">
        <f t="shared" si="0"/>
        <v>20</v>
      </c>
      <c r="L4" s="529">
        <f t="shared" si="0"/>
        <v>20</v>
      </c>
      <c r="M4" s="529">
        <f t="shared" si="0"/>
        <v>20</v>
      </c>
      <c r="N4" s="529">
        <f t="shared" si="0"/>
        <v>20</v>
      </c>
      <c r="O4" s="529">
        <f t="shared" si="0"/>
        <v>20</v>
      </c>
      <c r="P4" s="529">
        <f t="shared" ref="P4:W4" si="1">IF(ISBLANK(P11),P5,Q4)</f>
        <v>20</v>
      </c>
      <c r="Q4" s="529">
        <f t="shared" si="1"/>
        <v>20</v>
      </c>
      <c r="R4" s="529">
        <f t="shared" si="1"/>
        <v>20</v>
      </c>
      <c r="S4" s="529">
        <f t="shared" si="1"/>
        <v>20</v>
      </c>
      <c r="T4" s="529">
        <f t="shared" si="1"/>
        <v>20</v>
      </c>
      <c r="U4" s="529">
        <f t="shared" si="1"/>
        <v>20</v>
      </c>
      <c r="V4" s="529">
        <f t="shared" si="1"/>
        <v>20</v>
      </c>
      <c r="W4" s="529">
        <f t="shared" si="1"/>
        <v>20</v>
      </c>
      <c r="X4" s="529">
        <v>20</v>
      </c>
      <c r="Z4" s="531"/>
      <c r="AA4" s="532"/>
      <c r="AB4" s="533" t="s">
        <v>275</v>
      </c>
      <c r="AC4" s="533" t="s">
        <v>276</v>
      </c>
      <c r="AD4" s="533" t="s">
        <v>277</v>
      </c>
      <c r="AE4" s="534" t="s">
        <v>278</v>
      </c>
      <c r="AF4" s="535" t="s">
        <v>279</v>
      </c>
    </row>
    <row r="5" spans="1:76">
      <c r="A5" s="529"/>
      <c r="B5" s="529"/>
      <c r="C5" s="113" t="s">
        <v>280</v>
      </c>
      <c r="D5" s="529" t="s">
        <v>281</v>
      </c>
      <c r="E5" s="529">
        <v>1</v>
      </c>
      <c r="F5" s="529">
        <v>2</v>
      </c>
      <c r="G5" s="529">
        <v>3</v>
      </c>
      <c r="H5" s="529">
        <v>4</v>
      </c>
      <c r="I5" s="529">
        <v>5</v>
      </c>
      <c r="J5" s="529">
        <v>6</v>
      </c>
      <c r="K5" s="529">
        <v>7</v>
      </c>
      <c r="L5" s="529">
        <v>8</v>
      </c>
      <c r="M5" s="529">
        <v>9</v>
      </c>
      <c r="N5" s="529">
        <v>10</v>
      </c>
      <c r="O5" s="529">
        <v>11</v>
      </c>
      <c r="P5" s="529">
        <v>12</v>
      </c>
      <c r="Q5" s="529">
        <v>13</v>
      </c>
      <c r="R5" s="529">
        <v>14</v>
      </c>
      <c r="S5" s="529">
        <v>15</v>
      </c>
      <c r="T5" s="529">
        <v>16</v>
      </c>
      <c r="U5" s="529">
        <v>17</v>
      </c>
      <c r="V5" s="529">
        <v>18</v>
      </c>
      <c r="W5" s="529">
        <v>19</v>
      </c>
      <c r="X5" s="529">
        <v>20</v>
      </c>
      <c r="Z5" s="536">
        <v>1</v>
      </c>
      <c r="AA5" s="512">
        <v>15</v>
      </c>
      <c r="AB5" s="537" t="s">
        <v>282</v>
      </c>
      <c r="AC5" s="537" t="s">
        <v>283</v>
      </c>
      <c r="AD5" s="512" t="s">
        <v>284</v>
      </c>
      <c r="AE5" s="537" t="s">
        <v>285</v>
      </c>
      <c r="AF5" s="538">
        <v>1.6093</v>
      </c>
    </row>
    <row r="6" spans="1:76">
      <c r="B6" s="529"/>
      <c r="C6" s="113" t="s">
        <v>286</v>
      </c>
      <c r="D6" s="114"/>
      <c r="E6" s="114"/>
      <c r="F6" s="114"/>
      <c r="G6" s="114"/>
      <c r="H6" s="114"/>
      <c r="I6" s="114"/>
      <c r="J6" s="114"/>
      <c r="K6" s="114"/>
      <c r="L6" s="114"/>
      <c r="M6" s="114"/>
      <c r="N6" s="114"/>
      <c r="O6" s="114"/>
      <c r="P6" s="114"/>
      <c r="Q6" s="114"/>
      <c r="R6" s="114"/>
      <c r="S6" s="114"/>
      <c r="T6" s="114"/>
      <c r="U6" s="114"/>
      <c r="V6" s="114"/>
      <c r="W6" s="114"/>
      <c r="Z6" s="536">
        <v>2</v>
      </c>
      <c r="AA6" s="512">
        <v>44</v>
      </c>
      <c r="AB6" s="537" t="s">
        <v>287</v>
      </c>
      <c r="AC6" s="512" t="s">
        <v>288</v>
      </c>
      <c r="AD6" s="512" t="s">
        <v>289</v>
      </c>
      <c r="AE6" s="537" t="s">
        <v>290</v>
      </c>
      <c r="AF6" s="538">
        <v>1.6093</v>
      </c>
    </row>
    <row r="7" spans="1:76">
      <c r="B7" s="529"/>
      <c r="C7" s="113" t="s">
        <v>291</v>
      </c>
      <c r="D7" s="114"/>
      <c r="E7" s="114"/>
      <c r="F7" s="114"/>
      <c r="G7" s="114"/>
      <c r="H7" s="114"/>
      <c r="I7" s="114"/>
      <c r="J7" s="114"/>
      <c r="K7" s="114"/>
      <c r="L7" s="114"/>
      <c r="M7" s="114"/>
      <c r="N7" s="114"/>
      <c r="O7" s="114"/>
      <c r="P7" s="114"/>
      <c r="Q7" s="114"/>
      <c r="R7" s="114"/>
      <c r="S7" s="114"/>
      <c r="T7" s="114"/>
      <c r="U7" s="114"/>
      <c r="V7" s="114"/>
      <c r="W7" s="114"/>
      <c r="Z7" s="536">
        <v>3</v>
      </c>
      <c r="AA7" s="512">
        <v>45</v>
      </c>
      <c r="AB7" s="539" t="s">
        <v>292</v>
      </c>
      <c r="AC7" s="512" t="s">
        <v>293</v>
      </c>
      <c r="AD7" s="512" t="s">
        <v>292</v>
      </c>
      <c r="AE7" s="512" t="s">
        <v>294</v>
      </c>
      <c r="AF7" s="540">
        <v>1</v>
      </c>
    </row>
    <row r="8" spans="1:76">
      <c r="B8" s="529"/>
      <c r="C8" s="529" t="s">
        <v>295</v>
      </c>
      <c r="D8" s="114"/>
      <c r="E8" s="114"/>
      <c r="F8" s="114"/>
      <c r="G8" s="114"/>
      <c r="H8" s="114"/>
      <c r="I8" s="114"/>
      <c r="J8" s="114"/>
      <c r="K8" s="114"/>
      <c r="L8" s="114"/>
      <c r="M8" s="114"/>
      <c r="N8" s="114"/>
      <c r="O8" s="114"/>
      <c r="P8" s="114"/>
      <c r="Q8" s="114"/>
      <c r="R8" s="114"/>
      <c r="S8" s="114"/>
      <c r="T8" s="114"/>
      <c r="U8" s="114"/>
      <c r="V8" s="114"/>
      <c r="W8" s="114"/>
      <c r="X8" s="114"/>
      <c r="Z8" s="536">
        <v>4</v>
      </c>
      <c r="AA8" s="512">
        <v>26</v>
      </c>
      <c r="AB8" s="537" t="s">
        <v>296</v>
      </c>
      <c r="AC8" s="512" t="s">
        <v>297</v>
      </c>
      <c r="AD8" s="537" t="s">
        <v>298</v>
      </c>
      <c r="AE8" s="537" t="s">
        <v>299</v>
      </c>
      <c r="AF8" s="538">
        <v>0.60817317852893205</v>
      </c>
    </row>
    <row r="9" spans="1:76">
      <c r="B9" s="529"/>
      <c r="C9" s="529" t="s">
        <v>300</v>
      </c>
      <c r="D9" s="528" t="str">
        <f>CONCATENATE(tracperf!$G$2," ",tracperf!$H$2)</f>
        <v xml:space="preserve">JOHN DEERE 4055 PowerShift MFWD_________ 109 pto hp </v>
      </c>
      <c r="E9" s="559" t="s">
        <v>301</v>
      </c>
      <c r="F9" s="115" t="s">
        <v>302</v>
      </c>
      <c r="G9" s="115" t="s">
        <v>302</v>
      </c>
      <c r="H9" s="115" t="s">
        <v>302</v>
      </c>
      <c r="I9" s="115" t="s">
        <v>302</v>
      </c>
      <c r="J9" s="115" t="s">
        <v>302</v>
      </c>
      <c r="K9" s="115" t="s">
        <v>302</v>
      </c>
      <c r="L9" s="115" t="s">
        <v>302</v>
      </c>
      <c r="M9" s="115" t="s">
        <v>302</v>
      </c>
      <c r="N9" s="115" t="s">
        <v>302</v>
      </c>
      <c r="O9" s="116" t="s">
        <v>302</v>
      </c>
      <c r="P9" s="116" t="s">
        <v>302</v>
      </c>
      <c r="Q9" s="116" t="s">
        <v>302</v>
      </c>
      <c r="R9" s="116" t="s">
        <v>302</v>
      </c>
      <c r="S9" s="116" t="s">
        <v>302</v>
      </c>
      <c r="T9" s="116" t="s">
        <v>302</v>
      </c>
      <c r="U9" s="116" t="s">
        <v>303</v>
      </c>
      <c r="V9" s="116" t="s">
        <v>303</v>
      </c>
      <c r="W9" s="116" t="s">
        <v>303</v>
      </c>
      <c r="X9" s="114"/>
      <c r="Z9" s="536"/>
      <c r="AA9" s="512">
        <v>27</v>
      </c>
      <c r="AB9" s="537" t="s">
        <v>304</v>
      </c>
      <c r="AC9" s="512" t="s">
        <v>297</v>
      </c>
      <c r="AD9" s="537" t="s">
        <v>305</v>
      </c>
      <c r="AE9" s="537" t="s">
        <v>306</v>
      </c>
      <c r="AF9" s="538">
        <v>0.60817317852893205</v>
      </c>
      <c r="BE9" s="114"/>
      <c r="BF9" s="114"/>
      <c r="BG9" s="114"/>
      <c r="BH9" s="114"/>
      <c r="BI9" s="114"/>
      <c r="BJ9" s="114"/>
      <c r="BK9" s="114"/>
      <c r="BL9" s="114"/>
      <c r="BM9" s="114"/>
      <c r="BN9" s="114"/>
      <c r="BO9" s="114"/>
      <c r="BP9" s="114"/>
      <c r="BQ9" s="114"/>
      <c r="BR9" s="114"/>
      <c r="BS9" s="114"/>
      <c r="BT9" s="114"/>
      <c r="BU9" s="114"/>
      <c r="BV9" s="114"/>
      <c r="BW9" s="114"/>
      <c r="BX9" s="114"/>
    </row>
    <row r="10" spans="1:76">
      <c r="B10" s="529"/>
      <c r="C10" s="113" t="s">
        <v>307</v>
      </c>
      <c r="D10" s="114"/>
      <c r="E10" s="115"/>
      <c r="F10" s="115"/>
      <c r="G10" s="115"/>
      <c r="H10" s="115"/>
      <c r="I10" s="115"/>
      <c r="J10" s="115"/>
      <c r="K10" s="115"/>
      <c r="L10" s="115"/>
      <c r="M10" s="115"/>
      <c r="N10" s="115"/>
      <c r="O10" s="116"/>
      <c r="P10" s="116"/>
      <c r="Q10" s="116"/>
      <c r="R10" s="116"/>
      <c r="S10" s="116"/>
      <c r="T10" s="116"/>
      <c r="U10" s="116"/>
      <c r="V10" s="116"/>
      <c r="W10" s="116"/>
      <c r="X10" s="114"/>
      <c r="Z10" s="536"/>
      <c r="AA10" s="512">
        <v>33</v>
      </c>
      <c r="AB10" s="537" t="s">
        <v>308</v>
      </c>
      <c r="AC10" s="512" t="s">
        <v>309</v>
      </c>
      <c r="AD10" s="537" t="s">
        <v>310</v>
      </c>
      <c r="AE10" s="537" t="s">
        <v>311</v>
      </c>
      <c r="AF10" s="540">
        <v>0.74570000000000003</v>
      </c>
      <c r="BE10" s="559" t="s">
        <v>301</v>
      </c>
      <c r="BF10" s="115" t="s">
        <v>302</v>
      </c>
      <c r="BG10" s="115" t="s">
        <v>302</v>
      </c>
      <c r="BH10" s="115" t="s">
        <v>302</v>
      </c>
      <c r="BI10" s="115" t="s">
        <v>302</v>
      </c>
      <c r="BJ10" s="115" t="s">
        <v>302</v>
      </c>
      <c r="BK10" s="115" t="s">
        <v>302</v>
      </c>
      <c r="BL10" s="115" t="s">
        <v>302</v>
      </c>
      <c r="BM10" s="115" t="s">
        <v>302</v>
      </c>
      <c r="BN10" s="115" t="s">
        <v>302</v>
      </c>
      <c r="BO10" s="116" t="s">
        <v>302</v>
      </c>
      <c r="BP10" s="116" t="s">
        <v>302</v>
      </c>
      <c r="BQ10" s="116" t="s">
        <v>302</v>
      </c>
      <c r="BR10" s="116" t="s">
        <v>302</v>
      </c>
      <c r="BS10" s="116" t="s">
        <v>302</v>
      </c>
      <c r="BT10" s="116" t="s">
        <v>302</v>
      </c>
      <c r="BU10" s="116" t="s">
        <v>303</v>
      </c>
      <c r="BV10" s="116" t="s">
        <v>303</v>
      </c>
      <c r="BW10" s="116" t="s">
        <v>303</v>
      </c>
      <c r="BX10" s="114"/>
    </row>
    <row r="11" spans="1:76">
      <c r="B11" s="529">
        <v>1</v>
      </c>
      <c r="C11" s="113" t="s">
        <v>312</v>
      </c>
      <c r="D11" s="506">
        <f>tracperf!B4</f>
        <v>5375.79</v>
      </c>
      <c r="E11" s="117">
        <v>5375.79</v>
      </c>
      <c r="F11" s="117">
        <v>5375.79</v>
      </c>
      <c r="G11" s="117">
        <v>5375.79</v>
      </c>
      <c r="H11" s="117">
        <v>5375.79</v>
      </c>
      <c r="I11" s="117">
        <v>5375.79</v>
      </c>
      <c r="J11" s="117">
        <v>5375.79</v>
      </c>
      <c r="K11" s="117">
        <v>5375.79</v>
      </c>
      <c r="L11" s="117">
        <v>5375.79</v>
      </c>
      <c r="M11" s="117">
        <v>5375.79</v>
      </c>
      <c r="N11" s="117">
        <v>5375.79</v>
      </c>
      <c r="O11" s="118">
        <v>5375.79</v>
      </c>
      <c r="P11" s="118">
        <v>5375.79</v>
      </c>
      <c r="Q11" s="118">
        <v>5375.79</v>
      </c>
      <c r="R11" s="118">
        <v>5375.79</v>
      </c>
      <c r="S11" s="118">
        <v>5375.79</v>
      </c>
      <c r="T11" s="118">
        <v>5375.79</v>
      </c>
      <c r="U11" s="118">
        <v>5375.79</v>
      </c>
      <c r="V11" s="118">
        <v>5375.79</v>
      </c>
      <c r="W11" s="118">
        <v>5375.79</v>
      </c>
      <c r="X11" s="114"/>
      <c r="Z11" s="536"/>
      <c r="AA11" s="512">
        <v>34</v>
      </c>
      <c r="AB11" s="537" t="s">
        <v>313</v>
      </c>
      <c r="AC11" s="512" t="s">
        <v>314</v>
      </c>
      <c r="AD11" s="537" t="s">
        <v>315</v>
      </c>
      <c r="AE11" s="537" t="s">
        <v>316</v>
      </c>
      <c r="AF11" s="540">
        <v>0.74570000000000003</v>
      </c>
      <c r="BE11" s="115"/>
      <c r="BF11" s="115"/>
      <c r="BG11" s="115"/>
      <c r="BH11" s="115"/>
      <c r="BI11" s="115"/>
      <c r="BJ11" s="115"/>
      <c r="BK11" s="115"/>
      <c r="BL11" s="115"/>
      <c r="BM11" s="115"/>
      <c r="BN11" s="115"/>
      <c r="BO11" s="116"/>
      <c r="BP11" s="116"/>
      <c r="BQ11" s="116"/>
      <c r="BR11" s="116"/>
      <c r="BS11" s="116"/>
      <c r="BT11" s="116"/>
      <c r="BU11" s="116"/>
      <c r="BV11" s="116"/>
      <c r="BW11" s="116"/>
      <c r="BX11" s="114"/>
    </row>
    <row r="12" spans="1:76">
      <c r="B12" s="529">
        <v>2</v>
      </c>
      <c r="C12" s="113" t="s">
        <v>317</v>
      </c>
      <c r="D12" s="507">
        <f>tracperf!K3</f>
        <v>0</v>
      </c>
      <c r="E12" s="119">
        <v>0</v>
      </c>
      <c r="F12" s="119">
        <v>0</v>
      </c>
      <c r="G12" s="119">
        <v>0</v>
      </c>
      <c r="H12" s="119">
        <v>0</v>
      </c>
      <c r="I12" s="119">
        <v>0</v>
      </c>
      <c r="J12" s="119">
        <v>0</v>
      </c>
      <c r="K12" s="119">
        <v>0</v>
      </c>
      <c r="L12" s="119">
        <v>0</v>
      </c>
      <c r="M12" s="119">
        <v>0</v>
      </c>
      <c r="N12" s="119">
        <v>0</v>
      </c>
      <c r="O12" s="116">
        <v>0</v>
      </c>
      <c r="P12" s="116">
        <v>0</v>
      </c>
      <c r="Q12" s="116">
        <v>0</v>
      </c>
      <c r="R12" s="116">
        <v>0</v>
      </c>
      <c r="S12" s="116">
        <v>0</v>
      </c>
      <c r="T12" s="116">
        <v>0</v>
      </c>
      <c r="U12" s="116">
        <v>0</v>
      </c>
      <c r="V12" s="116">
        <v>0</v>
      </c>
      <c r="W12" s="116">
        <v>0</v>
      </c>
      <c r="X12" s="114"/>
      <c r="Z12" s="536"/>
      <c r="AA12" s="512">
        <v>38</v>
      </c>
      <c r="AB12" s="539" t="s">
        <v>318</v>
      </c>
      <c r="AC12" s="539" t="s">
        <v>319</v>
      </c>
      <c r="AD12" s="537" t="s">
        <v>318</v>
      </c>
      <c r="AE12" s="512" t="s">
        <v>318</v>
      </c>
      <c r="AF12" s="540">
        <v>1</v>
      </c>
      <c r="BE12" s="117">
        <v>5375.79</v>
      </c>
      <c r="BF12" s="117">
        <v>5375.79</v>
      </c>
      <c r="BG12" s="117">
        <v>5375.79</v>
      </c>
      <c r="BH12" s="117">
        <v>5375.79</v>
      </c>
      <c r="BI12" s="117">
        <v>5375.79</v>
      </c>
      <c r="BJ12" s="117">
        <v>5375.79</v>
      </c>
      <c r="BK12" s="117">
        <v>5375.79</v>
      </c>
      <c r="BL12" s="117">
        <v>5375.79</v>
      </c>
      <c r="BM12" s="117">
        <v>5375.79</v>
      </c>
      <c r="BN12" s="117">
        <v>5375.79</v>
      </c>
      <c r="BO12" s="118">
        <v>5375.79</v>
      </c>
      <c r="BP12" s="118">
        <v>5375.79</v>
      </c>
      <c r="BQ12" s="118">
        <v>5375.79</v>
      </c>
      <c r="BR12" s="118">
        <v>5375.79</v>
      </c>
      <c r="BS12" s="118">
        <v>5375.79</v>
      </c>
      <c r="BT12" s="118">
        <v>5375.79</v>
      </c>
      <c r="BU12" s="118">
        <v>5375.79</v>
      </c>
      <c r="BV12" s="118">
        <v>5375.79</v>
      </c>
      <c r="BW12" s="118">
        <v>5375.79</v>
      </c>
      <c r="BX12" s="114"/>
    </row>
    <row r="13" spans="1:76">
      <c r="B13" s="529">
        <v>3</v>
      </c>
      <c r="C13" s="120" t="s">
        <v>320</v>
      </c>
      <c r="D13" s="114">
        <f>tracperf!B7</f>
        <v>2</v>
      </c>
      <c r="E13" s="115">
        <v>2</v>
      </c>
      <c r="F13" s="115">
        <v>2</v>
      </c>
      <c r="G13" s="115">
        <v>2</v>
      </c>
      <c r="H13" s="115">
        <v>2</v>
      </c>
      <c r="I13" s="115">
        <v>2</v>
      </c>
      <c r="J13" s="115">
        <v>2</v>
      </c>
      <c r="K13" s="115">
        <v>2</v>
      </c>
      <c r="L13" s="115">
        <v>2</v>
      </c>
      <c r="M13" s="115">
        <v>2</v>
      </c>
      <c r="N13" s="115">
        <v>2</v>
      </c>
      <c r="O13" s="116">
        <v>2</v>
      </c>
      <c r="P13" s="116">
        <v>2</v>
      </c>
      <c r="Q13" s="116">
        <v>2</v>
      </c>
      <c r="R13" s="116">
        <v>2</v>
      </c>
      <c r="S13" s="116">
        <v>2</v>
      </c>
      <c r="T13" s="116">
        <v>2</v>
      </c>
      <c r="U13" s="116">
        <v>2</v>
      </c>
      <c r="V13" s="116">
        <v>2</v>
      </c>
      <c r="W13" s="116">
        <v>2</v>
      </c>
      <c r="X13" s="114"/>
      <c r="Z13" s="536"/>
      <c r="AA13" s="512">
        <v>39</v>
      </c>
      <c r="AB13" s="539" t="s">
        <v>321</v>
      </c>
      <c r="AC13" s="512" t="s">
        <v>322</v>
      </c>
      <c r="AD13" s="539" t="s">
        <v>323</v>
      </c>
      <c r="AE13" s="537" t="s">
        <v>323</v>
      </c>
      <c r="AF13" s="540">
        <v>1</v>
      </c>
      <c r="BE13" s="119">
        <v>0</v>
      </c>
      <c r="BF13" s="119">
        <v>0</v>
      </c>
      <c r="BG13" s="119">
        <v>0</v>
      </c>
      <c r="BH13" s="119">
        <v>0</v>
      </c>
      <c r="BI13" s="119">
        <v>0</v>
      </c>
      <c r="BJ13" s="119">
        <v>0</v>
      </c>
      <c r="BK13" s="119">
        <v>0</v>
      </c>
      <c r="BL13" s="119">
        <v>0</v>
      </c>
      <c r="BM13" s="119">
        <v>0</v>
      </c>
      <c r="BN13" s="119">
        <v>0</v>
      </c>
      <c r="BO13" s="116">
        <v>0</v>
      </c>
      <c r="BP13" s="116">
        <v>0</v>
      </c>
      <c r="BQ13" s="116">
        <v>0</v>
      </c>
      <c r="BR13" s="116">
        <v>0</v>
      </c>
      <c r="BS13" s="116">
        <v>0</v>
      </c>
      <c r="BT13" s="116">
        <v>0</v>
      </c>
      <c r="BU13" s="116">
        <v>0</v>
      </c>
      <c r="BV13" s="116">
        <v>0</v>
      </c>
      <c r="BW13" s="116">
        <v>0</v>
      </c>
      <c r="BX13" s="114"/>
    </row>
    <row r="14" spans="1:76">
      <c r="B14" s="529">
        <v>4</v>
      </c>
      <c r="C14" s="113" t="s">
        <v>324</v>
      </c>
      <c r="D14" s="508">
        <f>tracperf!B8</f>
        <v>0.91880604348360095</v>
      </c>
      <c r="E14" s="119">
        <v>0.91880604348360095</v>
      </c>
      <c r="F14" s="119">
        <v>0.91880604348360095</v>
      </c>
      <c r="G14" s="119">
        <v>0.91880604348360095</v>
      </c>
      <c r="H14" s="119">
        <v>0.91880604348360095</v>
      </c>
      <c r="I14" s="119">
        <v>0.91880604348360095</v>
      </c>
      <c r="J14" s="119">
        <v>0.91880604348360095</v>
      </c>
      <c r="K14" s="119">
        <v>0.91880604348360095</v>
      </c>
      <c r="L14" s="119">
        <v>0.91880604348360095</v>
      </c>
      <c r="M14" s="119">
        <v>0.91880604348360095</v>
      </c>
      <c r="N14" s="119">
        <v>0.91880604348360095</v>
      </c>
      <c r="O14" s="121">
        <v>0.91880604348360095</v>
      </c>
      <c r="P14" s="121">
        <v>0.91880604348360095</v>
      </c>
      <c r="Q14" s="121">
        <v>0.91880604348360095</v>
      </c>
      <c r="R14" s="121">
        <v>0.91880604348360095</v>
      </c>
      <c r="S14" s="121">
        <v>0.91880604348360095</v>
      </c>
      <c r="T14" s="121">
        <v>0.91880604348360095</v>
      </c>
      <c r="U14" s="121">
        <v>0.91880604348360095</v>
      </c>
      <c r="V14" s="121">
        <v>0.91880604348360095</v>
      </c>
      <c r="W14" s="121">
        <v>0.91880604348360095</v>
      </c>
      <c r="X14" s="114"/>
      <c r="Z14" s="536"/>
      <c r="AA14" s="512">
        <v>40</v>
      </c>
      <c r="AB14" s="537" t="s">
        <v>325</v>
      </c>
      <c r="AC14" s="512" t="s">
        <v>326</v>
      </c>
      <c r="AD14" s="537" t="s">
        <v>327</v>
      </c>
      <c r="AE14" s="537" t="s">
        <v>327</v>
      </c>
      <c r="AF14" s="540">
        <v>1</v>
      </c>
      <c r="BE14" s="115">
        <v>2</v>
      </c>
      <c r="BF14" s="115">
        <v>2</v>
      </c>
      <c r="BG14" s="115">
        <v>2</v>
      </c>
      <c r="BH14" s="115">
        <v>2</v>
      </c>
      <c r="BI14" s="115">
        <v>2</v>
      </c>
      <c r="BJ14" s="115">
        <v>2</v>
      </c>
      <c r="BK14" s="115">
        <v>2</v>
      </c>
      <c r="BL14" s="115">
        <v>2</v>
      </c>
      <c r="BM14" s="115">
        <v>2</v>
      </c>
      <c r="BN14" s="115">
        <v>2</v>
      </c>
      <c r="BO14" s="116">
        <v>2</v>
      </c>
      <c r="BP14" s="116">
        <v>2</v>
      </c>
      <c r="BQ14" s="116">
        <v>2</v>
      </c>
      <c r="BR14" s="116">
        <v>2</v>
      </c>
      <c r="BS14" s="116">
        <v>2</v>
      </c>
      <c r="BT14" s="116">
        <v>2</v>
      </c>
      <c r="BU14" s="116">
        <v>2</v>
      </c>
      <c r="BV14" s="116">
        <v>2</v>
      </c>
      <c r="BW14" s="116">
        <v>2</v>
      </c>
      <c r="BX14" s="114"/>
    </row>
    <row r="15" spans="1:76">
      <c r="B15" s="529">
        <v>5</v>
      </c>
      <c r="C15" s="113" t="s">
        <v>328</v>
      </c>
      <c r="D15" s="114"/>
      <c r="E15" s="119"/>
      <c r="F15" s="119"/>
      <c r="G15" s="119"/>
      <c r="H15" s="119"/>
      <c r="I15" s="121"/>
      <c r="J15" s="121"/>
      <c r="K15" s="121"/>
      <c r="L15" s="121"/>
      <c r="M15" s="121"/>
      <c r="N15" s="121"/>
      <c r="O15" s="121"/>
      <c r="P15" s="121"/>
      <c r="Q15" s="121"/>
      <c r="R15" s="121"/>
      <c r="S15" s="121"/>
      <c r="T15" s="121"/>
      <c r="U15" s="121"/>
      <c r="V15" s="121"/>
      <c r="W15" s="121"/>
      <c r="X15" s="114"/>
      <c r="Z15" s="536"/>
      <c r="AA15" s="512">
        <v>42</v>
      </c>
      <c r="AB15" s="537" t="s">
        <v>329</v>
      </c>
      <c r="AC15" s="512" t="s">
        <v>330</v>
      </c>
      <c r="AD15" s="537" t="s">
        <v>331</v>
      </c>
      <c r="AE15" s="537" t="s">
        <v>332</v>
      </c>
      <c r="AF15" s="540">
        <v>0.74570000000000003</v>
      </c>
      <c r="BE15" s="119">
        <v>0.91880604348360095</v>
      </c>
      <c r="BF15" s="119">
        <v>0.91880604348360095</v>
      </c>
      <c r="BG15" s="119">
        <v>0.91880604348360095</v>
      </c>
      <c r="BH15" s="119">
        <v>0.91880604348360095</v>
      </c>
      <c r="BI15" s="119">
        <v>0.91880604348360095</v>
      </c>
      <c r="BJ15" s="119">
        <v>0.91880604348360095</v>
      </c>
      <c r="BK15" s="119">
        <v>0.91880604348360095</v>
      </c>
      <c r="BL15" s="119">
        <v>0.91880604348360095</v>
      </c>
      <c r="BM15" s="119">
        <v>0.91880604348360095</v>
      </c>
      <c r="BN15" s="119">
        <v>0.91880604348360095</v>
      </c>
      <c r="BO15" s="121">
        <v>0.91880604348360095</v>
      </c>
      <c r="BP15" s="121">
        <v>0.91880604348360095</v>
      </c>
      <c r="BQ15" s="121">
        <v>0.91880604348360095</v>
      </c>
      <c r="BR15" s="121">
        <v>0.91880604348360095</v>
      </c>
      <c r="BS15" s="121">
        <v>0.91880604348360095</v>
      </c>
      <c r="BT15" s="121">
        <v>0.91880604348360095</v>
      </c>
      <c r="BU15" s="121">
        <v>0.91880604348360095</v>
      </c>
      <c r="BV15" s="121">
        <v>0.91880604348360095</v>
      </c>
      <c r="BW15" s="121">
        <v>0.91880604348360095</v>
      </c>
      <c r="BX15" s="114"/>
    </row>
    <row r="16" spans="1:76" ht="13.5" thickBot="1">
      <c r="B16" s="529">
        <v>6</v>
      </c>
      <c r="C16" s="113" t="s">
        <v>312</v>
      </c>
      <c r="D16" s="506">
        <f>tracperf!B11</f>
        <v>8581.86</v>
      </c>
      <c r="E16" s="117">
        <v>8581.86</v>
      </c>
      <c r="F16" s="117">
        <v>8581.86</v>
      </c>
      <c r="G16" s="117">
        <v>8581.86</v>
      </c>
      <c r="H16" s="117">
        <v>8581.86</v>
      </c>
      <c r="I16" s="118">
        <v>8581.86</v>
      </c>
      <c r="J16" s="118">
        <v>8581.86</v>
      </c>
      <c r="K16" s="118">
        <v>8581.86</v>
      </c>
      <c r="L16" s="118">
        <v>8581.86</v>
      </c>
      <c r="M16" s="118">
        <v>8581.86</v>
      </c>
      <c r="N16" s="118">
        <v>8581.86</v>
      </c>
      <c r="O16" s="118">
        <v>8581.86</v>
      </c>
      <c r="P16" s="118">
        <v>8581.86</v>
      </c>
      <c r="Q16" s="118">
        <v>8581.86</v>
      </c>
      <c r="R16" s="118">
        <v>8581.86</v>
      </c>
      <c r="S16" s="118">
        <v>8581.86</v>
      </c>
      <c r="T16" s="118">
        <v>8581.86</v>
      </c>
      <c r="U16" s="118">
        <v>8581.86</v>
      </c>
      <c r="V16" s="118">
        <v>8581.86</v>
      </c>
      <c r="W16" s="118">
        <v>8581.86</v>
      </c>
      <c r="X16" s="114"/>
      <c r="Z16" s="541"/>
      <c r="AA16" s="542">
        <v>43</v>
      </c>
      <c r="AB16" s="543" t="s">
        <v>333</v>
      </c>
      <c r="AC16" s="542" t="s">
        <v>334</v>
      </c>
      <c r="AD16" s="542" t="s">
        <v>335</v>
      </c>
      <c r="AE16" s="543" t="s">
        <v>336</v>
      </c>
      <c r="AF16" s="544">
        <v>4.4479999999999997E-3</v>
      </c>
      <c r="BE16" s="119"/>
      <c r="BF16" s="119"/>
      <c r="BG16" s="119"/>
      <c r="BH16" s="119"/>
      <c r="BI16" s="121"/>
      <c r="BJ16" s="121"/>
      <c r="BK16" s="121"/>
      <c r="BL16" s="121"/>
      <c r="BM16" s="121"/>
      <c r="BN16" s="121"/>
      <c r="BO16" s="121"/>
      <c r="BP16" s="121"/>
      <c r="BQ16" s="121"/>
      <c r="BR16" s="121"/>
      <c r="BS16" s="121"/>
      <c r="BT16" s="121"/>
      <c r="BU16" s="121"/>
      <c r="BV16" s="121"/>
      <c r="BW16" s="121"/>
      <c r="BX16" s="114"/>
    </row>
    <row r="17" spans="1:76">
      <c r="B17" s="529">
        <v>7</v>
      </c>
      <c r="C17" s="113" t="s">
        <v>317</v>
      </c>
      <c r="D17" s="507">
        <f>tracperf!K4</f>
        <v>0</v>
      </c>
      <c r="E17" s="119">
        <v>0</v>
      </c>
      <c r="F17" s="119">
        <v>0</v>
      </c>
      <c r="G17" s="119">
        <v>0</v>
      </c>
      <c r="H17" s="119">
        <v>0</v>
      </c>
      <c r="I17" s="116">
        <v>0</v>
      </c>
      <c r="J17" s="116">
        <v>0</v>
      </c>
      <c r="K17" s="116">
        <v>0</v>
      </c>
      <c r="L17" s="116">
        <v>0</v>
      </c>
      <c r="M17" s="116">
        <v>0</v>
      </c>
      <c r="N17" s="116">
        <v>0</v>
      </c>
      <c r="O17" s="116">
        <v>0</v>
      </c>
      <c r="P17" s="116">
        <v>0</v>
      </c>
      <c r="Q17" s="116">
        <v>0</v>
      </c>
      <c r="R17" s="116">
        <v>0</v>
      </c>
      <c r="S17" s="116">
        <v>0</v>
      </c>
      <c r="T17" s="116">
        <v>0</v>
      </c>
      <c r="U17" s="116">
        <v>0</v>
      </c>
      <c r="V17" s="116">
        <v>0</v>
      </c>
      <c r="W17" s="116">
        <v>0</v>
      </c>
      <c r="X17" s="114"/>
      <c r="BE17" s="117">
        <v>8581.86</v>
      </c>
      <c r="BF17" s="117">
        <v>8581.86</v>
      </c>
      <c r="BG17" s="117">
        <v>8581.86</v>
      </c>
      <c r="BH17" s="117">
        <v>8581.86</v>
      </c>
      <c r="BI17" s="118">
        <v>8581.86</v>
      </c>
      <c r="BJ17" s="118">
        <v>8581.86</v>
      </c>
      <c r="BK17" s="118">
        <v>8581.86</v>
      </c>
      <c r="BL17" s="118">
        <v>8581.86</v>
      </c>
      <c r="BM17" s="118">
        <v>8581.86</v>
      </c>
      <c r="BN17" s="118">
        <v>8581.86</v>
      </c>
      <c r="BO17" s="118">
        <v>8581.86</v>
      </c>
      <c r="BP17" s="118">
        <v>8581.86</v>
      </c>
      <c r="BQ17" s="118">
        <v>8581.86</v>
      </c>
      <c r="BR17" s="118">
        <v>8581.86</v>
      </c>
      <c r="BS17" s="118">
        <v>8581.86</v>
      </c>
      <c r="BT17" s="118">
        <v>8581.86</v>
      </c>
      <c r="BU17" s="118">
        <v>8581.86</v>
      </c>
      <c r="BV17" s="118">
        <v>8581.86</v>
      </c>
      <c r="BW17" s="118">
        <v>8581.86</v>
      </c>
      <c r="BX17" s="114"/>
    </row>
    <row r="18" spans="1:76">
      <c r="B18" s="529">
        <v>8</v>
      </c>
      <c r="C18" s="113" t="s">
        <v>337</v>
      </c>
      <c r="D18" s="506">
        <f>tracperf!B14</f>
        <v>2</v>
      </c>
      <c r="E18" s="117">
        <v>2</v>
      </c>
      <c r="F18" s="117">
        <v>2</v>
      </c>
      <c r="G18" s="117">
        <v>2</v>
      </c>
      <c r="H18" s="117">
        <v>2</v>
      </c>
      <c r="I18" s="116">
        <v>2</v>
      </c>
      <c r="J18" s="116">
        <v>2</v>
      </c>
      <c r="K18" s="116">
        <v>2</v>
      </c>
      <c r="L18" s="116">
        <v>2</v>
      </c>
      <c r="M18" s="116">
        <v>2</v>
      </c>
      <c r="N18" s="116">
        <v>2</v>
      </c>
      <c r="O18" s="116">
        <v>2</v>
      </c>
      <c r="P18" s="116">
        <v>2</v>
      </c>
      <c r="Q18" s="116">
        <v>2</v>
      </c>
      <c r="R18" s="116">
        <v>2</v>
      </c>
      <c r="S18" s="116">
        <v>2</v>
      </c>
      <c r="T18" s="116">
        <v>2</v>
      </c>
      <c r="U18" s="116">
        <v>2</v>
      </c>
      <c r="V18" s="116">
        <v>2</v>
      </c>
      <c r="W18" s="116">
        <v>2</v>
      </c>
      <c r="X18" s="114"/>
      <c r="BE18" s="119">
        <v>0</v>
      </c>
      <c r="BF18" s="119">
        <v>0</v>
      </c>
      <c r="BG18" s="119">
        <v>0</v>
      </c>
      <c r="BH18" s="119">
        <v>0</v>
      </c>
      <c r="BI18" s="116">
        <v>0</v>
      </c>
      <c r="BJ18" s="116">
        <v>0</v>
      </c>
      <c r="BK18" s="116">
        <v>0</v>
      </c>
      <c r="BL18" s="116">
        <v>0</v>
      </c>
      <c r="BM18" s="116">
        <v>0</v>
      </c>
      <c r="BN18" s="116">
        <v>0</v>
      </c>
      <c r="BO18" s="116">
        <v>0</v>
      </c>
      <c r="BP18" s="116">
        <v>0</v>
      </c>
      <c r="BQ18" s="116">
        <v>0</v>
      </c>
      <c r="BR18" s="116">
        <v>0</v>
      </c>
      <c r="BS18" s="116">
        <v>0</v>
      </c>
      <c r="BT18" s="116">
        <v>0</v>
      </c>
      <c r="BU18" s="116">
        <v>0</v>
      </c>
      <c r="BV18" s="116">
        <v>0</v>
      </c>
      <c r="BW18" s="116">
        <v>0</v>
      </c>
      <c r="BX18" s="114"/>
    </row>
    <row r="19" spans="1:76">
      <c r="B19" s="529">
        <v>9</v>
      </c>
      <c r="C19" s="113" t="s">
        <v>324</v>
      </c>
      <c r="D19" s="508">
        <f>tracperf!B15</f>
        <v>0.91880604348360095</v>
      </c>
      <c r="E19" s="121">
        <v>0.91880604348360095</v>
      </c>
      <c r="F19" s="119">
        <v>0.91880604348360095</v>
      </c>
      <c r="G19" s="121">
        <v>0.91880604348360095</v>
      </c>
      <c r="H19" s="121">
        <v>0.91880604348360095</v>
      </c>
      <c r="I19" s="121">
        <v>0.91880604348360095</v>
      </c>
      <c r="J19" s="121">
        <v>0.91880604348360095</v>
      </c>
      <c r="K19" s="121">
        <v>0.91880604348360095</v>
      </c>
      <c r="L19" s="121">
        <v>0.91880604348360095</v>
      </c>
      <c r="M19" s="121">
        <v>0.91880604348360095</v>
      </c>
      <c r="N19" s="121">
        <v>0.91880604348360095</v>
      </c>
      <c r="O19" s="121">
        <v>0.91880604348360095</v>
      </c>
      <c r="P19" s="121">
        <v>0.91880604348360095</v>
      </c>
      <c r="Q19" s="121">
        <v>0.91880604348360095</v>
      </c>
      <c r="R19" s="121">
        <v>0.91880604348360095</v>
      </c>
      <c r="S19" s="121">
        <v>0.91880604348360095</v>
      </c>
      <c r="T19" s="121">
        <v>0.91880604348360095</v>
      </c>
      <c r="U19" s="121">
        <v>0.91880604348360095</v>
      </c>
      <c r="V19" s="121">
        <v>0.91880604348360095</v>
      </c>
      <c r="W19" s="121">
        <v>0.91880604348360095</v>
      </c>
      <c r="X19" s="114"/>
      <c r="BE19" s="117">
        <v>2</v>
      </c>
      <c r="BF19" s="117">
        <v>2</v>
      </c>
      <c r="BG19" s="117">
        <v>2</v>
      </c>
      <c r="BH19" s="117">
        <v>2</v>
      </c>
      <c r="BI19" s="116">
        <v>2</v>
      </c>
      <c r="BJ19" s="116">
        <v>2</v>
      </c>
      <c r="BK19" s="116">
        <v>2</v>
      </c>
      <c r="BL19" s="116">
        <v>2</v>
      </c>
      <c r="BM19" s="116">
        <v>2</v>
      </c>
      <c r="BN19" s="116">
        <v>2</v>
      </c>
      <c r="BO19" s="116">
        <v>2</v>
      </c>
      <c r="BP19" s="116">
        <v>2</v>
      </c>
      <c r="BQ19" s="116">
        <v>2</v>
      </c>
      <c r="BR19" s="116">
        <v>2</v>
      </c>
      <c r="BS19" s="116">
        <v>2</v>
      </c>
      <c r="BT19" s="116">
        <v>2</v>
      </c>
      <c r="BU19" s="116">
        <v>2</v>
      </c>
      <c r="BV19" s="116">
        <v>2</v>
      </c>
      <c r="BW19" s="116">
        <v>2</v>
      </c>
      <c r="BX19" s="114"/>
    </row>
    <row r="20" spans="1:76">
      <c r="B20" s="529">
        <v>10</v>
      </c>
      <c r="C20" s="529"/>
      <c r="D20" s="114"/>
      <c r="E20" s="116"/>
      <c r="F20" s="116"/>
      <c r="G20" s="116"/>
      <c r="H20" s="116"/>
      <c r="I20" s="116"/>
      <c r="J20" s="116"/>
      <c r="K20" s="116"/>
      <c r="L20" s="116"/>
      <c r="M20" s="116"/>
      <c r="N20" s="116"/>
      <c r="O20" s="116"/>
      <c r="P20" s="116"/>
      <c r="Q20" s="116"/>
      <c r="R20" s="116"/>
      <c r="S20" s="116"/>
      <c r="T20" s="116"/>
      <c r="U20" s="116"/>
      <c r="V20" s="116"/>
      <c r="W20" s="116"/>
      <c r="X20" s="114"/>
      <c r="BE20" s="121">
        <v>0.91880604348360095</v>
      </c>
      <c r="BF20" s="119">
        <v>0.91880604348360095</v>
      </c>
      <c r="BG20" s="121">
        <v>0.91880604348360095</v>
      </c>
      <c r="BH20" s="121">
        <v>0.91880604348360095</v>
      </c>
      <c r="BI20" s="121">
        <v>0.91880604348360095</v>
      </c>
      <c r="BJ20" s="121">
        <v>0.91880604348360095</v>
      </c>
      <c r="BK20" s="121">
        <v>0.91880604348360095</v>
      </c>
      <c r="BL20" s="121">
        <v>0.91880604348360095</v>
      </c>
      <c r="BM20" s="121">
        <v>0.91880604348360095</v>
      </c>
      <c r="BN20" s="121">
        <v>0.91880604348360095</v>
      </c>
      <c r="BO20" s="121">
        <v>0.91880604348360095</v>
      </c>
      <c r="BP20" s="121">
        <v>0.91880604348360095</v>
      </c>
      <c r="BQ20" s="121">
        <v>0.91880604348360095</v>
      </c>
      <c r="BR20" s="121">
        <v>0.91880604348360095</v>
      </c>
      <c r="BS20" s="121">
        <v>0.91880604348360095</v>
      </c>
      <c r="BT20" s="121">
        <v>0.91880604348360095</v>
      </c>
      <c r="BU20" s="121">
        <v>0.91880604348360095</v>
      </c>
      <c r="BV20" s="121">
        <v>0.91880604348360095</v>
      </c>
      <c r="BW20" s="121">
        <v>0.91880604348360095</v>
      </c>
      <c r="BX20" s="114"/>
    </row>
    <row r="21" spans="1:76">
      <c r="B21" s="529">
        <v>11</v>
      </c>
      <c r="C21" s="113" t="s">
        <v>338</v>
      </c>
      <c r="D21" s="509">
        <f>tracperf!H3</f>
        <v>105.314960629921</v>
      </c>
      <c r="E21" s="123">
        <v>105.314960629921</v>
      </c>
      <c r="F21" s="123">
        <v>105.314960629921</v>
      </c>
      <c r="G21" s="123">
        <v>105.314960629921</v>
      </c>
      <c r="H21" s="123">
        <v>105.314960629921</v>
      </c>
      <c r="I21" s="123">
        <v>105.314960629921</v>
      </c>
      <c r="J21" s="123">
        <v>105.314960629921</v>
      </c>
      <c r="K21" s="123">
        <v>105.314960629921</v>
      </c>
      <c r="L21" s="123">
        <v>105.314960629921</v>
      </c>
      <c r="M21" s="123">
        <v>105.314960629921</v>
      </c>
      <c r="N21" s="123">
        <v>105.314960629921</v>
      </c>
      <c r="O21" s="123">
        <v>105.314960629921</v>
      </c>
      <c r="P21" s="123">
        <v>105.314960629921</v>
      </c>
      <c r="Q21" s="123">
        <v>105.314960629921</v>
      </c>
      <c r="R21" s="123">
        <v>105.314960629921</v>
      </c>
      <c r="S21" s="123">
        <v>105.314960629921</v>
      </c>
      <c r="T21" s="123">
        <v>105.314960629921</v>
      </c>
      <c r="U21" s="123">
        <v>105.314960629921</v>
      </c>
      <c r="V21" s="123">
        <v>105.314960629921</v>
      </c>
      <c r="W21" s="123">
        <v>105.314960629921</v>
      </c>
      <c r="X21" s="114"/>
      <c r="BE21" s="116"/>
      <c r="BF21" s="116"/>
      <c r="BG21" s="116"/>
      <c r="BH21" s="116"/>
      <c r="BI21" s="116"/>
      <c r="BJ21" s="116"/>
      <c r="BK21" s="116"/>
      <c r="BL21" s="116"/>
      <c r="BM21" s="116"/>
      <c r="BN21" s="116"/>
      <c r="BO21" s="116"/>
      <c r="BP21" s="116"/>
      <c r="BQ21" s="116"/>
      <c r="BR21" s="116"/>
      <c r="BS21" s="116"/>
      <c r="BT21" s="116"/>
      <c r="BU21" s="116"/>
      <c r="BV21" s="116"/>
      <c r="BW21" s="116"/>
      <c r="BX21" s="114"/>
    </row>
    <row r="22" spans="1:76">
      <c r="B22" s="529">
        <v>12</v>
      </c>
      <c r="C22" s="113" t="s">
        <v>339</v>
      </c>
      <c r="D22" s="508">
        <f>tracperf!H4</f>
        <v>16.929133858267701</v>
      </c>
      <c r="E22" s="123">
        <v>16.929133858267701</v>
      </c>
      <c r="F22" s="123">
        <v>16.929133858267701</v>
      </c>
      <c r="G22" s="123">
        <v>16.929133858267701</v>
      </c>
      <c r="H22" s="123">
        <v>16.929133858267701</v>
      </c>
      <c r="I22" s="123">
        <v>16.929133858267701</v>
      </c>
      <c r="J22" s="123">
        <v>16.929133858267701</v>
      </c>
      <c r="K22" s="123">
        <v>16.929133858267701</v>
      </c>
      <c r="L22" s="123">
        <v>16.929133858267701</v>
      </c>
      <c r="M22" s="123">
        <v>16.929133858267701</v>
      </c>
      <c r="N22" s="123">
        <v>16.929133858267701</v>
      </c>
      <c r="O22" s="123">
        <v>16.929133858267701</v>
      </c>
      <c r="P22" s="123">
        <v>16.929133858267701</v>
      </c>
      <c r="Q22" s="123">
        <v>16.929133858267701</v>
      </c>
      <c r="R22" s="123">
        <v>16.929133858267701</v>
      </c>
      <c r="S22" s="123">
        <v>16.929133858267701</v>
      </c>
      <c r="T22" s="123">
        <v>16.929133858267701</v>
      </c>
      <c r="U22" s="123">
        <v>16.929133858267701</v>
      </c>
      <c r="V22" s="123">
        <v>16.929133858267701</v>
      </c>
      <c r="W22" s="123">
        <v>16.929133858267701</v>
      </c>
      <c r="X22" s="114"/>
      <c r="BE22" s="123">
        <v>105.314960629921</v>
      </c>
      <c r="BF22" s="123">
        <v>105.314960629921</v>
      </c>
      <c r="BG22" s="123">
        <v>105.314960629921</v>
      </c>
      <c r="BH22" s="123">
        <v>105.314960629921</v>
      </c>
      <c r="BI22" s="123">
        <v>105.314960629921</v>
      </c>
      <c r="BJ22" s="123">
        <v>105.314960629921</v>
      </c>
      <c r="BK22" s="123">
        <v>105.314960629921</v>
      </c>
      <c r="BL22" s="123">
        <v>105.314960629921</v>
      </c>
      <c r="BM22" s="123">
        <v>105.314960629921</v>
      </c>
      <c r="BN22" s="123">
        <v>105.314960629921</v>
      </c>
      <c r="BO22" s="123">
        <v>105.314960629921</v>
      </c>
      <c r="BP22" s="123">
        <v>105.314960629921</v>
      </c>
      <c r="BQ22" s="123">
        <v>105.314960629921</v>
      </c>
      <c r="BR22" s="123">
        <v>105.314960629921</v>
      </c>
      <c r="BS22" s="123">
        <v>105.314960629921</v>
      </c>
      <c r="BT22" s="123">
        <v>105.314960629921</v>
      </c>
      <c r="BU22" s="123">
        <v>105.314960629921</v>
      </c>
      <c r="BV22" s="123">
        <v>105.314960629921</v>
      </c>
      <c r="BW22" s="123">
        <v>105.314960629921</v>
      </c>
      <c r="BX22" s="114"/>
    </row>
    <row r="23" spans="1:76">
      <c r="B23" s="529">
        <v>13</v>
      </c>
      <c r="C23" s="113" t="s">
        <v>340</v>
      </c>
      <c r="D23" s="508">
        <f>tracperf!H5</f>
        <v>31.594488188976399</v>
      </c>
      <c r="E23" s="116">
        <v>0</v>
      </c>
      <c r="F23" s="121">
        <v>0</v>
      </c>
      <c r="G23" s="116">
        <v>0</v>
      </c>
      <c r="H23" s="116">
        <v>0</v>
      </c>
      <c r="I23" s="116">
        <v>0</v>
      </c>
      <c r="J23" s="116">
        <v>0</v>
      </c>
      <c r="K23" s="116">
        <v>0</v>
      </c>
      <c r="L23" s="116">
        <v>0</v>
      </c>
      <c r="M23" s="116">
        <v>0</v>
      </c>
      <c r="N23" s="116">
        <v>0</v>
      </c>
      <c r="O23" s="116">
        <v>0</v>
      </c>
      <c r="P23" s="116">
        <v>0</v>
      </c>
      <c r="Q23" s="116">
        <v>0</v>
      </c>
      <c r="R23" s="116">
        <v>0</v>
      </c>
      <c r="S23" s="116">
        <v>0</v>
      </c>
      <c r="T23" s="116">
        <v>0</v>
      </c>
      <c r="U23" s="116">
        <v>0</v>
      </c>
      <c r="V23" s="116">
        <v>0</v>
      </c>
      <c r="W23" s="116">
        <v>0</v>
      </c>
      <c r="X23" s="114"/>
      <c r="BE23" s="123">
        <v>16.929133858267701</v>
      </c>
      <c r="BF23" s="123">
        <v>16.929133858267701</v>
      </c>
      <c r="BG23" s="123">
        <v>16.929133858267701</v>
      </c>
      <c r="BH23" s="123">
        <v>16.929133858267701</v>
      </c>
      <c r="BI23" s="123">
        <v>16.929133858267701</v>
      </c>
      <c r="BJ23" s="123">
        <v>16.929133858267701</v>
      </c>
      <c r="BK23" s="123">
        <v>16.929133858267701</v>
      </c>
      <c r="BL23" s="123">
        <v>16.929133858267701</v>
      </c>
      <c r="BM23" s="123">
        <v>16.929133858267701</v>
      </c>
      <c r="BN23" s="123">
        <v>16.929133858267701</v>
      </c>
      <c r="BO23" s="123">
        <v>16.929133858267701</v>
      </c>
      <c r="BP23" s="123">
        <v>16.929133858267701</v>
      </c>
      <c r="BQ23" s="123">
        <v>16.929133858267701</v>
      </c>
      <c r="BR23" s="123">
        <v>16.929133858267701</v>
      </c>
      <c r="BS23" s="123">
        <v>16.929133858267701</v>
      </c>
      <c r="BT23" s="123">
        <v>16.929133858267701</v>
      </c>
      <c r="BU23" s="123">
        <v>16.929133858267701</v>
      </c>
      <c r="BV23" s="123">
        <v>16.929133858267701</v>
      </c>
      <c r="BW23" s="123">
        <v>16.929133858267701</v>
      </c>
      <c r="BX23" s="114"/>
    </row>
    <row r="24" spans="1:76">
      <c r="B24" s="529">
        <v>14</v>
      </c>
      <c r="C24" s="113" t="s">
        <v>341</v>
      </c>
      <c r="D24" s="114">
        <f>tracperf!H6</f>
        <v>0</v>
      </c>
      <c r="E24" s="116">
        <v>0</v>
      </c>
      <c r="F24" s="116">
        <v>0</v>
      </c>
      <c r="G24" s="116">
        <v>0</v>
      </c>
      <c r="H24" s="116">
        <v>0</v>
      </c>
      <c r="I24" s="116">
        <v>0</v>
      </c>
      <c r="J24" s="116">
        <v>0</v>
      </c>
      <c r="K24" s="116">
        <v>0</v>
      </c>
      <c r="L24" s="116">
        <v>0</v>
      </c>
      <c r="M24" s="116">
        <v>0</v>
      </c>
      <c r="N24" s="116">
        <v>0</v>
      </c>
      <c r="O24" s="116">
        <v>0</v>
      </c>
      <c r="P24" s="116">
        <v>0</v>
      </c>
      <c r="Q24" s="116">
        <v>0</v>
      </c>
      <c r="R24" s="116">
        <v>0</v>
      </c>
      <c r="S24" s="116">
        <v>0</v>
      </c>
      <c r="T24" s="116">
        <v>0</v>
      </c>
      <c r="U24" s="116">
        <v>0</v>
      </c>
      <c r="V24" s="116">
        <v>0</v>
      </c>
      <c r="W24" s="116">
        <v>0</v>
      </c>
      <c r="X24" s="114"/>
      <c r="BE24" s="116">
        <v>0</v>
      </c>
      <c r="BF24" s="121">
        <v>0</v>
      </c>
      <c r="BG24" s="116">
        <v>0</v>
      </c>
      <c r="BH24" s="116">
        <v>0</v>
      </c>
      <c r="BI24" s="116">
        <v>0</v>
      </c>
      <c r="BJ24" s="116">
        <v>0</v>
      </c>
      <c r="BK24" s="116">
        <v>0</v>
      </c>
      <c r="BL24" s="116">
        <v>0</v>
      </c>
      <c r="BM24" s="116">
        <v>0</v>
      </c>
      <c r="BN24" s="116">
        <v>0</v>
      </c>
      <c r="BO24" s="116">
        <v>0</v>
      </c>
      <c r="BP24" s="116">
        <v>0</v>
      </c>
      <c r="BQ24" s="116">
        <v>0</v>
      </c>
      <c r="BR24" s="116">
        <v>0</v>
      </c>
      <c r="BS24" s="116">
        <v>0</v>
      </c>
      <c r="BT24" s="116">
        <v>0</v>
      </c>
      <c r="BU24" s="116">
        <v>0</v>
      </c>
      <c r="BV24" s="116">
        <v>0</v>
      </c>
      <c r="BW24" s="116">
        <v>0</v>
      </c>
      <c r="BX24" s="114"/>
    </row>
    <row r="25" spans="1:76">
      <c r="A25" s="112">
        <v>1</v>
      </c>
      <c r="B25" s="529">
        <v>15</v>
      </c>
      <c r="C25" s="113" t="s">
        <v>342</v>
      </c>
      <c r="D25" s="508">
        <f>tracperf!H7</f>
        <v>5.5</v>
      </c>
      <c r="E25" s="116">
        <v>3</v>
      </c>
      <c r="F25" s="121">
        <v>3.5</v>
      </c>
      <c r="G25" s="116">
        <v>4</v>
      </c>
      <c r="H25" s="116">
        <v>4.5</v>
      </c>
      <c r="I25" s="116">
        <v>5</v>
      </c>
      <c r="J25" s="116">
        <v>5.5</v>
      </c>
      <c r="K25" s="116">
        <v>6</v>
      </c>
      <c r="L25" s="116">
        <v>7</v>
      </c>
      <c r="M25" s="116">
        <v>8</v>
      </c>
      <c r="N25" s="116">
        <v>9</v>
      </c>
      <c r="O25" s="116">
        <v>10</v>
      </c>
      <c r="P25" s="116">
        <v>12</v>
      </c>
      <c r="Q25" s="116">
        <v>14</v>
      </c>
      <c r="R25" s="116">
        <v>16</v>
      </c>
      <c r="S25" s="116">
        <v>18</v>
      </c>
      <c r="T25" s="116">
        <v>20</v>
      </c>
      <c r="U25" s="116">
        <v>5.5</v>
      </c>
      <c r="V25" s="116">
        <v>5.5</v>
      </c>
      <c r="W25" s="116">
        <v>5.5</v>
      </c>
      <c r="X25" s="114"/>
      <c r="BE25" s="116">
        <v>0</v>
      </c>
      <c r="BF25" s="116">
        <v>0</v>
      </c>
      <c r="BG25" s="116">
        <v>0</v>
      </c>
      <c r="BH25" s="116">
        <v>0</v>
      </c>
      <c r="BI25" s="116">
        <v>0</v>
      </c>
      <c r="BJ25" s="116">
        <v>0</v>
      </c>
      <c r="BK25" s="116">
        <v>0</v>
      </c>
      <c r="BL25" s="116">
        <v>0</v>
      </c>
      <c r="BM25" s="116">
        <v>0</v>
      </c>
      <c r="BN25" s="116">
        <v>0</v>
      </c>
      <c r="BO25" s="116">
        <v>0</v>
      </c>
      <c r="BP25" s="116">
        <v>0</v>
      </c>
      <c r="BQ25" s="116">
        <v>0</v>
      </c>
      <c r="BR25" s="116">
        <v>0</v>
      </c>
      <c r="BS25" s="116">
        <v>0</v>
      </c>
      <c r="BT25" s="116">
        <v>0</v>
      </c>
      <c r="BU25" s="116">
        <v>0</v>
      </c>
      <c r="BV25" s="116">
        <v>0</v>
      </c>
      <c r="BW25" s="116">
        <v>0</v>
      </c>
      <c r="BX25" s="114"/>
    </row>
    <row r="26" spans="1:76">
      <c r="B26" s="529">
        <v>16</v>
      </c>
      <c r="C26" s="113" t="s">
        <v>343</v>
      </c>
      <c r="D26" s="114">
        <f>tracperf!H8</f>
        <v>109.17</v>
      </c>
      <c r="E26" s="116">
        <v>109.17</v>
      </c>
      <c r="F26" s="116">
        <v>109.17</v>
      </c>
      <c r="G26" s="116">
        <v>109.17</v>
      </c>
      <c r="H26" s="116">
        <v>109.17</v>
      </c>
      <c r="I26" s="116">
        <v>109.17</v>
      </c>
      <c r="J26" s="116">
        <v>109.17</v>
      </c>
      <c r="K26" s="116">
        <v>109.17</v>
      </c>
      <c r="L26" s="116">
        <v>109.17</v>
      </c>
      <c r="M26" s="116">
        <v>109.17</v>
      </c>
      <c r="N26" s="116">
        <v>109.17</v>
      </c>
      <c r="O26" s="116">
        <v>109.17</v>
      </c>
      <c r="P26" s="116">
        <v>109.17</v>
      </c>
      <c r="Q26" s="116">
        <v>109.17</v>
      </c>
      <c r="R26" s="116">
        <v>109.17</v>
      </c>
      <c r="S26" s="116">
        <v>109.17</v>
      </c>
      <c r="T26" s="116">
        <v>109.17</v>
      </c>
      <c r="U26" s="116">
        <v>109.17</v>
      </c>
      <c r="V26" s="116">
        <v>109.17</v>
      </c>
      <c r="W26" s="116">
        <v>109.17</v>
      </c>
      <c r="X26" s="114"/>
      <c r="BE26" s="116">
        <v>3</v>
      </c>
      <c r="BF26" s="121">
        <v>3.5</v>
      </c>
      <c r="BG26" s="116">
        <v>4</v>
      </c>
      <c r="BH26" s="116">
        <v>4.5</v>
      </c>
      <c r="BI26" s="116">
        <v>5</v>
      </c>
      <c r="BJ26" s="116">
        <v>5.5</v>
      </c>
      <c r="BK26" s="116">
        <v>6</v>
      </c>
      <c r="BL26" s="116">
        <v>7</v>
      </c>
      <c r="BM26" s="116">
        <v>8</v>
      </c>
      <c r="BN26" s="116">
        <v>9</v>
      </c>
      <c r="BO26" s="116">
        <v>10</v>
      </c>
      <c r="BP26" s="116">
        <v>12</v>
      </c>
      <c r="BQ26" s="116">
        <v>14</v>
      </c>
      <c r="BR26" s="116">
        <v>16</v>
      </c>
      <c r="BS26" s="116">
        <v>18</v>
      </c>
      <c r="BT26" s="116">
        <v>20</v>
      </c>
      <c r="BU26" s="116">
        <v>5.5</v>
      </c>
      <c r="BV26" s="116">
        <v>5.5</v>
      </c>
      <c r="BW26" s="116">
        <v>5.5</v>
      </c>
      <c r="BX26" s="114"/>
    </row>
    <row r="27" spans="1:76">
      <c r="B27" s="529">
        <v>17</v>
      </c>
      <c r="C27" s="113" t="s">
        <v>344</v>
      </c>
      <c r="D27" s="506">
        <f>tracperf!H10</f>
        <v>250</v>
      </c>
      <c r="E27" s="116">
        <v>250</v>
      </c>
      <c r="F27" s="118">
        <v>250</v>
      </c>
      <c r="G27" s="116">
        <v>250</v>
      </c>
      <c r="H27" s="116">
        <v>250</v>
      </c>
      <c r="I27" s="116">
        <v>250</v>
      </c>
      <c r="J27" s="116">
        <v>250</v>
      </c>
      <c r="K27" s="116">
        <v>250</v>
      </c>
      <c r="L27" s="116">
        <v>250</v>
      </c>
      <c r="M27" s="116">
        <v>250</v>
      </c>
      <c r="N27" s="116">
        <v>250</v>
      </c>
      <c r="O27" s="116">
        <v>250</v>
      </c>
      <c r="P27" s="116">
        <v>250</v>
      </c>
      <c r="Q27" s="116">
        <v>250</v>
      </c>
      <c r="R27" s="116">
        <v>250</v>
      </c>
      <c r="S27" s="116">
        <v>250</v>
      </c>
      <c r="T27" s="116">
        <v>250</v>
      </c>
      <c r="U27" s="116">
        <v>250</v>
      </c>
      <c r="V27" s="116">
        <v>250</v>
      </c>
      <c r="W27" s="116">
        <v>250</v>
      </c>
      <c r="X27" s="114"/>
      <c r="BE27" s="116">
        <v>109.17</v>
      </c>
      <c r="BF27" s="116">
        <v>109.17</v>
      </c>
      <c r="BG27" s="116">
        <v>109.17</v>
      </c>
      <c r="BH27" s="116">
        <v>109.17</v>
      </c>
      <c r="BI27" s="116">
        <v>109.17</v>
      </c>
      <c r="BJ27" s="116">
        <v>109.17</v>
      </c>
      <c r="BK27" s="116">
        <v>109.17</v>
      </c>
      <c r="BL27" s="116">
        <v>109.17</v>
      </c>
      <c r="BM27" s="116">
        <v>109.17</v>
      </c>
      <c r="BN27" s="116">
        <v>109.17</v>
      </c>
      <c r="BO27" s="116">
        <v>109.17</v>
      </c>
      <c r="BP27" s="116">
        <v>109.17</v>
      </c>
      <c r="BQ27" s="116">
        <v>109.17</v>
      </c>
      <c r="BR27" s="116">
        <v>109.17</v>
      </c>
      <c r="BS27" s="116">
        <v>109.17</v>
      </c>
      <c r="BT27" s="116">
        <v>109.17</v>
      </c>
      <c r="BU27" s="116">
        <v>109.17</v>
      </c>
      <c r="BV27" s="116">
        <v>109.17</v>
      </c>
      <c r="BW27" s="116">
        <v>109.17</v>
      </c>
      <c r="BX27" s="114"/>
    </row>
    <row r="28" spans="1:76">
      <c r="B28" s="529">
        <v>18</v>
      </c>
      <c r="C28" s="113" t="s">
        <v>345</v>
      </c>
      <c r="D28" s="114"/>
      <c r="E28" s="116"/>
      <c r="F28" s="116"/>
      <c r="G28" s="116"/>
      <c r="H28" s="116"/>
      <c r="I28" s="116"/>
      <c r="J28" s="116"/>
      <c r="K28" s="116"/>
      <c r="L28" s="116"/>
      <c r="M28" s="116"/>
      <c r="N28" s="116"/>
      <c r="O28" s="116"/>
      <c r="P28" s="116"/>
      <c r="Q28" s="116"/>
      <c r="R28" s="116"/>
      <c r="S28" s="116"/>
      <c r="T28" s="116"/>
      <c r="U28" s="116"/>
      <c r="V28" s="116"/>
      <c r="W28" s="116"/>
      <c r="X28" s="114"/>
      <c r="BE28" s="116">
        <v>250</v>
      </c>
      <c r="BF28" s="118">
        <v>250</v>
      </c>
      <c r="BG28" s="116">
        <v>250</v>
      </c>
      <c r="BH28" s="116">
        <v>250</v>
      </c>
      <c r="BI28" s="116">
        <v>250</v>
      </c>
      <c r="BJ28" s="116">
        <v>250</v>
      </c>
      <c r="BK28" s="116">
        <v>250</v>
      </c>
      <c r="BL28" s="116">
        <v>250</v>
      </c>
      <c r="BM28" s="116">
        <v>250</v>
      </c>
      <c r="BN28" s="116">
        <v>250</v>
      </c>
      <c r="BO28" s="116">
        <v>250</v>
      </c>
      <c r="BP28" s="116">
        <v>250</v>
      </c>
      <c r="BQ28" s="116">
        <v>250</v>
      </c>
      <c r="BR28" s="116">
        <v>250</v>
      </c>
      <c r="BS28" s="116">
        <v>250</v>
      </c>
      <c r="BT28" s="116">
        <v>250</v>
      </c>
      <c r="BU28" s="116">
        <v>250</v>
      </c>
      <c r="BV28" s="116">
        <v>250</v>
      </c>
      <c r="BW28" s="116">
        <v>250</v>
      </c>
      <c r="BX28" s="114"/>
    </row>
    <row r="29" spans="1:76">
      <c r="B29" s="529">
        <v>19</v>
      </c>
      <c r="C29" s="113" t="s">
        <v>346</v>
      </c>
      <c r="D29" s="506">
        <f>tracperf!B18</f>
        <v>13957.650000000001</v>
      </c>
      <c r="E29" s="118">
        <v>13957.65</v>
      </c>
      <c r="F29" s="118">
        <v>13957.65</v>
      </c>
      <c r="G29" s="118">
        <v>13957.65</v>
      </c>
      <c r="H29" s="118">
        <v>13957.65</v>
      </c>
      <c r="I29" s="118">
        <v>13957.65</v>
      </c>
      <c r="J29" s="118">
        <v>13957.65</v>
      </c>
      <c r="K29" s="118">
        <v>13957.65</v>
      </c>
      <c r="L29" s="118">
        <v>13957.65</v>
      </c>
      <c r="M29" s="118">
        <v>13957.65</v>
      </c>
      <c r="N29" s="118">
        <v>13957.65</v>
      </c>
      <c r="O29" s="118">
        <v>13957.65</v>
      </c>
      <c r="P29" s="118">
        <v>13957.65</v>
      </c>
      <c r="Q29" s="118">
        <v>13957.65</v>
      </c>
      <c r="R29" s="118">
        <v>13957.65</v>
      </c>
      <c r="S29" s="118">
        <v>13957.65</v>
      </c>
      <c r="T29" s="118">
        <v>13957.65</v>
      </c>
      <c r="U29" s="118">
        <v>13957.65</v>
      </c>
      <c r="V29" s="118">
        <v>13957.65</v>
      </c>
      <c r="W29" s="118">
        <v>13957.65</v>
      </c>
      <c r="X29" s="114"/>
      <c r="BE29" s="116"/>
      <c r="BF29" s="116"/>
      <c r="BG29" s="116"/>
      <c r="BH29" s="116"/>
      <c r="BI29" s="116"/>
      <c r="BJ29" s="116"/>
      <c r="BK29" s="116"/>
      <c r="BL29" s="116"/>
      <c r="BM29" s="116"/>
      <c r="BN29" s="116"/>
      <c r="BO29" s="116"/>
      <c r="BP29" s="116"/>
      <c r="BQ29" s="116"/>
      <c r="BR29" s="116"/>
      <c r="BS29" s="116"/>
      <c r="BT29" s="116"/>
      <c r="BU29" s="116"/>
      <c r="BV29" s="116"/>
      <c r="BW29" s="116"/>
      <c r="BX29" s="114"/>
    </row>
    <row r="30" spans="1:76">
      <c r="B30" s="529">
        <v>20</v>
      </c>
      <c r="C30" s="113" t="s">
        <v>347</v>
      </c>
      <c r="D30" s="506">
        <f>tracperf!B4</f>
        <v>5375.79</v>
      </c>
      <c r="E30" s="118">
        <v>5375.79</v>
      </c>
      <c r="F30" s="118">
        <v>5375.79</v>
      </c>
      <c r="G30" s="118">
        <v>5375.79</v>
      </c>
      <c r="H30" s="118">
        <v>5375.79</v>
      </c>
      <c r="I30" s="118">
        <v>5375.79</v>
      </c>
      <c r="J30" s="118">
        <v>5375.79</v>
      </c>
      <c r="K30" s="118">
        <v>5375.79</v>
      </c>
      <c r="L30" s="118">
        <v>5375.79</v>
      </c>
      <c r="M30" s="118">
        <v>5375.79</v>
      </c>
      <c r="N30" s="118">
        <v>5375.79</v>
      </c>
      <c r="O30" s="118">
        <v>5375.79</v>
      </c>
      <c r="P30" s="118">
        <v>5375.79</v>
      </c>
      <c r="Q30" s="118">
        <v>5375.79</v>
      </c>
      <c r="R30" s="118">
        <v>5375.79</v>
      </c>
      <c r="S30" s="118">
        <v>5375.79</v>
      </c>
      <c r="T30" s="118">
        <v>5375.79</v>
      </c>
      <c r="U30" s="118">
        <v>5375.79</v>
      </c>
      <c r="V30" s="118">
        <v>5375.79</v>
      </c>
      <c r="W30" s="118">
        <v>5375.79</v>
      </c>
      <c r="X30" s="114"/>
      <c r="BE30" s="118">
        <v>13957.65</v>
      </c>
      <c r="BF30" s="118">
        <v>13957.65</v>
      </c>
      <c r="BG30" s="118">
        <v>13957.65</v>
      </c>
      <c r="BH30" s="118">
        <v>13957.65</v>
      </c>
      <c r="BI30" s="118">
        <v>13957.65</v>
      </c>
      <c r="BJ30" s="118">
        <v>13957.65</v>
      </c>
      <c r="BK30" s="118">
        <v>13957.65</v>
      </c>
      <c r="BL30" s="118">
        <v>13957.65</v>
      </c>
      <c r="BM30" s="118">
        <v>13957.65</v>
      </c>
      <c r="BN30" s="118">
        <v>13957.65</v>
      </c>
      <c r="BO30" s="118">
        <v>13957.65</v>
      </c>
      <c r="BP30" s="118">
        <v>13957.65</v>
      </c>
      <c r="BQ30" s="118">
        <v>13957.65</v>
      </c>
      <c r="BR30" s="118">
        <v>13957.65</v>
      </c>
      <c r="BS30" s="118">
        <v>13957.65</v>
      </c>
      <c r="BT30" s="118">
        <v>13957.65</v>
      </c>
      <c r="BU30" s="118">
        <v>13957.65</v>
      </c>
      <c r="BV30" s="118">
        <v>13957.65</v>
      </c>
      <c r="BW30" s="118">
        <v>13957.65</v>
      </c>
      <c r="BX30" s="114"/>
    </row>
    <row r="31" spans="1:76">
      <c r="B31" s="529">
        <v>21</v>
      </c>
      <c r="C31" s="113" t="s">
        <v>21</v>
      </c>
      <c r="D31" s="510">
        <f>tracperf!B5</f>
        <v>38.515007898894147</v>
      </c>
      <c r="E31" s="123">
        <v>38.515007898894147</v>
      </c>
      <c r="F31" s="123">
        <v>38.515007898894147</v>
      </c>
      <c r="G31" s="123">
        <v>38.515007898894147</v>
      </c>
      <c r="H31" s="123">
        <v>38.515007898894147</v>
      </c>
      <c r="I31" s="123">
        <v>38.515007898894147</v>
      </c>
      <c r="J31" s="123">
        <v>38.515007898894147</v>
      </c>
      <c r="K31" s="123">
        <v>38.515007898894147</v>
      </c>
      <c r="L31" s="123">
        <v>38.515007898894147</v>
      </c>
      <c r="M31" s="123">
        <v>38.515007898894147</v>
      </c>
      <c r="N31" s="123">
        <v>38.515007898894147</v>
      </c>
      <c r="O31" s="123">
        <v>38.515007898894147</v>
      </c>
      <c r="P31" s="123">
        <v>38.515007898894147</v>
      </c>
      <c r="Q31" s="123">
        <v>38.515007898894147</v>
      </c>
      <c r="R31" s="123">
        <v>38.515007898894147</v>
      </c>
      <c r="S31" s="123">
        <v>38.515007898894147</v>
      </c>
      <c r="T31" s="123">
        <v>38.515007898894147</v>
      </c>
      <c r="U31" s="123">
        <v>38.515007898894147</v>
      </c>
      <c r="V31" s="123">
        <v>38.515007898894147</v>
      </c>
      <c r="W31" s="123">
        <v>38.515007898894147</v>
      </c>
      <c r="X31" s="114"/>
      <c r="BE31" s="118">
        <v>5375.79</v>
      </c>
      <c r="BF31" s="118">
        <v>5375.79</v>
      </c>
      <c r="BG31" s="118">
        <v>5375.79</v>
      </c>
      <c r="BH31" s="118">
        <v>5375.79</v>
      </c>
      <c r="BI31" s="118">
        <v>5375.79</v>
      </c>
      <c r="BJ31" s="118">
        <v>5375.79</v>
      </c>
      <c r="BK31" s="118">
        <v>5375.79</v>
      </c>
      <c r="BL31" s="118">
        <v>5375.79</v>
      </c>
      <c r="BM31" s="118">
        <v>5375.79</v>
      </c>
      <c r="BN31" s="118">
        <v>5375.79</v>
      </c>
      <c r="BO31" s="118">
        <v>5375.79</v>
      </c>
      <c r="BP31" s="118">
        <v>5375.79</v>
      </c>
      <c r="BQ31" s="118">
        <v>5375.79</v>
      </c>
      <c r="BR31" s="118">
        <v>5375.79</v>
      </c>
      <c r="BS31" s="118">
        <v>5375.79</v>
      </c>
      <c r="BT31" s="118">
        <v>5375.79</v>
      </c>
      <c r="BU31" s="118">
        <v>5375.79</v>
      </c>
      <c r="BV31" s="118">
        <v>5375.79</v>
      </c>
      <c r="BW31" s="118">
        <v>5375.79</v>
      </c>
      <c r="BX31" s="114"/>
    </row>
    <row r="32" spans="1:76">
      <c r="B32" s="529">
        <v>22</v>
      </c>
      <c r="C32" s="113" t="s">
        <v>348</v>
      </c>
      <c r="D32" s="509">
        <f>tracperf!C7</f>
        <v>13.137466318800245</v>
      </c>
      <c r="E32" s="123">
        <v>13.137466318800245</v>
      </c>
      <c r="F32" s="123">
        <v>13.137466318800245</v>
      </c>
      <c r="G32" s="123">
        <v>13.137466318800245</v>
      </c>
      <c r="H32" s="123">
        <v>13.137466318800245</v>
      </c>
      <c r="I32" s="123">
        <v>13.137466318800245</v>
      </c>
      <c r="J32" s="123">
        <v>13.137466318800245</v>
      </c>
      <c r="K32" s="123">
        <v>13.137466318800245</v>
      </c>
      <c r="L32" s="123">
        <v>13.137466318800245</v>
      </c>
      <c r="M32" s="123">
        <v>13.137466318800245</v>
      </c>
      <c r="N32" s="123">
        <v>13.137466318800245</v>
      </c>
      <c r="O32" s="123">
        <v>13.137466318800245</v>
      </c>
      <c r="P32" s="123">
        <v>13.137466318800245</v>
      </c>
      <c r="Q32" s="123">
        <v>13.137466318800245</v>
      </c>
      <c r="R32" s="123">
        <v>13.137466318800245</v>
      </c>
      <c r="S32" s="123">
        <v>13.137466318800245</v>
      </c>
      <c r="T32" s="123">
        <v>13.137466318800245</v>
      </c>
      <c r="U32" s="123">
        <v>13.137466318800245</v>
      </c>
      <c r="V32" s="123">
        <v>13.137466318800245</v>
      </c>
      <c r="W32" s="123">
        <v>13.137466318800245</v>
      </c>
      <c r="X32" s="114"/>
      <c r="BE32" s="123">
        <v>38.515007898894147</v>
      </c>
      <c r="BF32" s="123">
        <v>38.515007898894147</v>
      </c>
      <c r="BG32" s="123">
        <v>38.515007898894147</v>
      </c>
      <c r="BH32" s="123">
        <v>38.515007898894147</v>
      </c>
      <c r="BI32" s="123">
        <v>38.515007898894147</v>
      </c>
      <c r="BJ32" s="123">
        <v>38.515007898894147</v>
      </c>
      <c r="BK32" s="123">
        <v>38.515007898894147</v>
      </c>
      <c r="BL32" s="123">
        <v>38.515007898894147</v>
      </c>
      <c r="BM32" s="123">
        <v>38.515007898894147</v>
      </c>
      <c r="BN32" s="123">
        <v>38.515007898894147</v>
      </c>
      <c r="BO32" s="123">
        <v>38.515007898894147</v>
      </c>
      <c r="BP32" s="123">
        <v>38.515007898894147</v>
      </c>
      <c r="BQ32" s="123">
        <v>38.515007898894147</v>
      </c>
      <c r="BR32" s="123">
        <v>38.515007898894147</v>
      </c>
      <c r="BS32" s="123">
        <v>38.515007898894147</v>
      </c>
      <c r="BT32" s="123">
        <v>38.515007898894147</v>
      </c>
      <c r="BU32" s="123">
        <v>38.515007898894147</v>
      </c>
      <c r="BV32" s="123">
        <v>38.515007898894147</v>
      </c>
      <c r="BW32" s="123">
        <v>38.515007898894147</v>
      </c>
      <c r="BX32" s="114"/>
    </row>
    <row r="33" spans="1:76">
      <c r="B33" s="529">
        <v>23</v>
      </c>
      <c r="C33" s="113" t="s">
        <v>349</v>
      </c>
      <c r="D33" s="506">
        <f>tracperf!B11</f>
        <v>8581.86</v>
      </c>
      <c r="E33" s="118">
        <v>8581.86</v>
      </c>
      <c r="F33" s="118">
        <v>8581.86</v>
      </c>
      <c r="G33" s="118">
        <v>8581.86</v>
      </c>
      <c r="H33" s="118">
        <v>8581.86</v>
      </c>
      <c r="I33" s="118">
        <v>8581.86</v>
      </c>
      <c r="J33" s="118">
        <v>8581.86</v>
      </c>
      <c r="K33" s="118">
        <v>8581.86</v>
      </c>
      <c r="L33" s="118">
        <v>8581.86</v>
      </c>
      <c r="M33" s="118">
        <v>8581.86</v>
      </c>
      <c r="N33" s="118">
        <v>8581.86</v>
      </c>
      <c r="O33" s="118">
        <v>8581.86</v>
      </c>
      <c r="P33" s="118">
        <v>8581.86</v>
      </c>
      <c r="Q33" s="118">
        <v>8581.86</v>
      </c>
      <c r="R33" s="118">
        <v>8581.86</v>
      </c>
      <c r="S33" s="118">
        <v>8581.86</v>
      </c>
      <c r="T33" s="118">
        <v>8581.86</v>
      </c>
      <c r="U33" s="118">
        <v>8581.86</v>
      </c>
      <c r="V33" s="118">
        <v>8581.86</v>
      </c>
      <c r="W33" s="118">
        <v>8581.86</v>
      </c>
      <c r="X33" s="114"/>
      <c r="BE33" s="123">
        <v>13.137466318800245</v>
      </c>
      <c r="BF33" s="123">
        <v>13.137466318800245</v>
      </c>
      <c r="BG33" s="123">
        <v>13.137466318800245</v>
      </c>
      <c r="BH33" s="123">
        <v>13.137466318800245</v>
      </c>
      <c r="BI33" s="123">
        <v>13.137466318800245</v>
      </c>
      <c r="BJ33" s="123">
        <v>13.137466318800245</v>
      </c>
      <c r="BK33" s="123">
        <v>13.137466318800245</v>
      </c>
      <c r="BL33" s="123">
        <v>13.137466318800245</v>
      </c>
      <c r="BM33" s="123">
        <v>13.137466318800245</v>
      </c>
      <c r="BN33" s="123">
        <v>13.137466318800245</v>
      </c>
      <c r="BO33" s="123">
        <v>13.137466318800245</v>
      </c>
      <c r="BP33" s="123">
        <v>13.137466318800245</v>
      </c>
      <c r="BQ33" s="123">
        <v>13.137466318800245</v>
      </c>
      <c r="BR33" s="123">
        <v>13.137466318800245</v>
      </c>
      <c r="BS33" s="123">
        <v>13.137466318800245</v>
      </c>
      <c r="BT33" s="123">
        <v>13.137466318800245</v>
      </c>
      <c r="BU33" s="123">
        <v>13.137466318800245</v>
      </c>
      <c r="BV33" s="123">
        <v>13.137466318800245</v>
      </c>
      <c r="BW33" s="123">
        <v>13.137466318800245</v>
      </c>
      <c r="BX33" s="114"/>
    </row>
    <row r="34" spans="1:76">
      <c r="B34" s="529">
        <v>24</v>
      </c>
      <c r="C34" s="113" t="s">
        <v>348</v>
      </c>
      <c r="D34" s="506">
        <f>tracperf!C14</f>
        <v>11.330094125101711</v>
      </c>
      <c r="E34" s="118">
        <v>11.330094125101711</v>
      </c>
      <c r="F34" s="118">
        <v>11.330094125101711</v>
      </c>
      <c r="G34" s="118">
        <v>11.330094125101711</v>
      </c>
      <c r="H34" s="118">
        <v>11.330094125101711</v>
      </c>
      <c r="I34" s="118">
        <v>11.330094125101711</v>
      </c>
      <c r="J34" s="118">
        <v>11.330094125101711</v>
      </c>
      <c r="K34" s="118">
        <v>11.330094125101711</v>
      </c>
      <c r="L34" s="118">
        <v>11.330094125101711</v>
      </c>
      <c r="M34" s="118">
        <v>11.330094125101711</v>
      </c>
      <c r="N34" s="118">
        <v>11.330094125101711</v>
      </c>
      <c r="O34" s="118">
        <v>11.330094125101711</v>
      </c>
      <c r="P34" s="118">
        <v>11.330094125101711</v>
      </c>
      <c r="Q34" s="118">
        <v>11.330094125101711</v>
      </c>
      <c r="R34" s="118">
        <v>11.330094125101711</v>
      </c>
      <c r="S34" s="118">
        <v>11.330094125101711</v>
      </c>
      <c r="T34" s="118">
        <v>11.330094125101711</v>
      </c>
      <c r="U34" s="118">
        <v>11.330094125101711</v>
      </c>
      <c r="V34" s="118">
        <v>11.330094125101711</v>
      </c>
      <c r="W34" s="118">
        <v>11.330094125101711</v>
      </c>
      <c r="X34" s="114"/>
      <c r="BE34" s="118">
        <v>8581.86</v>
      </c>
      <c r="BF34" s="118">
        <v>8581.86</v>
      </c>
      <c r="BG34" s="118">
        <v>8581.86</v>
      </c>
      <c r="BH34" s="118">
        <v>8581.86</v>
      </c>
      <c r="BI34" s="118">
        <v>8581.86</v>
      </c>
      <c r="BJ34" s="118">
        <v>8581.86</v>
      </c>
      <c r="BK34" s="118">
        <v>8581.86</v>
      </c>
      <c r="BL34" s="118">
        <v>8581.86</v>
      </c>
      <c r="BM34" s="118">
        <v>8581.86</v>
      </c>
      <c r="BN34" s="118">
        <v>8581.86</v>
      </c>
      <c r="BO34" s="118">
        <v>8581.86</v>
      </c>
      <c r="BP34" s="118">
        <v>8581.86</v>
      </c>
      <c r="BQ34" s="118">
        <v>8581.86</v>
      </c>
      <c r="BR34" s="118">
        <v>8581.86</v>
      </c>
      <c r="BS34" s="118">
        <v>8581.86</v>
      </c>
      <c r="BT34" s="118">
        <v>8581.86</v>
      </c>
      <c r="BU34" s="118">
        <v>8581.86</v>
      </c>
      <c r="BV34" s="118">
        <v>8581.86</v>
      </c>
      <c r="BW34" s="118">
        <v>8581.86</v>
      </c>
      <c r="BX34" s="114"/>
    </row>
    <row r="35" spans="1:76">
      <c r="B35" s="529">
        <v>25</v>
      </c>
      <c r="C35" s="529"/>
      <c r="D35" s="114"/>
      <c r="E35" s="116"/>
      <c r="F35" s="116"/>
      <c r="G35" s="116"/>
      <c r="H35" s="116"/>
      <c r="I35" s="116"/>
      <c r="J35" s="116"/>
      <c r="K35" s="116"/>
      <c r="L35" s="116"/>
      <c r="M35" s="116"/>
      <c r="N35" s="116"/>
      <c r="O35" s="116"/>
      <c r="P35" s="116"/>
      <c r="Q35" s="116"/>
      <c r="R35" s="116"/>
      <c r="S35" s="116"/>
      <c r="T35" s="116"/>
      <c r="U35" s="116"/>
      <c r="V35" s="116"/>
      <c r="W35" s="116"/>
      <c r="X35" s="114"/>
      <c r="BE35" s="118">
        <v>11.330094125101711</v>
      </c>
      <c r="BF35" s="118">
        <v>11.330094125101711</v>
      </c>
      <c r="BG35" s="118">
        <v>11.330094125101711</v>
      </c>
      <c r="BH35" s="118">
        <v>11.330094125101711</v>
      </c>
      <c r="BI35" s="118">
        <v>11.330094125101711</v>
      </c>
      <c r="BJ35" s="118">
        <v>11.330094125101711</v>
      </c>
      <c r="BK35" s="118">
        <v>11.330094125101711</v>
      </c>
      <c r="BL35" s="118">
        <v>11.330094125101711</v>
      </c>
      <c r="BM35" s="118">
        <v>11.330094125101711</v>
      </c>
      <c r="BN35" s="118">
        <v>11.330094125101711</v>
      </c>
      <c r="BO35" s="118">
        <v>11.330094125101711</v>
      </c>
      <c r="BP35" s="118">
        <v>11.330094125101711</v>
      </c>
      <c r="BQ35" s="118">
        <v>11.330094125101711</v>
      </c>
      <c r="BR35" s="118">
        <v>11.330094125101711</v>
      </c>
      <c r="BS35" s="118">
        <v>11.330094125101711</v>
      </c>
      <c r="BT35" s="118">
        <v>11.330094125101711</v>
      </c>
      <c r="BU35" s="118">
        <v>11.330094125101711</v>
      </c>
      <c r="BV35" s="118">
        <v>11.330094125101711</v>
      </c>
      <c r="BW35" s="118">
        <v>11.330094125101711</v>
      </c>
      <c r="BX35" s="114"/>
    </row>
    <row r="36" spans="1:76">
      <c r="A36" s="112">
        <v>2</v>
      </c>
      <c r="B36" s="529">
        <v>26</v>
      </c>
      <c r="C36" s="113" t="s">
        <v>350</v>
      </c>
      <c r="D36" s="506">
        <f ca="1">tracperf!B19</f>
        <v>139.15062149794355</v>
      </c>
      <c r="E36" s="123">
        <v>139.15062155318543</v>
      </c>
      <c r="F36" s="123">
        <v>139.15062107894016</v>
      </c>
      <c r="G36" s="123">
        <v>139.15062055788471</v>
      </c>
      <c r="H36" s="123">
        <v>139.15061985191051</v>
      </c>
      <c r="I36" s="123">
        <v>139.15061904377743</v>
      </c>
      <c r="J36" s="123">
        <v>139.15061821229094</v>
      </c>
      <c r="K36" s="123">
        <v>139.15061741691679</v>
      </c>
      <c r="L36" s="123">
        <v>139.15061007539356</v>
      </c>
      <c r="M36" s="123">
        <v>139.15060812187122</v>
      </c>
      <c r="N36" s="123">
        <v>139.15060692647396</v>
      </c>
      <c r="O36" s="123">
        <v>139.15060632531544</v>
      </c>
      <c r="P36" s="123">
        <v>139.15058899245381</v>
      </c>
      <c r="Q36" s="123">
        <v>139.15059095694491</v>
      </c>
      <c r="R36" s="123">
        <v>139.1505934814241</v>
      </c>
      <c r="S36" s="123">
        <v>139.15059607644477</v>
      </c>
      <c r="T36" s="123">
        <v>139.15059852850504</v>
      </c>
      <c r="U36" s="123">
        <v>139.15063227946214</v>
      </c>
      <c r="V36" s="123">
        <v>139.15060277040214</v>
      </c>
      <c r="W36" s="123">
        <v>139.15062175608932</v>
      </c>
      <c r="X36" s="114"/>
      <c r="BE36" s="116"/>
      <c r="BF36" s="116"/>
      <c r="BG36" s="116"/>
      <c r="BH36" s="116"/>
      <c r="BI36" s="116"/>
      <c r="BJ36" s="116"/>
      <c r="BK36" s="116"/>
      <c r="BL36" s="116"/>
      <c r="BM36" s="116"/>
      <c r="BN36" s="116"/>
      <c r="BO36" s="116"/>
      <c r="BP36" s="116"/>
      <c r="BQ36" s="116"/>
      <c r="BR36" s="116"/>
      <c r="BS36" s="116"/>
      <c r="BT36" s="116"/>
      <c r="BU36" s="116"/>
      <c r="BV36" s="116"/>
      <c r="BW36" s="116"/>
      <c r="BX36" s="114"/>
    </row>
    <row r="37" spans="1:76">
      <c r="A37" s="112">
        <v>3</v>
      </c>
      <c r="B37" s="529">
        <v>27</v>
      </c>
      <c r="C37" s="113" t="s">
        <v>351</v>
      </c>
      <c r="D37" s="506">
        <f>tracperf!B20</f>
        <v>127.85243198680958</v>
      </c>
      <c r="E37" s="123">
        <v>127.85243198680958</v>
      </c>
      <c r="F37" s="123">
        <v>127.85243198680958</v>
      </c>
      <c r="G37" s="123">
        <v>127.85243198680958</v>
      </c>
      <c r="H37" s="123">
        <v>127.85243198680958</v>
      </c>
      <c r="I37" s="123">
        <v>127.85243198680958</v>
      </c>
      <c r="J37" s="123">
        <v>127.85243198680958</v>
      </c>
      <c r="K37" s="123">
        <v>127.85243198680958</v>
      </c>
      <c r="L37" s="123">
        <v>127.85243198680958</v>
      </c>
      <c r="M37" s="123">
        <v>127.85243198680958</v>
      </c>
      <c r="N37" s="123">
        <v>127.85243198680958</v>
      </c>
      <c r="O37" s="123">
        <v>127.85243198680958</v>
      </c>
      <c r="P37" s="123">
        <v>127.85243198680958</v>
      </c>
      <c r="Q37" s="123">
        <v>127.85243198680958</v>
      </c>
      <c r="R37" s="123">
        <v>127.85243198680958</v>
      </c>
      <c r="S37" s="123">
        <v>127.85243198680958</v>
      </c>
      <c r="T37" s="123">
        <v>127.85243198680958</v>
      </c>
      <c r="U37" s="123">
        <v>127.85243198680958</v>
      </c>
      <c r="V37" s="123">
        <v>127.85243198680958</v>
      </c>
      <c r="W37" s="123">
        <v>127.85243198680958</v>
      </c>
      <c r="X37" s="114"/>
      <c r="BE37" s="123">
        <v>139.15062155318543</v>
      </c>
      <c r="BF37" s="123">
        <v>139.15062107894016</v>
      </c>
      <c r="BG37" s="123">
        <v>139.15062055788471</v>
      </c>
      <c r="BH37" s="123">
        <v>139.15061985191051</v>
      </c>
      <c r="BI37" s="123">
        <v>139.15061904377743</v>
      </c>
      <c r="BJ37" s="123">
        <v>139.15061821229094</v>
      </c>
      <c r="BK37" s="123">
        <v>139.15061741691679</v>
      </c>
      <c r="BL37" s="123">
        <v>139.15061007539356</v>
      </c>
      <c r="BM37" s="123">
        <v>139.15060812187122</v>
      </c>
      <c r="BN37" s="123">
        <v>139.15060692647396</v>
      </c>
      <c r="BO37" s="123">
        <v>139.15060632531544</v>
      </c>
      <c r="BP37" s="123">
        <v>139.15058899245381</v>
      </c>
      <c r="BQ37" s="123">
        <v>139.15059095694491</v>
      </c>
      <c r="BR37" s="123">
        <v>139.1505934814241</v>
      </c>
      <c r="BS37" s="123">
        <v>139.15059607644477</v>
      </c>
      <c r="BT37" s="123">
        <v>139.15059852850504</v>
      </c>
      <c r="BU37" s="123">
        <v>139.15063227946214</v>
      </c>
      <c r="BV37" s="123">
        <v>139.15060277040214</v>
      </c>
      <c r="BW37" s="123">
        <v>139.15062175608932</v>
      </c>
      <c r="BX37" s="114"/>
    </row>
    <row r="38" spans="1:76">
      <c r="B38" s="529">
        <v>28</v>
      </c>
      <c r="C38" s="113" t="s">
        <v>352</v>
      </c>
      <c r="D38" s="506">
        <f ca="1">tracperf!E18</f>
        <v>13957.650000000001</v>
      </c>
      <c r="E38" s="118">
        <v>13957.65</v>
      </c>
      <c r="F38" s="118">
        <v>13957.65</v>
      </c>
      <c r="G38" s="118">
        <v>13957.65</v>
      </c>
      <c r="H38" s="118">
        <v>13957.65</v>
      </c>
      <c r="I38" s="118">
        <v>13957.65</v>
      </c>
      <c r="J38" s="118">
        <v>13957.65</v>
      </c>
      <c r="K38" s="118">
        <v>13957.65</v>
      </c>
      <c r="L38" s="118">
        <v>13957.65</v>
      </c>
      <c r="M38" s="118">
        <v>13957.65</v>
      </c>
      <c r="N38" s="118">
        <v>13957.65</v>
      </c>
      <c r="O38" s="118">
        <v>13957.65</v>
      </c>
      <c r="P38" s="118">
        <v>13957.65</v>
      </c>
      <c r="Q38" s="118">
        <v>13957.65</v>
      </c>
      <c r="R38" s="118">
        <v>13957.65</v>
      </c>
      <c r="S38" s="118">
        <v>13957.65</v>
      </c>
      <c r="T38" s="118">
        <v>13957.65</v>
      </c>
      <c r="U38" s="118">
        <v>13957.65</v>
      </c>
      <c r="V38" s="118">
        <v>13957.65</v>
      </c>
      <c r="W38" s="118">
        <v>13957.65</v>
      </c>
      <c r="X38" s="114"/>
      <c r="BE38" s="123">
        <v>127.85243198680958</v>
      </c>
      <c r="BF38" s="123">
        <v>127.85243198680958</v>
      </c>
      <c r="BG38" s="123">
        <v>127.85243198680958</v>
      </c>
      <c r="BH38" s="123">
        <v>127.85243198680958</v>
      </c>
      <c r="BI38" s="123">
        <v>127.85243198680958</v>
      </c>
      <c r="BJ38" s="123">
        <v>127.85243198680958</v>
      </c>
      <c r="BK38" s="123">
        <v>127.85243198680958</v>
      </c>
      <c r="BL38" s="123">
        <v>127.85243198680958</v>
      </c>
      <c r="BM38" s="123">
        <v>127.85243198680958</v>
      </c>
      <c r="BN38" s="123">
        <v>127.85243198680958</v>
      </c>
      <c r="BO38" s="123">
        <v>127.85243198680958</v>
      </c>
      <c r="BP38" s="123">
        <v>127.85243198680958</v>
      </c>
      <c r="BQ38" s="123">
        <v>127.85243198680958</v>
      </c>
      <c r="BR38" s="123">
        <v>127.85243198680958</v>
      </c>
      <c r="BS38" s="123">
        <v>127.85243198680958</v>
      </c>
      <c r="BT38" s="123">
        <v>127.85243198680958</v>
      </c>
      <c r="BU38" s="123">
        <v>127.85243198680958</v>
      </c>
      <c r="BV38" s="123">
        <v>127.85243198680958</v>
      </c>
      <c r="BW38" s="123">
        <v>127.85243198680958</v>
      </c>
      <c r="BX38" s="114"/>
    </row>
    <row r="39" spans="1:76">
      <c r="B39" s="529">
        <v>29</v>
      </c>
      <c r="C39" s="113" t="s">
        <v>347</v>
      </c>
      <c r="D39" s="506">
        <f ca="1">tracperf!E4</f>
        <v>4387.5608415921897</v>
      </c>
      <c r="E39" s="118">
        <v>3537.6360551436055</v>
      </c>
      <c r="F39" s="118">
        <v>3779.3456425905779</v>
      </c>
      <c r="G39" s="118">
        <v>3985.7578957461001</v>
      </c>
      <c r="H39" s="118">
        <v>4148.698994096656</v>
      </c>
      <c r="I39" s="118">
        <v>4279.8669855678709</v>
      </c>
      <c r="J39" s="118">
        <v>4387.5603656436979</v>
      </c>
      <c r="K39" s="118">
        <v>4477.5056346651936</v>
      </c>
      <c r="L39" s="118">
        <v>4619.1439280158638</v>
      </c>
      <c r="M39" s="118">
        <v>4725.5693455921264</v>
      </c>
      <c r="N39" s="118">
        <v>4808.4426683326983</v>
      </c>
      <c r="O39" s="118">
        <v>4874.7961042246479</v>
      </c>
      <c r="P39" s="118">
        <v>4974.4060307470763</v>
      </c>
      <c r="Q39" s="118">
        <v>5045.6125711666064</v>
      </c>
      <c r="R39" s="118">
        <v>5099.0450508145786</v>
      </c>
      <c r="S39" s="118">
        <v>5140.6190319850666</v>
      </c>
      <c r="T39" s="118">
        <v>5173.8874829883325</v>
      </c>
      <c r="U39" s="118">
        <v>4387.5624033832564</v>
      </c>
      <c r="V39" s="118">
        <v>4387.5581288331341</v>
      </c>
      <c r="W39" s="118">
        <v>4387.5608789863909</v>
      </c>
      <c r="X39" s="114"/>
      <c r="BE39" s="118">
        <v>13957.65</v>
      </c>
      <c r="BF39" s="118">
        <v>13957.65</v>
      </c>
      <c r="BG39" s="118">
        <v>13957.65</v>
      </c>
      <c r="BH39" s="118">
        <v>13957.65</v>
      </c>
      <c r="BI39" s="118">
        <v>13957.65</v>
      </c>
      <c r="BJ39" s="118">
        <v>13957.65</v>
      </c>
      <c r="BK39" s="118">
        <v>13957.65</v>
      </c>
      <c r="BL39" s="118">
        <v>13957.65</v>
      </c>
      <c r="BM39" s="118">
        <v>13957.65</v>
      </c>
      <c r="BN39" s="118">
        <v>13957.65</v>
      </c>
      <c r="BO39" s="118">
        <v>13957.65</v>
      </c>
      <c r="BP39" s="118">
        <v>13957.65</v>
      </c>
      <c r="BQ39" s="118">
        <v>13957.65</v>
      </c>
      <c r="BR39" s="118">
        <v>13957.65</v>
      </c>
      <c r="BS39" s="118">
        <v>13957.65</v>
      </c>
      <c r="BT39" s="118">
        <v>13957.65</v>
      </c>
      <c r="BU39" s="118">
        <v>13957.65</v>
      </c>
      <c r="BV39" s="118">
        <v>13957.65</v>
      </c>
      <c r="BW39" s="118">
        <v>13957.65</v>
      </c>
      <c r="BX39" s="114"/>
    </row>
    <row r="40" spans="1:76">
      <c r="B40" s="529">
        <v>30</v>
      </c>
      <c r="C40" s="113" t="s">
        <v>21</v>
      </c>
      <c r="D40" s="509">
        <f ca="1">tracperf!E5</f>
        <v>31.434810599149493</v>
      </c>
      <c r="E40" s="123">
        <v>25.345499100089235</v>
      </c>
      <c r="F40" s="123">
        <v>27.07723465333045</v>
      </c>
      <c r="G40" s="123">
        <v>28.556081401569028</v>
      </c>
      <c r="H40" s="123">
        <v>29.723477763782984</v>
      </c>
      <c r="I40" s="123">
        <v>30.66323475347118</v>
      </c>
      <c r="J40" s="123">
        <v>31.434807189202317</v>
      </c>
      <c r="K40" s="123">
        <v>32.079222753580957</v>
      </c>
      <c r="L40" s="123">
        <v>33.093994533577387</v>
      </c>
      <c r="M40" s="123">
        <v>33.856482614137242</v>
      </c>
      <c r="N40" s="123">
        <v>34.450231008319435</v>
      </c>
      <c r="O40" s="123">
        <v>34.925622180128087</v>
      </c>
      <c r="P40" s="123">
        <v>35.639280471620054</v>
      </c>
      <c r="Q40" s="123">
        <v>36.149441855660555</v>
      </c>
      <c r="R40" s="123">
        <v>36.532260450825021</v>
      </c>
      <c r="S40" s="123">
        <v>36.830118479723062</v>
      </c>
      <c r="T40" s="123">
        <v>37.06847128985418</v>
      </c>
      <c r="U40" s="123">
        <v>31.434821788648204</v>
      </c>
      <c r="V40" s="123">
        <v>31.434791163506276</v>
      </c>
      <c r="W40" s="123">
        <v>31.434810867061362</v>
      </c>
      <c r="X40" s="114"/>
      <c r="BE40" s="118">
        <v>3537.6360551436055</v>
      </c>
      <c r="BF40" s="118">
        <v>3779.3456425905779</v>
      </c>
      <c r="BG40" s="118">
        <v>3985.7578957461001</v>
      </c>
      <c r="BH40" s="118">
        <v>4148.698994096656</v>
      </c>
      <c r="BI40" s="118">
        <v>4279.8669855678709</v>
      </c>
      <c r="BJ40" s="118">
        <v>4387.5603656436979</v>
      </c>
      <c r="BK40" s="118">
        <v>4477.5056346651936</v>
      </c>
      <c r="BL40" s="118">
        <v>4619.1439280158638</v>
      </c>
      <c r="BM40" s="118">
        <v>4725.5693455921264</v>
      </c>
      <c r="BN40" s="118">
        <v>4808.4426683326983</v>
      </c>
      <c r="BO40" s="118">
        <v>4874.7961042246479</v>
      </c>
      <c r="BP40" s="118">
        <v>4974.4060307470763</v>
      </c>
      <c r="BQ40" s="118">
        <v>5045.6125711666064</v>
      </c>
      <c r="BR40" s="118">
        <v>5099.0450508145786</v>
      </c>
      <c r="BS40" s="118">
        <v>5140.6190319850666</v>
      </c>
      <c r="BT40" s="118">
        <v>5173.8874829883325</v>
      </c>
      <c r="BU40" s="118">
        <v>4387.5624033832564</v>
      </c>
      <c r="BV40" s="118">
        <v>4387.5581288331341</v>
      </c>
      <c r="BW40" s="118">
        <v>4387.5608789863909</v>
      </c>
      <c r="BX40" s="114"/>
    </row>
    <row r="41" spans="1:76">
      <c r="B41" s="529">
        <v>31</v>
      </c>
      <c r="C41" s="113" t="s">
        <v>349</v>
      </c>
      <c r="D41" s="506">
        <f ca="1">tracperf!E11</f>
        <v>9570.0891584078108</v>
      </c>
      <c r="E41" s="118">
        <v>10420.013944856395</v>
      </c>
      <c r="F41" s="118">
        <v>10178.304357409423</v>
      </c>
      <c r="G41" s="118">
        <v>9971.8921042539005</v>
      </c>
      <c r="H41" s="118">
        <v>9808.9510059033455</v>
      </c>
      <c r="I41" s="118">
        <v>9677.7830144321288</v>
      </c>
      <c r="J41" s="118">
        <v>9570.0896343563018</v>
      </c>
      <c r="K41" s="118">
        <v>9480.1443653348069</v>
      </c>
      <c r="L41" s="118">
        <v>9338.5060719841367</v>
      </c>
      <c r="M41" s="118">
        <v>9232.0806544078732</v>
      </c>
      <c r="N41" s="118">
        <v>9149.2073316673013</v>
      </c>
      <c r="O41" s="118">
        <v>9082.8538957753517</v>
      </c>
      <c r="P41" s="118">
        <v>8983.2439692529242</v>
      </c>
      <c r="Q41" s="118">
        <v>8912.0374288333951</v>
      </c>
      <c r="R41" s="118">
        <v>8858.604949185421</v>
      </c>
      <c r="S41" s="118">
        <v>8817.030968014933</v>
      </c>
      <c r="T41" s="118">
        <v>8783.762517011668</v>
      </c>
      <c r="U41" s="118">
        <v>9570.0875966167441</v>
      </c>
      <c r="V41" s="118">
        <v>9570.0918711668655</v>
      </c>
      <c r="W41" s="118">
        <v>9570.0891210136087</v>
      </c>
      <c r="X41" s="114"/>
      <c r="BE41" s="123">
        <v>25.345499100089235</v>
      </c>
      <c r="BF41" s="123">
        <v>27.07723465333045</v>
      </c>
      <c r="BG41" s="123">
        <v>28.556081401569028</v>
      </c>
      <c r="BH41" s="123">
        <v>29.723477763782984</v>
      </c>
      <c r="BI41" s="123">
        <v>30.66323475347118</v>
      </c>
      <c r="BJ41" s="123">
        <v>31.434807189202317</v>
      </c>
      <c r="BK41" s="123">
        <v>32.079222753580957</v>
      </c>
      <c r="BL41" s="123">
        <v>33.093994533577387</v>
      </c>
      <c r="BM41" s="123">
        <v>33.856482614137242</v>
      </c>
      <c r="BN41" s="123">
        <v>34.450231008319435</v>
      </c>
      <c r="BO41" s="123">
        <v>34.925622180128087</v>
      </c>
      <c r="BP41" s="123">
        <v>35.639280471620054</v>
      </c>
      <c r="BQ41" s="123">
        <v>36.149441855660555</v>
      </c>
      <c r="BR41" s="123">
        <v>36.532260450825021</v>
      </c>
      <c r="BS41" s="123">
        <v>36.830118479723062</v>
      </c>
      <c r="BT41" s="123">
        <v>37.06847128985418</v>
      </c>
      <c r="BU41" s="123">
        <v>31.434821788648204</v>
      </c>
      <c r="BV41" s="123">
        <v>31.434791163506276</v>
      </c>
      <c r="BW41" s="123">
        <v>31.434810867061362</v>
      </c>
      <c r="BX41" s="114"/>
    </row>
    <row r="42" spans="1:76">
      <c r="B42" s="529">
        <v>32</v>
      </c>
      <c r="C42" s="529"/>
      <c r="D42" s="114"/>
      <c r="E42" s="116"/>
      <c r="F42" s="116"/>
      <c r="G42" s="116"/>
      <c r="H42" s="116"/>
      <c r="I42" s="116"/>
      <c r="J42" s="116"/>
      <c r="K42" s="116"/>
      <c r="L42" s="116"/>
      <c r="M42" s="116"/>
      <c r="N42" s="116"/>
      <c r="O42" s="116"/>
      <c r="P42" s="116"/>
      <c r="Q42" s="116"/>
      <c r="R42" s="116"/>
      <c r="S42" s="116"/>
      <c r="T42" s="116"/>
      <c r="U42" s="116"/>
      <c r="V42" s="116"/>
      <c r="W42" s="116"/>
      <c r="X42" s="114"/>
      <c r="BE42" s="118">
        <v>10420.013944856395</v>
      </c>
      <c r="BF42" s="118">
        <v>10178.304357409423</v>
      </c>
      <c r="BG42" s="118">
        <v>9971.8921042539005</v>
      </c>
      <c r="BH42" s="118">
        <v>9808.9510059033455</v>
      </c>
      <c r="BI42" s="118">
        <v>9677.7830144321288</v>
      </c>
      <c r="BJ42" s="118">
        <v>9570.0896343563018</v>
      </c>
      <c r="BK42" s="118">
        <v>9480.1443653348069</v>
      </c>
      <c r="BL42" s="118">
        <v>9338.5060719841367</v>
      </c>
      <c r="BM42" s="118">
        <v>9232.0806544078732</v>
      </c>
      <c r="BN42" s="118">
        <v>9149.2073316673013</v>
      </c>
      <c r="BO42" s="118">
        <v>9082.8538957753517</v>
      </c>
      <c r="BP42" s="118">
        <v>8983.2439692529242</v>
      </c>
      <c r="BQ42" s="118">
        <v>8912.0374288333951</v>
      </c>
      <c r="BR42" s="118">
        <v>8858.604949185421</v>
      </c>
      <c r="BS42" s="118">
        <v>8817.030968014933</v>
      </c>
      <c r="BT42" s="118">
        <v>8783.762517011668</v>
      </c>
      <c r="BU42" s="118">
        <v>9570.0875966167441</v>
      </c>
      <c r="BV42" s="118">
        <v>9570.0918711668655</v>
      </c>
      <c r="BW42" s="118">
        <v>9570.0891210136087</v>
      </c>
      <c r="BX42" s="114"/>
    </row>
    <row r="43" spans="1:76">
      <c r="A43" s="112">
        <v>4</v>
      </c>
      <c r="B43" s="529">
        <v>33</v>
      </c>
      <c r="C43" s="113" t="s">
        <v>308</v>
      </c>
      <c r="D43" s="508">
        <f ca="1">tracperf!E9</f>
        <v>31.550543258483863</v>
      </c>
      <c r="E43" s="123">
        <v>25.465008579696981</v>
      </c>
      <c r="F43" s="123">
        <v>27.196607330429579</v>
      </c>
      <c r="G43" s="123">
        <v>28.674821683333786</v>
      </c>
      <c r="H43" s="123">
        <v>29.84132034077366</v>
      </c>
      <c r="I43" s="123">
        <v>30.780066141238454</v>
      </c>
      <c r="J43" s="123">
        <v>31.550599207725455</v>
      </c>
      <c r="K43" s="123">
        <v>32.193994350476501</v>
      </c>
      <c r="L43" s="123">
        <v>33.207018398547696</v>
      </c>
      <c r="M43" s="123">
        <v>33.96790808559723</v>
      </c>
      <c r="N43" s="123">
        <v>34.560294233637336</v>
      </c>
      <c r="O43" s="123">
        <v>35.034532377466952</v>
      </c>
      <c r="P43" s="123">
        <v>35.74723956531583</v>
      </c>
      <c r="Q43" s="123">
        <v>36.256225808853003</v>
      </c>
      <c r="R43" s="123">
        <v>36.638206259324974</v>
      </c>
      <c r="S43" s="123">
        <v>36.93547725215047</v>
      </c>
      <c r="T43" s="123">
        <v>37.173435798216289</v>
      </c>
      <c r="U43" s="123">
        <v>31.550359666204439</v>
      </c>
      <c r="V43" s="123">
        <v>31.550862156200235</v>
      </c>
      <c r="W43" s="123">
        <v>31.550538862678767</v>
      </c>
      <c r="X43" s="114"/>
      <c r="BE43" s="116"/>
      <c r="BF43" s="116"/>
      <c r="BG43" s="116"/>
      <c r="BH43" s="116"/>
      <c r="BI43" s="116"/>
      <c r="BJ43" s="116"/>
      <c r="BK43" s="116"/>
      <c r="BL43" s="116"/>
      <c r="BM43" s="116"/>
      <c r="BN43" s="116"/>
      <c r="BO43" s="116"/>
      <c r="BP43" s="116"/>
      <c r="BQ43" s="116"/>
      <c r="BR43" s="116"/>
      <c r="BS43" s="116"/>
      <c r="BT43" s="116"/>
      <c r="BU43" s="116"/>
      <c r="BV43" s="116"/>
      <c r="BW43" s="116"/>
      <c r="BX43" s="114"/>
    </row>
    <row r="44" spans="1:76">
      <c r="A44" s="112">
        <v>5</v>
      </c>
      <c r="B44" s="529">
        <v>34</v>
      </c>
      <c r="C44" s="113" t="s">
        <v>353</v>
      </c>
      <c r="D44" s="508">
        <f ca="1">tracperf!E16</f>
        <v>68.755512508620811</v>
      </c>
      <c r="E44" s="123">
        <v>74.841047147586863</v>
      </c>
      <c r="F44" s="123">
        <v>73.109448738711677</v>
      </c>
      <c r="G44" s="123">
        <v>71.631234761407796</v>
      </c>
      <c r="H44" s="123">
        <v>70.464736612866034</v>
      </c>
      <c r="I44" s="123">
        <v>69.525991394940107</v>
      </c>
      <c r="J44" s="123">
        <v>68.755458927826155</v>
      </c>
      <c r="K44" s="123">
        <v>68.112064358416774</v>
      </c>
      <c r="L44" s="123">
        <v>67.099045602447859</v>
      </c>
      <c r="M44" s="123">
        <v>66.338157323585733</v>
      </c>
      <c r="N44" s="123">
        <v>65.745772037242162</v>
      </c>
      <c r="O44" s="123">
        <v>65.27153432675486</v>
      </c>
      <c r="P44" s="123">
        <v>64.55883963322016</v>
      </c>
      <c r="Q44" s="123">
        <v>64.049851973588389</v>
      </c>
      <c r="R44" s="123">
        <v>63.66786970335697</v>
      </c>
      <c r="S44" s="123">
        <v>63.370596839922584</v>
      </c>
      <c r="T44" s="123">
        <v>63.132636526300331</v>
      </c>
      <c r="U44" s="123">
        <v>68.755688329095065</v>
      </c>
      <c r="V44" s="123">
        <v>68.755207110564342</v>
      </c>
      <c r="W44" s="123">
        <v>68.75551671834279</v>
      </c>
      <c r="X44" s="114"/>
      <c r="BE44" s="123">
        <v>25.465008579696981</v>
      </c>
      <c r="BF44" s="123">
        <v>27.196607330429579</v>
      </c>
      <c r="BG44" s="123">
        <v>28.674821683333786</v>
      </c>
      <c r="BH44" s="123">
        <v>29.84132034077366</v>
      </c>
      <c r="BI44" s="123">
        <v>30.780066141238454</v>
      </c>
      <c r="BJ44" s="123">
        <v>31.550599207725455</v>
      </c>
      <c r="BK44" s="123">
        <v>32.193994350476501</v>
      </c>
      <c r="BL44" s="123">
        <v>33.207018398547696</v>
      </c>
      <c r="BM44" s="123">
        <v>33.96790808559723</v>
      </c>
      <c r="BN44" s="123">
        <v>34.560294233637336</v>
      </c>
      <c r="BO44" s="123">
        <v>35.034532377466952</v>
      </c>
      <c r="BP44" s="123">
        <v>35.74723956531583</v>
      </c>
      <c r="BQ44" s="123">
        <v>36.256225808853003</v>
      </c>
      <c r="BR44" s="123">
        <v>36.638206259324974</v>
      </c>
      <c r="BS44" s="123">
        <v>36.93547725215047</v>
      </c>
      <c r="BT44" s="123">
        <v>37.173435798216289</v>
      </c>
      <c r="BU44" s="123">
        <v>31.550359666204439</v>
      </c>
      <c r="BV44" s="123">
        <v>31.550862156200235</v>
      </c>
      <c r="BW44" s="123">
        <v>31.550538862678767</v>
      </c>
      <c r="BX44" s="114"/>
    </row>
    <row r="45" spans="1:76">
      <c r="B45" s="529">
        <v>35</v>
      </c>
      <c r="C45" s="113" t="s">
        <v>354</v>
      </c>
      <c r="D45" s="511">
        <f>tracperf!H12</f>
        <v>0.1607476635514021</v>
      </c>
      <c r="E45" s="124">
        <v>0.1607476635514021</v>
      </c>
      <c r="F45" s="124">
        <v>0.1607476635514021</v>
      </c>
      <c r="G45" s="124">
        <v>0.1607476635514021</v>
      </c>
      <c r="H45" s="124">
        <v>0.1607476635514021</v>
      </c>
      <c r="I45" s="124">
        <v>0.1607476635514021</v>
      </c>
      <c r="J45" s="124">
        <v>0.1607476635514021</v>
      </c>
      <c r="K45" s="124">
        <v>0.1607476635514021</v>
      </c>
      <c r="L45" s="124">
        <v>0.1607476635514021</v>
      </c>
      <c r="M45" s="124">
        <v>0.1607476635514021</v>
      </c>
      <c r="N45" s="124">
        <v>0.1607476635514021</v>
      </c>
      <c r="O45" s="124">
        <v>0.1607476635514021</v>
      </c>
      <c r="P45" s="124">
        <v>0.1607476635514021</v>
      </c>
      <c r="Q45" s="124">
        <v>0.1607476635514021</v>
      </c>
      <c r="R45" s="124">
        <v>0.1607476635514021</v>
      </c>
      <c r="S45" s="124">
        <v>0.1607476635514021</v>
      </c>
      <c r="T45" s="124">
        <v>0.1607476635514021</v>
      </c>
      <c r="U45" s="124">
        <v>0.1607476635514021</v>
      </c>
      <c r="V45" s="124">
        <v>0.1607476635514021</v>
      </c>
      <c r="W45" s="124">
        <v>0.1607476635514021</v>
      </c>
      <c r="X45" s="114"/>
      <c r="BE45" s="123">
        <v>74.841047147586863</v>
      </c>
      <c r="BF45" s="123">
        <v>73.109448738711677</v>
      </c>
      <c r="BG45" s="123">
        <v>71.631234761407796</v>
      </c>
      <c r="BH45" s="123">
        <v>70.464736612866034</v>
      </c>
      <c r="BI45" s="123">
        <v>69.525991394940107</v>
      </c>
      <c r="BJ45" s="123">
        <v>68.755458927826155</v>
      </c>
      <c r="BK45" s="123">
        <v>68.112064358416774</v>
      </c>
      <c r="BL45" s="123">
        <v>67.099045602447859</v>
      </c>
      <c r="BM45" s="123">
        <v>66.338157323585733</v>
      </c>
      <c r="BN45" s="123">
        <v>65.745772037242162</v>
      </c>
      <c r="BO45" s="123">
        <v>65.27153432675486</v>
      </c>
      <c r="BP45" s="123">
        <v>64.55883963322016</v>
      </c>
      <c r="BQ45" s="123">
        <v>64.049851973588389</v>
      </c>
      <c r="BR45" s="123">
        <v>63.66786970335697</v>
      </c>
      <c r="BS45" s="123">
        <v>63.370596839922584</v>
      </c>
      <c r="BT45" s="123">
        <v>63.132636526300331</v>
      </c>
      <c r="BU45" s="123">
        <v>68.755688329095065</v>
      </c>
      <c r="BV45" s="123">
        <v>68.755207110564342</v>
      </c>
      <c r="BW45" s="123">
        <v>68.75551671834279</v>
      </c>
      <c r="BX45" s="114"/>
    </row>
    <row r="46" spans="1:76">
      <c r="B46" s="529">
        <v>36</v>
      </c>
      <c r="C46" s="113" t="s">
        <v>355</v>
      </c>
      <c r="D46" s="506">
        <f ca="1">tracperf!H13</f>
        <v>0</v>
      </c>
      <c r="E46" s="118">
        <v>0</v>
      </c>
      <c r="F46" s="118">
        <v>0</v>
      </c>
      <c r="G46" s="118">
        <v>0</v>
      </c>
      <c r="H46" s="118">
        <v>0</v>
      </c>
      <c r="I46" s="118">
        <v>0</v>
      </c>
      <c r="J46" s="118">
        <v>0</v>
      </c>
      <c r="K46" s="118">
        <v>0</v>
      </c>
      <c r="L46" s="118">
        <v>-1.8189894035458565E-12</v>
      </c>
      <c r="M46" s="118">
        <v>-1.8189894035458565E-12</v>
      </c>
      <c r="N46" s="118">
        <v>0</v>
      </c>
      <c r="O46" s="118">
        <v>0</v>
      </c>
      <c r="P46" s="118">
        <v>-1.8189894035458565E-12</v>
      </c>
      <c r="Q46" s="118">
        <v>0</v>
      </c>
      <c r="R46" s="118">
        <v>-1.8189894035458565E-12</v>
      </c>
      <c r="S46" s="118">
        <v>0</v>
      </c>
      <c r="T46" s="118">
        <v>0</v>
      </c>
      <c r="U46" s="118">
        <v>0</v>
      </c>
      <c r="V46" s="118">
        <v>0</v>
      </c>
      <c r="W46" s="118">
        <v>0</v>
      </c>
      <c r="X46" s="114"/>
      <c r="BE46" s="124">
        <v>0.1607476635514021</v>
      </c>
      <c r="BF46" s="124">
        <v>0.1607476635514021</v>
      </c>
      <c r="BG46" s="124">
        <v>0.1607476635514021</v>
      </c>
      <c r="BH46" s="124">
        <v>0.1607476635514021</v>
      </c>
      <c r="BI46" s="124">
        <v>0.1607476635514021</v>
      </c>
      <c r="BJ46" s="124">
        <v>0.1607476635514021</v>
      </c>
      <c r="BK46" s="124">
        <v>0.1607476635514021</v>
      </c>
      <c r="BL46" s="124">
        <v>0.1607476635514021</v>
      </c>
      <c r="BM46" s="124">
        <v>0.1607476635514021</v>
      </c>
      <c r="BN46" s="124">
        <v>0.1607476635514021</v>
      </c>
      <c r="BO46" s="124">
        <v>0.1607476635514021</v>
      </c>
      <c r="BP46" s="124">
        <v>0.1607476635514021</v>
      </c>
      <c r="BQ46" s="124">
        <v>0.1607476635514021</v>
      </c>
      <c r="BR46" s="124">
        <v>0.1607476635514021</v>
      </c>
      <c r="BS46" s="124">
        <v>0.1607476635514021</v>
      </c>
      <c r="BT46" s="124">
        <v>0.1607476635514021</v>
      </c>
      <c r="BU46" s="124">
        <v>0.1607476635514021</v>
      </c>
      <c r="BV46" s="124">
        <v>0.1607476635514021</v>
      </c>
      <c r="BW46" s="124">
        <v>0.1607476635514021</v>
      </c>
      <c r="BX46" s="114"/>
    </row>
    <row r="47" spans="1:76">
      <c r="B47" s="529">
        <v>37</v>
      </c>
      <c r="C47" s="113" t="s">
        <v>356</v>
      </c>
      <c r="D47" s="506">
        <f ca="1">tracperf!H14</f>
        <v>988.22915840781025</v>
      </c>
      <c r="E47" s="118">
        <v>1838.1539448563944</v>
      </c>
      <c r="F47" s="118">
        <v>1596.4443574094221</v>
      </c>
      <c r="G47" s="118">
        <v>1390.0321042538999</v>
      </c>
      <c r="H47" s="118">
        <v>1227.091005903344</v>
      </c>
      <c r="I47" s="118">
        <v>1095.9230144321291</v>
      </c>
      <c r="J47" s="118">
        <v>988.22963435630209</v>
      </c>
      <c r="K47" s="118">
        <v>898.28436533480635</v>
      </c>
      <c r="L47" s="118">
        <v>756.64607198413614</v>
      </c>
      <c r="M47" s="118">
        <v>650.22065440787355</v>
      </c>
      <c r="N47" s="118">
        <v>567.34733166730166</v>
      </c>
      <c r="O47" s="118">
        <v>500.99389577535203</v>
      </c>
      <c r="P47" s="118">
        <v>401.38396925292363</v>
      </c>
      <c r="Q47" s="118">
        <v>330.17742883339361</v>
      </c>
      <c r="R47" s="118">
        <v>276.74494918542132</v>
      </c>
      <c r="S47" s="118">
        <v>235.17096801493335</v>
      </c>
      <c r="T47" s="118">
        <v>201.90251701166744</v>
      </c>
      <c r="U47" s="118">
        <v>988.22759661674354</v>
      </c>
      <c r="V47" s="118">
        <v>988.23187116686586</v>
      </c>
      <c r="W47" s="118">
        <v>988.22912101360907</v>
      </c>
      <c r="X47" s="114"/>
      <c r="BE47" s="118">
        <v>0</v>
      </c>
      <c r="BF47" s="118">
        <v>0</v>
      </c>
      <c r="BG47" s="118">
        <v>0</v>
      </c>
      <c r="BH47" s="118">
        <v>0</v>
      </c>
      <c r="BI47" s="118">
        <v>0</v>
      </c>
      <c r="BJ47" s="118">
        <v>0</v>
      </c>
      <c r="BK47" s="118">
        <v>0</v>
      </c>
      <c r="BL47" s="118">
        <v>-1.8189894035458565E-12</v>
      </c>
      <c r="BM47" s="118">
        <v>-1.8189894035458565E-12</v>
      </c>
      <c r="BN47" s="118">
        <v>0</v>
      </c>
      <c r="BO47" s="118">
        <v>0</v>
      </c>
      <c r="BP47" s="118">
        <v>-1.8189894035458565E-12</v>
      </c>
      <c r="BQ47" s="118">
        <v>0</v>
      </c>
      <c r="BR47" s="118">
        <v>-1.8189894035458565E-12</v>
      </c>
      <c r="BS47" s="118">
        <v>0</v>
      </c>
      <c r="BT47" s="118">
        <v>0</v>
      </c>
      <c r="BU47" s="118">
        <v>0</v>
      </c>
      <c r="BV47" s="118">
        <v>0</v>
      </c>
      <c r="BW47" s="118">
        <v>0</v>
      </c>
      <c r="BX47" s="114"/>
    </row>
    <row r="48" spans="1:76">
      <c r="A48" s="112">
        <v>6</v>
      </c>
      <c r="B48" s="529">
        <v>38</v>
      </c>
      <c r="C48" s="120" t="s">
        <v>357</v>
      </c>
      <c r="D48" s="511">
        <f ca="1">tracperf!H15</f>
        <v>0.73851887617605771</v>
      </c>
      <c r="E48" s="124">
        <v>0.30384248446999002</v>
      </c>
      <c r="F48" s="124">
        <v>0.62513768788201152</v>
      </c>
      <c r="G48" s="124">
        <v>0.68574751374909926</v>
      </c>
      <c r="H48" s="124">
        <v>0.71419631007953388</v>
      </c>
      <c r="I48" s="124">
        <v>0.72974545764392396</v>
      </c>
      <c r="J48" s="124">
        <v>0.73851903330436852</v>
      </c>
      <c r="K48" s="124">
        <v>0.743211351468135</v>
      </c>
      <c r="L48" s="124">
        <v>0.74538080947615892</v>
      </c>
      <c r="M48" s="124">
        <v>0.74196590309638311</v>
      </c>
      <c r="N48" s="124">
        <v>0.73534699931964598</v>
      </c>
      <c r="O48" s="124">
        <v>0.72670895326032481</v>
      </c>
      <c r="P48" s="124">
        <v>0.70576025617443339</v>
      </c>
      <c r="Q48" s="124">
        <v>0.68191159096527698</v>
      </c>
      <c r="R48" s="124">
        <v>0.65638344099554502</v>
      </c>
      <c r="S48" s="124">
        <v>0.62979339903645093</v>
      </c>
      <c r="T48" s="124">
        <v>0.60248874617868942</v>
      </c>
      <c r="U48" s="124">
        <v>0.73851836056448339</v>
      </c>
      <c r="V48" s="124">
        <v>0.73851977174131822</v>
      </c>
      <c r="W48" s="124">
        <v>0.73851886383081655</v>
      </c>
      <c r="X48" s="114"/>
      <c r="BE48" s="118">
        <v>1838.1539448563944</v>
      </c>
      <c r="BF48" s="118">
        <v>1596.4443574094221</v>
      </c>
      <c r="BG48" s="118">
        <v>1390.0321042538999</v>
      </c>
      <c r="BH48" s="118">
        <v>1227.091005903344</v>
      </c>
      <c r="BI48" s="118">
        <v>1095.9230144321291</v>
      </c>
      <c r="BJ48" s="118">
        <v>988.22963435630209</v>
      </c>
      <c r="BK48" s="118">
        <v>898.28436533480635</v>
      </c>
      <c r="BL48" s="118">
        <v>756.64607198413614</v>
      </c>
      <c r="BM48" s="118">
        <v>650.22065440787355</v>
      </c>
      <c r="BN48" s="118">
        <v>567.34733166730166</v>
      </c>
      <c r="BO48" s="118">
        <v>500.99389577535203</v>
      </c>
      <c r="BP48" s="118">
        <v>401.38396925292363</v>
      </c>
      <c r="BQ48" s="118">
        <v>330.17742883339361</v>
      </c>
      <c r="BR48" s="118">
        <v>276.74494918542132</v>
      </c>
      <c r="BS48" s="118">
        <v>235.17096801493335</v>
      </c>
      <c r="BT48" s="118">
        <v>201.90251701166744</v>
      </c>
      <c r="BU48" s="118">
        <v>988.22759661674354</v>
      </c>
      <c r="BV48" s="118">
        <v>988.23187116686586</v>
      </c>
      <c r="BW48" s="118">
        <v>988.22912101360907</v>
      </c>
      <c r="BX48" s="114"/>
    </row>
    <row r="49" spans="1:76">
      <c r="A49" s="112">
        <v>7</v>
      </c>
      <c r="B49" s="529">
        <v>39</v>
      </c>
      <c r="C49" s="120" t="s">
        <v>358</v>
      </c>
      <c r="D49" s="511">
        <f ca="1">tracperf!H16</f>
        <v>0.44045413434457981</v>
      </c>
      <c r="E49" s="124">
        <v>0.81926595434425797</v>
      </c>
      <c r="F49" s="124">
        <v>0.71153589376471738</v>
      </c>
      <c r="G49" s="124">
        <v>0.61953786931034083</v>
      </c>
      <c r="H49" s="124">
        <v>0.5469149560795894</v>
      </c>
      <c r="I49" s="124">
        <v>0.48845332939549785</v>
      </c>
      <c r="J49" s="124">
        <v>0.44045434647501436</v>
      </c>
      <c r="K49" s="124">
        <v>0.40036570380727327</v>
      </c>
      <c r="L49" s="124">
        <v>0.33723745935400767</v>
      </c>
      <c r="M49" s="124">
        <v>0.28980360783080744</v>
      </c>
      <c r="N49" s="124">
        <v>0.25286693447179853</v>
      </c>
      <c r="O49" s="124">
        <v>0.22329318134184217</v>
      </c>
      <c r="P49" s="124">
        <v>0.17889699692926078</v>
      </c>
      <c r="Q49" s="124">
        <v>0.14716021315464786</v>
      </c>
      <c r="R49" s="124">
        <v>0.12334533543220727</v>
      </c>
      <c r="S49" s="124">
        <v>0.10481579526238721</v>
      </c>
      <c r="T49" s="124">
        <v>8.9988033236788723E-2</v>
      </c>
      <c r="U49" s="124">
        <v>0.44045343825367173</v>
      </c>
      <c r="V49" s="124">
        <v>0.44045534342238446</v>
      </c>
      <c r="W49" s="124">
        <v>0.4404541176779691</v>
      </c>
      <c r="X49" s="114"/>
      <c r="BE49" s="124">
        <v>0.30384248446999002</v>
      </c>
      <c r="BF49" s="124">
        <v>0.62513768788201152</v>
      </c>
      <c r="BG49" s="124">
        <v>0.68574751374909926</v>
      </c>
      <c r="BH49" s="124">
        <v>0.71419631007953388</v>
      </c>
      <c r="BI49" s="124">
        <v>0.72974545764392396</v>
      </c>
      <c r="BJ49" s="124">
        <v>0.73851903330436852</v>
      </c>
      <c r="BK49" s="124">
        <v>0.743211351468135</v>
      </c>
      <c r="BL49" s="124">
        <v>0.74538080947615892</v>
      </c>
      <c r="BM49" s="124">
        <v>0.74196590309638311</v>
      </c>
      <c r="BN49" s="124">
        <v>0.73534699931964598</v>
      </c>
      <c r="BO49" s="124">
        <v>0.72670895326032481</v>
      </c>
      <c r="BP49" s="124">
        <v>0.70576025617443339</v>
      </c>
      <c r="BQ49" s="124">
        <v>0.68191159096527698</v>
      </c>
      <c r="BR49" s="124">
        <v>0.65638344099554502</v>
      </c>
      <c r="BS49" s="124">
        <v>0.62979339903645093</v>
      </c>
      <c r="BT49" s="124">
        <v>0.60248874617868942</v>
      </c>
      <c r="BU49" s="124">
        <v>0.73851836056448339</v>
      </c>
      <c r="BV49" s="124">
        <v>0.73851977174131822</v>
      </c>
      <c r="BW49" s="124">
        <v>0.73851886383081655</v>
      </c>
      <c r="BX49" s="114"/>
    </row>
    <row r="50" spans="1:76">
      <c r="A50" s="112">
        <v>8</v>
      </c>
      <c r="B50" s="529">
        <v>40</v>
      </c>
      <c r="C50" s="113" t="s">
        <v>359</v>
      </c>
      <c r="D50" s="506" t="e">
        <f>tracperf!#REF!</f>
        <v>#REF!</v>
      </c>
      <c r="E50" s="118" t="e">
        <v>#REF!</v>
      </c>
      <c r="F50" s="118" t="e">
        <v>#REF!</v>
      </c>
      <c r="G50" s="118" t="e">
        <v>#REF!</v>
      </c>
      <c r="H50" s="118" t="e">
        <v>#REF!</v>
      </c>
      <c r="I50" s="118" t="e">
        <v>#REF!</v>
      </c>
      <c r="J50" s="118" t="e">
        <v>#REF!</v>
      </c>
      <c r="K50" s="118" t="e">
        <v>#REF!</v>
      </c>
      <c r="L50" s="118" t="e">
        <v>#REF!</v>
      </c>
      <c r="M50" s="118" t="e">
        <v>#REF!</v>
      </c>
      <c r="N50" s="118" t="e">
        <v>#REF!</v>
      </c>
      <c r="O50" s="118" t="e">
        <v>#REF!</v>
      </c>
      <c r="P50" s="118" t="e">
        <v>#REF!</v>
      </c>
      <c r="Q50" s="118" t="e">
        <v>#REF!</v>
      </c>
      <c r="R50" s="118" t="e">
        <v>#REF!</v>
      </c>
      <c r="S50" s="118" t="e">
        <v>#REF!</v>
      </c>
      <c r="T50" s="118" t="e">
        <v>#REF!</v>
      </c>
      <c r="U50" s="118" t="e">
        <v>#REF!</v>
      </c>
      <c r="V50" s="118" t="e">
        <v>#REF!</v>
      </c>
      <c r="W50" s="118" t="e">
        <v>#REF!</v>
      </c>
      <c r="X50" s="114"/>
      <c r="BE50" s="124">
        <v>0.81926595434425797</v>
      </c>
      <c r="BF50" s="124">
        <v>0.71153589376471738</v>
      </c>
      <c r="BG50" s="124">
        <v>0.61953786931034083</v>
      </c>
      <c r="BH50" s="124">
        <v>0.5469149560795894</v>
      </c>
      <c r="BI50" s="124">
        <v>0.48845332939549785</v>
      </c>
      <c r="BJ50" s="124">
        <v>0.44045434647501436</v>
      </c>
      <c r="BK50" s="124">
        <v>0.40036570380727327</v>
      </c>
      <c r="BL50" s="124">
        <v>0.33723745935400767</v>
      </c>
      <c r="BM50" s="124">
        <v>0.28980360783080744</v>
      </c>
      <c r="BN50" s="124">
        <v>0.25286693447179853</v>
      </c>
      <c r="BO50" s="124">
        <v>0.22329318134184217</v>
      </c>
      <c r="BP50" s="124">
        <v>0.17889699692926078</v>
      </c>
      <c r="BQ50" s="124">
        <v>0.14716021315464786</v>
      </c>
      <c r="BR50" s="124">
        <v>0.12334533543220727</v>
      </c>
      <c r="BS50" s="124">
        <v>0.10481579526238721</v>
      </c>
      <c r="BT50" s="124">
        <v>8.9988033236788723E-2</v>
      </c>
      <c r="BU50" s="124">
        <v>0.44045343825367173</v>
      </c>
      <c r="BV50" s="124">
        <v>0.44045534342238446</v>
      </c>
      <c r="BW50" s="124">
        <v>0.4404541176779691</v>
      </c>
      <c r="BX50" s="114"/>
    </row>
    <row r="51" spans="1:76">
      <c r="B51" s="529">
        <v>41</v>
      </c>
      <c r="C51" s="529"/>
      <c r="D51" s="114"/>
      <c r="E51" s="116"/>
      <c r="F51" s="116"/>
      <c r="G51" s="116"/>
      <c r="H51" s="116"/>
      <c r="I51" s="116"/>
      <c r="J51" s="116"/>
      <c r="K51" s="116"/>
      <c r="L51" s="116"/>
      <c r="M51" s="116"/>
      <c r="N51" s="116"/>
      <c r="O51" s="116"/>
      <c r="P51" s="116"/>
      <c r="Q51" s="116"/>
      <c r="R51" s="116"/>
      <c r="S51" s="116"/>
      <c r="T51" s="116"/>
      <c r="U51" s="116"/>
      <c r="V51" s="116"/>
      <c r="W51" s="116"/>
      <c r="X51" s="114"/>
      <c r="BE51" s="118" t="e">
        <v>#REF!</v>
      </c>
      <c r="BF51" s="118" t="e">
        <v>#REF!</v>
      </c>
      <c r="BG51" s="118" t="e">
        <v>#REF!</v>
      </c>
      <c r="BH51" s="118" t="e">
        <v>#REF!</v>
      </c>
      <c r="BI51" s="118" t="e">
        <v>#REF!</v>
      </c>
      <c r="BJ51" s="118" t="e">
        <v>#REF!</v>
      </c>
      <c r="BK51" s="118" t="e">
        <v>#REF!</v>
      </c>
      <c r="BL51" s="118" t="e">
        <v>#REF!</v>
      </c>
      <c r="BM51" s="118" t="e">
        <v>#REF!</v>
      </c>
      <c r="BN51" s="118" t="e">
        <v>#REF!</v>
      </c>
      <c r="BO51" s="118" t="e">
        <v>#REF!</v>
      </c>
      <c r="BP51" s="118" t="e">
        <v>#REF!</v>
      </c>
      <c r="BQ51" s="118" t="e">
        <v>#REF!</v>
      </c>
      <c r="BR51" s="118" t="e">
        <v>#REF!</v>
      </c>
      <c r="BS51" s="118" t="e">
        <v>#REF!</v>
      </c>
      <c r="BT51" s="118" t="e">
        <v>#REF!</v>
      </c>
      <c r="BU51" s="118" t="e">
        <v>#REF!</v>
      </c>
      <c r="BV51" s="118" t="e">
        <v>#REF!</v>
      </c>
      <c r="BW51" s="118" t="e">
        <v>#REF!</v>
      </c>
      <c r="BX51" s="114"/>
    </row>
    <row r="52" spans="1:76">
      <c r="A52" s="112">
        <v>9</v>
      </c>
      <c r="B52" s="529">
        <v>42</v>
      </c>
      <c r="C52" s="113" t="s">
        <v>360</v>
      </c>
      <c r="D52" s="508">
        <f ca="1">tracperf!H20</f>
        <v>80.624105712140718</v>
      </c>
      <c r="E52" s="123">
        <v>33.170045482089137</v>
      </c>
      <c r="F52" s="123">
        <v>68.246290706668333</v>
      </c>
      <c r="G52" s="123">
        <v>74.863061104153374</v>
      </c>
      <c r="H52" s="123">
        <v>77.96880847253405</v>
      </c>
      <c r="I52" s="123">
        <v>79.66629662015778</v>
      </c>
      <c r="J52" s="123">
        <v>80.62409144196107</v>
      </c>
      <c r="K52" s="123">
        <v>81.136332169777688</v>
      </c>
      <c r="L52" s="123">
        <v>81.373021221387887</v>
      </c>
      <c r="M52" s="123">
        <v>81.000119105384101</v>
      </c>
      <c r="N52" s="123">
        <v>80.277442328894878</v>
      </c>
      <c r="O52" s="123">
        <v>79.334345736811358</v>
      </c>
      <c r="P52" s="123">
        <v>77.046566935829631</v>
      </c>
      <c r="Q52" s="123">
        <v>74.442834449575344</v>
      </c>
      <c r="R52" s="123">
        <v>71.655818140988771</v>
      </c>
      <c r="S52" s="123">
        <v>68.75292172652567</v>
      </c>
      <c r="T52" s="123">
        <v>65.772043579091786</v>
      </c>
      <c r="U52" s="123">
        <v>80.624152537886047</v>
      </c>
      <c r="V52" s="123">
        <v>80.624024373639543</v>
      </c>
      <c r="W52" s="123">
        <v>80.624106833317001</v>
      </c>
      <c r="X52" s="114"/>
      <c r="BE52" s="116"/>
      <c r="BF52" s="116"/>
      <c r="BG52" s="116"/>
      <c r="BH52" s="116"/>
      <c r="BI52" s="116"/>
      <c r="BJ52" s="116"/>
      <c r="BK52" s="116"/>
      <c r="BL52" s="116"/>
      <c r="BM52" s="116"/>
      <c r="BN52" s="116"/>
      <c r="BO52" s="116"/>
      <c r="BP52" s="116"/>
      <c r="BQ52" s="116"/>
      <c r="BR52" s="116"/>
      <c r="BS52" s="116"/>
      <c r="BT52" s="116"/>
      <c r="BU52" s="116"/>
      <c r="BV52" s="116"/>
      <c r="BW52" s="116"/>
      <c r="BX52" s="114"/>
    </row>
    <row r="53" spans="1:76">
      <c r="A53" s="112">
        <v>10</v>
      </c>
      <c r="B53" s="529">
        <v>43</v>
      </c>
      <c r="C53" s="113" t="s">
        <v>361</v>
      </c>
      <c r="D53" s="506">
        <f ca="1">tracperf!H17</f>
        <v>6147.7046482347105</v>
      </c>
      <c r="E53" s="118">
        <v>11435.027551698335</v>
      </c>
      <c r="F53" s="118">
        <v>9931.3682107799505</v>
      </c>
      <c r="G53" s="118">
        <v>8647.2910971783094</v>
      </c>
      <c r="H53" s="118">
        <v>7633.6447261290459</v>
      </c>
      <c r="I53" s="118">
        <v>6817.6565004983713</v>
      </c>
      <c r="J53" s="118">
        <v>6147.7021851162117</v>
      </c>
      <c r="K53" s="118">
        <v>5588.157710766227</v>
      </c>
      <c r="L53" s="118">
        <v>4707.0241445466127</v>
      </c>
      <c r="M53" s="118">
        <v>4044.9562128634698</v>
      </c>
      <c r="N53" s="118">
        <v>3529.4054072055701</v>
      </c>
      <c r="O53" s="118">
        <v>3116.6245681497485</v>
      </c>
      <c r="P53" s="118">
        <v>2496.9319261904375</v>
      </c>
      <c r="Q53" s="118">
        <v>2053.9644120622843</v>
      </c>
      <c r="R53" s="118">
        <v>1721.5687839533186</v>
      </c>
      <c r="S53" s="118">
        <v>1462.9440474743667</v>
      </c>
      <c r="T53" s="118">
        <v>1255.987147561116</v>
      </c>
      <c r="U53" s="118">
        <v>6147.712730716813</v>
      </c>
      <c r="V53" s="118">
        <v>6147.6906089348495</v>
      </c>
      <c r="W53" s="118">
        <v>6147.7048417566111</v>
      </c>
      <c r="X53" s="114"/>
      <c r="BE53" s="123">
        <v>33.170045482089137</v>
      </c>
      <c r="BF53" s="123">
        <v>68.246290706668333</v>
      </c>
      <c r="BG53" s="123">
        <v>74.863061104153374</v>
      </c>
      <c r="BH53" s="123">
        <v>77.96880847253405</v>
      </c>
      <c r="BI53" s="123">
        <v>79.66629662015778</v>
      </c>
      <c r="BJ53" s="123">
        <v>80.62409144196107</v>
      </c>
      <c r="BK53" s="123">
        <v>81.136332169777688</v>
      </c>
      <c r="BL53" s="123">
        <v>81.373021221387887</v>
      </c>
      <c r="BM53" s="123">
        <v>81.000119105384101</v>
      </c>
      <c r="BN53" s="123">
        <v>80.277442328894878</v>
      </c>
      <c r="BO53" s="123">
        <v>79.334345736811358</v>
      </c>
      <c r="BP53" s="123">
        <v>77.046566935829631</v>
      </c>
      <c r="BQ53" s="123">
        <v>74.442834449575344</v>
      </c>
      <c r="BR53" s="123">
        <v>71.655818140988771</v>
      </c>
      <c r="BS53" s="123">
        <v>68.75292172652567</v>
      </c>
      <c r="BT53" s="123">
        <v>65.772043579091786</v>
      </c>
      <c r="BU53" s="123">
        <v>80.624152537886047</v>
      </c>
      <c r="BV53" s="123">
        <v>80.624024373639543</v>
      </c>
      <c r="BW53" s="123">
        <v>80.624106833317001</v>
      </c>
      <c r="BX53" s="114"/>
    </row>
    <row r="54" spans="1:76">
      <c r="A54" s="112">
        <v>11</v>
      </c>
      <c r="B54" s="529">
        <v>44</v>
      </c>
      <c r="C54" s="113" t="s">
        <v>362</v>
      </c>
      <c r="D54" s="508">
        <f ca="1">tracperf!H18</f>
        <v>4.9179395192211057</v>
      </c>
      <c r="E54" s="121">
        <v>1.0877776200841787</v>
      </c>
      <c r="F54" s="121">
        <v>2.5769217767217145</v>
      </c>
      <c r="G54" s="121">
        <v>3.2465251370129318</v>
      </c>
      <c r="H54" s="121">
        <v>3.8301891463616431</v>
      </c>
      <c r="I54" s="121">
        <v>4.3819839310436528</v>
      </c>
      <c r="J54" s="121">
        <v>4.9179406191687338</v>
      </c>
      <c r="K54" s="121">
        <v>5.444750513223207</v>
      </c>
      <c r="L54" s="121">
        <v>6.4828396925420266</v>
      </c>
      <c r="M54" s="121">
        <v>7.5093630353581018</v>
      </c>
      <c r="N54" s="121">
        <v>8.5294936115515991</v>
      </c>
      <c r="O54" s="121">
        <v>9.5457052977562249</v>
      </c>
      <c r="P54" s="121">
        <v>11.571185540895888</v>
      </c>
      <c r="Q54" s="121">
        <v>13.591307986958554</v>
      </c>
      <c r="R54" s="121">
        <v>15.608398603258719</v>
      </c>
      <c r="S54" s="121">
        <v>17.623603371542394</v>
      </c>
      <c r="T54" s="121">
        <v>19.63755472343259</v>
      </c>
      <c r="U54" s="121">
        <v>4.9179359098293496</v>
      </c>
      <c r="V54" s="121">
        <v>4.9179457886468327</v>
      </c>
      <c r="W54" s="121">
        <v>4.9179394328005781</v>
      </c>
      <c r="X54" s="114"/>
      <c r="BE54" s="118">
        <v>11435.027551698335</v>
      </c>
      <c r="BF54" s="118">
        <v>9931.3682107799505</v>
      </c>
      <c r="BG54" s="118">
        <v>8647.2910971783094</v>
      </c>
      <c r="BH54" s="118">
        <v>7633.6447261290459</v>
      </c>
      <c r="BI54" s="118">
        <v>6817.6565004983713</v>
      </c>
      <c r="BJ54" s="118">
        <v>6147.7021851162117</v>
      </c>
      <c r="BK54" s="118">
        <v>5588.157710766227</v>
      </c>
      <c r="BL54" s="118">
        <v>4707.0241445466127</v>
      </c>
      <c r="BM54" s="118">
        <v>4044.9562128634698</v>
      </c>
      <c r="BN54" s="118">
        <v>3529.4054072055701</v>
      </c>
      <c r="BO54" s="118">
        <v>3116.6245681497485</v>
      </c>
      <c r="BP54" s="118">
        <v>2496.9319261904375</v>
      </c>
      <c r="BQ54" s="118">
        <v>2053.9644120622843</v>
      </c>
      <c r="BR54" s="118">
        <v>1721.5687839533186</v>
      </c>
      <c r="BS54" s="118">
        <v>1462.9440474743667</v>
      </c>
      <c r="BT54" s="118">
        <v>1255.987147561116</v>
      </c>
      <c r="BU54" s="118">
        <v>6147.712730716813</v>
      </c>
      <c r="BV54" s="118">
        <v>6147.6906089348495</v>
      </c>
      <c r="BW54" s="118">
        <v>6147.7048417566111</v>
      </c>
      <c r="BX54" s="114"/>
    </row>
    <row r="55" spans="1:76" s="122" customFormat="1">
      <c r="A55" s="112">
        <v>12</v>
      </c>
      <c r="B55" s="530">
        <v>45</v>
      </c>
      <c r="C55" s="125" t="s">
        <v>292</v>
      </c>
      <c r="D55" s="509">
        <f ca="1">tracperf!H19</f>
        <v>10.582917832342954</v>
      </c>
      <c r="E55" s="123">
        <v>63.740378920796473</v>
      </c>
      <c r="F55" s="123">
        <v>26.373675811521853</v>
      </c>
      <c r="G55" s="123">
        <v>18.836888304851257</v>
      </c>
      <c r="H55" s="123">
        <v>14.884708740997807</v>
      </c>
      <c r="I55" s="123">
        <v>12.360351344669903</v>
      </c>
      <c r="J55" s="123">
        <v>10.582934469523995</v>
      </c>
      <c r="K55" s="123">
        <v>9.2542008389822428</v>
      </c>
      <c r="L55" s="123">
        <v>7.3881147919790573</v>
      </c>
      <c r="M55" s="123">
        <v>6.1330854101165144</v>
      </c>
      <c r="N55" s="123">
        <v>5.2279791972963183</v>
      </c>
      <c r="O55" s="123">
        <v>4.5430801669807108</v>
      </c>
      <c r="P55" s="123">
        <v>3.5737323888814956</v>
      </c>
      <c r="Q55" s="123">
        <v>2.9194871056666356</v>
      </c>
      <c r="R55" s="123">
        <v>2.4477441039268513</v>
      </c>
      <c r="S55" s="123">
        <v>2.0913050375571451</v>
      </c>
      <c r="T55" s="123">
        <v>1.8124180257391871</v>
      </c>
      <c r="U55" s="123">
        <v>10.582863238950612</v>
      </c>
      <c r="V55" s="123">
        <v>10.583012660434777</v>
      </c>
      <c r="W55" s="123">
        <v>10.582916525197408</v>
      </c>
      <c r="X55" s="509"/>
      <c r="BE55" s="121">
        <v>1.0877776200841787</v>
      </c>
      <c r="BF55" s="121">
        <v>2.5769217767217145</v>
      </c>
      <c r="BG55" s="121">
        <v>3.2465251370129318</v>
      </c>
      <c r="BH55" s="121">
        <v>3.8301891463616431</v>
      </c>
      <c r="BI55" s="121">
        <v>4.3819839310436528</v>
      </c>
      <c r="BJ55" s="121">
        <v>4.9179406191687338</v>
      </c>
      <c r="BK55" s="121">
        <v>5.444750513223207</v>
      </c>
      <c r="BL55" s="121">
        <v>6.4828396925420266</v>
      </c>
      <c r="BM55" s="121">
        <v>7.5093630353581018</v>
      </c>
      <c r="BN55" s="121">
        <v>8.5294936115515991</v>
      </c>
      <c r="BO55" s="121">
        <v>9.5457052977562249</v>
      </c>
      <c r="BP55" s="121">
        <v>11.571185540895888</v>
      </c>
      <c r="BQ55" s="121">
        <v>13.591307986958554</v>
      </c>
      <c r="BR55" s="121">
        <v>15.608398603258719</v>
      </c>
      <c r="BS55" s="121">
        <v>17.623603371542394</v>
      </c>
      <c r="BT55" s="121">
        <v>19.63755472343259</v>
      </c>
      <c r="BU55" s="121">
        <v>4.9179359098293496</v>
      </c>
      <c r="BV55" s="121">
        <v>4.9179457886468327</v>
      </c>
      <c r="BW55" s="121">
        <v>4.9179394328005781</v>
      </c>
      <c r="BX55" s="114"/>
    </row>
    <row r="56" spans="1:76">
      <c r="B56" s="529"/>
      <c r="C56" s="126" t="s">
        <v>363</v>
      </c>
      <c r="D56" s="114"/>
      <c r="E56" s="114"/>
      <c r="F56" s="114"/>
      <c r="G56" s="114"/>
      <c r="H56" s="114"/>
      <c r="I56" s="114"/>
      <c r="J56" s="114"/>
      <c r="K56" s="114"/>
      <c r="L56" s="114"/>
      <c r="M56" s="114"/>
      <c r="N56" s="114"/>
      <c r="O56" s="114"/>
      <c r="P56" s="114"/>
      <c r="Q56" s="114"/>
      <c r="R56" s="114"/>
      <c r="S56" s="114"/>
      <c r="T56" s="114"/>
      <c r="U56" s="114"/>
      <c r="V56" s="114"/>
      <c r="W56" s="114"/>
      <c r="X56" s="114"/>
      <c r="BE56" s="123">
        <v>63.740378920796473</v>
      </c>
      <c r="BF56" s="123">
        <v>26.373675811521853</v>
      </c>
      <c r="BG56" s="123">
        <v>18.836888304851257</v>
      </c>
      <c r="BH56" s="123">
        <v>14.884708740997807</v>
      </c>
      <c r="BI56" s="123">
        <v>12.360351344669903</v>
      </c>
      <c r="BJ56" s="123">
        <v>10.582934469523995</v>
      </c>
      <c r="BK56" s="123">
        <v>9.2542008389822428</v>
      </c>
      <c r="BL56" s="123">
        <v>7.3881147919790573</v>
      </c>
      <c r="BM56" s="123">
        <v>6.1330854101165144</v>
      </c>
      <c r="BN56" s="123">
        <v>5.2279791972963183</v>
      </c>
      <c r="BO56" s="123">
        <v>4.5430801669807108</v>
      </c>
      <c r="BP56" s="123">
        <v>3.5737323888814956</v>
      </c>
      <c r="BQ56" s="123">
        <v>2.9194871056666356</v>
      </c>
      <c r="BR56" s="123">
        <v>2.4477441039268513</v>
      </c>
      <c r="BS56" s="123">
        <v>2.0913050375571451</v>
      </c>
      <c r="BT56" s="123">
        <v>1.8124180257391871</v>
      </c>
      <c r="BU56" s="123">
        <v>10.582863238950612</v>
      </c>
      <c r="BV56" s="123">
        <v>10.583012660434777</v>
      </c>
      <c r="BW56" s="123">
        <v>10.582916525197408</v>
      </c>
      <c r="BX56" s="509"/>
    </row>
    <row r="57" spans="1:76">
      <c r="B57" s="529"/>
      <c r="C57" s="529"/>
      <c r="D57" s="114"/>
      <c r="E57" s="114"/>
      <c r="F57" s="114"/>
      <c r="G57" s="114"/>
      <c r="H57" s="114"/>
      <c r="I57" s="114"/>
      <c r="J57" s="512"/>
      <c r="K57" s="114"/>
      <c r="L57" s="114"/>
      <c r="M57" s="114"/>
      <c r="N57" s="114"/>
      <c r="O57" s="114"/>
      <c r="P57" s="114"/>
      <c r="Q57" s="114"/>
      <c r="R57" s="114"/>
      <c r="S57" s="114"/>
      <c r="T57" s="114"/>
      <c r="U57" s="114"/>
      <c r="V57" s="114"/>
      <c r="W57" s="114"/>
      <c r="X57" s="114"/>
    </row>
    <row r="58" spans="1:76">
      <c r="B58" s="529"/>
      <c r="C58" s="529"/>
      <c r="D58" s="114"/>
      <c r="E58" s="114"/>
      <c r="F58" s="114"/>
      <c r="G58" s="114"/>
      <c r="H58" s="114"/>
      <c r="I58" s="114"/>
      <c r="J58" s="512"/>
      <c r="K58" s="114"/>
      <c r="L58" s="114"/>
      <c r="M58" s="114"/>
      <c r="N58" s="114"/>
      <c r="O58" s="114"/>
      <c r="P58" s="114"/>
      <c r="Q58" s="114"/>
      <c r="R58" s="114"/>
      <c r="S58" s="114"/>
      <c r="T58" s="114"/>
      <c r="U58" s="114"/>
      <c r="V58" s="114"/>
      <c r="W58" s="114"/>
      <c r="X58" s="114"/>
    </row>
    <row r="59" spans="1:76">
      <c r="B59" s="529"/>
      <c r="C59" s="529"/>
      <c r="D59" s="114"/>
      <c r="E59" s="114"/>
      <c r="F59" s="114"/>
      <c r="G59" s="114"/>
      <c r="H59" s="114"/>
      <c r="I59" s="114"/>
      <c r="J59" s="512"/>
      <c r="K59" s="114"/>
      <c r="L59" s="114"/>
      <c r="M59" s="114"/>
      <c r="N59" s="114"/>
      <c r="O59" s="114"/>
      <c r="P59" s="114"/>
      <c r="Q59" s="114"/>
      <c r="R59" s="114"/>
      <c r="S59" s="114"/>
      <c r="T59" s="114"/>
      <c r="U59" s="114"/>
      <c r="V59" s="114"/>
      <c r="W59" s="114"/>
      <c r="X59" s="114"/>
    </row>
    <row r="60" spans="1:76">
      <c r="B60" s="529"/>
      <c r="C60" s="529"/>
      <c r="D60" s="114"/>
      <c r="E60" s="114"/>
      <c r="F60" s="114"/>
      <c r="G60" s="114"/>
      <c r="H60" s="114"/>
      <c r="I60" s="114"/>
      <c r="J60" s="512"/>
      <c r="K60" s="114"/>
      <c r="L60" s="114"/>
      <c r="M60" s="114"/>
      <c r="N60" s="114"/>
      <c r="O60" s="114"/>
      <c r="P60" s="114"/>
      <c r="Q60" s="114"/>
      <c r="R60" s="114"/>
      <c r="S60" s="114"/>
      <c r="T60" s="114"/>
      <c r="U60" s="114"/>
      <c r="V60" s="114"/>
      <c r="W60" s="114"/>
      <c r="X60" s="114"/>
    </row>
    <row r="61" spans="1:76" ht="13.5" thickBot="1">
      <c r="B61" s="529"/>
      <c r="C61" s="120" t="s">
        <v>364</v>
      </c>
      <c r="D61" s="114"/>
      <c r="E61" s="114"/>
      <c r="F61" s="114"/>
      <c r="G61" s="114"/>
      <c r="H61" s="114"/>
      <c r="I61" s="114"/>
      <c r="J61" s="114"/>
      <c r="K61" s="114"/>
      <c r="L61" s="114"/>
      <c r="M61" s="114"/>
      <c r="N61" s="114"/>
      <c r="O61" s="114"/>
      <c r="P61" s="114"/>
      <c r="Q61" s="114"/>
      <c r="R61" s="114"/>
      <c r="S61" s="114"/>
      <c r="T61" s="114"/>
      <c r="U61" s="114"/>
      <c r="V61" s="114"/>
      <c r="W61" s="114"/>
      <c r="X61" s="114"/>
    </row>
    <row r="62" spans="1:76">
      <c r="A62" s="531"/>
      <c r="B62" s="532"/>
      <c r="C62" s="532"/>
      <c r="D62" s="532"/>
      <c r="E62" s="532">
        <v>1</v>
      </c>
      <c r="F62" s="532">
        <v>2</v>
      </c>
      <c r="G62" s="532">
        <v>3</v>
      </c>
      <c r="H62" s="532">
        <v>4</v>
      </c>
      <c r="I62" s="532">
        <v>5</v>
      </c>
      <c r="J62" s="532">
        <v>6</v>
      </c>
      <c r="K62" s="532">
        <v>7</v>
      </c>
      <c r="L62" s="532">
        <v>8</v>
      </c>
      <c r="M62" s="532">
        <v>9</v>
      </c>
      <c r="N62" s="532">
        <v>10</v>
      </c>
      <c r="O62" s="532">
        <v>11</v>
      </c>
      <c r="P62" s="545">
        <v>12</v>
      </c>
      <c r="Q62" s="545">
        <v>13</v>
      </c>
      <c r="R62" s="545">
        <v>14</v>
      </c>
      <c r="S62" s="545">
        <v>15</v>
      </c>
      <c r="T62" s="545">
        <v>16</v>
      </c>
      <c r="U62" s="545">
        <v>17</v>
      </c>
      <c r="V62" s="545">
        <v>18</v>
      </c>
      <c r="W62" s="545">
        <v>19</v>
      </c>
    </row>
    <row r="63" spans="1:76">
      <c r="A63" s="546">
        <v>9</v>
      </c>
      <c r="B63" s="512">
        <f>INDEX($Z$5:$AB$16,$A63,2)</f>
        <v>39</v>
      </c>
      <c r="C63" s="273" t="str">
        <f>INDEX($Z$5:$AF$16,$A63,4)</f>
        <v>VTR</v>
      </c>
      <c r="D63" s="512"/>
      <c r="E63" s="552">
        <f t="shared" ref="E63:O65" si="2">INDEX($E$11:$P$55,$B63,E$62)*$D70</f>
        <v>0.81926595434425797</v>
      </c>
      <c r="F63" s="552">
        <f t="shared" si="2"/>
        <v>0.71153589376471738</v>
      </c>
      <c r="G63" s="552">
        <f t="shared" si="2"/>
        <v>0.61953786931034083</v>
      </c>
      <c r="H63" s="552">
        <f t="shared" si="2"/>
        <v>0.5469149560795894</v>
      </c>
      <c r="I63" s="552">
        <f t="shared" si="2"/>
        <v>0.48845332939549785</v>
      </c>
      <c r="J63" s="552">
        <f t="shared" si="2"/>
        <v>0.44045434647501436</v>
      </c>
      <c r="K63" s="552">
        <f t="shared" si="2"/>
        <v>0.40036570380727327</v>
      </c>
      <c r="L63" s="552">
        <f t="shared" si="2"/>
        <v>0.33723745935400767</v>
      </c>
      <c r="M63" s="552">
        <f t="shared" si="2"/>
        <v>0.28980360783080744</v>
      </c>
      <c r="N63" s="552">
        <f t="shared" si="2"/>
        <v>0.25286693447179853</v>
      </c>
      <c r="O63" s="552">
        <f t="shared" si="2"/>
        <v>0.22329318134184217</v>
      </c>
      <c r="P63" s="553">
        <f t="shared" ref="P63:Q65" si="3">INDEX($E$11:$Q$55,$B63,P$62)*$D70</f>
        <v>0.17889699692926078</v>
      </c>
      <c r="Q63" s="553">
        <f t="shared" si="3"/>
        <v>0.14716021315464786</v>
      </c>
      <c r="R63" s="553">
        <f t="shared" ref="R63:W65" si="4">INDEX($E$11:$W$55,$B63,R$62)*$D70</f>
        <v>0.12334533543220727</v>
      </c>
      <c r="S63" s="553">
        <f t="shared" si="4"/>
        <v>0.10481579526238721</v>
      </c>
      <c r="T63" s="553">
        <f t="shared" si="4"/>
        <v>8.9988033236788723E-2</v>
      </c>
      <c r="U63" s="553">
        <f t="shared" si="4"/>
        <v>0.44045343825367173</v>
      </c>
      <c r="V63" s="553">
        <f t="shared" si="4"/>
        <v>0.44045534342238446</v>
      </c>
      <c r="W63" s="553">
        <f t="shared" si="4"/>
        <v>0.4404541176779691</v>
      </c>
    </row>
    <row r="64" spans="1:76">
      <c r="A64" s="546">
        <v>8</v>
      </c>
      <c r="B64" s="512">
        <f>INDEX($Z$5:$AB$16,$A64,2)</f>
        <v>38</v>
      </c>
      <c r="C64" s="273" t="str">
        <f>INDEX($Z$5:$AF$16,$A64,4)</f>
        <v>PDE</v>
      </c>
      <c r="D64" s="512"/>
      <c r="E64" s="552">
        <f t="shared" si="2"/>
        <v>0.30384248446999002</v>
      </c>
      <c r="F64" s="552">
        <f t="shared" si="2"/>
        <v>0.62513768788201152</v>
      </c>
      <c r="G64" s="552">
        <f t="shared" si="2"/>
        <v>0.68574751374909926</v>
      </c>
      <c r="H64" s="552">
        <f t="shared" si="2"/>
        <v>0.71419631007953388</v>
      </c>
      <c r="I64" s="552">
        <f t="shared" si="2"/>
        <v>0.72974545764392396</v>
      </c>
      <c r="J64" s="552">
        <f t="shared" si="2"/>
        <v>0.73851903330436852</v>
      </c>
      <c r="K64" s="552">
        <f t="shared" si="2"/>
        <v>0.743211351468135</v>
      </c>
      <c r="L64" s="552">
        <f t="shared" si="2"/>
        <v>0.74538080947615892</v>
      </c>
      <c r="M64" s="552">
        <f t="shared" si="2"/>
        <v>0.74196590309638311</v>
      </c>
      <c r="N64" s="552">
        <f t="shared" si="2"/>
        <v>0.73534699931964598</v>
      </c>
      <c r="O64" s="552">
        <f t="shared" si="2"/>
        <v>0.72670895326032481</v>
      </c>
      <c r="P64" s="553">
        <f t="shared" si="3"/>
        <v>0.70576025617443339</v>
      </c>
      <c r="Q64" s="553">
        <f t="shared" si="3"/>
        <v>0.68191159096527698</v>
      </c>
      <c r="R64" s="553">
        <f t="shared" si="4"/>
        <v>0.65638344099554502</v>
      </c>
      <c r="S64" s="553">
        <f t="shared" si="4"/>
        <v>0.62979339903645093</v>
      </c>
      <c r="T64" s="553">
        <f t="shared" si="4"/>
        <v>0.60248874617868942</v>
      </c>
      <c r="U64" s="553">
        <f t="shared" si="4"/>
        <v>0.73851836056448339</v>
      </c>
      <c r="V64" s="553">
        <f t="shared" si="4"/>
        <v>0.73851977174131822</v>
      </c>
      <c r="W64" s="553">
        <f t="shared" si="4"/>
        <v>0.73851886383081655</v>
      </c>
    </row>
    <row r="65" spans="1:23" ht="13.5" thickBot="1">
      <c r="A65" s="548">
        <v>2</v>
      </c>
      <c r="B65" s="542">
        <f>INDEX($Z$5:$AB$16,$A65,2)</f>
        <v>44</v>
      </c>
      <c r="C65" s="551" t="str">
        <f>INDEX($Z$5:$AF$16,$A65,4)</f>
        <v>Speed</v>
      </c>
      <c r="D65" s="542"/>
      <c r="E65" s="554">
        <f t="shared" si="2"/>
        <v>1.7505605240014688</v>
      </c>
      <c r="F65" s="554">
        <f t="shared" si="2"/>
        <v>4.1470402152782553</v>
      </c>
      <c r="G65" s="554">
        <f t="shared" si="2"/>
        <v>5.2246329029949106</v>
      </c>
      <c r="H65" s="554">
        <f t="shared" si="2"/>
        <v>6.1639233932397923</v>
      </c>
      <c r="I65" s="554">
        <f t="shared" si="2"/>
        <v>7.0519267402285504</v>
      </c>
      <c r="J65" s="554">
        <f t="shared" si="2"/>
        <v>7.9144418384282433</v>
      </c>
      <c r="K65" s="554">
        <f t="shared" si="2"/>
        <v>8.7622370009301065</v>
      </c>
      <c r="L65" s="554">
        <f t="shared" si="2"/>
        <v>10.432833917207883</v>
      </c>
      <c r="M65" s="554">
        <f t="shared" si="2"/>
        <v>12.084817932801792</v>
      </c>
      <c r="N65" s="554">
        <f t="shared" si="2"/>
        <v>13.726514069069989</v>
      </c>
      <c r="O65" s="554">
        <f t="shared" si="2"/>
        <v>15.361903535679092</v>
      </c>
      <c r="P65" s="555">
        <f t="shared" si="3"/>
        <v>18.621508890963753</v>
      </c>
      <c r="Q65" s="555">
        <f t="shared" si="3"/>
        <v>21.872491943412403</v>
      </c>
      <c r="R65" s="555">
        <f t="shared" si="4"/>
        <v>25.118595872224255</v>
      </c>
      <c r="S65" s="555">
        <f t="shared" si="4"/>
        <v>28.361664905823176</v>
      </c>
      <c r="T65" s="555">
        <f t="shared" si="4"/>
        <v>31.602716816420067</v>
      </c>
      <c r="U65" s="555">
        <f t="shared" si="4"/>
        <v>7.9144342596883721</v>
      </c>
      <c r="V65" s="555">
        <f t="shared" si="4"/>
        <v>7.9144501576693473</v>
      </c>
      <c r="W65" s="555">
        <f t="shared" si="4"/>
        <v>7.9144399292059697</v>
      </c>
    </row>
    <row r="66" spans="1:23" ht="13.5" thickBot="1">
      <c r="A66" s="114"/>
      <c r="B66" s="114"/>
      <c r="C66" s="114"/>
      <c r="D66" s="114"/>
      <c r="E66" s="114"/>
      <c r="F66" s="114"/>
      <c r="G66" s="114"/>
      <c r="H66" s="114"/>
      <c r="I66" s="114"/>
      <c r="J66" s="114"/>
      <c r="K66" s="114"/>
      <c r="L66" s="114"/>
      <c r="M66" s="114"/>
      <c r="N66" s="114"/>
      <c r="O66" s="114"/>
      <c r="P66" s="114"/>
      <c r="Q66" s="114"/>
      <c r="R66" s="114"/>
      <c r="S66" s="114"/>
      <c r="T66" s="114"/>
      <c r="U66" s="114"/>
      <c r="V66" s="114"/>
      <c r="W66" s="114"/>
    </row>
    <row r="67" spans="1:23">
      <c r="A67" s="114"/>
      <c r="B67" s="114"/>
      <c r="C67" s="550" t="s">
        <v>365</v>
      </c>
      <c r="D67" s="532" t="b">
        <f>IF(E67=1,TRUE(),FALSE())</f>
        <v>1</v>
      </c>
      <c r="E67" s="545">
        <v>1</v>
      </c>
      <c r="F67" s="114"/>
      <c r="G67" s="114"/>
      <c r="H67" s="114"/>
      <c r="I67" s="114"/>
      <c r="J67" s="114"/>
      <c r="K67" s="114"/>
      <c r="L67" s="114"/>
      <c r="M67" s="114"/>
      <c r="N67" s="114"/>
      <c r="O67" s="114"/>
      <c r="P67" s="114"/>
      <c r="Q67" s="114"/>
      <c r="R67" s="114"/>
      <c r="S67" s="114"/>
      <c r="T67" s="114"/>
      <c r="U67" s="114"/>
      <c r="V67" s="114"/>
      <c r="W67" s="114"/>
    </row>
    <row r="68" spans="1:23">
      <c r="A68" s="114"/>
      <c r="B68" s="114"/>
      <c r="C68" s="536"/>
      <c r="D68" s="512"/>
      <c r="E68" s="547"/>
      <c r="F68" s="114"/>
      <c r="G68" s="114"/>
      <c r="H68" s="114"/>
      <c r="I68" s="114"/>
      <c r="J68" s="114"/>
      <c r="K68" s="114"/>
      <c r="L68" s="114"/>
      <c r="M68" s="114"/>
      <c r="N68" s="114"/>
      <c r="O68" s="114"/>
      <c r="P68" s="114"/>
      <c r="Q68" s="114"/>
      <c r="R68" s="114"/>
      <c r="S68" s="114"/>
      <c r="T68" s="114"/>
      <c r="U68" s="114"/>
      <c r="V68" s="114"/>
      <c r="W68" s="114"/>
    </row>
    <row r="69" spans="1:23">
      <c r="A69" s="114"/>
      <c r="B69" s="114"/>
      <c r="C69" s="536" t="s">
        <v>366</v>
      </c>
      <c r="D69" s="512" t="s">
        <v>367</v>
      </c>
      <c r="E69" s="547"/>
      <c r="F69" s="114"/>
      <c r="G69" s="114"/>
      <c r="H69" s="114"/>
      <c r="I69" s="114"/>
      <c r="J69" s="114"/>
      <c r="K69" s="114"/>
      <c r="L69" s="114"/>
      <c r="M69" s="114"/>
      <c r="N69" s="114"/>
      <c r="O69" s="114"/>
      <c r="P69" s="114"/>
      <c r="Q69" s="114"/>
      <c r="R69" s="114"/>
      <c r="S69" s="114"/>
      <c r="T69" s="114"/>
      <c r="U69" s="114"/>
      <c r="V69" s="114"/>
      <c r="W69" s="114"/>
    </row>
    <row r="70" spans="1:23">
      <c r="A70" s="114"/>
      <c r="B70" s="114"/>
      <c r="C70" s="536" t="str">
        <f>INDEX($Z$5:$AF$16,$A63,IF($D$67,6,5))</f>
        <v>Vehicle Traction Ratio, VTR</v>
      </c>
      <c r="D70" s="512">
        <f>IF($D$67,INDEX($Z$5:$AF$16,$A63,7),1)</f>
        <v>1</v>
      </c>
      <c r="E70" s="547"/>
      <c r="F70" s="114"/>
      <c r="G70" s="114"/>
      <c r="H70" s="114"/>
      <c r="I70" s="114"/>
      <c r="J70" s="114"/>
      <c r="K70" s="114"/>
      <c r="L70" s="114"/>
      <c r="M70" s="114"/>
      <c r="N70" s="114"/>
      <c r="O70" s="114"/>
      <c r="P70" s="114"/>
      <c r="Q70" s="114"/>
      <c r="R70" s="114"/>
      <c r="S70" s="114"/>
      <c r="T70" s="114"/>
      <c r="U70" s="114"/>
      <c r="V70" s="114"/>
      <c r="W70" s="114"/>
    </row>
    <row r="71" spans="1:23">
      <c r="A71" s="114"/>
      <c r="B71" s="114"/>
      <c r="C71" s="536" t="str">
        <f>INDEX($Z$5:$AF$16,$A64,IF($D$67,6,5))</f>
        <v>Power Delivery Efficiency</v>
      </c>
      <c r="D71" s="512">
        <f>IF($D$67,INDEX($Z$5:$AF$16,$A64,7),1)</f>
        <v>1</v>
      </c>
      <c r="E71" s="547"/>
      <c r="F71" s="114"/>
      <c r="G71" s="114"/>
      <c r="H71" s="114"/>
      <c r="I71" s="114"/>
      <c r="J71" s="114"/>
      <c r="K71" s="114"/>
      <c r="L71" s="114"/>
      <c r="M71" s="114"/>
      <c r="N71" s="114"/>
      <c r="O71" s="114"/>
      <c r="P71" s="114"/>
      <c r="Q71" s="114"/>
      <c r="R71" s="114"/>
      <c r="S71" s="114"/>
      <c r="T71" s="114"/>
      <c r="U71" s="114"/>
      <c r="V71" s="114"/>
      <c r="W71" s="114"/>
    </row>
    <row r="72" spans="1:23" ht="13.5" thickBot="1">
      <c r="A72" s="114"/>
      <c r="B72" s="114"/>
      <c r="C72" s="541" t="str">
        <f>INDEX($Z$5:$AF$16,$A65,IF($D$67,6,5))</f>
        <v>Ground Speed (kph)</v>
      </c>
      <c r="D72" s="542">
        <f>IF($D$67,INDEX($Z$5:$AF$16,$A65,7),1)</f>
        <v>1.6093</v>
      </c>
      <c r="E72" s="549"/>
      <c r="F72" s="114"/>
      <c r="G72" s="114"/>
      <c r="H72" s="114"/>
      <c r="I72" s="114"/>
      <c r="J72" s="114"/>
      <c r="K72" s="114"/>
      <c r="L72" s="114"/>
      <c r="M72" s="114"/>
      <c r="N72" s="114"/>
      <c r="O72" s="114"/>
      <c r="P72" s="114"/>
      <c r="Q72" s="114"/>
      <c r="R72" s="114"/>
      <c r="S72" s="114"/>
      <c r="T72" s="114"/>
      <c r="U72" s="114"/>
      <c r="V72" s="114"/>
      <c r="W72" s="114"/>
    </row>
  </sheetData>
  <sheetProtection password="C526" sheet="1" objects="1" scenarios="1"/>
  <printOptions gridLines="1" gridLinesSet="0"/>
  <pageMargins left="0.75" right="0.75" top="1" bottom="1" header="0.5" footer="0.5"/>
  <pageSetup orientation="portrait" horizontalDpi="4294967292" verticalDpi="0"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49" r:id="rId4" name="Button 1">
              <controlPr defaultSize="0" print="0" autoFill="0" autoLine="0" autoPict="0" macro="[0]!Module2.addSummary">
                <anchor moveWithCells="1" sizeWithCells="1">
                  <from>
                    <xdr:col>3</xdr:col>
                    <xdr:colOff>314325</xdr:colOff>
                    <xdr:row>0</xdr:row>
                    <xdr:rowOff>152400</xdr:rowOff>
                  </from>
                  <to>
                    <xdr:col>5</xdr:col>
                    <xdr:colOff>228600</xdr:colOff>
                    <xdr:row>2</xdr:row>
                    <xdr:rowOff>161925</xdr:rowOff>
                  </to>
                </anchor>
              </controlPr>
            </control>
          </mc:Choice>
        </mc:AlternateContent>
        <mc:AlternateContent xmlns:mc="http://schemas.openxmlformats.org/markup-compatibility/2006">
          <mc:Choice Requires="x14">
            <control shapeId="2051" r:id="rId5" name="Button 3">
              <controlPr defaultSize="0" print="0" autoFill="0" autoLine="0" autoPict="0" macro="[0]!Module2.clearSummary">
                <anchor moveWithCells="1" sizeWithCells="1">
                  <from>
                    <xdr:col>7</xdr:col>
                    <xdr:colOff>514350</xdr:colOff>
                    <xdr:row>1</xdr:row>
                    <xdr:rowOff>9525</xdr:rowOff>
                  </from>
                  <to>
                    <xdr:col>9</xdr:col>
                    <xdr:colOff>514350</xdr:colOff>
                    <xdr:row>3</xdr:row>
                    <xdr:rowOff>9525</xdr:rowOff>
                  </to>
                </anchor>
              </controlPr>
            </control>
          </mc:Choice>
        </mc:AlternateContent>
        <mc:AlternateContent xmlns:mc="http://schemas.openxmlformats.org/markup-compatibility/2006">
          <mc:Choice Requires="x14">
            <control shapeId="2053" r:id="rId6" name="Button 5">
              <controlPr defaultSize="0" print="0" autoFill="0" autoLine="0" autoPict="0" macro="[0]!module2.deleteSummary">
                <anchor moveWithCells="1" sizeWithCells="1">
                  <from>
                    <xdr:col>5</xdr:col>
                    <xdr:colOff>342900</xdr:colOff>
                    <xdr:row>1</xdr:row>
                    <xdr:rowOff>9525</xdr:rowOff>
                  </from>
                  <to>
                    <xdr:col>7</xdr:col>
                    <xdr:colOff>476250</xdr:colOff>
                    <xdr:row>3</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6"/>
  <sheetViews>
    <sheetView showGridLines="0" showRowColHeaders="0" workbookViewId="0">
      <selection activeCell="A11" sqref="A11"/>
    </sheetView>
  </sheetViews>
  <sheetFormatPr defaultRowHeight="12"/>
  <cols>
    <col min="1" max="1" width="85.625" customWidth="1"/>
  </cols>
  <sheetData>
    <row r="1" spans="1:1">
      <c r="A1" s="288" t="s">
        <v>368</v>
      </c>
    </row>
    <row r="2" spans="1:1" ht="36.75" customHeight="1">
      <c r="A2" s="289" t="s">
        <v>369</v>
      </c>
    </row>
    <row r="3" spans="1:1" ht="11.25" customHeight="1">
      <c r="A3" s="340" t="s">
        <v>370</v>
      </c>
    </row>
    <row r="4" spans="1:1" ht="21.75" customHeight="1">
      <c r="A4" s="347" t="s">
        <v>371</v>
      </c>
    </row>
    <row r="5" spans="1:1">
      <c r="A5" s="346" t="s">
        <v>372</v>
      </c>
    </row>
    <row r="6" spans="1:1" ht="48">
      <c r="A6" s="289" t="s">
        <v>373</v>
      </c>
    </row>
    <row r="7" spans="1:1">
      <c r="A7" s="289" t="s">
        <v>374</v>
      </c>
    </row>
    <row r="8" spans="1:1">
      <c r="A8" s="345" t="s">
        <v>375</v>
      </c>
    </row>
    <row r="9" spans="1:1" ht="36">
      <c r="A9" s="344" t="s">
        <v>376</v>
      </c>
    </row>
    <row r="10" spans="1:1" s="287" customFormat="1">
      <c r="A10" s="345" t="s">
        <v>377</v>
      </c>
    </row>
    <row r="11" spans="1:1" ht="36">
      <c r="A11" s="287" t="s">
        <v>378</v>
      </c>
    </row>
    <row r="12" spans="1:1">
      <c r="A12" s="346" t="s">
        <v>379</v>
      </c>
    </row>
    <row r="13" spans="1:1" ht="24">
      <c r="A13" s="287" t="s">
        <v>380</v>
      </c>
    </row>
    <row r="14" spans="1:1">
      <c r="A14" s="346" t="s">
        <v>381</v>
      </c>
    </row>
    <row r="15" spans="1:1" ht="24">
      <c r="A15" s="514" t="s">
        <v>382</v>
      </c>
    </row>
    <row r="16" spans="1:1">
      <c r="A16" s="346" t="s">
        <v>383</v>
      </c>
    </row>
    <row r="17" spans="1:1" ht="48">
      <c r="A17" s="343" t="s">
        <v>384</v>
      </c>
    </row>
    <row r="18" spans="1:1">
      <c r="A18" s="346" t="s">
        <v>385</v>
      </c>
    </row>
    <row r="19" spans="1:1" ht="48">
      <c r="A19" s="343" t="s">
        <v>386</v>
      </c>
    </row>
    <row r="20" spans="1:1">
      <c r="A20" s="346" t="s">
        <v>387</v>
      </c>
    </row>
    <row r="21" spans="1:1" ht="36">
      <c r="A21" s="343" t="s">
        <v>388</v>
      </c>
    </row>
    <row r="22" spans="1:1" ht="36">
      <c r="A22" s="343" t="s">
        <v>389</v>
      </c>
    </row>
    <row r="23" spans="1:1">
      <c r="A23" s="346" t="s">
        <v>282</v>
      </c>
    </row>
    <row r="24" spans="1:1" ht="36" customHeight="1">
      <c r="A24" s="343" t="s">
        <v>390</v>
      </c>
    </row>
    <row r="25" spans="1:1" ht="36">
      <c r="A25" s="343" t="s">
        <v>391</v>
      </c>
    </row>
    <row r="26" spans="1:1">
      <c r="A26" s="345" t="s">
        <v>392</v>
      </c>
    </row>
    <row r="27" spans="1:1" ht="37.5" customHeight="1">
      <c r="A27" s="343" t="s">
        <v>393</v>
      </c>
    </row>
    <row r="28" spans="1:1">
      <c r="A28" s="346" t="s">
        <v>394</v>
      </c>
    </row>
    <row r="29" spans="1:1" ht="37.5" customHeight="1">
      <c r="A29" s="343" t="s">
        <v>395</v>
      </c>
    </row>
    <row r="30" spans="1:1" ht="36">
      <c r="A30" s="343" t="s">
        <v>396</v>
      </c>
    </row>
    <row r="31" spans="1:1">
      <c r="A31" s="346" t="s">
        <v>46</v>
      </c>
    </row>
    <row r="32" spans="1:1" ht="24">
      <c r="A32" s="343" t="s">
        <v>397</v>
      </c>
    </row>
    <row r="33" spans="1:1">
      <c r="A33" s="346" t="s">
        <v>398</v>
      </c>
    </row>
    <row r="34" spans="1:1" ht="48">
      <c r="A34" s="343" t="s">
        <v>399</v>
      </c>
    </row>
    <row r="35" spans="1:1">
      <c r="A35" s="346" t="s">
        <v>400</v>
      </c>
    </row>
    <row r="36" spans="1:1" ht="36">
      <c r="A36" s="343" t="s">
        <v>401</v>
      </c>
    </row>
    <row r="37" spans="1:1">
      <c r="A37" s="346" t="s">
        <v>402</v>
      </c>
    </row>
    <row r="38" spans="1:1" ht="37.5" customHeight="1">
      <c r="A38" s="343" t="s">
        <v>403</v>
      </c>
    </row>
    <row r="39" spans="1:1" ht="37.5" customHeight="1">
      <c r="A39" s="343" t="s">
        <v>404</v>
      </c>
    </row>
    <row r="40" spans="1:1" ht="37.5" customHeight="1">
      <c r="A40" s="343" t="s">
        <v>405</v>
      </c>
    </row>
    <row r="42" spans="1:1" ht="23.25" customHeight="1">
      <c r="A42" s="347" t="s">
        <v>406</v>
      </c>
    </row>
    <row r="43" spans="1:1">
      <c r="A43" s="346" t="s">
        <v>329</v>
      </c>
    </row>
    <row r="44" spans="1:1" ht="36">
      <c r="A44" s="343" t="s">
        <v>407</v>
      </c>
    </row>
    <row r="45" spans="1:1">
      <c r="A45" s="346" t="s">
        <v>408</v>
      </c>
    </row>
    <row r="46" spans="1:1" ht="36">
      <c r="A46" s="343" t="s">
        <v>409</v>
      </c>
    </row>
    <row r="47" spans="1:1">
      <c r="A47" s="348" t="s">
        <v>292</v>
      </c>
    </row>
    <row r="48" spans="1:1" ht="36">
      <c r="A48" s="289" t="s">
        <v>410</v>
      </c>
    </row>
    <row r="49" spans="1:1">
      <c r="A49" s="346" t="s">
        <v>411</v>
      </c>
    </row>
    <row r="50" spans="1:1" ht="24">
      <c r="A50" s="343" t="s">
        <v>412</v>
      </c>
    </row>
    <row r="51" spans="1:1">
      <c r="A51" s="346" t="s">
        <v>413</v>
      </c>
    </row>
    <row r="52" spans="1:1" ht="36">
      <c r="A52" s="343" t="s">
        <v>414</v>
      </c>
    </row>
    <row r="53" spans="1:1">
      <c r="A53" s="348" t="s">
        <v>415</v>
      </c>
    </row>
    <row r="54" spans="1:1" ht="24">
      <c r="A54" s="343" t="s">
        <v>416</v>
      </c>
    </row>
    <row r="55" spans="1:1">
      <c r="A55" s="345" t="s">
        <v>417</v>
      </c>
    </row>
    <row r="56" spans="1:1" ht="36">
      <c r="A56" s="343" t="s">
        <v>418</v>
      </c>
    </row>
  </sheetData>
  <sheetProtection password="C526" sheet="1" objects="1" scenarios="1"/>
  <pageMargins left="0.75" right="0.75" top="1" bottom="1" header="0.5" footer="0.5"/>
  <pageSetup orientation="portrait" r:id="rId1"/>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AC190"/>
  <sheetViews>
    <sheetView topLeftCell="D10" workbookViewId="0">
      <selection activeCell="B41" sqref="B41:V190"/>
    </sheetView>
  </sheetViews>
  <sheetFormatPr defaultRowHeight="12.75"/>
  <cols>
    <col min="1" max="1" width="9" style="27"/>
    <col min="2" max="2" width="54.875" style="27" customWidth="1"/>
    <col min="3" max="3" width="9.125" style="27" customWidth="1"/>
    <col min="4" max="5" width="9" style="27"/>
    <col min="6" max="6" width="9.125" style="27" customWidth="1"/>
    <col min="7" max="7" width="7.5" style="27" customWidth="1"/>
    <col min="8" max="9" width="9" style="27"/>
    <col min="10" max="10" width="10.125" style="27" customWidth="1"/>
    <col min="11" max="11" width="9.875" style="27" customWidth="1"/>
    <col min="12" max="12" width="8.375" style="27" customWidth="1"/>
    <col min="13" max="20" width="9" style="27"/>
    <col min="21" max="21" width="9.625" style="27" customWidth="1"/>
    <col min="22" max="22" width="9.875" style="27" customWidth="1"/>
    <col min="23" max="16384" width="9" style="27"/>
  </cols>
  <sheetData>
    <row r="2" spans="1:23">
      <c r="C2" s="28"/>
      <c r="D2" s="28"/>
      <c r="E2" s="28"/>
      <c r="F2" s="28"/>
      <c r="G2" s="29"/>
      <c r="H2" s="29"/>
      <c r="I2" s="29"/>
      <c r="J2" s="29"/>
      <c r="K2" s="29"/>
    </row>
    <row r="3" spans="1:23">
      <c r="B3" s="27" t="s">
        <v>419</v>
      </c>
      <c r="C3" s="28"/>
      <c r="D3" s="28"/>
      <c r="E3" s="28"/>
      <c r="F3" s="28"/>
    </row>
    <row r="4" spans="1:23">
      <c r="C4" s="28"/>
      <c r="D4" s="28"/>
      <c r="E4" s="28"/>
      <c r="F4" s="28"/>
    </row>
    <row r="5" spans="1:23">
      <c r="B5" s="28"/>
      <c r="C5" s="28"/>
      <c r="D5" s="28">
        <v>7</v>
      </c>
      <c r="E5" s="28"/>
      <c r="F5" s="28"/>
      <c r="G5" s="28"/>
      <c r="W5" t="s">
        <v>420</v>
      </c>
    </row>
    <row r="6" spans="1:23">
      <c r="B6" s="27" t="s">
        <v>421</v>
      </c>
      <c r="C6" s="28"/>
      <c r="D6" s="30">
        <v>63</v>
      </c>
      <c r="E6" s="28"/>
      <c r="F6" s="28"/>
      <c r="G6" s="28"/>
    </row>
    <row r="7" spans="1:23">
      <c r="A7" s="27">
        <v>2</v>
      </c>
      <c r="B7" s="29" t="s">
        <v>422</v>
      </c>
      <c r="C7" s="28"/>
      <c r="D7" s="31" t="str">
        <f t="shared" ref="D7:D16" si="0">VLOOKUP($D$6,$A$40:$V$190,A7)</f>
        <v>JOHN DEERE 4055 PowerShift MFWD_________ 109 pto hp</v>
      </c>
      <c r="E7" s="28"/>
      <c r="F7" s="28"/>
    </row>
    <row r="8" spans="1:23">
      <c r="A8" s="27">
        <v>3</v>
      </c>
      <c r="B8" s="32" t="s">
        <v>423</v>
      </c>
      <c r="C8" s="28" t="s">
        <v>424</v>
      </c>
      <c r="D8" s="33">
        <f t="shared" si="0"/>
        <v>109.17</v>
      </c>
      <c r="E8" s="28"/>
      <c r="F8" s="28"/>
    </row>
    <row r="9" spans="1:23">
      <c r="A9" s="27">
        <v>4</v>
      </c>
      <c r="B9" s="34" t="s">
        <v>425</v>
      </c>
      <c r="C9" s="28" t="s">
        <v>426</v>
      </c>
      <c r="D9" s="33" t="str">
        <f t="shared" si="0"/>
        <v>JOHN DEERE</v>
      </c>
      <c r="H9" s="28"/>
    </row>
    <row r="10" spans="1:23">
      <c r="A10" s="27">
        <v>5</v>
      </c>
      <c r="B10" s="32" t="s">
        <v>300</v>
      </c>
      <c r="C10" s="28" t="s">
        <v>427</v>
      </c>
      <c r="D10" s="33" t="str">
        <f t="shared" si="0"/>
        <v>4055</v>
      </c>
      <c r="H10" s="28"/>
    </row>
    <row r="11" spans="1:23">
      <c r="A11" s="27">
        <v>6</v>
      </c>
      <c r="B11" s="32" t="s">
        <v>428</v>
      </c>
      <c r="C11" s="28" t="s">
        <v>429</v>
      </c>
      <c r="D11" s="33" t="str">
        <f t="shared" si="0"/>
        <v>MFWD</v>
      </c>
      <c r="H11" s="28"/>
    </row>
    <row r="12" spans="1:23">
      <c r="A12" s="27">
        <v>7</v>
      </c>
      <c r="B12" s="32" t="s">
        <v>430</v>
      </c>
      <c r="C12" s="28" t="s">
        <v>431</v>
      </c>
      <c r="D12" s="33" t="str">
        <f t="shared" si="0"/>
        <v>PowerShift</v>
      </c>
      <c r="J12" s="351" t="s">
        <v>432</v>
      </c>
      <c r="K12"/>
      <c r="L12"/>
    </row>
    <row r="13" spans="1:23">
      <c r="A13" s="27">
        <v>8</v>
      </c>
      <c r="B13" s="32" t="s">
        <v>433</v>
      </c>
      <c r="C13" s="28"/>
      <c r="D13" s="31">
        <f t="shared" si="0"/>
        <v>5055</v>
      </c>
      <c r="J13" s="375">
        <v>0.8</v>
      </c>
      <c r="K13">
        <f t="array" ref="K13:K26">FREQUENCY(V41:V191,J13:J26)</f>
        <v>0</v>
      </c>
      <c r="L13" s="425">
        <f t="shared" ref="L13:L26" si="1">K13/$K$27</f>
        <v>0</v>
      </c>
    </row>
    <row r="14" spans="1:23">
      <c r="A14" s="27">
        <v>9</v>
      </c>
      <c r="B14" s="32" t="s">
        <v>434</v>
      </c>
      <c r="C14" s="28"/>
      <c r="D14" s="31">
        <f t="shared" si="0"/>
        <v>0</v>
      </c>
      <c r="J14" s="375">
        <v>0.82</v>
      </c>
      <c r="K14">
        <v>0</v>
      </c>
      <c r="L14" s="425">
        <f t="shared" si="1"/>
        <v>0</v>
      </c>
    </row>
    <row r="15" spans="1:23">
      <c r="A15" s="27">
        <v>10</v>
      </c>
      <c r="B15" s="32" t="s">
        <v>435</v>
      </c>
      <c r="C15" s="28" t="s">
        <v>436</v>
      </c>
      <c r="D15" s="33">
        <f t="shared" si="0"/>
        <v>5375.79</v>
      </c>
      <c r="J15" s="375">
        <v>0.84</v>
      </c>
      <c r="K15">
        <v>0</v>
      </c>
      <c r="L15" s="425">
        <f t="shared" si="1"/>
        <v>0</v>
      </c>
    </row>
    <row r="16" spans="1:23">
      <c r="A16" s="27">
        <v>11</v>
      </c>
      <c r="B16" s="32" t="s">
        <v>437</v>
      </c>
      <c r="C16" s="28" t="s">
        <v>438</v>
      </c>
      <c r="D16" s="33">
        <f t="shared" si="0"/>
        <v>8581.86</v>
      </c>
      <c r="J16" s="375">
        <v>0.86</v>
      </c>
      <c r="K16">
        <v>3</v>
      </c>
      <c r="L16" s="425">
        <f t="shared" si="1"/>
        <v>2.1126760563380281E-2</v>
      </c>
    </row>
    <row r="17" spans="1:19">
      <c r="B17" s="35" t="s">
        <v>439</v>
      </c>
      <c r="C17" s="28"/>
      <c r="D17" s="36"/>
      <c r="E17" s="37"/>
      <c r="F17" s="37"/>
      <c r="G17" s="37"/>
      <c r="H17" s="37"/>
      <c r="J17" s="375">
        <v>0.88</v>
      </c>
      <c r="K17">
        <v>6</v>
      </c>
      <c r="L17" s="425">
        <f t="shared" si="1"/>
        <v>4.2253521126760563E-2</v>
      </c>
    </row>
    <row r="18" spans="1:19">
      <c r="A18" s="27">
        <v>12</v>
      </c>
      <c r="B18" s="29" t="s">
        <v>440</v>
      </c>
      <c r="C18" s="60" t="s">
        <v>441</v>
      </c>
      <c r="D18" s="31">
        <f>VLOOKUP($D$6,$A$40:$V$190,A18)</f>
        <v>2</v>
      </c>
      <c r="E18" s="28" t="s">
        <v>442</v>
      </c>
      <c r="F18" s="38">
        <f>+D18/2</f>
        <v>1</v>
      </c>
      <c r="G18" s="39" t="s">
        <v>443</v>
      </c>
      <c r="H18" s="40" t="s">
        <v>444</v>
      </c>
      <c r="J18" s="375">
        <v>0.9</v>
      </c>
      <c r="K18">
        <v>9</v>
      </c>
      <c r="L18" s="425">
        <f t="shared" si="1"/>
        <v>6.3380281690140844E-2</v>
      </c>
    </row>
    <row r="19" spans="1:19">
      <c r="A19" s="27">
        <v>13</v>
      </c>
      <c r="B19" s="29" t="s">
        <v>445</v>
      </c>
      <c r="C19" s="59" t="s">
        <v>446</v>
      </c>
      <c r="D19" s="31">
        <f>VLOOKUP($D$6,$A$40:$V$190,A19)</f>
        <v>14.9</v>
      </c>
      <c r="E19" s="28"/>
      <c r="G19" s="40" t="str">
        <f>CONCATENATE(D19,D20,D21)</f>
        <v>14.9R26</v>
      </c>
      <c r="H19" s="41">
        <f>VLOOKUP(G19,tireNameList2,2,0)</f>
        <v>48</v>
      </c>
      <c r="J19" s="375">
        <v>0.91999999999999904</v>
      </c>
      <c r="K19">
        <v>17</v>
      </c>
      <c r="L19" s="425">
        <f t="shared" si="1"/>
        <v>0.11971830985915492</v>
      </c>
    </row>
    <row r="20" spans="1:19">
      <c r="A20" s="27">
        <v>14</v>
      </c>
      <c r="B20" s="29" t="s">
        <v>447</v>
      </c>
      <c r="C20" s="59" t="s">
        <v>448</v>
      </c>
      <c r="D20" s="31" t="str">
        <f>VLOOKUP($D$6,$A$40:$V$190,A20)</f>
        <v>R</v>
      </c>
      <c r="E20" s="28"/>
      <c r="G20" s="40" t="str">
        <f>CONCATENATE(D19,"-",D21)</f>
        <v>14.9-26</v>
      </c>
      <c r="H20" s="41">
        <f>VLOOKUP(G20,tireNameList3,3,0)</f>
        <v>18</v>
      </c>
      <c r="J20" s="375">
        <v>0.93999999999999895</v>
      </c>
      <c r="K20">
        <v>28</v>
      </c>
      <c r="L20" s="425">
        <f t="shared" si="1"/>
        <v>0.19718309859154928</v>
      </c>
    </row>
    <row r="21" spans="1:19">
      <c r="A21" s="27">
        <v>15</v>
      </c>
      <c r="B21" s="29" t="s">
        <v>449</v>
      </c>
      <c r="C21" s="59" t="s">
        <v>450</v>
      </c>
      <c r="D21" s="31">
        <f>VLOOKUP($D$6,$A$40:$V$190,A21)</f>
        <v>26</v>
      </c>
      <c r="G21" s="39"/>
      <c r="H21" s="28"/>
      <c r="J21" s="375">
        <v>0.95999999999999897</v>
      </c>
      <c r="K21">
        <v>29</v>
      </c>
      <c r="L21" s="425">
        <f t="shared" si="1"/>
        <v>0.20422535211267606</v>
      </c>
      <c r="S21" s="42"/>
    </row>
    <row r="22" spans="1:19">
      <c r="B22" s="43" t="s">
        <v>451</v>
      </c>
      <c r="C22" s="28" t="s">
        <v>452</v>
      </c>
      <c r="D22" s="44">
        <f>IF(ISNA(H19),H20,H19)</f>
        <v>48</v>
      </c>
      <c r="F22" s="27" t="s">
        <v>453</v>
      </c>
      <c r="G22" s="42" t="str">
        <f>CONCATENATE(FIXED(D19,1), "   ",D20,"   ",D21)</f>
        <v>14.9   R   26</v>
      </c>
      <c r="J22" s="375">
        <v>0.97999999999999898</v>
      </c>
      <c r="K22">
        <v>24</v>
      </c>
      <c r="L22" s="425">
        <f t="shared" si="1"/>
        <v>0.16901408450704225</v>
      </c>
      <c r="S22" s="42"/>
    </row>
    <row r="23" spans="1:19">
      <c r="B23" s="43"/>
      <c r="C23" s="28" t="s">
        <v>454</v>
      </c>
      <c r="D23" s="42" t="b">
        <f>ISERROR(D22)</f>
        <v>0</v>
      </c>
      <c r="G23" s="42"/>
      <c r="J23" s="375">
        <v>0.999999999999999</v>
      </c>
      <c r="K23">
        <v>17</v>
      </c>
      <c r="L23" s="425">
        <f t="shared" si="1"/>
        <v>0.11971830985915492</v>
      </c>
      <c r="S23" s="42"/>
    </row>
    <row r="24" spans="1:19">
      <c r="B24" s="45" t="s">
        <v>455</v>
      </c>
      <c r="C24" s="28"/>
      <c r="D24" s="36"/>
      <c r="E24" s="37"/>
      <c r="F24" s="37"/>
      <c r="G24" s="37"/>
      <c r="H24" s="37"/>
      <c r="J24" s="375">
        <v>1.02</v>
      </c>
      <c r="K24">
        <v>9</v>
      </c>
      <c r="L24" s="425">
        <f t="shared" si="1"/>
        <v>6.3380281690140844E-2</v>
      </c>
      <c r="S24" s="42"/>
    </row>
    <row r="25" spans="1:19">
      <c r="A25" s="27">
        <v>16</v>
      </c>
      <c r="B25" s="32" t="s">
        <v>456</v>
      </c>
      <c r="C25" s="60" t="s">
        <v>457</v>
      </c>
      <c r="D25" s="31">
        <f t="shared" ref="D25:D31" si="2">VLOOKUP($D$6,$A$40:$V$163,A25)</f>
        <v>2</v>
      </c>
      <c r="E25" s="28" t="s">
        <v>442</v>
      </c>
      <c r="F25" s="38">
        <f>+D25/2</f>
        <v>1</v>
      </c>
      <c r="G25" s="39" t="s">
        <v>443</v>
      </c>
      <c r="H25" s="40" t="s">
        <v>444</v>
      </c>
      <c r="J25" s="375">
        <v>1.04</v>
      </c>
      <c r="K25">
        <v>0</v>
      </c>
      <c r="L25" s="425">
        <f t="shared" si="1"/>
        <v>0</v>
      </c>
      <c r="M25" s="47"/>
    </row>
    <row r="26" spans="1:19">
      <c r="A26" s="27">
        <v>17</v>
      </c>
      <c r="B26" s="29" t="s">
        <v>458</v>
      </c>
      <c r="C26" s="60" t="s">
        <v>459</v>
      </c>
      <c r="D26" s="31">
        <f t="shared" si="2"/>
        <v>18.399999999999999</v>
      </c>
      <c r="E26" s="28"/>
      <c r="G26" s="40" t="str">
        <f>CONCATENATE(D26,D27,D28)</f>
        <v>18.4R38</v>
      </c>
      <c r="H26" s="41">
        <f>VLOOKUP(G26,tireNameList2,2,0)</f>
        <v>62</v>
      </c>
      <c r="J26" s="375">
        <v>1.06</v>
      </c>
      <c r="K26">
        <v>0</v>
      </c>
      <c r="L26" s="425">
        <f t="shared" si="1"/>
        <v>0</v>
      </c>
      <c r="M26" s="47"/>
    </row>
    <row r="27" spans="1:19">
      <c r="A27" s="27">
        <v>18</v>
      </c>
      <c r="B27" s="29" t="s">
        <v>447</v>
      </c>
      <c r="C27" s="60" t="s">
        <v>460</v>
      </c>
      <c r="D27" s="31" t="str">
        <f t="shared" si="2"/>
        <v>R</v>
      </c>
      <c r="E27" s="28"/>
      <c r="G27" s="40" t="str">
        <f>CONCATENATE(D26,"-",D28)</f>
        <v>18.4-38</v>
      </c>
      <c r="H27" s="41" t="e">
        <f>VLOOKUP(G27,tireNameList2,2,0)</f>
        <v>#N/A</v>
      </c>
      <c r="K27">
        <f>SUM(K13:K26)</f>
        <v>142</v>
      </c>
      <c r="L27"/>
      <c r="M27" s="47"/>
    </row>
    <row r="28" spans="1:19">
      <c r="A28" s="27">
        <v>19</v>
      </c>
      <c r="B28" s="29" t="s">
        <v>449</v>
      </c>
      <c r="C28" s="60" t="s">
        <v>461</v>
      </c>
      <c r="D28" s="31">
        <f t="shared" si="2"/>
        <v>38</v>
      </c>
      <c r="G28" s="39"/>
      <c r="H28" s="28"/>
      <c r="L28" s="46"/>
      <c r="M28" s="47"/>
    </row>
    <row r="29" spans="1:19">
      <c r="A29" s="27">
        <v>20</v>
      </c>
      <c r="B29" s="32" t="s">
        <v>462</v>
      </c>
      <c r="C29" s="28" t="s">
        <v>463</v>
      </c>
      <c r="D29" s="33">
        <f t="shared" si="2"/>
        <v>16.929133858267718</v>
      </c>
      <c r="F29" s="27" t="s">
        <v>464</v>
      </c>
      <c r="G29" s="42" t="str">
        <f>CONCATENATE(FIXED(D26,1), "   ",D27,"   ",D28)</f>
        <v>18.4   R   38</v>
      </c>
      <c r="L29" s="46"/>
      <c r="M29" s="47"/>
    </row>
    <row r="30" spans="1:19">
      <c r="A30" s="27">
        <v>21</v>
      </c>
      <c r="B30" s="32" t="s">
        <v>465</v>
      </c>
      <c r="C30" s="28" t="s">
        <v>466</v>
      </c>
      <c r="D30" s="33">
        <f t="shared" si="2"/>
        <v>105.31496062992126</v>
      </c>
      <c r="G30" s="48"/>
      <c r="L30" s="46"/>
      <c r="M30" s="47"/>
    </row>
    <row r="31" spans="1:19">
      <c r="A31" s="27">
        <v>22</v>
      </c>
      <c r="B31" s="32" t="s">
        <v>467</v>
      </c>
      <c r="C31" s="28" t="s">
        <v>468</v>
      </c>
      <c r="D31" s="33">
        <f t="shared" si="2"/>
        <v>0.9188060434836014</v>
      </c>
      <c r="G31" s="48"/>
      <c r="L31" s="46"/>
      <c r="M31" s="47"/>
    </row>
    <row r="32" spans="1:19">
      <c r="C32" s="42" t="s">
        <v>469</v>
      </c>
      <c r="D32" s="44">
        <f>IF(ISNA(H26),H27,H26)</f>
        <v>62</v>
      </c>
      <c r="J32" s="42"/>
    </row>
    <row r="33" spans="1:29">
      <c r="B33" s="27" t="s">
        <v>470</v>
      </c>
      <c r="C33" s="28" t="s">
        <v>471</v>
      </c>
      <c r="D33" s="42" t="b">
        <f>ISERROR(D32)</f>
        <v>0</v>
      </c>
      <c r="J33" s="42"/>
    </row>
    <row r="34" spans="1:29" ht="13.5" thickBot="1">
      <c r="C34" s="42"/>
      <c r="J34" s="42"/>
    </row>
    <row r="35" spans="1:29" s="49" customFormat="1" ht="16.5" thickTop="1">
      <c r="B35" s="50" t="s">
        <v>472</v>
      </c>
      <c r="C35" s="51"/>
      <c r="D35" s="51"/>
      <c r="F35" s="51"/>
      <c r="G35" s="51"/>
      <c r="H35" s="51"/>
      <c r="J35" s="51"/>
      <c r="K35" s="51"/>
      <c r="L35" s="52" t="s">
        <v>473</v>
      </c>
      <c r="M35" s="53"/>
      <c r="N35" s="53"/>
      <c r="P35" s="52" t="s">
        <v>474</v>
      </c>
      <c r="Q35" s="53"/>
      <c r="R35" s="53"/>
      <c r="T35" s="51" t="s">
        <v>475</v>
      </c>
      <c r="U35" s="51" t="s">
        <v>476</v>
      </c>
      <c r="V35" s="51" t="s">
        <v>477</v>
      </c>
    </row>
    <row r="36" spans="1:29">
      <c r="A36" s="27">
        <v>1</v>
      </c>
      <c r="B36" s="27">
        <v>2</v>
      </c>
      <c r="C36" s="27">
        <v>3</v>
      </c>
      <c r="D36" s="27">
        <v>4</v>
      </c>
      <c r="E36" s="27">
        <v>5</v>
      </c>
      <c r="F36" s="27">
        <v>6</v>
      </c>
      <c r="G36" s="27">
        <v>7</v>
      </c>
      <c r="H36" s="27">
        <v>8</v>
      </c>
      <c r="I36" s="27">
        <v>9</v>
      </c>
      <c r="J36" s="27">
        <v>10</v>
      </c>
      <c r="K36" s="27">
        <v>11</v>
      </c>
      <c r="L36" s="27">
        <v>12</v>
      </c>
      <c r="M36" s="27">
        <v>13</v>
      </c>
      <c r="N36" s="27">
        <v>14</v>
      </c>
      <c r="O36" s="27">
        <v>15</v>
      </c>
      <c r="P36" s="27">
        <v>16</v>
      </c>
      <c r="Q36" s="27">
        <v>17</v>
      </c>
      <c r="R36" s="27">
        <v>18</v>
      </c>
      <c r="S36" s="27">
        <v>19</v>
      </c>
      <c r="T36" s="27">
        <v>20</v>
      </c>
      <c r="U36" s="27">
        <v>21</v>
      </c>
      <c r="V36" s="27">
        <v>22</v>
      </c>
    </row>
    <row r="37" spans="1:29" s="29" customFormat="1" ht="38.25">
      <c r="C37" s="32" t="s">
        <v>478</v>
      </c>
      <c r="D37" s="34"/>
      <c r="E37" s="32"/>
      <c r="F37" s="32"/>
      <c r="G37" s="32" t="s">
        <v>479</v>
      </c>
      <c r="H37" s="32" t="s">
        <v>480</v>
      </c>
      <c r="I37" s="32" t="s">
        <v>481</v>
      </c>
      <c r="J37" s="54" t="s">
        <v>482</v>
      </c>
      <c r="K37" s="54"/>
      <c r="L37" s="29" t="s">
        <v>483</v>
      </c>
      <c r="N37" s="29" t="s">
        <v>484</v>
      </c>
      <c r="P37" s="32" t="s">
        <v>483</v>
      </c>
      <c r="R37" s="29" t="s">
        <v>484</v>
      </c>
      <c r="T37" s="32" t="s">
        <v>485</v>
      </c>
      <c r="U37" s="32" t="s">
        <v>486</v>
      </c>
      <c r="V37" s="32" t="s">
        <v>487</v>
      </c>
    </row>
    <row r="38" spans="1:29" s="29" customFormat="1">
      <c r="C38" s="32"/>
      <c r="D38" s="34"/>
      <c r="E38" s="32"/>
      <c r="F38" s="32"/>
      <c r="G38" s="32"/>
      <c r="H38" s="32"/>
      <c r="I38" s="32"/>
      <c r="J38" s="54"/>
      <c r="K38" s="54"/>
      <c r="P38" s="32"/>
      <c r="T38" s="32"/>
      <c r="U38" s="32"/>
      <c r="V38" s="32"/>
    </row>
    <row r="39" spans="1:29" s="55" customFormat="1" ht="13.5" thickBot="1">
      <c r="B39" s="55" t="s">
        <v>422</v>
      </c>
      <c r="C39" s="56" t="s">
        <v>423</v>
      </c>
      <c r="D39" s="57" t="s">
        <v>425</v>
      </c>
      <c r="E39" s="56" t="s">
        <v>300</v>
      </c>
      <c r="F39" s="56" t="s">
        <v>428</v>
      </c>
      <c r="G39" s="56" t="s">
        <v>430</v>
      </c>
      <c r="H39" s="56" t="s">
        <v>433</v>
      </c>
      <c r="I39" s="56"/>
      <c r="J39" s="56" t="s">
        <v>488</v>
      </c>
      <c r="K39" s="56" t="s">
        <v>489</v>
      </c>
      <c r="L39" s="55" t="s">
        <v>490</v>
      </c>
      <c r="M39" s="55" t="s">
        <v>491</v>
      </c>
      <c r="N39" s="55" t="s">
        <v>492</v>
      </c>
      <c r="O39" s="55" t="s">
        <v>493</v>
      </c>
      <c r="P39" s="56" t="s">
        <v>490</v>
      </c>
      <c r="Q39" s="55" t="s">
        <v>491</v>
      </c>
      <c r="R39" s="55" t="s">
        <v>492</v>
      </c>
      <c r="S39" s="55" t="s">
        <v>493</v>
      </c>
      <c r="T39" s="56" t="s">
        <v>494</v>
      </c>
      <c r="U39" s="56" t="s">
        <v>465</v>
      </c>
      <c r="V39" s="56" t="s">
        <v>467</v>
      </c>
      <c r="W39" t="s">
        <v>420</v>
      </c>
    </row>
    <row r="40" spans="1:29" s="29" customFormat="1">
      <c r="A40"/>
      <c r="C40" s="32"/>
      <c r="D40" s="34"/>
      <c r="E40" s="32"/>
      <c r="F40" s="32"/>
      <c r="G40" s="32"/>
      <c r="H40" s="32"/>
      <c r="I40" s="32"/>
      <c r="J40" s="32"/>
      <c r="K40" s="32"/>
      <c r="P40" s="32"/>
      <c r="T40" s="32"/>
      <c r="U40" s="32"/>
      <c r="V40" s="32"/>
      <c r="AA40"/>
      <c r="AB40"/>
      <c r="AC40"/>
    </row>
    <row r="41" spans="1:29">
      <c r="A41" s="27">
        <v>1</v>
      </c>
      <c r="B41" s="525" t="str">
        <f t="shared" ref="B41:B59" si="3">CONCATENATE( LEFT(CONCATENATE(D41," ",E41," ",G41," ",F41,$W$5),40)," ",FIXED(C41,0)," pto hp")</f>
        <v>JOHN DEERE 1250 Manual Shift MFWD_______ 41 pto hp</v>
      </c>
      <c r="C41" s="432">
        <v>40.700000000000003</v>
      </c>
      <c r="D41" s="434" t="s">
        <v>495</v>
      </c>
      <c r="E41" s="431" t="s">
        <v>496</v>
      </c>
      <c r="F41" s="431" t="s">
        <v>497</v>
      </c>
      <c r="G41" s="433" t="s">
        <v>498</v>
      </c>
      <c r="H41" s="434">
        <v>1437</v>
      </c>
      <c r="I41" s="431" t="s">
        <v>499</v>
      </c>
      <c r="J41" s="435">
        <v>2189.5650000000001</v>
      </c>
      <c r="K41" s="435">
        <v>2901.78</v>
      </c>
      <c r="L41" s="434">
        <v>2</v>
      </c>
      <c r="M41" s="434">
        <v>9.5</v>
      </c>
      <c r="N41" s="431" t="s">
        <v>500</v>
      </c>
      <c r="O41" s="434">
        <v>24</v>
      </c>
      <c r="P41" s="434">
        <v>2</v>
      </c>
      <c r="Q41" s="434">
        <v>14.9</v>
      </c>
      <c r="R41" s="431" t="s">
        <v>500</v>
      </c>
      <c r="S41" s="434">
        <v>28</v>
      </c>
      <c r="T41" s="436">
        <v>16.929133858267718</v>
      </c>
      <c r="U41" s="385">
        <v>78.070866141732282</v>
      </c>
      <c r="V41" s="384">
        <v>0.90547219377532395</v>
      </c>
      <c r="AA41"/>
      <c r="AB41"/>
      <c r="AC41"/>
    </row>
    <row r="42" spans="1:29">
      <c r="A42" s="27">
        <v>2</v>
      </c>
      <c r="B42" s="525" t="str">
        <f>CONCATENATE( LEFT(CONCATENATE(D42," ",E42," ",G42," ",F42,$W$5),40)," ",FIXED(C42,0)," pto hp")</f>
        <v>JOHN DEERE 750  Manual Shift 2WD _______ 19 pto hp</v>
      </c>
      <c r="C42" s="432">
        <v>18.55</v>
      </c>
      <c r="D42" s="434" t="s">
        <v>495</v>
      </c>
      <c r="E42" s="433" t="s">
        <v>501</v>
      </c>
      <c r="F42" s="433" t="s">
        <v>502</v>
      </c>
      <c r="G42" s="433" t="s">
        <v>498</v>
      </c>
      <c r="H42" s="434">
        <v>1504</v>
      </c>
      <c r="I42" s="434"/>
      <c r="J42" s="435">
        <v>729.85500000000002</v>
      </c>
      <c r="K42" s="435">
        <v>1265.67</v>
      </c>
      <c r="L42" s="434">
        <v>2</v>
      </c>
      <c r="M42" s="432">
        <v>4</v>
      </c>
      <c r="N42" s="431" t="s">
        <v>499</v>
      </c>
      <c r="O42" s="434">
        <v>15</v>
      </c>
      <c r="P42" s="434">
        <v>2</v>
      </c>
      <c r="Q42" s="434">
        <v>9.5</v>
      </c>
      <c r="R42" s="431" t="s">
        <v>500</v>
      </c>
      <c r="S42" s="434">
        <v>24</v>
      </c>
      <c r="T42" s="436">
        <v>12.992125984251969</v>
      </c>
      <c r="U42" s="385">
        <v>61.023622047244096</v>
      </c>
      <c r="V42" s="384">
        <v>0.91692560239197984</v>
      </c>
      <c r="AA42"/>
      <c r="AB42"/>
      <c r="AC42"/>
    </row>
    <row r="43" spans="1:29">
      <c r="A43" s="27">
        <v>3</v>
      </c>
      <c r="B43" s="525" t="str">
        <f>CONCATENATE( LEFT(CONCATENATE(D43," ",E43," ",G43," ",F43,$W$5),40)," ",FIXED(C43,0)," pto hp")</f>
        <v>JOHN DEERE 2040 Manual Shift MFWD_______ 40 pto hp</v>
      </c>
      <c r="C43" s="432">
        <v>40.450000000000003</v>
      </c>
      <c r="D43" s="434" t="s">
        <v>495</v>
      </c>
      <c r="E43" s="431" t="s">
        <v>503</v>
      </c>
      <c r="F43" s="431" t="s">
        <v>497</v>
      </c>
      <c r="G43" s="433" t="s">
        <v>498</v>
      </c>
      <c r="H43" s="434">
        <v>1393</v>
      </c>
      <c r="I43" s="431" t="s">
        <v>499</v>
      </c>
      <c r="J43" s="435">
        <v>2299.8150000000001</v>
      </c>
      <c r="K43" s="435">
        <v>3475.08</v>
      </c>
      <c r="L43" s="434">
        <v>2</v>
      </c>
      <c r="M43" s="434">
        <v>9.5</v>
      </c>
      <c r="N43" s="431" t="s">
        <v>500</v>
      </c>
      <c r="O43" s="434">
        <v>24</v>
      </c>
      <c r="P43" s="434">
        <v>2</v>
      </c>
      <c r="Q43" s="434">
        <v>16.899999999999999</v>
      </c>
      <c r="R43" s="431" t="s">
        <v>500</v>
      </c>
      <c r="S43" s="434">
        <v>28</v>
      </c>
      <c r="T43" s="436">
        <v>16.535433070866144</v>
      </c>
      <c r="U43" s="385">
        <v>81.102362204724415</v>
      </c>
      <c r="V43" s="384">
        <v>0.88751881855330128</v>
      </c>
      <c r="AA43"/>
      <c r="AB43"/>
      <c r="AC43"/>
    </row>
    <row r="44" spans="1:29">
      <c r="A44" s="27">
        <v>4</v>
      </c>
      <c r="B44" s="525" t="str">
        <f>CONCATENATE( LEFT(CONCATENATE(D44," ",E44," ",G44," ",F44,$W$5),40)," ",FIXED(C44,0)," pto hp")</f>
        <v>JOHN DEERE 5200-9 SP  MFWD______________ 41 pto hp</v>
      </c>
      <c r="C44" s="434">
        <v>41.11506</v>
      </c>
      <c r="D44" s="434" t="s">
        <v>495</v>
      </c>
      <c r="E44" s="434" t="s">
        <v>504</v>
      </c>
      <c r="F44" s="434" t="s">
        <v>497</v>
      </c>
      <c r="G44" s="434"/>
      <c r="H44" s="434">
        <v>5115</v>
      </c>
      <c r="I44" s="434" t="s">
        <v>499</v>
      </c>
      <c r="J44" s="522">
        <v>2065.7102</v>
      </c>
      <c r="K44" s="522">
        <v>3029.1204000000002</v>
      </c>
      <c r="L44" s="434">
        <v>2</v>
      </c>
      <c r="M44" s="434">
        <v>9.5</v>
      </c>
      <c r="N44" s="434" t="s">
        <v>500</v>
      </c>
      <c r="O44" s="434">
        <v>24</v>
      </c>
      <c r="P44" s="434">
        <v>2</v>
      </c>
      <c r="Q44" s="434">
        <v>16.899999999999999</v>
      </c>
      <c r="R44" s="434" t="s">
        <v>500</v>
      </c>
      <c r="S44" s="434">
        <v>28</v>
      </c>
      <c r="T44" s="436">
        <v>16.535433070866144</v>
      </c>
      <c r="U44" s="524">
        <v>80.708661417322844</v>
      </c>
      <c r="V44" s="387">
        <v>0.93974903205389559</v>
      </c>
      <c r="AA44"/>
      <c r="AB44"/>
      <c r="AC44"/>
    </row>
    <row r="45" spans="1:29">
      <c r="A45" s="27">
        <v>5</v>
      </c>
      <c r="B45" s="525" t="str">
        <f t="shared" si="3"/>
        <v>JOHN DEERE 5200 Manual Shift MFWD_______ 41 pto hp</v>
      </c>
      <c r="C45" s="438">
        <v>41.12</v>
      </c>
      <c r="D45" s="434" t="s">
        <v>495</v>
      </c>
      <c r="E45" s="439" t="s">
        <v>505</v>
      </c>
      <c r="F45" s="439" t="s">
        <v>497</v>
      </c>
      <c r="G45" s="433" t="s">
        <v>498</v>
      </c>
      <c r="H45" s="440" t="s">
        <v>506</v>
      </c>
      <c r="I45" s="438"/>
      <c r="J45" s="438">
        <v>2065</v>
      </c>
      <c r="K45" s="438">
        <v>3030</v>
      </c>
      <c r="L45" s="438">
        <v>2</v>
      </c>
      <c r="M45" s="438">
        <v>9.5</v>
      </c>
      <c r="N45" s="439" t="s">
        <v>500</v>
      </c>
      <c r="O45" s="438">
        <v>24</v>
      </c>
      <c r="P45" s="438">
        <v>2</v>
      </c>
      <c r="Q45" s="438">
        <v>16.899999999999999</v>
      </c>
      <c r="R45" s="439" t="s">
        <v>500</v>
      </c>
      <c r="S45" s="438">
        <v>28</v>
      </c>
      <c r="T45" s="438">
        <v>16.5</v>
      </c>
      <c r="U45" s="386">
        <v>80.7</v>
      </c>
      <c r="V45" s="386">
        <v>0.94699999999999995</v>
      </c>
      <c r="AA45"/>
      <c r="AB45"/>
      <c r="AC45"/>
    </row>
    <row r="46" spans="1:29">
      <c r="A46" s="27">
        <v>6</v>
      </c>
      <c r="B46" s="525" t="str">
        <f t="shared" si="3"/>
        <v>JOHN DEERE 2040 Manual Shift 2WD________ 41 pto hp</v>
      </c>
      <c r="C46" s="432">
        <v>41.25</v>
      </c>
      <c r="D46" s="434" t="s">
        <v>495</v>
      </c>
      <c r="E46" s="431" t="s">
        <v>503</v>
      </c>
      <c r="F46" s="431" t="s">
        <v>507</v>
      </c>
      <c r="G46" s="433" t="s">
        <v>498</v>
      </c>
      <c r="H46" s="434">
        <v>1350</v>
      </c>
      <c r="I46" s="434"/>
      <c r="J46" s="435">
        <v>1999.9349999999999</v>
      </c>
      <c r="K46" s="435">
        <v>3036.2850000000003</v>
      </c>
      <c r="L46" s="434">
        <v>2</v>
      </c>
      <c r="M46" s="432">
        <v>7.5</v>
      </c>
      <c r="N46" s="431" t="s">
        <v>499</v>
      </c>
      <c r="O46" s="434">
        <v>16</v>
      </c>
      <c r="P46" s="434">
        <v>2</v>
      </c>
      <c r="Q46" s="434">
        <v>14.9</v>
      </c>
      <c r="R46" s="431" t="s">
        <v>500</v>
      </c>
      <c r="S46" s="434">
        <v>28</v>
      </c>
      <c r="T46" s="436">
        <v>16.535433070866144</v>
      </c>
      <c r="U46" s="385">
        <v>74.409448818897644</v>
      </c>
      <c r="V46" s="384">
        <v>0.87301866235546322</v>
      </c>
      <c r="AA46"/>
      <c r="AB46"/>
      <c r="AC46"/>
    </row>
    <row r="47" spans="1:29">
      <c r="A47" s="27">
        <v>7</v>
      </c>
      <c r="B47" s="525" t="str">
        <f t="shared" si="3"/>
        <v>JOHN DEERE 2155 Manual Shift 2WD________ 46 pto hp</v>
      </c>
      <c r="C47" s="432">
        <v>45.59</v>
      </c>
      <c r="D47" s="434" t="s">
        <v>495</v>
      </c>
      <c r="E47" s="431" t="s">
        <v>508</v>
      </c>
      <c r="F47" s="431" t="s">
        <v>507</v>
      </c>
      <c r="G47" s="433" t="s">
        <v>498</v>
      </c>
      <c r="H47" s="434">
        <v>5024</v>
      </c>
      <c r="I47" s="434"/>
      <c r="J47" s="435">
        <v>1984.5</v>
      </c>
      <c r="K47" s="435">
        <v>3318.5250000000001</v>
      </c>
      <c r="L47" s="434">
        <v>2</v>
      </c>
      <c r="M47" s="432">
        <v>7.5</v>
      </c>
      <c r="N47" s="431" t="s">
        <v>499</v>
      </c>
      <c r="O47" s="434">
        <v>16</v>
      </c>
      <c r="P47" s="434">
        <v>2</v>
      </c>
      <c r="Q47" s="434">
        <v>16.899999999999999</v>
      </c>
      <c r="R47" s="431" t="s">
        <v>500</v>
      </c>
      <c r="S47" s="434">
        <v>28</v>
      </c>
      <c r="T47" s="436">
        <v>16.929133858267718</v>
      </c>
      <c r="U47" s="385">
        <v>74.370078740157481</v>
      </c>
      <c r="V47" s="384">
        <v>0.88712241653418111</v>
      </c>
      <c r="AA47"/>
      <c r="AB47"/>
      <c r="AC47"/>
    </row>
    <row r="48" spans="1:29">
      <c r="A48" s="27">
        <v>8</v>
      </c>
      <c r="B48" s="525" t="str">
        <f t="shared" si="3"/>
        <v>JOHN DEERE 2155 Partial PowerShift MFWD_ 46 pto hp</v>
      </c>
      <c r="C48" s="432">
        <v>46.13</v>
      </c>
      <c r="D48" s="434" t="s">
        <v>495</v>
      </c>
      <c r="E48" s="431" t="s">
        <v>508</v>
      </c>
      <c r="F48" s="431" t="s">
        <v>497</v>
      </c>
      <c r="G48" s="433" t="s">
        <v>509</v>
      </c>
      <c r="H48" s="434">
        <v>5048</v>
      </c>
      <c r="I48" s="431" t="s">
        <v>510</v>
      </c>
      <c r="J48" s="435">
        <v>2304.2249999999999</v>
      </c>
      <c r="K48" s="435">
        <v>3671.3250000000003</v>
      </c>
      <c r="L48" s="434">
        <v>2</v>
      </c>
      <c r="M48" s="434">
        <v>9.5</v>
      </c>
      <c r="N48" s="431" t="s">
        <v>500</v>
      </c>
      <c r="O48" s="434">
        <v>24</v>
      </c>
      <c r="P48" s="434">
        <v>2</v>
      </c>
      <c r="Q48" s="434">
        <v>16.899999999999999</v>
      </c>
      <c r="R48" s="431" t="s">
        <v>500</v>
      </c>
      <c r="S48" s="434">
        <v>28</v>
      </c>
      <c r="T48" s="436">
        <v>16.929133858267718</v>
      </c>
      <c r="U48" s="385">
        <v>80.984251968503941</v>
      </c>
      <c r="V48" s="384">
        <v>0.84538026398491517</v>
      </c>
      <c r="AA48"/>
      <c r="AB48"/>
      <c r="AC48"/>
    </row>
    <row r="49" spans="1:29">
      <c r="A49" s="27">
        <v>9</v>
      </c>
      <c r="B49" s="525" t="str">
        <f t="shared" si="3"/>
        <v>JOHN DEERE 2150 Partial PowerShift 2WD__ 46 pto hp</v>
      </c>
      <c r="C49" s="432">
        <v>46.47</v>
      </c>
      <c r="D49" s="434" t="s">
        <v>495</v>
      </c>
      <c r="E49" s="431" t="s">
        <v>511</v>
      </c>
      <c r="F49" s="431" t="s">
        <v>507</v>
      </c>
      <c r="G49" s="433" t="s">
        <v>509</v>
      </c>
      <c r="H49" s="434">
        <v>1469</v>
      </c>
      <c r="I49" s="434"/>
      <c r="J49" s="435">
        <v>2039.625</v>
      </c>
      <c r="K49" s="435">
        <v>3071.5650000000001</v>
      </c>
      <c r="L49" s="434">
        <v>2</v>
      </c>
      <c r="M49" s="432">
        <v>7.5</v>
      </c>
      <c r="N49" s="431" t="s">
        <v>499</v>
      </c>
      <c r="O49" s="434">
        <v>16</v>
      </c>
      <c r="P49" s="434">
        <v>2</v>
      </c>
      <c r="Q49" s="434">
        <v>16.899999999999999</v>
      </c>
      <c r="R49" s="431" t="s">
        <v>500</v>
      </c>
      <c r="S49" s="434">
        <v>28</v>
      </c>
      <c r="T49" s="436">
        <v>19.488188976377955</v>
      </c>
      <c r="U49" s="385">
        <v>74.409448818897644</v>
      </c>
      <c r="V49" s="384">
        <v>0.90012090012090018</v>
      </c>
      <c r="AA49"/>
      <c r="AB49"/>
      <c r="AC49"/>
    </row>
    <row r="50" spans="1:29">
      <c r="A50" s="27">
        <v>10</v>
      </c>
      <c r="B50" s="525" t="str">
        <f t="shared" si="3"/>
        <v>JOHN DEERE 5300 Manual Shift MFWD_______ 51 pto hp</v>
      </c>
      <c r="C50" s="438">
        <v>50.67</v>
      </c>
      <c r="D50" s="434" t="s">
        <v>495</v>
      </c>
      <c r="E50" s="439" t="s">
        <v>512</v>
      </c>
      <c r="F50" s="439" t="s">
        <v>497</v>
      </c>
      <c r="G50" s="433" t="s">
        <v>498</v>
      </c>
      <c r="H50" s="440" t="s">
        <v>513</v>
      </c>
      <c r="I50" s="438"/>
      <c r="J50" s="438">
        <v>2120</v>
      </c>
      <c r="K50" s="438">
        <v>3055</v>
      </c>
      <c r="L50" s="438">
        <v>2</v>
      </c>
      <c r="M50" s="438">
        <v>9.5</v>
      </c>
      <c r="N50" s="439" t="s">
        <v>500</v>
      </c>
      <c r="O50" s="438">
        <v>24</v>
      </c>
      <c r="P50" s="438">
        <v>2</v>
      </c>
      <c r="Q50" s="438">
        <v>16.899999999999999</v>
      </c>
      <c r="R50" s="439" t="s">
        <v>500</v>
      </c>
      <c r="S50" s="438">
        <v>28</v>
      </c>
      <c r="T50" s="438">
        <v>16.5</v>
      </c>
      <c r="U50" s="386">
        <v>80.7</v>
      </c>
      <c r="V50" s="386">
        <v>0.92500000000000004</v>
      </c>
      <c r="AA50"/>
      <c r="AB50"/>
      <c r="AC50"/>
    </row>
    <row r="51" spans="1:29">
      <c r="A51" s="27">
        <v>11</v>
      </c>
      <c r="B51" s="525" t="str">
        <f>CONCATENATE( LEFT(CONCATENATE(D51," ",E51," ",G51," ",F51,$W$5),40)," ",FIXED(C51,0)," pto hp")</f>
        <v>JOHN DEERE 5300-9 SP  MFWD______________ 51 pto hp</v>
      </c>
      <c r="C51" s="434">
        <v>50.676389999999998</v>
      </c>
      <c r="D51" s="434" t="s">
        <v>495</v>
      </c>
      <c r="E51" s="434" t="s">
        <v>514</v>
      </c>
      <c r="F51" s="434" t="s">
        <v>497</v>
      </c>
      <c r="G51" s="434"/>
      <c r="H51" s="434">
        <v>5116</v>
      </c>
      <c r="I51" s="434" t="s">
        <v>499</v>
      </c>
      <c r="J51" s="522">
        <v>2120.8252000000002</v>
      </c>
      <c r="K51" s="522">
        <v>3055.5756000000001</v>
      </c>
      <c r="L51" s="434">
        <v>2</v>
      </c>
      <c r="M51" s="434">
        <v>9.5</v>
      </c>
      <c r="N51" s="434" t="s">
        <v>500</v>
      </c>
      <c r="O51" s="434">
        <v>24</v>
      </c>
      <c r="P51" s="434">
        <v>2</v>
      </c>
      <c r="Q51" s="434">
        <v>16.899999999999999</v>
      </c>
      <c r="R51" s="434" t="s">
        <v>500</v>
      </c>
      <c r="S51" s="434">
        <v>28</v>
      </c>
      <c r="T51" s="436">
        <v>16.535433070866144</v>
      </c>
      <c r="U51" s="524">
        <v>80.708661417322844</v>
      </c>
      <c r="V51" s="387">
        <v>0.92670693713901398</v>
      </c>
      <c r="AA51"/>
      <c r="AB51"/>
      <c r="AC51"/>
    </row>
    <row r="52" spans="1:29">
      <c r="A52" s="27">
        <v>12</v>
      </c>
      <c r="B52" s="525" t="str">
        <f t="shared" si="3"/>
        <v>JOHN DEERE 2240 Manual Shift MFWD_______ 51 pto hp</v>
      </c>
      <c r="C52" s="432">
        <v>50.91</v>
      </c>
      <c r="D52" s="434" t="s">
        <v>495</v>
      </c>
      <c r="E52" s="431" t="s">
        <v>515</v>
      </c>
      <c r="F52" s="431" t="s">
        <v>497</v>
      </c>
      <c r="G52" s="433" t="s">
        <v>498</v>
      </c>
      <c r="H52" s="434">
        <v>1394</v>
      </c>
      <c r="I52" s="431" t="s">
        <v>499</v>
      </c>
      <c r="J52" s="435">
        <v>2299.8150000000001</v>
      </c>
      <c r="K52" s="435">
        <v>3596.355</v>
      </c>
      <c r="L52" s="434">
        <v>2</v>
      </c>
      <c r="M52" s="434">
        <v>9.5</v>
      </c>
      <c r="N52" s="431" t="s">
        <v>500</v>
      </c>
      <c r="O52" s="434">
        <v>24</v>
      </c>
      <c r="P52" s="434">
        <v>2</v>
      </c>
      <c r="Q52" s="434">
        <v>16.899999999999999</v>
      </c>
      <c r="R52" s="431" t="s">
        <v>500</v>
      </c>
      <c r="S52" s="434">
        <v>28</v>
      </c>
      <c r="T52" s="436">
        <v>16.535433070866144</v>
      </c>
      <c r="U52" s="385">
        <v>81.102362204724415</v>
      </c>
      <c r="V52" s="384">
        <v>0.89482527838692216</v>
      </c>
      <c r="AA52"/>
      <c r="AB52"/>
      <c r="AC52"/>
    </row>
    <row r="53" spans="1:29">
      <c r="A53" s="27">
        <v>13</v>
      </c>
      <c r="B53" s="525" t="str">
        <f t="shared" si="3"/>
        <v>JOHN DEERE 1450 Manual Shift 2WD________ 51 pto hp</v>
      </c>
      <c r="C53" s="432">
        <v>51.39</v>
      </c>
      <c r="D53" s="434" t="s">
        <v>495</v>
      </c>
      <c r="E53" s="431" t="s">
        <v>516</v>
      </c>
      <c r="F53" s="431" t="s">
        <v>507</v>
      </c>
      <c r="G53" s="433" t="s">
        <v>498</v>
      </c>
      <c r="H53" s="434">
        <v>1505</v>
      </c>
      <c r="I53" s="434"/>
      <c r="J53" s="435">
        <v>1869.84</v>
      </c>
      <c r="K53" s="435">
        <v>3360.42</v>
      </c>
      <c r="L53" s="434">
        <v>2</v>
      </c>
      <c r="M53" s="432">
        <v>7.5</v>
      </c>
      <c r="N53" s="431" t="s">
        <v>499</v>
      </c>
      <c r="O53" s="434">
        <v>16</v>
      </c>
      <c r="P53" s="434">
        <v>2</v>
      </c>
      <c r="Q53" s="434">
        <v>16.899999999999999</v>
      </c>
      <c r="R53" s="431" t="s">
        <v>500</v>
      </c>
      <c r="S53" s="434">
        <v>28</v>
      </c>
      <c r="T53" s="436">
        <v>18.503937007874018</v>
      </c>
      <c r="U53" s="385">
        <v>82.755905511811022</v>
      </c>
      <c r="V53" s="384">
        <v>0.92140156858319677</v>
      </c>
      <c r="AA53"/>
      <c r="AB53"/>
      <c r="AC53"/>
    </row>
    <row r="54" spans="1:29">
      <c r="A54" s="27">
        <v>14</v>
      </c>
      <c r="B54" s="525" t="str">
        <f t="shared" si="3"/>
        <v>JOHN DEERE 2355 Manual Shift 2WD________ 56 pto hp</v>
      </c>
      <c r="C54" s="432">
        <v>55.92</v>
      </c>
      <c r="D54" s="434" t="s">
        <v>495</v>
      </c>
      <c r="E54" s="431" t="s">
        <v>517</v>
      </c>
      <c r="F54" s="431" t="s">
        <v>507</v>
      </c>
      <c r="G54" s="433" t="s">
        <v>498</v>
      </c>
      <c r="H54" s="434">
        <v>5025</v>
      </c>
      <c r="I54" s="434"/>
      <c r="J54" s="435">
        <v>2193.9749999999999</v>
      </c>
      <c r="K54" s="435">
        <v>4773.8249999999998</v>
      </c>
      <c r="L54" s="434">
        <v>2</v>
      </c>
      <c r="M54" s="432">
        <v>7.5</v>
      </c>
      <c r="N54" s="431" t="s">
        <v>499</v>
      </c>
      <c r="O54" s="434">
        <v>16</v>
      </c>
      <c r="P54" s="434">
        <v>2</v>
      </c>
      <c r="Q54" s="434">
        <v>16.899999999999999</v>
      </c>
      <c r="R54" s="431" t="s">
        <v>500</v>
      </c>
      <c r="S54" s="434">
        <v>30</v>
      </c>
      <c r="T54" s="436">
        <v>19.685039370078741</v>
      </c>
      <c r="U54" s="385">
        <v>89.724409448818903</v>
      </c>
      <c r="V54" s="384">
        <v>0.90219716118996673</v>
      </c>
      <c r="AA54"/>
      <c r="AB54"/>
      <c r="AC54"/>
    </row>
    <row r="55" spans="1:29">
      <c r="A55" s="27">
        <v>15</v>
      </c>
      <c r="B55" s="525" t="str">
        <f t="shared" si="3"/>
        <v>JOHN DEERE 2350 Partial PowerShift 2WD__ 56 pto hp</v>
      </c>
      <c r="C55" s="432">
        <v>56.18</v>
      </c>
      <c r="D55" s="434" t="s">
        <v>495</v>
      </c>
      <c r="E55" s="431" t="s">
        <v>518</v>
      </c>
      <c r="F55" s="431" t="s">
        <v>507</v>
      </c>
      <c r="G55" s="433" t="s">
        <v>509</v>
      </c>
      <c r="H55" s="434">
        <v>1470</v>
      </c>
      <c r="I55" s="434"/>
      <c r="J55" s="435">
        <v>2169.7199999999998</v>
      </c>
      <c r="K55" s="435">
        <v>4641.5250000000005</v>
      </c>
      <c r="L55" s="434">
        <v>2</v>
      </c>
      <c r="M55" s="432">
        <v>7.5</v>
      </c>
      <c r="N55" s="431" t="s">
        <v>499</v>
      </c>
      <c r="O55" s="434">
        <v>16</v>
      </c>
      <c r="P55" s="434">
        <v>2</v>
      </c>
      <c r="Q55" s="434">
        <v>16.899999999999999</v>
      </c>
      <c r="R55" s="431" t="s">
        <v>500</v>
      </c>
      <c r="S55" s="434">
        <v>30</v>
      </c>
      <c r="T55" s="436">
        <v>19.094488188976378</v>
      </c>
      <c r="U55" s="385">
        <v>89.212598425196859</v>
      </c>
      <c r="V55" s="384">
        <v>0.91462195066873964</v>
      </c>
      <c r="AA55"/>
      <c r="AB55"/>
      <c r="AC55"/>
    </row>
    <row r="56" spans="1:29">
      <c r="A56" s="27">
        <v>16</v>
      </c>
      <c r="B56" s="525" t="str">
        <f t="shared" si="3"/>
        <v>JOHN DEERE 2355 Partial PowerShift MFWD_ 57 pto hp</v>
      </c>
      <c r="C56" s="432">
        <v>56.59</v>
      </c>
      <c r="D56" s="434" t="s">
        <v>495</v>
      </c>
      <c r="E56" s="431" t="s">
        <v>517</v>
      </c>
      <c r="F56" s="431" t="s">
        <v>497</v>
      </c>
      <c r="G56" s="433" t="s">
        <v>509</v>
      </c>
      <c r="H56" s="434">
        <v>5026</v>
      </c>
      <c r="I56" s="434"/>
      <c r="J56" s="435">
        <v>2668.05</v>
      </c>
      <c r="K56" s="435">
        <v>5027.3999999999996</v>
      </c>
      <c r="L56" s="434">
        <v>2</v>
      </c>
      <c r="M56" s="434">
        <v>11.2</v>
      </c>
      <c r="N56" s="431" t="s">
        <v>500</v>
      </c>
      <c r="O56" s="434">
        <v>24</v>
      </c>
      <c r="P56" s="434">
        <v>2</v>
      </c>
      <c r="Q56" s="434">
        <v>16.899999999999999</v>
      </c>
      <c r="R56" s="431" t="s">
        <v>500</v>
      </c>
      <c r="S56" s="434">
        <v>30</v>
      </c>
      <c r="T56" s="436">
        <v>19.291338582677167</v>
      </c>
      <c r="U56" s="385">
        <v>90.039370078740163</v>
      </c>
      <c r="V56" s="384">
        <v>0.92737287050083261</v>
      </c>
    </row>
    <row r="57" spans="1:29">
      <c r="A57" s="27">
        <v>17</v>
      </c>
      <c r="B57" s="525" t="str">
        <f>CONCATENATE( LEFT(CONCATENATE(D57," ",E57," ",G57," ",F57,$W$5),40)," ",FIXED(C57,0)," pto hp")</f>
        <v>JOHN DEERE 5400-9 SP  MFWD______________ 61 pto hp</v>
      </c>
      <c r="C57" s="434">
        <v>60.666840000000001</v>
      </c>
      <c r="D57" s="434" t="s">
        <v>495</v>
      </c>
      <c r="E57" s="434" t="s">
        <v>519</v>
      </c>
      <c r="F57" s="434" t="s">
        <v>497</v>
      </c>
      <c r="G57" s="434"/>
      <c r="H57" s="434">
        <v>5117</v>
      </c>
      <c r="I57" s="434" t="s">
        <v>499</v>
      </c>
      <c r="J57" s="522">
        <v>2173.7356</v>
      </c>
      <c r="K57" s="522">
        <v>3110.6906000000004</v>
      </c>
      <c r="L57" s="434">
        <v>2</v>
      </c>
      <c r="M57" s="434">
        <v>11.2</v>
      </c>
      <c r="N57" s="434" t="s">
        <v>500</v>
      </c>
      <c r="O57" s="434">
        <v>24</v>
      </c>
      <c r="P57" s="434">
        <v>2</v>
      </c>
      <c r="Q57" s="434">
        <v>16.899999999999999</v>
      </c>
      <c r="R57" s="434" t="s">
        <v>500</v>
      </c>
      <c r="S57" s="434">
        <v>30</v>
      </c>
      <c r="T57" s="436">
        <v>16.929133858267718</v>
      </c>
      <c r="U57" s="524">
        <v>80.708661417322844</v>
      </c>
      <c r="V57" s="387">
        <v>0.93750845891554058</v>
      </c>
    </row>
    <row r="58" spans="1:29">
      <c r="A58" s="27">
        <v>18</v>
      </c>
      <c r="B58" s="525" t="str">
        <f t="shared" si="3"/>
        <v>JOHN DEERE 5400 Manual Shift MFWD_______ 61 pto hp</v>
      </c>
      <c r="C58" s="438">
        <v>60.67</v>
      </c>
      <c r="D58" s="434" t="s">
        <v>495</v>
      </c>
      <c r="E58" s="439" t="s">
        <v>520</v>
      </c>
      <c r="F58" s="439" t="s">
        <v>497</v>
      </c>
      <c r="G58" s="433" t="s">
        <v>498</v>
      </c>
      <c r="H58" s="440" t="s">
        <v>521</v>
      </c>
      <c r="I58" s="438"/>
      <c r="J58" s="438">
        <v>2174</v>
      </c>
      <c r="K58" s="438">
        <v>3110</v>
      </c>
      <c r="L58" s="438">
        <v>2</v>
      </c>
      <c r="M58" s="438">
        <v>11.2</v>
      </c>
      <c r="N58" s="439" t="s">
        <v>500</v>
      </c>
      <c r="O58" s="438">
        <v>24</v>
      </c>
      <c r="P58" s="438">
        <v>2</v>
      </c>
      <c r="Q58" s="438">
        <v>16.899999999999999</v>
      </c>
      <c r="R58" s="439" t="s">
        <v>500</v>
      </c>
      <c r="S58" s="438">
        <v>30</v>
      </c>
      <c r="T58" s="438">
        <v>16.5</v>
      </c>
      <c r="U58" s="386">
        <v>80.7</v>
      </c>
      <c r="V58" s="386">
        <v>0.94699999999999995</v>
      </c>
    </row>
    <row r="59" spans="1:29">
      <c r="A59" s="27">
        <v>19</v>
      </c>
      <c r="B59" s="525" t="str">
        <f t="shared" si="3"/>
        <v>JOHN DEERE 1650 Manual Shift 2WD________ 62 pto hp</v>
      </c>
      <c r="C59" s="432">
        <v>62.22</v>
      </c>
      <c r="D59" s="434" t="s">
        <v>495</v>
      </c>
      <c r="E59" s="431" t="s">
        <v>522</v>
      </c>
      <c r="F59" s="431" t="s">
        <v>507</v>
      </c>
      <c r="G59" s="433" t="s">
        <v>498</v>
      </c>
      <c r="H59" s="434">
        <v>1506</v>
      </c>
      <c r="I59" s="434"/>
      <c r="J59" s="435">
        <v>1900.71</v>
      </c>
      <c r="K59" s="435">
        <v>3450.8250000000003</v>
      </c>
      <c r="L59" s="434">
        <v>2</v>
      </c>
      <c r="M59" s="432">
        <v>7.5</v>
      </c>
      <c r="N59" s="431" t="s">
        <v>499</v>
      </c>
      <c r="O59" s="434">
        <v>16</v>
      </c>
      <c r="P59" s="434">
        <v>2</v>
      </c>
      <c r="Q59" s="434">
        <v>18.399999999999999</v>
      </c>
      <c r="R59" s="431" t="s">
        <v>500</v>
      </c>
      <c r="S59" s="434">
        <v>30</v>
      </c>
      <c r="T59" s="436">
        <v>19.488188976377955</v>
      </c>
      <c r="U59" s="385">
        <v>82.755905511811022</v>
      </c>
      <c r="V59" s="384">
        <v>0.93918918918918914</v>
      </c>
    </row>
    <row r="60" spans="1:29">
      <c r="A60" s="27">
        <v>20</v>
      </c>
      <c r="B60" s="525" t="str">
        <f t="shared" ref="B60:B92" si="4">CONCATENATE( LEFT(CONCATENATE(D60," ",E60," ",G60," ",F60,$W$5),40)," ",FIXED(C60,0)," pto hp")</f>
        <v>JOHN DEERE 2555 Partial PowerShift MFWD_ 66 pto hp</v>
      </c>
      <c r="C60" s="432">
        <v>65.58</v>
      </c>
      <c r="D60" s="434" t="s">
        <v>495</v>
      </c>
      <c r="E60" s="431" t="s">
        <v>523</v>
      </c>
      <c r="F60" s="431" t="s">
        <v>497</v>
      </c>
      <c r="G60" s="433" t="s">
        <v>509</v>
      </c>
      <c r="H60" s="434">
        <v>5028</v>
      </c>
      <c r="I60" s="434"/>
      <c r="J60" s="435">
        <v>2712.15</v>
      </c>
      <c r="K60" s="435">
        <v>5369.1750000000002</v>
      </c>
      <c r="L60" s="434">
        <v>2</v>
      </c>
      <c r="M60" s="434">
        <v>12.4</v>
      </c>
      <c r="N60" s="431" t="s">
        <v>500</v>
      </c>
      <c r="O60" s="434">
        <v>24</v>
      </c>
      <c r="P60" s="434">
        <v>2</v>
      </c>
      <c r="Q60" s="434">
        <v>18.399999999999999</v>
      </c>
      <c r="R60" s="431" t="s">
        <v>500</v>
      </c>
      <c r="S60" s="434">
        <v>30</v>
      </c>
      <c r="T60" s="436">
        <v>15.157480314960631</v>
      </c>
      <c r="U60" s="385">
        <v>90.039370078740163</v>
      </c>
      <c r="V60" s="384">
        <v>0.93074669761786322</v>
      </c>
      <c r="AA60" s="424"/>
    </row>
    <row r="61" spans="1:29">
      <c r="A61" s="27">
        <v>21</v>
      </c>
      <c r="B61" s="525" t="str">
        <f t="shared" si="4"/>
        <v>JOHN DEERE 2550 Partial PowerShift 2WD__ 66 pto hp</v>
      </c>
      <c r="C61" s="432">
        <v>65.94</v>
      </c>
      <c r="D61" s="434" t="s">
        <v>495</v>
      </c>
      <c r="E61" s="431" t="s">
        <v>524</v>
      </c>
      <c r="F61" s="431" t="s">
        <v>507</v>
      </c>
      <c r="G61" s="433" t="s">
        <v>509</v>
      </c>
      <c r="H61" s="434">
        <v>1471</v>
      </c>
      <c r="I61" s="434"/>
      <c r="J61" s="435">
        <v>2268.9450000000002</v>
      </c>
      <c r="K61" s="435">
        <v>4641.5250000000005</v>
      </c>
      <c r="L61" s="434">
        <v>2</v>
      </c>
      <c r="M61" s="432">
        <v>10</v>
      </c>
      <c r="N61" s="431" t="s">
        <v>499</v>
      </c>
      <c r="O61" s="434">
        <v>16</v>
      </c>
      <c r="P61" s="441">
        <v>2</v>
      </c>
      <c r="Q61" s="441">
        <v>18.399999999999999</v>
      </c>
      <c r="R61" s="442" t="s">
        <v>500</v>
      </c>
      <c r="S61" s="434">
        <v>30</v>
      </c>
      <c r="T61" s="436">
        <v>19.488188976377955</v>
      </c>
      <c r="U61" s="385">
        <v>89.212598425196859</v>
      </c>
      <c r="V61" s="384">
        <v>0.92211796909783472</v>
      </c>
      <c r="AA61" s="424"/>
    </row>
    <row r="62" spans="1:29">
      <c r="A62" s="27">
        <v>22</v>
      </c>
      <c r="B62" s="525" t="str">
        <f t="shared" si="4"/>
        <v>JOHN DEERE 2555 Manual Shift 2WD________ 66 pto hp</v>
      </c>
      <c r="C62" s="432">
        <v>65.98</v>
      </c>
      <c r="D62" s="434" t="s">
        <v>495</v>
      </c>
      <c r="E62" s="431" t="s">
        <v>523</v>
      </c>
      <c r="F62" s="431" t="s">
        <v>507</v>
      </c>
      <c r="G62" s="433" t="s">
        <v>498</v>
      </c>
      <c r="H62" s="434">
        <v>5027</v>
      </c>
      <c r="I62" s="434"/>
      <c r="J62" s="435">
        <v>2260.125</v>
      </c>
      <c r="K62" s="435">
        <v>5038.4250000000002</v>
      </c>
      <c r="L62" s="434">
        <v>2</v>
      </c>
      <c r="M62" s="432">
        <v>11</v>
      </c>
      <c r="N62" s="431" t="s">
        <v>499</v>
      </c>
      <c r="O62" s="441">
        <v>15</v>
      </c>
      <c r="P62" s="441">
        <v>2</v>
      </c>
      <c r="Q62" s="441">
        <v>18.399999999999999</v>
      </c>
      <c r="R62" s="442" t="s">
        <v>500</v>
      </c>
      <c r="S62" s="441">
        <v>30</v>
      </c>
      <c r="T62" s="436">
        <v>21.653543307086615</v>
      </c>
      <c r="U62" s="385">
        <v>89.724409448818903</v>
      </c>
      <c r="V62" s="384">
        <v>0.92507141287629091</v>
      </c>
    </row>
    <row r="63" spans="1:29">
      <c r="A63" s="27">
        <v>23</v>
      </c>
      <c r="B63" s="525" t="str">
        <f>CONCATENATE( LEFT(CONCATENATE(D63," ",E63," ",G63," ",F63,$W$5),40)," ",FIXED(C63,0)," pto hp")</f>
        <v>JOHN DEERE 6200-16 SP PQ  2WD___________ 67 pto hp</v>
      </c>
      <c r="C63" s="434">
        <v>66.78179999999999</v>
      </c>
      <c r="D63" s="434" t="s">
        <v>495</v>
      </c>
      <c r="E63" s="434" t="s">
        <v>525</v>
      </c>
      <c r="F63" s="434" t="s">
        <v>507</v>
      </c>
      <c r="G63" s="434"/>
      <c r="H63" s="434">
        <v>5155</v>
      </c>
      <c r="I63" s="434">
        <v>0</v>
      </c>
      <c r="J63" s="522">
        <v>3141.5550000000003</v>
      </c>
      <c r="K63" s="522">
        <v>5875.259</v>
      </c>
      <c r="L63" s="434">
        <v>2</v>
      </c>
      <c r="M63" s="434">
        <v>10</v>
      </c>
      <c r="N63" s="434" t="s">
        <v>499</v>
      </c>
      <c r="O63" s="434">
        <v>16</v>
      </c>
      <c r="P63" s="434">
        <v>2</v>
      </c>
      <c r="Q63" s="434">
        <v>16.899999999999999</v>
      </c>
      <c r="R63" s="434" t="s">
        <v>500</v>
      </c>
      <c r="S63" s="434">
        <v>34</v>
      </c>
      <c r="T63" s="436">
        <v>30.708661417322837</v>
      </c>
      <c r="U63" s="524">
        <v>94.488188976377955</v>
      </c>
      <c r="V63" s="387">
        <v>0.86445303555354513</v>
      </c>
    </row>
    <row r="64" spans="1:29">
      <c r="A64" s="27">
        <v>24</v>
      </c>
      <c r="B64" s="525" t="str">
        <f t="shared" si="4"/>
        <v>JOHN DEERE 6200 Partial PowerShift 2WD__ 67 pto hp</v>
      </c>
      <c r="C64" s="443">
        <v>66.8</v>
      </c>
      <c r="D64" s="434" t="s">
        <v>495</v>
      </c>
      <c r="E64" s="439" t="s">
        <v>526</v>
      </c>
      <c r="F64" s="439" t="s">
        <v>507</v>
      </c>
      <c r="G64" s="433" t="s">
        <v>509</v>
      </c>
      <c r="H64" s="438">
        <v>1540</v>
      </c>
      <c r="I64" s="439" t="s">
        <v>527</v>
      </c>
      <c r="J64" s="438">
        <v>3140</v>
      </c>
      <c r="K64" s="438">
        <v>5875</v>
      </c>
      <c r="L64" s="438">
        <v>2</v>
      </c>
      <c r="M64" s="443">
        <v>10</v>
      </c>
      <c r="N64" s="439" t="s">
        <v>499</v>
      </c>
      <c r="O64" s="438">
        <v>16</v>
      </c>
      <c r="P64" s="438">
        <v>2</v>
      </c>
      <c r="Q64" s="438">
        <v>16.899999999999999</v>
      </c>
      <c r="R64" s="439" t="s">
        <v>500</v>
      </c>
      <c r="S64" s="438">
        <v>34</v>
      </c>
      <c r="T64" s="444">
        <v>30.7</v>
      </c>
      <c r="U64" s="386">
        <v>94.5</v>
      </c>
      <c r="V64" s="387">
        <v>0.86</v>
      </c>
    </row>
    <row r="65" spans="1:27">
      <c r="A65" s="27">
        <v>25</v>
      </c>
      <c r="B65" s="525" t="str">
        <f>CONCATENATE( LEFT(CONCATENATE(D65," ",E65," ",G65," ",F65,$W$5),40)," ",FIXED(C65,0)," pto hp")</f>
        <v>JOHN DEERE 6110, 16 SP  MFWD____________ 68 pto hp</v>
      </c>
      <c r="C65" s="437">
        <v>67.720500000000001</v>
      </c>
      <c r="D65" s="437" t="s">
        <v>495</v>
      </c>
      <c r="E65" s="437" t="s">
        <v>528</v>
      </c>
      <c r="F65" s="437" t="s">
        <v>497</v>
      </c>
      <c r="G65" s="437"/>
      <c r="H65" s="437">
        <v>5286</v>
      </c>
      <c r="I65" s="437" t="s">
        <v>529</v>
      </c>
      <c r="J65" s="522">
        <v>3626.567</v>
      </c>
      <c r="K65" s="522">
        <v>6018.558</v>
      </c>
      <c r="L65" s="437">
        <v>2</v>
      </c>
      <c r="M65" s="434">
        <v>14.9</v>
      </c>
      <c r="N65" s="437" t="s">
        <v>500</v>
      </c>
      <c r="O65" s="437">
        <v>24</v>
      </c>
      <c r="P65" s="437">
        <v>2</v>
      </c>
      <c r="Q65" s="447">
        <v>18.399999999999999</v>
      </c>
      <c r="R65" s="437" t="s">
        <v>481</v>
      </c>
      <c r="S65" s="437">
        <v>34</v>
      </c>
      <c r="T65" s="436">
        <v>17.716535433070867</v>
      </c>
      <c r="U65" s="524">
        <v>94.488188976377955</v>
      </c>
      <c r="V65" s="387">
        <v>0.93388624188012848</v>
      </c>
    </row>
    <row r="66" spans="1:27">
      <c r="A66" s="27">
        <v>26</v>
      </c>
      <c r="B66" s="525" t="str">
        <f>CONCATENATE( LEFT(CONCATENATE(D66," ",E66," ",G66," ",F66,$W$5),40)," ",FIXED(C66,0)," pto hp")</f>
        <v>JOHN DEERE 6200-12 SP SYN  2WD__________ 68 pto hp</v>
      </c>
      <c r="C66" s="434">
        <v>68.256900000000002</v>
      </c>
      <c r="D66" s="434" t="s">
        <v>495</v>
      </c>
      <c r="E66" s="434" t="s">
        <v>530</v>
      </c>
      <c r="F66" s="434" t="s">
        <v>507</v>
      </c>
      <c r="G66" s="434"/>
      <c r="H66" s="434">
        <v>5154</v>
      </c>
      <c r="I66" s="434">
        <v>0</v>
      </c>
      <c r="J66" s="522">
        <v>3108.4860000000003</v>
      </c>
      <c r="K66" s="522">
        <v>5754.0060000000003</v>
      </c>
      <c r="L66" s="434">
        <v>2</v>
      </c>
      <c r="M66" s="434">
        <v>10</v>
      </c>
      <c r="N66" s="434" t="s">
        <v>499</v>
      </c>
      <c r="O66" s="434">
        <v>16</v>
      </c>
      <c r="P66" s="434">
        <v>2</v>
      </c>
      <c r="Q66" s="434">
        <v>16.899999999999999</v>
      </c>
      <c r="R66" s="434" t="s">
        <v>500</v>
      </c>
      <c r="S66" s="434">
        <v>34</v>
      </c>
      <c r="T66" s="436">
        <v>32.874015748031496</v>
      </c>
      <c r="U66" s="524">
        <v>94.488188976377955</v>
      </c>
      <c r="V66" s="387">
        <v>0.84260365638512014</v>
      </c>
    </row>
    <row r="67" spans="1:27">
      <c r="A67" s="27">
        <v>27</v>
      </c>
      <c r="B67" s="525" t="str">
        <f>CONCATENATE( LEFT(CONCATENATE(D67," ",E67," ",G67," ",F67,$W$5),40)," ",FIXED(C67,0)," pto hp")</f>
        <v>JOHN DEERE 5500-9 SP  MFWD______________ 74 pto hp</v>
      </c>
      <c r="C67" s="434">
        <v>74.036609999999996</v>
      </c>
      <c r="D67" s="434" t="s">
        <v>495</v>
      </c>
      <c r="E67" s="434" t="s">
        <v>531</v>
      </c>
      <c r="F67" s="434" t="s">
        <v>497</v>
      </c>
      <c r="G67" s="434"/>
      <c r="H67" s="434">
        <v>5212</v>
      </c>
      <c r="I67" s="434" t="s">
        <v>532</v>
      </c>
      <c r="J67" s="522">
        <v>2400.8094000000001</v>
      </c>
      <c r="K67" s="522">
        <v>3544.9968000000003</v>
      </c>
      <c r="L67" s="434">
        <v>2</v>
      </c>
      <c r="M67" s="434">
        <v>12.4</v>
      </c>
      <c r="N67" s="434" t="s">
        <v>481</v>
      </c>
      <c r="O67" s="434">
        <v>24</v>
      </c>
      <c r="P67" s="434">
        <v>2</v>
      </c>
      <c r="Q67" s="447">
        <v>18.399999999999999</v>
      </c>
      <c r="R67" s="434" t="s">
        <v>481</v>
      </c>
      <c r="S67" s="434">
        <v>30</v>
      </c>
      <c r="T67" s="436">
        <v>18.503937007874018</v>
      </c>
      <c r="U67" s="524">
        <v>85.708661417322844</v>
      </c>
      <c r="V67" s="387">
        <v>0.90473866623260824</v>
      </c>
    </row>
    <row r="68" spans="1:27">
      <c r="A68" s="27">
        <v>28</v>
      </c>
      <c r="B68" s="525" t="str">
        <f t="shared" si="4"/>
        <v>JOHN DEERE 5500 Manual Shift MFWD_______ 74 pto hp</v>
      </c>
      <c r="C68" s="438">
        <v>74.040000000000006</v>
      </c>
      <c r="D68" s="434" t="s">
        <v>495</v>
      </c>
      <c r="E68" s="439" t="s">
        <v>533</v>
      </c>
      <c r="F68" s="439" t="s">
        <v>497</v>
      </c>
      <c r="G68" s="433" t="s">
        <v>498</v>
      </c>
      <c r="H68" s="438">
        <v>1717</v>
      </c>
      <c r="I68" s="438"/>
      <c r="J68" s="438">
        <v>2400</v>
      </c>
      <c r="K68" s="438">
        <v>3545</v>
      </c>
      <c r="L68" s="438">
        <v>2</v>
      </c>
      <c r="M68" s="438">
        <v>12.4</v>
      </c>
      <c r="N68" s="439" t="s">
        <v>500</v>
      </c>
      <c r="O68" s="438">
        <v>24</v>
      </c>
      <c r="P68" s="438">
        <v>2</v>
      </c>
      <c r="Q68" s="438">
        <v>18.399999999999999</v>
      </c>
      <c r="R68" s="439" t="s">
        <v>500</v>
      </c>
      <c r="S68" s="438">
        <v>30</v>
      </c>
      <c r="T68" s="438">
        <v>19.5</v>
      </c>
      <c r="U68" s="386">
        <v>85.7</v>
      </c>
      <c r="V68" s="386">
        <v>0.92600000000000005</v>
      </c>
    </row>
    <row r="69" spans="1:27">
      <c r="A69" s="27">
        <v>29</v>
      </c>
      <c r="B69" s="525" t="str">
        <f>CONCATENATE( LEFT(CONCATENATE(D69," ",E69," ",G69," ",F69,$W$5),40)," ",FIXED(C69,0)," pto hp")</f>
        <v>JOHN DEERE 6210, 16 SP-PPS  MFWD________ 75 pto hp</v>
      </c>
      <c r="C69" s="437">
        <v>74.693700000000007</v>
      </c>
      <c r="D69" s="437" t="s">
        <v>495</v>
      </c>
      <c r="E69" s="437" t="s">
        <v>534</v>
      </c>
      <c r="F69" s="437" t="s">
        <v>497</v>
      </c>
      <c r="G69" s="437"/>
      <c r="H69" s="437">
        <v>5287</v>
      </c>
      <c r="I69" s="437" t="s">
        <v>529</v>
      </c>
      <c r="J69" s="522">
        <v>3648.6130000000003</v>
      </c>
      <c r="K69" s="522">
        <v>6128.7880000000005</v>
      </c>
      <c r="L69" s="437">
        <v>2</v>
      </c>
      <c r="M69" s="437">
        <v>13.6</v>
      </c>
      <c r="N69" s="437" t="s">
        <v>500</v>
      </c>
      <c r="O69" s="437">
        <v>24</v>
      </c>
      <c r="P69" s="437">
        <v>2</v>
      </c>
      <c r="Q69" s="447">
        <v>18.399999999999999</v>
      </c>
      <c r="R69" s="437" t="s">
        <v>481</v>
      </c>
      <c r="S69" s="437">
        <v>34</v>
      </c>
      <c r="T69" s="436">
        <v>16.929133858267718</v>
      </c>
      <c r="U69" s="524">
        <v>94.488188976377955</v>
      </c>
      <c r="V69" s="387">
        <v>0.89446380097398837</v>
      </c>
      <c r="AA69" s="424"/>
    </row>
    <row r="70" spans="1:27">
      <c r="A70" s="27">
        <v>30</v>
      </c>
      <c r="B70" s="525" t="str">
        <f t="shared" si="4"/>
        <v>JOHN DEERE 2750 Partial PowerShift 2WD__ 75 pto hp</v>
      </c>
      <c r="C70" s="432">
        <v>75.349999999999994</v>
      </c>
      <c r="D70" s="434" t="s">
        <v>495</v>
      </c>
      <c r="E70" s="431" t="s">
        <v>535</v>
      </c>
      <c r="F70" s="431" t="s">
        <v>507</v>
      </c>
      <c r="G70" s="433" t="s">
        <v>509</v>
      </c>
      <c r="H70" s="434">
        <v>1472</v>
      </c>
      <c r="I70" s="434"/>
      <c r="J70" s="435">
        <v>2390.2199999999998</v>
      </c>
      <c r="K70" s="435">
        <v>5111.1899999999996</v>
      </c>
      <c r="L70" s="434">
        <v>2</v>
      </c>
      <c r="M70" s="432">
        <v>10</v>
      </c>
      <c r="N70" s="431" t="s">
        <v>499</v>
      </c>
      <c r="O70" s="434">
        <v>16</v>
      </c>
      <c r="P70" s="434">
        <v>2</v>
      </c>
      <c r="Q70" s="434">
        <v>18.399999999999999</v>
      </c>
      <c r="R70" s="431" t="s">
        <v>500</v>
      </c>
      <c r="S70" s="434">
        <v>30</v>
      </c>
      <c r="T70" s="436">
        <v>19.488188976377955</v>
      </c>
      <c r="U70" s="385">
        <v>89.212598425196859</v>
      </c>
      <c r="V70" s="384">
        <v>0.91792807222599004</v>
      </c>
      <c r="AA70" s="424"/>
    </row>
    <row r="71" spans="1:27">
      <c r="A71" s="27">
        <v>31</v>
      </c>
      <c r="B71" s="525" t="str">
        <f t="shared" si="4"/>
        <v>JOHN DEERE 6300 Partial PowerShift MFWD_ 76 pto hp</v>
      </c>
      <c r="C71" s="443">
        <v>76</v>
      </c>
      <c r="D71" s="434" t="s">
        <v>495</v>
      </c>
      <c r="E71" s="439" t="s">
        <v>536</v>
      </c>
      <c r="F71" s="439" t="s">
        <v>497</v>
      </c>
      <c r="G71" s="433" t="s">
        <v>509</v>
      </c>
      <c r="H71" s="438">
        <v>1524</v>
      </c>
      <c r="I71" s="439" t="s">
        <v>527</v>
      </c>
      <c r="J71" s="438">
        <v>3485</v>
      </c>
      <c r="K71" s="438">
        <v>6160</v>
      </c>
      <c r="L71" s="438">
        <v>2</v>
      </c>
      <c r="M71" s="438">
        <v>14.9</v>
      </c>
      <c r="N71" s="439" t="s">
        <v>500</v>
      </c>
      <c r="O71" s="438">
        <v>24</v>
      </c>
      <c r="P71" s="438">
        <v>2</v>
      </c>
      <c r="Q71" s="438">
        <v>16.899999999999999</v>
      </c>
      <c r="R71" s="439" t="s">
        <v>500</v>
      </c>
      <c r="S71" s="438">
        <v>38</v>
      </c>
      <c r="T71" s="444">
        <v>18.100000000000001</v>
      </c>
      <c r="U71" s="386">
        <v>94.5</v>
      </c>
      <c r="V71" s="387">
        <v>0.88400000000000001</v>
      </c>
    </row>
    <row r="72" spans="1:27">
      <c r="A72" s="27">
        <v>32</v>
      </c>
      <c r="B72" s="525" t="str">
        <f>CONCATENATE( LEFT(CONCATENATE(D72," ",E72," ",G72," ",F72,$W$5),40)," ",FIXED(C72,0)," pto hp")</f>
        <v>JOHN DEERE 6300-16 SP PQ  MFWD__________ 76 pto hp</v>
      </c>
      <c r="C72" s="434">
        <v>76.034700000000001</v>
      </c>
      <c r="D72" s="434" t="s">
        <v>495</v>
      </c>
      <c r="E72" s="434" t="s">
        <v>537</v>
      </c>
      <c r="F72" s="434" t="s">
        <v>497</v>
      </c>
      <c r="G72" s="434"/>
      <c r="H72" s="434">
        <v>5157</v>
      </c>
      <c r="I72" s="434">
        <v>0</v>
      </c>
      <c r="J72" s="522">
        <v>3483.268</v>
      </c>
      <c r="K72" s="522">
        <v>6161.857</v>
      </c>
      <c r="L72" s="434">
        <v>2</v>
      </c>
      <c r="M72" s="434">
        <v>14.9</v>
      </c>
      <c r="N72" s="434" t="s">
        <v>500</v>
      </c>
      <c r="O72" s="434">
        <v>24</v>
      </c>
      <c r="P72" s="434">
        <v>2</v>
      </c>
      <c r="Q72" s="434">
        <v>16.899999999999999</v>
      </c>
      <c r="R72" s="434" t="s">
        <v>500</v>
      </c>
      <c r="S72" s="27">
        <v>38</v>
      </c>
      <c r="T72" s="436">
        <v>18.110236220472441</v>
      </c>
      <c r="U72" s="524">
        <v>94.488188976377955</v>
      </c>
      <c r="V72" s="387">
        <v>0.87442294750273863</v>
      </c>
    </row>
    <row r="73" spans="1:27">
      <c r="A73" s="27">
        <v>33</v>
      </c>
      <c r="B73" s="525" t="str">
        <f t="shared" si="4"/>
        <v>JOHN DEERE 2755 Partial PowerShift 2WD__ 77 pto hp</v>
      </c>
      <c r="C73" s="432">
        <v>76.569999999999993</v>
      </c>
      <c r="D73" s="434" t="s">
        <v>495</v>
      </c>
      <c r="E73" s="431" t="s">
        <v>538</v>
      </c>
      <c r="F73" s="431" t="s">
        <v>507</v>
      </c>
      <c r="G73" s="433" t="s">
        <v>509</v>
      </c>
      <c r="H73" s="434">
        <v>1605</v>
      </c>
      <c r="I73" s="434"/>
      <c r="J73" s="435">
        <v>2690.1</v>
      </c>
      <c r="K73" s="435">
        <v>5856.48</v>
      </c>
      <c r="L73" s="434">
        <v>2</v>
      </c>
      <c r="M73" s="432">
        <v>11</v>
      </c>
      <c r="N73" s="431" t="s">
        <v>499</v>
      </c>
      <c r="O73" s="434">
        <v>15</v>
      </c>
      <c r="P73" s="434">
        <v>2</v>
      </c>
      <c r="Q73" s="434">
        <v>18.399999999999999</v>
      </c>
      <c r="R73" s="431" t="s">
        <v>500</v>
      </c>
      <c r="S73" s="434">
        <v>30</v>
      </c>
      <c r="T73" s="436">
        <v>20.472440944881892</v>
      </c>
      <c r="U73" s="385">
        <v>89.212598425196859</v>
      </c>
      <c r="V73" s="384">
        <v>0.93245609883087988</v>
      </c>
    </row>
    <row r="74" spans="1:27">
      <c r="A74" s="27">
        <v>34</v>
      </c>
      <c r="B74" s="525" t="str">
        <f>CONCATENATE( LEFT(CONCATENATE(D74," ",E74," ",G74," ",F74,$W$5),40)," ",FIXED(C74,0)," pto hp")</f>
        <v>JOHN DEERE 6300-12 SP SYN  MFWD_________ 78 pto hp</v>
      </c>
      <c r="C74" s="434">
        <v>77.643900000000002</v>
      </c>
      <c r="D74" s="434" t="s">
        <v>495</v>
      </c>
      <c r="E74" s="434" t="s">
        <v>539</v>
      </c>
      <c r="F74" s="434" t="s">
        <v>497</v>
      </c>
      <c r="G74" s="434"/>
      <c r="H74" s="434">
        <v>5156</v>
      </c>
      <c r="I74" s="434">
        <v>0</v>
      </c>
      <c r="J74" s="522">
        <v>3428.1530000000002</v>
      </c>
      <c r="K74" s="522">
        <v>6029.5810000000001</v>
      </c>
      <c r="L74" s="434">
        <v>2</v>
      </c>
      <c r="M74" s="434">
        <v>14.9</v>
      </c>
      <c r="N74" s="434" t="s">
        <v>500</v>
      </c>
      <c r="O74" s="434">
        <v>24</v>
      </c>
      <c r="P74" s="434">
        <v>2</v>
      </c>
      <c r="Q74" s="434">
        <v>16.899999999999999</v>
      </c>
      <c r="R74" s="434" t="s">
        <v>500</v>
      </c>
      <c r="S74" s="27">
        <v>38</v>
      </c>
      <c r="T74" s="436">
        <v>18.110236220472441</v>
      </c>
      <c r="U74" s="524">
        <v>94.488188976377955</v>
      </c>
      <c r="V74" s="387">
        <v>0.87022377247365945</v>
      </c>
    </row>
    <row r="75" spans="1:27">
      <c r="A75" s="27">
        <v>35</v>
      </c>
      <c r="B75" s="525" t="str">
        <f t="shared" si="4"/>
        <v>JOHN DEERE 2940 Partial PowerShift MFWD_ 81 pto hp</v>
      </c>
      <c r="C75" s="432">
        <v>81.17</v>
      </c>
      <c r="D75" s="434" t="s">
        <v>495</v>
      </c>
      <c r="E75" s="431" t="s">
        <v>540</v>
      </c>
      <c r="F75" s="431" t="s">
        <v>497</v>
      </c>
      <c r="G75" s="433" t="s">
        <v>509</v>
      </c>
      <c r="H75" s="434">
        <v>1351</v>
      </c>
      <c r="I75" s="431" t="s">
        <v>499</v>
      </c>
      <c r="J75" s="435">
        <v>2950.29</v>
      </c>
      <c r="K75" s="435">
        <v>6487.11</v>
      </c>
      <c r="L75" s="434">
        <v>2</v>
      </c>
      <c r="M75" s="434">
        <v>13.6</v>
      </c>
      <c r="N75" s="431" t="s">
        <v>500</v>
      </c>
      <c r="O75" s="434">
        <v>24</v>
      </c>
      <c r="P75" s="434">
        <v>2</v>
      </c>
      <c r="Q75" s="434">
        <v>18.399999999999999</v>
      </c>
      <c r="R75" s="431" t="s">
        <v>500</v>
      </c>
      <c r="S75" s="434">
        <v>34</v>
      </c>
      <c r="T75" s="436">
        <v>19.488188976377955</v>
      </c>
      <c r="U75" s="385">
        <v>101.57480314960631</v>
      </c>
      <c r="V75" s="384">
        <v>0.92176762918543831</v>
      </c>
    </row>
    <row r="76" spans="1:27">
      <c r="A76" s="27">
        <v>36</v>
      </c>
      <c r="B76" s="525" t="str">
        <f>CONCATENATE( LEFT(CONCATENATE(D76," ",E76," ",G76," ",F76,$W$5),40)," ",FIXED(C76,0)," pto hp")</f>
        <v>JOHN DEERE 6310, 16 SP-PPS  MFWD________ 81 pto hp</v>
      </c>
      <c r="C76" s="437">
        <v>81.398700000000005</v>
      </c>
      <c r="D76" s="437" t="s">
        <v>495</v>
      </c>
      <c r="E76" s="437" t="s">
        <v>541</v>
      </c>
      <c r="F76" s="437" t="s">
        <v>497</v>
      </c>
      <c r="G76" s="437"/>
      <c r="H76" s="437">
        <v>5289</v>
      </c>
      <c r="I76" s="437" t="s">
        <v>529</v>
      </c>
      <c r="J76" s="522">
        <v>3736.797</v>
      </c>
      <c r="K76" s="522">
        <v>6161.857</v>
      </c>
      <c r="L76" s="437">
        <v>2</v>
      </c>
      <c r="M76" s="437">
        <v>13.6</v>
      </c>
      <c r="N76" s="437" t="s">
        <v>500</v>
      </c>
      <c r="O76" s="437">
        <v>28</v>
      </c>
      <c r="P76" s="437">
        <v>2</v>
      </c>
      <c r="Q76" s="447">
        <v>18.399999999999999</v>
      </c>
      <c r="R76" s="437" t="s">
        <v>500</v>
      </c>
      <c r="S76" s="27">
        <v>38</v>
      </c>
      <c r="T76" s="436">
        <v>20.669291338582678</v>
      </c>
      <c r="U76" s="524">
        <v>94.488188976377955</v>
      </c>
      <c r="V76" s="387">
        <v>0.87390996582420999</v>
      </c>
    </row>
    <row r="77" spans="1:27">
      <c r="A77" s="27">
        <v>37</v>
      </c>
      <c r="B77" s="525" t="str">
        <f>CONCATENATE( LEFT(CONCATENATE(D77," ",E77," ",G77," ",F77,$W$5),40)," ",FIXED(C77,0)," pto hp")</f>
        <v>JOHN DEERE 6310, 12 SP, Syncr  MFWD_____ 82 pto hp</v>
      </c>
      <c r="C77" s="437">
        <v>81.532799999999995</v>
      </c>
      <c r="D77" s="437" t="s">
        <v>495</v>
      </c>
      <c r="E77" s="437" t="s">
        <v>542</v>
      </c>
      <c r="F77" s="437" t="s">
        <v>497</v>
      </c>
      <c r="G77" s="437"/>
      <c r="H77" s="437">
        <v>5288</v>
      </c>
      <c r="I77" s="437" t="s">
        <v>529</v>
      </c>
      <c r="J77" s="522">
        <v>3637.59</v>
      </c>
      <c r="K77" s="522">
        <v>6128.7880000000005</v>
      </c>
      <c r="L77" s="437">
        <v>2</v>
      </c>
      <c r="M77" s="437">
        <v>13.6</v>
      </c>
      <c r="N77" s="437" t="s">
        <v>500</v>
      </c>
      <c r="O77" s="437">
        <v>24</v>
      </c>
      <c r="P77" s="437">
        <v>2</v>
      </c>
      <c r="Q77" s="447">
        <v>18.399999999999999</v>
      </c>
      <c r="R77" s="437" t="s">
        <v>500</v>
      </c>
      <c r="S77" s="27">
        <v>38</v>
      </c>
      <c r="T77" s="436">
        <v>20.472440944881892</v>
      </c>
      <c r="U77" s="524">
        <v>94.488188976377955</v>
      </c>
      <c r="V77" s="387">
        <v>0.87645045257196441</v>
      </c>
    </row>
    <row r="78" spans="1:27">
      <c r="A78" s="27">
        <v>38</v>
      </c>
      <c r="B78" s="525" t="str">
        <f>CONCATENATE( LEFT(CONCATENATE(D78," ",E78," ",G78," ",F78,$W$5),40)," ",FIXED(C78,0)," pto hp")</f>
        <v>JOHN DEERE 6400-16 SP PQ  MFWD__________ 85 pto hp</v>
      </c>
      <c r="C78" s="434">
        <v>85.153499999999994</v>
      </c>
      <c r="D78" s="434" t="s">
        <v>495</v>
      </c>
      <c r="E78" s="434" t="s">
        <v>543</v>
      </c>
      <c r="F78" s="434" t="s">
        <v>497</v>
      </c>
      <c r="G78" s="434"/>
      <c r="H78" s="434">
        <v>5159</v>
      </c>
      <c r="I78" s="434">
        <v>0</v>
      </c>
      <c r="J78" s="522">
        <v>3880.096</v>
      </c>
      <c r="K78" s="522">
        <v>6404.3630000000003</v>
      </c>
      <c r="L78" s="434">
        <v>2</v>
      </c>
      <c r="M78" s="434">
        <v>16.899999999999999</v>
      </c>
      <c r="N78" s="434" t="s">
        <v>481</v>
      </c>
      <c r="O78" s="434">
        <v>24</v>
      </c>
      <c r="P78" s="434">
        <v>2</v>
      </c>
      <c r="Q78" s="447">
        <v>18.399999999999999</v>
      </c>
      <c r="R78" s="434" t="s">
        <v>481</v>
      </c>
      <c r="S78" s="27">
        <v>38</v>
      </c>
      <c r="T78" s="436">
        <v>17.322834645669293</v>
      </c>
      <c r="U78" s="524">
        <v>94.488188976377955</v>
      </c>
      <c r="V78" s="387">
        <v>0.92932334120306426</v>
      </c>
    </row>
    <row r="79" spans="1:27">
      <c r="A79" s="27">
        <v>39</v>
      </c>
      <c r="B79" s="525" t="str">
        <f t="shared" si="4"/>
        <v>JOHN DEERE 6400 Partial PowerShift MFWD_ 85 pto hp</v>
      </c>
      <c r="C79" s="443">
        <v>85.2</v>
      </c>
      <c r="D79" s="434" t="s">
        <v>495</v>
      </c>
      <c r="E79" s="439" t="s">
        <v>544</v>
      </c>
      <c r="F79" s="439" t="s">
        <v>497</v>
      </c>
      <c r="G79" s="433" t="s">
        <v>509</v>
      </c>
      <c r="H79" s="438">
        <v>1520</v>
      </c>
      <c r="I79" s="439" t="s">
        <v>527</v>
      </c>
      <c r="J79" s="438">
        <v>3880</v>
      </c>
      <c r="K79" s="438">
        <v>6405</v>
      </c>
      <c r="L79" s="438">
        <v>2</v>
      </c>
      <c r="M79" s="438">
        <v>16.899999999999999</v>
      </c>
      <c r="N79" s="439" t="s">
        <v>481</v>
      </c>
      <c r="O79" s="438">
        <v>24</v>
      </c>
      <c r="P79" s="438">
        <v>2</v>
      </c>
      <c r="Q79" s="438">
        <v>18.399999999999999</v>
      </c>
      <c r="R79" s="439" t="s">
        <v>481</v>
      </c>
      <c r="S79" s="438">
        <v>38</v>
      </c>
      <c r="T79" s="444">
        <v>17.5</v>
      </c>
      <c r="U79" s="386">
        <v>94.5</v>
      </c>
      <c r="V79" s="387">
        <v>0.94399999999999995</v>
      </c>
    </row>
    <row r="80" spans="1:27">
      <c r="A80" s="27">
        <v>40</v>
      </c>
      <c r="B80" s="525" t="str">
        <f t="shared" si="4"/>
        <v>JOHN DEERE 2950 Partial PowerShift 2WD__ 85 pto hp</v>
      </c>
      <c r="C80" s="432">
        <v>85.37</v>
      </c>
      <c r="D80" s="434" t="s">
        <v>495</v>
      </c>
      <c r="E80" s="431" t="s">
        <v>545</v>
      </c>
      <c r="F80" s="431" t="s">
        <v>507</v>
      </c>
      <c r="G80" s="433" t="s">
        <v>509</v>
      </c>
      <c r="H80" s="434">
        <v>1473</v>
      </c>
      <c r="I80" s="434"/>
      <c r="J80" s="435">
        <v>3020.85</v>
      </c>
      <c r="K80" s="435">
        <v>7080.2550000000001</v>
      </c>
      <c r="L80" s="434">
        <v>2</v>
      </c>
      <c r="M80" s="432">
        <v>10</v>
      </c>
      <c r="N80" s="431" t="s">
        <v>499</v>
      </c>
      <c r="O80" s="434">
        <v>16</v>
      </c>
      <c r="P80" s="434">
        <v>2</v>
      </c>
      <c r="Q80" s="434">
        <v>18.399999999999999</v>
      </c>
      <c r="R80" s="431" t="s">
        <v>500</v>
      </c>
      <c r="S80" s="434">
        <v>38</v>
      </c>
      <c r="T80" s="436">
        <v>23.425196850393704</v>
      </c>
      <c r="U80" s="385">
        <v>100.43307086614173</v>
      </c>
      <c r="V80" s="384">
        <v>0.92824209695086213</v>
      </c>
    </row>
    <row r="81" spans="1:22">
      <c r="A81" s="27">
        <v>41</v>
      </c>
      <c r="B81" s="525" t="str">
        <f t="shared" si="4"/>
        <v>JOHN DEERE 2955 Partial PowerShift MFWD_ 86 pto hp</v>
      </c>
      <c r="C81" s="432">
        <v>86.21</v>
      </c>
      <c r="D81" s="434" t="s">
        <v>495</v>
      </c>
      <c r="E81" s="431" t="s">
        <v>546</v>
      </c>
      <c r="F81" s="431" t="s">
        <v>497</v>
      </c>
      <c r="G81" s="433" t="s">
        <v>509</v>
      </c>
      <c r="H81" s="434">
        <v>1606</v>
      </c>
      <c r="I81" s="434"/>
      <c r="J81" s="435">
        <v>3735.27</v>
      </c>
      <c r="K81" s="435">
        <v>7287.5250000000005</v>
      </c>
      <c r="L81" s="434">
        <v>2</v>
      </c>
      <c r="M81" s="434">
        <v>13.6</v>
      </c>
      <c r="N81" s="431" t="s">
        <v>500</v>
      </c>
      <c r="O81" s="434">
        <v>28</v>
      </c>
      <c r="P81" s="434">
        <v>2</v>
      </c>
      <c r="Q81" s="434">
        <v>18.399999999999999</v>
      </c>
      <c r="R81" s="431" t="s">
        <v>500</v>
      </c>
      <c r="S81" s="434">
        <v>38</v>
      </c>
      <c r="T81" s="436">
        <v>22.440944881889767</v>
      </c>
      <c r="U81" s="385">
        <v>101.65354330708662</v>
      </c>
      <c r="V81" s="384">
        <v>0.93041244697800907</v>
      </c>
    </row>
    <row r="82" spans="1:22">
      <c r="A82" s="27">
        <v>42</v>
      </c>
      <c r="B82" s="525" t="str">
        <f>CONCATENATE( LEFT(CONCATENATE(D82," ",E82," ",G82," ",F82,$W$5),40)," ",FIXED(C82,0)," pto hp")</f>
        <v>JOHN DEERE 6400-12 SP SYN  MFWD_________ 87 pto hp</v>
      </c>
      <c r="C82" s="434">
        <v>86.762699999999995</v>
      </c>
      <c r="D82" s="434" t="s">
        <v>495</v>
      </c>
      <c r="E82" s="434" t="s">
        <v>547</v>
      </c>
      <c r="F82" s="434" t="s">
        <v>497</v>
      </c>
      <c r="G82" s="434"/>
      <c r="H82" s="434">
        <v>5158</v>
      </c>
      <c r="I82" s="434">
        <v>0</v>
      </c>
      <c r="J82" s="522">
        <v>3836.0040000000004</v>
      </c>
      <c r="K82" s="522">
        <v>6316.1790000000001</v>
      </c>
      <c r="L82" s="434">
        <v>2</v>
      </c>
      <c r="M82" s="434">
        <v>14.9</v>
      </c>
      <c r="N82" s="434" t="s">
        <v>481</v>
      </c>
      <c r="O82" s="434">
        <v>24</v>
      </c>
      <c r="P82" s="434">
        <v>2</v>
      </c>
      <c r="Q82" s="447">
        <v>18.399999999999999</v>
      </c>
      <c r="R82" s="434" t="s">
        <v>481</v>
      </c>
      <c r="S82" s="27">
        <v>38</v>
      </c>
      <c r="T82" s="436">
        <v>17.322834645669293</v>
      </c>
      <c r="U82" s="524">
        <v>94.488188976377955</v>
      </c>
      <c r="V82" s="387">
        <v>0.88592061870901728</v>
      </c>
    </row>
    <row r="83" spans="1:22">
      <c r="A83" s="27">
        <v>43</v>
      </c>
      <c r="B83" s="525" t="str">
        <f t="shared" si="4"/>
        <v>JOHN DEERE 6400 Synchronized Shift MFWD_ 87 pto hp</v>
      </c>
      <c r="C83" s="443">
        <v>86.8</v>
      </c>
      <c r="D83" s="434" t="s">
        <v>495</v>
      </c>
      <c r="E83" s="439" t="s">
        <v>544</v>
      </c>
      <c r="F83" s="439" t="s">
        <v>497</v>
      </c>
      <c r="G83" s="439" t="s">
        <v>548</v>
      </c>
      <c r="H83" s="438">
        <v>1520</v>
      </c>
      <c r="I83" s="439" t="s">
        <v>549</v>
      </c>
      <c r="J83" s="438">
        <v>3835</v>
      </c>
      <c r="K83" s="438">
        <v>6315</v>
      </c>
      <c r="L83" s="438">
        <v>2</v>
      </c>
      <c r="M83" s="438">
        <v>16.899999999999999</v>
      </c>
      <c r="N83" s="439" t="s">
        <v>481</v>
      </c>
      <c r="O83" s="438">
        <v>24</v>
      </c>
      <c r="P83" s="438">
        <v>2</v>
      </c>
      <c r="Q83" s="438">
        <v>18.399999999999999</v>
      </c>
      <c r="R83" s="439" t="s">
        <v>481</v>
      </c>
      <c r="S83" s="438">
        <v>38</v>
      </c>
      <c r="T83" s="444">
        <v>17.3</v>
      </c>
      <c r="U83" s="386">
        <v>94.5</v>
      </c>
      <c r="V83" s="387">
        <v>0.91100000000000003</v>
      </c>
    </row>
    <row r="84" spans="1:22">
      <c r="A84" s="27">
        <v>44</v>
      </c>
      <c r="B84" s="525" t="str">
        <f t="shared" si="4"/>
        <v>JOHN DEERE 4040 Manual Shift 2WD________ 90 pto hp</v>
      </c>
      <c r="C84" s="432">
        <v>90.3</v>
      </c>
      <c r="D84" s="434" t="s">
        <v>495</v>
      </c>
      <c r="E84" s="431" t="s">
        <v>550</v>
      </c>
      <c r="F84" s="431" t="s">
        <v>507</v>
      </c>
      <c r="G84" s="433" t="s">
        <v>498</v>
      </c>
      <c r="H84" s="434">
        <v>1359</v>
      </c>
      <c r="I84" s="434"/>
      <c r="J84" s="435">
        <v>3100.23</v>
      </c>
      <c r="K84" s="435">
        <v>7391.16</v>
      </c>
      <c r="L84" s="434">
        <v>2</v>
      </c>
      <c r="M84" s="432">
        <v>10</v>
      </c>
      <c r="N84" s="431" t="s">
        <v>499</v>
      </c>
      <c r="O84" s="434">
        <v>16</v>
      </c>
      <c r="P84" s="434">
        <v>2</v>
      </c>
      <c r="Q84" s="434">
        <v>18.399999999999999</v>
      </c>
      <c r="R84" s="431" t="s">
        <v>500</v>
      </c>
      <c r="S84" s="434">
        <v>34</v>
      </c>
      <c r="T84" s="436">
        <v>18.503937007874018</v>
      </c>
      <c r="U84" s="385">
        <v>103.97637795275591</v>
      </c>
      <c r="V84" s="384">
        <v>0.92230632771173315</v>
      </c>
    </row>
    <row r="85" spans="1:22">
      <c r="A85" s="27">
        <v>45</v>
      </c>
      <c r="B85" s="525" t="str">
        <f>CONCATENATE( LEFT(CONCATENATE(D85," ",E85," ",G85," ",F85,$W$5),40)," ",FIXED(C85,0)," pto hp")</f>
        <v>JOHN DEERE 6410, 16 SP-PPS  MFWD________ 90 pto hp</v>
      </c>
      <c r="C85" s="437">
        <v>90.383400000000009</v>
      </c>
      <c r="D85" s="437" t="s">
        <v>495</v>
      </c>
      <c r="E85" s="437" t="s">
        <v>551</v>
      </c>
      <c r="F85" s="437" t="s">
        <v>497</v>
      </c>
      <c r="G85" s="437"/>
      <c r="H85" s="437">
        <v>5290</v>
      </c>
      <c r="I85" s="437" t="s">
        <v>529</v>
      </c>
      <c r="J85" s="522">
        <v>3681.6820000000002</v>
      </c>
      <c r="K85" s="522">
        <v>6161.857</v>
      </c>
      <c r="L85" s="437">
        <v>2</v>
      </c>
      <c r="M85" s="434">
        <v>14.9</v>
      </c>
      <c r="N85" s="437" t="s">
        <v>500</v>
      </c>
      <c r="O85" s="437">
        <v>24</v>
      </c>
      <c r="P85" s="437">
        <v>2</v>
      </c>
      <c r="Q85" s="447">
        <v>18.399999999999999</v>
      </c>
      <c r="R85" s="437" t="s">
        <v>500</v>
      </c>
      <c r="S85" s="27">
        <v>38</v>
      </c>
      <c r="T85" s="436">
        <v>20.866141732283467</v>
      </c>
      <c r="U85" s="524">
        <v>94.488188976377955</v>
      </c>
      <c r="V85" s="387">
        <v>0.89468713131907907</v>
      </c>
    </row>
    <row r="86" spans="1:22">
      <c r="A86" s="27">
        <v>46</v>
      </c>
      <c r="B86" s="525" t="str">
        <f t="shared" si="4"/>
        <v>JOHN DEERE 4040 PowerShift 2WD__________ 91 pto hp</v>
      </c>
      <c r="C86" s="432">
        <v>90.79</v>
      </c>
      <c r="D86" s="434" t="s">
        <v>495</v>
      </c>
      <c r="E86" s="431" t="s">
        <v>550</v>
      </c>
      <c r="F86" s="431" t="s">
        <v>507</v>
      </c>
      <c r="G86" s="431" t="s">
        <v>552</v>
      </c>
      <c r="H86" s="434">
        <v>1360</v>
      </c>
      <c r="I86" s="434"/>
      <c r="J86" s="435">
        <v>3060.54</v>
      </c>
      <c r="K86" s="435">
        <v>7430.85</v>
      </c>
      <c r="L86" s="434">
        <v>2</v>
      </c>
      <c r="M86" s="432">
        <v>10</v>
      </c>
      <c r="N86" s="431" t="s">
        <v>499</v>
      </c>
      <c r="O86" s="434">
        <v>16</v>
      </c>
      <c r="P86" s="434">
        <v>2</v>
      </c>
      <c r="Q86" s="434">
        <v>18.399999999999999</v>
      </c>
      <c r="R86" s="431" t="s">
        <v>500</v>
      </c>
      <c r="S86" s="434">
        <v>34</v>
      </c>
      <c r="T86" s="436">
        <v>18.503937007874018</v>
      </c>
      <c r="U86" s="385">
        <v>104.01574803149607</v>
      </c>
      <c r="V86" s="384">
        <v>0.93528683779791599</v>
      </c>
    </row>
    <row r="87" spans="1:22">
      <c r="A87" s="27">
        <v>47</v>
      </c>
      <c r="B87" s="525" t="str">
        <f>CONCATENATE( LEFT(CONCATENATE(D87," ",E87," ",G87," ",F87,$W$5),40)," ",FIXED(C87,0)," pto hp")</f>
        <v>JOHN DEERE 7200-12 SP SYNCR  MFWD_______ 94 pto hp</v>
      </c>
      <c r="C87" s="434">
        <v>94.017510000000001</v>
      </c>
      <c r="D87" s="434" t="s">
        <v>495</v>
      </c>
      <c r="E87" s="434" t="s">
        <v>553</v>
      </c>
      <c r="F87" s="434" t="s">
        <v>497</v>
      </c>
      <c r="G87" s="434"/>
      <c r="H87" s="434">
        <v>5150</v>
      </c>
      <c r="I87" s="434" t="s">
        <v>499</v>
      </c>
      <c r="J87" s="522">
        <v>4351.8804</v>
      </c>
      <c r="K87" s="522">
        <v>8335.5925999999999</v>
      </c>
      <c r="L87" s="434">
        <v>2</v>
      </c>
      <c r="M87" s="434">
        <v>13.6</v>
      </c>
      <c r="N87" s="434" t="s">
        <v>481</v>
      </c>
      <c r="O87" s="434">
        <v>28</v>
      </c>
      <c r="P87" s="434">
        <v>2</v>
      </c>
      <c r="Q87" s="447">
        <v>18.399999999999999</v>
      </c>
      <c r="R87" s="434" t="s">
        <v>481</v>
      </c>
      <c r="S87" s="27">
        <v>38</v>
      </c>
      <c r="T87" s="436">
        <v>21.45669291338583</v>
      </c>
      <c r="U87" s="524">
        <v>103.34645669291339</v>
      </c>
      <c r="V87" s="387">
        <v>0.95094419545258546</v>
      </c>
    </row>
    <row r="88" spans="1:22">
      <c r="A88" s="27">
        <v>48</v>
      </c>
      <c r="B88" s="525" t="str">
        <f>CONCATENATE( LEFT(CONCATENATE(D88," ",E88," ",G88," ",F88,$W$5),40)," ",FIXED(C88,0)," pto hp")</f>
        <v>JOHN DEERE 7200-16 SP PQ  MFWD__________ 94 pto hp</v>
      </c>
      <c r="C88" s="434">
        <v>94.285709999999995</v>
      </c>
      <c r="D88" s="434" t="s">
        <v>495</v>
      </c>
      <c r="E88" s="434" t="s">
        <v>554</v>
      </c>
      <c r="F88" s="434" t="s">
        <v>497</v>
      </c>
      <c r="G88" s="434"/>
      <c r="H88" s="434">
        <v>5151</v>
      </c>
      <c r="I88" s="434" t="s">
        <v>499</v>
      </c>
      <c r="J88" s="522">
        <v>4422.4276</v>
      </c>
      <c r="K88" s="522">
        <v>8421.5720000000001</v>
      </c>
      <c r="L88" s="434">
        <v>2</v>
      </c>
      <c r="M88" s="434">
        <v>13.6</v>
      </c>
      <c r="N88" s="434" t="s">
        <v>481</v>
      </c>
      <c r="O88" s="434">
        <v>28</v>
      </c>
      <c r="P88" s="434">
        <v>2</v>
      </c>
      <c r="Q88" s="447">
        <v>18.399999999999999</v>
      </c>
      <c r="R88" s="434" t="s">
        <v>481</v>
      </c>
      <c r="S88" s="27">
        <v>38</v>
      </c>
      <c r="T88" s="436">
        <v>21.45669291338583</v>
      </c>
      <c r="U88" s="524">
        <v>103.34645669291339</v>
      </c>
      <c r="V88" s="387">
        <v>0.98447178922046208</v>
      </c>
    </row>
    <row r="89" spans="1:22">
      <c r="A89" s="27">
        <v>49</v>
      </c>
      <c r="B89" s="525" t="str">
        <f>CONCATENATE( LEFT(CONCATENATE(D89," ",E89," ",G89," ",F89,$W$5),40)," ",FIXED(C89,0)," pto hp")</f>
        <v>JOHN DEERE 3055-16 SP  2WD______________ 94 pto hp</v>
      </c>
      <c r="C89" s="447">
        <v>94.406400000000005</v>
      </c>
      <c r="D89" s="434" t="s">
        <v>495</v>
      </c>
      <c r="E89" s="447" t="s">
        <v>555</v>
      </c>
      <c r="F89" s="447" t="s">
        <v>507</v>
      </c>
      <c r="G89" s="447"/>
      <c r="H89" s="447">
        <v>5100</v>
      </c>
      <c r="I89" s="447" t="s">
        <v>556</v>
      </c>
      <c r="J89" s="522">
        <v>3769.866</v>
      </c>
      <c r="K89" s="522">
        <v>5919.3510000000006</v>
      </c>
      <c r="L89" s="447">
        <v>2</v>
      </c>
      <c r="M89" s="447">
        <v>10</v>
      </c>
      <c r="N89" s="447" t="s">
        <v>499</v>
      </c>
      <c r="O89" s="438">
        <v>16</v>
      </c>
      <c r="P89" s="447">
        <v>2</v>
      </c>
      <c r="Q89" s="447">
        <v>18.399999999999999</v>
      </c>
      <c r="R89" s="447" t="s">
        <v>500</v>
      </c>
      <c r="S89" s="27">
        <v>38</v>
      </c>
      <c r="T89" s="436">
        <v>27.165354330708663</v>
      </c>
      <c r="U89" s="524">
        <v>100.43307086614173</v>
      </c>
      <c r="V89" s="387">
        <v>0.93672073537845346</v>
      </c>
    </row>
    <row r="90" spans="1:22">
      <c r="A90" s="27">
        <v>50</v>
      </c>
      <c r="B90" s="525" t="str">
        <f>CONCATENATE( LEFT(CONCATENATE(D90," ",E90," ",G90," ",F90,$W$5),40)," ",FIXED(C90,0)," pto hp")</f>
        <v>JOHN DEERE 7210, 12 SP-SYNC  MFWD_______ 96 pto hp</v>
      </c>
      <c r="C90" s="437">
        <v>95.733990000000006</v>
      </c>
      <c r="D90" s="437" t="s">
        <v>495</v>
      </c>
      <c r="E90" s="437" t="s">
        <v>557</v>
      </c>
      <c r="F90" s="437" t="s">
        <v>497</v>
      </c>
      <c r="G90" s="437"/>
      <c r="H90" s="437">
        <v>5238</v>
      </c>
      <c r="I90" s="437" t="s">
        <v>529</v>
      </c>
      <c r="J90" s="522">
        <v>4499.5886</v>
      </c>
      <c r="K90" s="522">
        <v>8333.3880000000008</v>
      </c>
      <c r="L90" s="437">
        <v>2</v>
      </c>
      <c r="M90" s="434">
        <v>14.9</v>
      </c>
      <c r="N90" s="437" t="s">
        <v>481</v>
      </c>
      <c r="O90" s="437">
        <v>28</v>
      </c>
      <c r="P90" s="437">
        <v>2</v>
      </c>
      <c r="Q90" s="447">
        <v>18.399999999999999</v>
      </c>
      <c r="R90" s="437" t="s">
        <v>481</v>
      </c>
      <c r="S90" s="27">
        <v>38</v>
      </c>
      <c r="T90" s="436">
        <v>21.45669291338583</v>
      </c>
      <c r="U90" s="524">
        <v>103.34645669291339</v>
      </c>
      <c r="V90" s="387">
        <v>0.94360566330866524</v>
      </c>
    </row>
    <row r="91" spans="1:22">
      <c r="A91" s="27">
        <v>51</v>
      </c>
      <c r="B91" s="525" t="str">
        <f>CONCATENATE( LEFT(CONCATENATE(D91," ",E91," ",G91," ",F91,$W$5),40)," ",FIXED(C91,0)," pto hp")</f>
        <v>JOHN DEERE 7210, 16 SP-PQUAD  MFWD______ 96 pto hp</v>
      </c>
      <c r="C91" s="437">
        <v>95.935140000000004</v>
      </c>
      <c r="D91" s="437" t="s">
        <v>495</v>
      </c>
      <c r="E91" s="437" t="s">
        <v>558</v>
      </c>
      <c r="F91" s="437" t="s">
        <v>497</v>
      </c>
      <c r="G91" s="437"/>
      <c r="H91" s="437">
        <v>5239</v>
      </c>
      <c r="I91" s="437" t="s">
        <v>529</v>
      </c>
      <c r="J91" s="522">
        <v>4523.8392000000003</v>
      </c>
      <c r="K91" s="522">
        <v>8423.7766000000011</v>
      </c>
      <c r="L91" s="437">
        <v>2</v>
      </c>
      <c r="M91" s="434">
        <v>14.9</v>
      </c>
      <c r="N91" s="437" t="s">
        <v>481</v>
      </c>
      <c r="O91" s="437">
        <v>28</v>
      </c>
      <c r="P91" s="437">
        <v>2</v>
      </c>
      <c r="Q91" s="447">
        <v>18.399999999999999</v>
      </c>
      <c r="R91" s="437" t="s">
        <v>481</v>
      </c>
      <c r="S91" s="27">
        <v>38</v>
      </c>
      <c r="T91" s="436">
        <v>21.45669291338583</v>
      </c>
      <c r="U91" s="524">
        <v>103.34645669291339</v>
      </c>
      <c r="V91" s="387">
        <v>0.95458638386704142</v>
      </c>
    </row>
    <row r="92" spans="1:22">
      <c r="A92" s="27">
        <v>52</v>
      </c>
      <c r="B92" s="525" t="str">
        <f t="shared" si="4"/>
        <v>JOHN DEERE 3155 Partial PowerShift MFWD_ 96 pto hp</v>
      </c>
      <c r="C92" s="432">
        <v>96.06</v>
      </c>
      <c r="D92" s="434" t="s">
        <v>495</v>
      </c>
      <c r="E92" s="431" t="s">
        <v>559</v>
      </c>
      <c r="F92" s="431" t="s">
        <v>497</v>
      </c>
      <c r="G92" s="433" t="s">
        <v>509</v>
      </c>
      <c r="H92" s="434">
        <v>1589</v>
      </c>
      <c r="I92" s="434"/>
      <c r="J92" s="435">
        <v>4200.5250000000005</v>
      </c>
      <c r="K92" s="435">
        <v>7746.165</v>
      </c>
      <c r="L92" s="434">
        <v>2</v>
      </c>
      <c r="M92" s="434">
        <v>16.899999999999999</v>
      </c>
      <c r="N92" s="431" t="s">
        <v>500</v>
      </c>
      <c r="O92" s="434">
        <v>24</v>
      </c>
      <c r="P92" s="434">
        <v>2</v>
      </c>
      <c r="Q92" s="434">
        <v>18.399999999999999</v>
      </c>
      <c r="R92" s="431" t="s">
        <v>500</v>
      </c>
      <c r="S92" s="434">
        <v>38</v>
      </c>
      <c r="T92" s="436">
        <v>20.078740157480315</v>
      </c>
      <c r="U92" s="385">
        <v>101.65354330708662</v>
      </c>
      <c r="V92" s="384">
        <v>0.93453218680078931</v>
      </c>
    </row>
    <row r="93" spans="1:22">
      <c r="A93" s="27">
        <v>53</v>
      </c>
      <c r="B93" s="525" t="str">
        <f t="shared" ref="B93:B119" si="5">CONCATENATE( LEFT(CONCATENATE(D93," ",E93," ",G93," ",F93,$W$5),40)," ",FIXED(C93,0)," pto hp")</f>
        <v>JOHN DEERE 4050 PowerShift 2WD__________ 101 pto hp</v>
      </c>
      <c r="C93" s="432">
        <v>100.95</v>
      </c>
      <c r="D93" s="434" t="s">
        <v>495</v>
      </c>
      <c r="E93" s="431" t="s">
        <v>560</v>
      </c>
      <c r="F93" s="431" t="s">
        <v>507</v>
      </c>
      <c r="G93" s="431" t="s">
        <v>552</v>
      </c>
      <c r="H93" s="434">
        <v>1457</v>
      </c>
      <c r="I93" s="434"/>
      <c r="J93" s="435">
        <v>3550.05</v>
      </c>
      <c r="K93" s="435">
        <v>9172.7999999999993</v>
      </c>
      <c r="L93" s="434">
        <v>2</v>
      </c>
      <c r="M93" s="432">
        <v>10</v>
      </c>
      <c r="N93" s="431" t="s">
        <v>499</v>
      </c>
      <c r="O93" s="434">
        <v>16</v>
      </c>
      <c r="P93" s="434">
        <v>4</v>
      </c>
      <c r="Q93" s="434">
        <v>18.399999999999999</v>
      </c>
      <c r="R93" s="431" t="s">
        <v>500</v>
      </c>
      <c r="S93" s="434">
        <v>34</v>
      </c>
      <c r="T93" s="436">
        <v>22.440944881889767</v>
      </c>
      <c r="U93" s="385">
        <v>106.69291338582678</v>
      </c>
      <c r="V93" s="384">
        <v>0.95039779418100356</v>
      </c>
    </row>
    <row r="94" spans="1:22">
      <c r="A94" s="27">
        <v>54</v>
      </c>
      <c r="B94" s="525" t="str">
        <f t="shared" si="5"/>
        <v>JOHN DEERE 4050 Partial PowerShift 2WD__ 101 pto hp</v>
      </c>
      <c r="C94" s="432">
        <v>101.49</v>
      </c>
      <c r="D94" s="434" t="s">
        <v>495</v>
      </c>
      <c r="E94" s="431" t="s">
        <v>560</v>
      </c>
      <c r="F94" s="431" t="s">
        <v>507</v>
      </c>
      <c r="G94" s="433" t="s">
        <v>509</v>
      </c>
      <c r="H94" s="434">
        <v>1474</v>
      </c>
      <c r="I94" s="434"/>
      <c r="J94" s="435">
        <v>3525.7950000000001</v>
      </c>
      <c r="K94" s="435">
        <v>8645.8050000000003</v>
      </c>
      <c r="L94" s="434">
        <v>2</v>
      </c>
      <c r="M94" s="432">
        <v>10</v>
      </c>
      <c r="N94" s="431" t="s">
        <v>499</v>
      </c>
      <c r="O94" s="434">
        <v>16</v>
      </c>
      <c r="P94" s="434">
        <v>4</v>
      </c>
      <c r="Q94" s="434">
        <v>18.399999999999999</v>
      </c>
      <c r="R94" s="431" t="s">
        <v>500</v>
      </c>
      <c r="S94" s="434">
        <v>34</v>
      </c>
      <c r="T94" s="436">
        <v>22.440944881889767</v>
      </c>
      <c r="U94" s="385">
        <v>106.69291338582678</v>
      </c>
      <c r="V94" s="384">
        <v>0.98051539912005015</v>
      </c>
    </row>
    <row r="95" spans="1:22">
      <c r="A95" s="27">
        <v>55</v>
      </c>
      <c r="B95" s="525" t="str">
        <f>CONCATENATE( LEFT(CONCATENATE(D95," ",E95," ",G95," ",F95,$W$5),40)," ",FIXED(C95,0)," pto hp")</f>
        <v>JOHN DEERE 7400-16 SP PQ  MFWD__________ 102 pto hp</v>
      </c>
      <c r="C95" s="434">
        <v>102.05009999999999</v>
      </c>
      <c r="D95" s="434" t="s">
        <v>495</v>
      </c>
      <c r="E95" s="434" t="s">
        <v>561</v>
      </c>
      <c r="F95" s="434" t="s">
        <v>497</v>
      </c>
      <c r="G95" s="434"/>
      <c r="H95" s="434">
        <v>5153</v>
      </c>
      <c r="I95" s="434" t="s">
        <v>499</v>
      </c>
      <c r="J95" s="522">
        <v>4470.9288000000006</v>
      </c>
      <c r="K95" s="522">
        <v>8434.7996000000003</v>
      </c>
      <c r="L95" s="434">
        <v>2</v>
      </c>
      <c r="M95" s="434">
        <v>13.6</v>
      </c>
      <c r="N95" s="434" t="s">
        <v>481</v>
      </c>
      <c r="O95" s="434">
        <v>28</v>
      </c>
      <c r="P95" s="434">
        <v>2</v>
      </c>
      <c r="Q95" s="447">
        <v>18.399999999999999</v>
      </c>
      <c r="R95" s="434" t="s">
        <v>481</v>
      </c>
      <c r="S95" s="27">
        <v>38</v>
      </c>
      <c r="T95" s="436">
        <v>21.45669291338583</v>
      </c>
      <c r="U95" s="524">
        <v>103.34645669291339</v>
      </c>
      <c r="V95" s="387">
        <v>0.96635100030491117</v>
      </c>
    </row>
    <row r="96" spans="1:22">
      <c r="A96" s="27">
        <v>56</v>
      </c>
      <c r="B96" s="525" t="str">
        <f>CONCATENATE( LEFT(CONCATENATE(D96," ",E96," ",G96," ",F96,$W$5),40)," ",FIXED(C96,0)," pto hp")</f>
        <v>JOHN DEERE 7400-12 SP SYNCR  MFWD_______ 102 pto hp</v>
      </c>
      <c r="C96" s="434">
        <v>102.13055999999999</v>
      </c>
      <c r="D96" s="434" t="s">
        <v>495</v>
      </c>
      <c r="E96" s="434" t="s">
        <v>562</v>
      </c>
      <c r="F96" s="434" t="s">
        <v>497</v>
      </c>
      <c r="G96" s="434"/>
      <c r="H96" s="434">
        <v>5152</v>
      </c>
      <c r="I96" s="434" t="s">
        <v>499</v>
      </c>
      <c r="J96" s="522">
        <v>4429.0414000000001</v>
      </c>
      <c r="K96" s="522">
        <v>8399.5259999999998</v>
      </c>
      <c r="L96" s="434">
        <v>2</v>
      </c>
      <c r="M96" s="434">
        <v>13.6</v>
      </c>
      <c r="N96" s="434" t="s">
        <v>481</v>
      </c>
      <c r="O96" s="434">
        <v>28</v>
      </c>
      <c r="P96" s="434">
        <v>2</v>
      </c>
      <c r="Q96" s="447">
        <v>18.399999999999999</v>
      </c>
      <c r="R96" s="434" t="s">
        <v>481</v>
      </c>
      <c r="S96" s="27">
        <v>38</v>
      </c>
      <c r="T96" s="436">
        <v>21.45669291338583</v>
      </c>
      <c r="U96" s="524">
        <v>103.34645669291339</v>
      </c>
      <c r="V96" s="387">
        <v>0.95638049645155843</v>
      </c>
    </row>
    <row r="97" spans="1:27">
      <c r="A97" s="27">
        <v>57</v>
      </c>
      <c r="B97" s="525" t="str">
        <f>CONCATENATE( LEFT(CONCATENATE(D97," ",E97," ",G97," ",F97,$W$5),40)," ",FIXED(C97,0)," pto hp")</f>
        <v>JOHN DEERE 3255-16 SP  MFWD_____________ 103 pto hp</v>
      </c>
      <c r="C97" s="447">
        <v>102.5865</v>
      </c>
      <c r="D97" s="434" t="s">
        <v>495</v>
      </c>
      <c r="E97" s="447" t="s">
        <v>563</v>
      </c>
      <c r="F97" s="447" t="s">
        <v>497</v>
      </c>
      <c r="G97" s="447"/>
      <c r="H97" s="447">
        <v>5101</v>
      </c>
      <c r="I97" s="447" t="s">
        <v>556</v>
      </c>
      <c r="J97" s="522">
        <v>4321.0160000000005</v>
      </c>
      <c r="K97" s="522">
        <v>7572.8010000000004</v>
      </c>
      <c r="L97" s="447">
        <v>2</v>
      </c>
      <c r="M97" s="447">
        <v>13.6</v>
      </c>
      <c r="N97" s="447" t="s">
        <v>500</v>
      </c>
      <c r="O97" s="447">
        <v>28</v>
      </c>
      <c r="P97" s="447">
        <v>2</v>
      </c>
      <c r="Q97" s="447">
        <v>18.399999999999999</v>
      </c>
      <c r="R97" s="447" t="s">
        <v>500</v>
      </c>
      <c r="S97" s="27">
        <v>38</v>
      </c>
      <c r="T97" s="436">
        <v>19.685039370078741</v>
      </c>
      <c r="U97" s="524">
        <v>101.65354330708662</v>
      </c>
      <c r="V97" s="387">
        <v>0.94001094132690399</v>
      </c>
    </row>
    <row r="98" spans="1:27">
      <c r="A98" s="27">
        <v>58</v>
      </c>
      <c r="B98" s="525" t="str">
        <f t="shared" si="5"/>
        <v>JOHN DEERE 4050 PowerShift 2WD__________ 106 pto hp</v>
      </c>
      <c r="C98" s="432">
        <v>105.69</v>
      </c>
      <c r="D98" s="434" t="s">
        <v>495</v>
      </c>
      <c r="E98" s="431" t="s">
        <v>560</v>
      </c>
      <c r="F98" s="431" t="s">
        <v>507</v>
      </c>
      <c r="G98" s="431" t="s">
        <v>552</v>
      </c>
      <c r="H98" s="434">
        <v>1591</v>
      </c>
      <c r="I98" s="434"/>
      <c r="J98" s="435">
        <v>3600.7650000000003</v>
      </c>
      <c r="K98" s="435">
        <v>9086.8050000000003</v>
      </c>
      <c r="L98" s="434">
        <v>2</v>
      </c>
      <c r="M98" s="432">
        <v>11</v>
      </c>
      <c r="N98" s="431" t="s">
        <v>499</v>
      </c>
      <c r="O98" s="434">
        <v>16</v>
      </c>
      <c r="P98" s="434">
        <v>4</v>
      </c>
      <c r="Q98" s="434">
        <v>18.399999999999999</v>
      </c>
      <c r="R98" s="431" t="s">
        <v>500</v>
      </c>
      <c r="S98" s="434">
        <v>38</v>
      </c>
      <c r="T98" s="436">
        <v>23.031496062992126</v>
      </c>
      <c r="U98" s="385">
        <v>106.69291338582678</v>
      </c>
      <c r="V98" s="384">
        <v>0.93745820430251336</v>
      </c>
    </row>
    <row r="99" spans="1:27">
      <c r="A99" s="27">
        <v>59</v>
      </c>
      <c r="B99" s="525" t="str">
        <f t="shared" si="5"/>
        <v>JOHN DEERE 4050 Partial PowerShift 2WD__ 106 pto hp</v>
      </c>
      <c r="C99" s="432">
        <v>105.89</v>
      </c>
      <c r="D99" s="434" t="s">
        <v>495</v>
      </c>
      <c r="E99" s="431" t="s">
        <v>560</v>
      </c>
      <c r="F99" s="431" t="s">
        <v>507</v>
      </c>
      <c r="G99" s="433" t="s">
        <v>509</v>
      </c>
      <c r="H99" s="434">
        <v>1590</v>
      </c>
      <c r="I99" s="434"/>
      <c r="J99" s="435">
        <v>3525.7950000000001</v>
      </c>
      <c r="K99" s="435">
        <v>8866.3050000000003</v>
      </c>
      <c r="L99" s="434">
        <v>2</v>
      </c>
      <c r="M99" s="432">
        <v>11</v>
      </c>
      <c r="N99" s="431" t="s">
        <v>499</v>
      </c>
      <c r="O99" s="434">
        <v>16</v>
      </c>
      <c r="P99" s="434">
        <v>4</v>
      </c>
      <c r="Q99" s="434">
        <v>18.399999999999999</v>
      </c>
      <c r="R99" s="431" t="s">
        <v>500</v>
      </c>
      <c r="S99" s="434">
        <v>38</v>
      </c>
      <c r="T99" s="436">
        <v>23.031496062992126</v>
      </c>
      <c r="U99" s="385">
        <v>106.69291338582678</v>
      </c>
      <c r="V99" s="384">
        <v>0.98373449437279215</v>
      </c>
    </row>
    <row r="100" spans="1:27">
      <c r="A100" s="27">
        <v>60</v>
      </c>
      <c r="B100" s="525" t="str">
        <f>CONCATENATE( LEFT(CONCATENATE(D100," ",E100," ",G100," ",F100,$W$5),40)," ",FIXED(C100,0)," pto hp")</f>
        <v>JOHN DEERE 7410, 16 SP-PQUAD  MFWD______ 106 pto hp</v>
      </c>
      <c r="C100" s="437">
        <v>106.31448</v>
      </c>
      <c r="D100" s="437" t="s">
        <v>495</v>
      </c>
      <c r="E100" s="437" t="s">
        <v>564</v>
      </c>
      <c r="F100" s="437" t="s">
        <v>497</v>
      </c>
      <c r="G100" s="437"/>
      <c r="H100" s="437">
        <v>5241</v>
      </c>
      <c r="I100" s="437" t="s">
        <v>529</v>
      </c>
      <c r="J100" s="522">
        <v>4559.1127999999999</v>
      </c>
      <c r="K100" s="522">
        <v>8459.0501999999997</v>
      </c>
      <c r="L100" s="437">
        <v>2</v>
      </c>
      <c r="M100" s="434">
        <v>14.9</v>
      </c>
      <c r="N100" s="437" t="s">
        <v>481</v>
      </c>
      <c r="O100" s="437">
        <v>28</v>
      </c>
      <c r="P100" s="437">
        <v>2</v>
      </c>
      <c r="Q100" s="447">
        <v>18.399999999999999</v>
      </c>
      <c r="R100" s="437" t="s">
        <v>481</v>
      </c>
      <c r="S100" s="27">
        <v>38</v>
      </c>
      <c r="T100" s="436">
        <v>21.45669291338583</v>
      </c>
      <c r="U100" s="524">
        <v>103.34645669291339</v>
      </c>
      <c r="V100" s="387">
        <v>0.97477250918625968</v>
      </c>
      <c r="AA100" s="424"/>
    </row>
    <row r="101" spans="1:27">
      <c r="A101" s="27">
        <v>61</v>
      </c>
      <c r="B101" s="525" t="str">
        <f>CONCATENATE( LEFT(CONCATENATE(D101," ",E101," ",G101," ",F101,$W$5),40)," ",FIXED(C101,0)," pto hp")</f>
        <v>JOHN DEERE 7410, 12 SP-SYNC  MFWD_______ 106 pto hp</v>
      </c>
      <c r="C101" s="437">
        <v>106.38153</v>
      </c>
      <c r="D101" s="437" t="s">
        <v>495</v>
      </c>
      <c r="E101" s="437" t="s">
        <v>565</v>
      </c>
      <c r="F101" s="437" t="s">
        <v>497</v>
      </c>
      <c r="G101" s="437"/>
      <c r="H101" s="437">
        <v>5240</v>
      </c>
      <c r="I101" s="437" t="s">
        <v>529</v>
      </c>
      <c r="J101" s="522">
        <v>4499.5886</v>
      </c>
      <c r="K101" s="522">
        <v>8403.9351999999999</v>
      </c>
      <c r="L101" s="437">
        <v>2</v>
      </c>
      <c r="M101" s="434">
        <v>14.9</v>
      </c>
      <c r="N101" s="437" t="s">
        <v>481</v>
      </c>
      <c r="O101" s="437">
        <v>28</v>
      </c>
      <c r="P101" s="437">
        <v>2</v>
      </c>
      <c r="Q101" s="447">
        <v>18.399999999999999</v>
      </c>
      <c r="R101" s="437" t="s">
        <v>481</v>
      </c>
      <c r="S101" s="27">
        <v>38</v>
      </c>
      <c r="T101" s="436">
        <v>21.45669291338583</v>
      </c>
      <c r="U101" s="524">
        <v>103.34645669291339</v>
      </c>
      <c r="V101" s="387">
        <v>0.94052091612194377</v>
      </c>
      <c r="AA101" s="424"/>
    </row>
    <row r="102" spans="1:27">
      <c r="A102" s="27">
        <v>62</v>
      </c>
      <c r="B102" s="525" t="str">
        <f t="shared" si="5"/>
        <v>JOHN DEERE 4055 Partial PowerShift 2WD__ 109 pto hp</v>
      </c>
      <c r="C102" s="432">
        <v>108.7</v>
      </c>
      <c r="D102" s="434" t="s">
        <v>495</v>
      </c>
      <c r="E102" s="431" t="s">
        <v>566</v>
      </c>
      <c r="F102" s="431" t="s">
        <v>507</v>
      </c>
      <c r="G102" s="433" t="s">
        <v>509</v>
      </c>
      <c r="H102" s="434">
        <v>5064</v>
      </c>
      <c r="I102" s="434"/>
      <c r="J102" s="435">
        <v>3814.65</v>
      </c>
      <c r="K102" s="435">
        <v>8317.26</v>
      </c>
      <c r="L102" s="434">
        <v>2</v>
      </c>
      <c r="M102" s="432">
        <v>11</v>
      </c>
      <c r="N102" s="431" t="s">
        <v>499</v>
      </c>
      <c r="O102" s="434">
        <v>16</v>
      </c>
      <c r="P102" s="434">
        <v>2</v>
      </c>
      <c r="Q102" s="434">
        <v>18.399999999999999</v>
      </c>
      <c r="R102" s="431" t="s">
        <v>481</v>
      </c>
      <c r="S102" s="434">
        <v>38</v>
      </c>
      <c r="T102" s="436">
        <v>22.440944881889767</v>
      </c>
      <c r="U102" s="385">
        <v>106.69291338582678</v>
      </c>
      <c r="V102" s="384">
        <v>0.99519208327498476</v>
      </c>
      <c r="AA102" s="424"/>
    </row>
    <row r="103" spans="1:27">
      <c r="A103" s="27">
        <v>63</v>
      </c>
      <c r="B103" s="525" t="str">
        <f t="shared" si="5"/>
        <v>JOHN DEERE 4055 PowerShift MFWD_________ 109 pto hp</v>
      </c>
      <c r="C103" s="432">
        <v>109.17</v>
      </c>
      <c r="D103" s="434" t="s">
        <v>495</v>
      </c>
      <c r="E103" s="431" t="s">
        <v>566</v>
      </c>
      <c r="F103" s="431" t="s">
        <v>497</v>
      </c>
      <c r="G103" s="431" t="s">
        <v>552</v>
      </c>
      <c r="H103" s="434">
        <v>5055</v>
      </c>
      <c r="I103" s="434"/>
      <c r="J103" s="435">
        <v>5375.79</v>
      </c>
      <c r="K103" s="435">
        <v>8581.86</v>
      </c>
      <c r="L103" s="434">
        <v>2</v>
      </c>
      <c r="M103" s="434">
        <v>14.9</v>
      </c>
      <c r="N103" s="431" t="s">
        <v>481</v>
      </c>
      <c r="O103" s="434">
        <v>26</v>
      </c>
      <c r="P103" s="434">
        <v>2</v>
      </c>
      <c r="Q103" s="434">
        <v>18.399999999999999</v>
      </c>
      <c r="R103" s="431" t="s">
        <v>481</v>
      </c>
      <c r="S103" s="434">
        <v>38</v>
      </c>
      <c r="T103" s="436">
        <v>16.929133858267718</v>
      </c>
      <c r="U103" s="385">
        <v>105.31496062992126</v>
      </c>
      <c r="V103" s="384">
        <v>0.9188060434836014</v>
      </c>
    </row>
    <row r="104" spans="1:27">
      <c r="A104" s="27">
        <v>64</v>
      </c>
      <c r="B104" s="525" t="str">
        <f t="shared" si="5"/>
        <v>JOHN DEERE 4240 Manual Shift 2WD________ 111 pto hp</v>
      </c>
      <c r="C104" s="432">
        <v>110.81</v>
      </c>
      <c r="D104" s="434" t="s">
        <v>495</v>
      </c>
      <c r="E104" s="431" t="s">
        <v>567</v>
      </c>
      <c r="F104" s="431" t="s">
        <v>507</v>
      </c>
      <c r="G104" s="433" t="s">
        <v>498</v>
      </c>
      <c r="H104" s="434">
        <v>1361</v>
      </c>
      <c r="I104" s="434"/>
      <c r="J104" s="435">
        <v>3411.1350000000002</v>
      </c>
      <c r="K104" s="435">
        <v>8401.0499999999993</v>
      </c>
      <c r="L104" s="434">
        <v>2</v>
      </c>
      <c r="M104" s="432">
        <v>10</v>
      </c>
      <c r="N104" s="431" t="s">
        <v>499</v>
      </c>
      <c r="O104" s="434">
        <v>16</v>
      </c>
      <c r="P104" s="434">
        <v>2</v>
      </c>
      <c r="Q104" s="434">
        <v>18.399999999999999</v>
      </c>
      <c r="R104" s="431" t="s">
        <v>500</v>
      </c>
      <c r="S104" s="434">
        <v>34</v>
      </c>
      <c r="T104" s="436">
        <v>21.062992125984252</v>
      </c>
      <c r="U104" s="385">
        <v>106.65354330708662</v>
      </c>
      <c r="V104" s="384">
        <v>0.93075285136279928</v>
      </c>
    </row>
    <row r="105" spans="1:27">
      <c r="A105" s="27">
        <v>65</v>
      </c>
      <c r="B105" s="525" t="str">
        <f t="shared" si="5"/>
        <v>JOHN DEERE 7600 Partial PowerShift MFWD_ 111 pto hp</v>
      </c>
      <c r="C105" s="443">
        <v>110.9</v>
      </c>
      <c r="D105" s="434" t="s">
        <v>495</v>
      </c>
      <c r="E105" s="439" t="s">
        <v>568</v>
      </c>
      <c r="F105" s="439" t="s">
        <v>497</v>
      </c>
      <c r="G105" s="433" t="s">
        <v>509</v>
      </c>
      <c r="H105" s="434">
        <v>1664</v>
      </c>
      <c r="I105" s="438"/>
      <c r="J105" s="438">
        <v>5026</v>
      </c>
      <c r="K105" s="438">
        <v>9784</v>
      </c>
      <c r="L105" s="438">
        <v>2</v>
      </c>
      <c r="M105" s="438">
        <v>13.6</v>
      </c>
      <c r="N105" s="439" t="s">
        <v>481</v>
      </c>
      <c r="O105" s="438">
        <v>28</v>
      </c>
      <c r="P105" s="438">
        <v>2</v>
      </c>
      <c r="Q105" s="438">
        <v>18.399999999999999</v>
      </c>
      <c r="R105" s="439" t="s">
        <v>481</v>
      </c>
      <c r="S105" s="438">
        <v>38</v>
      </c>
      <c r="T105" s="438">
        <v>19.5</v>
      </c>
      <c r="U105" s="386">
        <v>110.2</v>
      </c>
      <c r="V105" s="387">
        <v>0.97299999999999998</v>
      </c>
      <c r="AA105" s="424"/>
    </row>
    <row r="106" spans="1:27">
      <c r="A106" s="27">
        <v>66</v>
      </c>
      <c r="B106" s="525" t="str">
        <f>CONCATENATE( LEFT(CONCATENATE(D106," ",E106," ",G106," ",F106,$W$5),40)," ",FIXED(C106,0)," pto hp")</f>
        <v>JOHN DEERE 7600-QD 16 SP  MFWD__________ 111 pto hp</v>
      </c>
      <c r="C106" s="434">
        <v>110.9007</v>
      </c>
      <c r="D106" s="434" t="s">
        <v>495</v>
      </c>
      <c r="E106" s="434" t="s">
        <v>569</v>
      </c>
      <c r="F106" s="434" t="s">
        <v>497</v>
      </c>
      <c r="G106" s="434"/>
      <c r="H106" s="434">
        <v>5131</v>
      </c>
      <c r="I106" s="434" t="s">
        <v>499</v>
      </c>
      <c r="J106" s="522">
        <v>5026.4880000000003</v>
      </c>
      <c r="K106" s="522">
        <v>9784.0148000000008</v>
      </c>
      <c r="L106" s="434">
        <v>2</v>
      </c>
      <c r="M106" s="434">
        <v>13.6</v>
      </c>
      <c r="N106" s="434" t="s">
        <v>481</v>
      </c>
      <c r="O106" s="434">
        <v>28</v>
      </c>
      <c r="P106" s="434">
        <v>2</v>
      </c>
      <c r="Q106" s="447">
        <v>18.399999999999999</v>
      </c>
      <c r="R106" s="434" t="s">
        <v>481</v>
      </c>
      <c r="S106" s="438">
        <v>42</v>
      </c>
      <c r="T106" s="436">
        <v>19.488188976377955</v>
      </c>
      <c r="U106" s="524">
        <v>110.23622047244095</v>
      </c>
      <c r="V106" s="387">
        <v>0.98037545591979403</v>
      </c>
    </row>
    <row r="107" spans="1:27">
      <c r="A107" s="27">
        <v>67</v>
      </c>
      <c r="B107" s="525" t="str">
        <f t="shared" si="5"/>
        <v>JOHN DEERE 4240 PowerShift 2WD__________ 111 pto hp</v>
      </c>
      <c r="C107" s="432">
        <v>111.06</v>
      </c>
      <c r="D107" s="434" t="s">
        <v>495</v>
      </c>
      <c r="E107" s="431" t="s">
        <v>567</v>
      </c>
      <c r="F107" s="431" t="s">
        <v>507</v>
      </c>
      <c r="G107" s="431" t="s">
        <v>552</v>
      </c>
      <c r="H107" s="434">
        <v>1362</v>
      </c>
      <c r="I107" s="434"/>
      <c r="J107" s="435">
        <v>3380.2650000000003</v>
      </c>
      <c r="K107" s="435">
        <v>8440.74</v>
      </c>
      <c r="L107" s="434">
        <v>2</v>
      </c>
      <c r="M107" s="432">
        <v>10</v>
      </c>
      <c r="N107" s="431" t="s">
        <v>499</v>
      </c>
      <c r="O107" s="434">
        <v>16</v>
      </c>
      <c r="P107" s="434">
        <v>4</v>
      </c>
      <c r="Q107" s="434">
        <v>18.399999999999999</v>
      </c>
      <c r="R107" s="431" t="s">
        <v>500</v>
      </c>
      <c r="S107" s="434">
        <v>34</v>
      </c>
      <c r="T107" s="436">
        <v>21.062992125984252</v>
      </c>
      <c r="U107" s="385">
        <v>106.65354330708662</v>
      </c>
      <c r="V107" s="384">
        <v>0.93109772414288239</v>
      </c>
    </row>
    <row r="108" spans="1:27">
      <c r="A108" s="27">
        <v>68</v>
      </c>
      <c r="B108" s="525" t="str">
        <f>CONCATENATE( LEFT(CONCATENATE(D108," ",E108," ",G108," ",F108,$W$5),40)," ",FIXED(C108,0)," pto hp")</f>
        <v>JOHN DEERE 7600-PS 19 SP  MFWD__________ 112 pto hp</v>
      </c>
      <c r="C108" s="434">
        <v>111.58460999999998</v>
      </c>
      <c r="D108" s="434" t="s">
        <v>495</v>
      </c>
      <c r="E108" s="434" t="s">
        <v>570</v>
      </c>
      <c r="F108" s="434" t="s">
        <v>497</v>
      </c>
      <c r="G108" s="434"/>
      <c r="H108" s="434">
        <v>5132</v>
      </c>
      <c r="I108" s="434" t="s">
        <v>499</v>
      </c>
      <c r="J108" s="522">
        <v>5112.4674000000005</v>
      </c>
      <c r="K108" s="522">
        <v>10002.270200000001</v>
      </c>
      <c r="L108" s="434">
        <v>2</v>
      </c>
      <c r="M108" s="434">
        <v>13.6</v>
      </c>
      <c r="N108" s="434" t="s">
        <v>481</v>
      </c>
      <c r="O108" s="434">
        <v>28</v>
      </c>
      <c r="P108" s="434">
        <v>4</v>
      </c>
      <c r="Q108" s="447">
        <v>18.399999999999999</v>
      </c>
      <c r="R108" s="434" t="s">
        <v>481</v>
      </c>
      <c r="S108" s="27">
        <v>38</v>
      </c>
      <c r="T108" s="436">
        <v>19.488188976377955</v>
      </c>
      <c r="U108" s="524">
        <v>110.23622047244095</v>
      </c>
      <c r="V108" s="387">
        <v>0.90606314529129695</v>
      </c>
    </row>
    <row r="109" spans="1:27">
      <c r="A109" s="27">
        <v>69</v>
      </c>
      <c r="B109" s="525" t="str">
        <f t="shared" si="5"/>
        <v>JOHN DEERE 7600 PowerShift MFWD_________ 112 pto hp</v>
      </c>
      <c r="C109" s="438">
        <v>111.59</v>
      </c>
      <c r="D109" s="434" t="s">
        <v>495</v>
      </c>
      <c r="E109" s="439" t="s">
        <v>568</v>
      </c>
      <c r="F109" s="439" t="s">
        <v>497</v>
      </c>
      <c r="G109" s="431" t="s">
        <v>552</v>
      </c>
      <c r="H109" s="434">
        <v>1665</v>
      </c>
      <c r="I109" s="438"/>
      <c r="J109" s="438">
        <v>5112</v>
      </c>
      <c r="K109" s="438">
        <v>10002</v>
      </c>
      <c r="L109" s="438">
        <v>2</v>
      </c>
      <c r="M109" s="438">
        <v>13.6</v>
      </c>
      <c r="N109" s="439" t="s">
        <v>481</v>
      </c>
      <c r="O109" s="438">
        <v>28</v>
      </c>
      <c r="P109" s="438">
        <v>2</v>
      </c>
      <c r="Q109" s="438">
        <v>18.399999999999999</v>
      </c>
      <c r="R109" s="439" t="s">
        <v>481</v>
      </c>
      <c r="S109" s="438">
        <v>38</v>
      </c>
      <c r="T109" s="438">
        <v>19.5</v>
      </c>
      <c r="U109" s="386">
        <v>110.2</v>
      </c>
      <c r="V109" s="387">
        <v>0.90100000000000002</v>
      </c>
    </row>
    <row r="110" spans="1:27">
      <c r="A110" s="27">
        <v>70</v>
      </c>
      <c r="B110" s="525" t="str">
        <f>CONCATENATE( LEFT(CONCATENATE(D110," ",E110," ",G110," ",F110,$W$5),40)," ",FIXED(C110,0)," pto hp")</f>
        <v>JOHN DEERE 7510, 16 SP,Quad-PPS  MFWD___ 115 pto hp</v>
      </c>
      <c r="C110" s="27">
        <v>115.07120999999999</v>
      </c>
      <c r="D110" s="27" t="s">
        <v>495</v>
      </c>
      <c r="E110" s="27" t="s">
        <v>571</v>
      </c>
      <c r="F110" s="27" t="s">
        <v>497</v>
      </c>
      <c r="H110" s="27">
        <v>5339</v>
      </c>
      <c r="I110" s="27" t="s">
        <v>529</v>
      </c>
      <c r="J110" s="522">
        <v>4724.4578000000001</v>
      </c>
      <c r="K110" s="522">
        <v>8730.2160000000003</v>
      </c>
      <c r="L110" s="27">
        <v>2</v>
      </c>
      <c r="M110" s="434">
        <v>14.9</v>
      </c>
      <c r="N110" s="27" t="s">
        <v>481</v>
      </c>
      <c r="O110" s="27">
        <v>28</v>
      </c>
      <c r="P110" s="27">
        <v>2</v>
      </c>
      <c r="Q110" s="447">
        <v>18.399999999999999</v>
      </c>
      <c r="R110" s="27" t="s">
        <v>481</v>
      </c>
      <c r="S110" s="27">
        <v>38</v>
      </c>
      <c r="T110" s="436">
        <v>22.047244094488189</v>
      </c>
      <c r="U110" s="524">
        <v>103.34645669291339</v>
      </c>
      <c r="V110" s="387">
        <v>0.95132631585494132</v>
      </c>
    </row>
    <row r="111" spans="1:27">
      <c r="A111" s="27">
        <v>71</v>
      </c>
      <c r="B111" s="525" t="str">
        <f t="shared" si="5"/>
        <v>JOHN DEERE 7610 Partial PowerShift MFWD_ 116 pto hp</v>
      </c>
      <c r="C111" s="438">
        <v>115.94</v>
      </c>
      <c r="D111" s="434" t="s">
        <v>495</v>
      </c>
      <c r="E111" s="439" t="s">
        <v>572</v>
      </c>
      <c r="F111" s="439" t="s">
        <v>497</v>
      </c>
      <c r="G111" s="433" t="s">
        <v>509</v>
      </c>
      <c r="H111" s="438">
        <v>1724</v>
      </c>
      <c r="I111" s="438"/>
      <c r="J111" s="438">
        <v>5070</v>
      </c>
      <c r="K111" s="438">
        <v>9575</v>
      </c>
      <c r="L111" s="438">
        <v>2</v>
      </c>
      <c r="M111" s="438">
        <v>13.6</v>
      </c>
      <c r="N111" s="439" t="s">
        <v>481</v>
      </c>
      <c r="O111" s="438">
        <v>28</v>
      </c>
      <c r="P111" s="438">
        <v>2</v>
      </c>
      <c r="Q111" s="438">
        <v>18.399999999999999</v>
      </c>
      <c r="R111" s="439" t="s">
        <v>481</v>
      </c>
      <c r="S111" s="438">
        <v>38</v>
      </c>
      <c r="T111" s="444">
        <v>21</v>
      </c>
      <c r="U111" s="386">
        <v>110.2</v>
      </c>
      <c r="V111" s="386">
        <v>0.96699999999999997</v>
      </c>
    </row>
    <row r="112" spans="1:27">
      <c r="A112" s="27">
        <v>72</v>
      </c>
      <c r="B112" s="525" t="str">
        <f>CONCATENATE( LEFT(CONCATENATE(D112," ",E112," ",G112," ",F112,$W$5),40)," ",FIXED(C112,0)," pto hp")</f>
        <v>JOHN DEERE 7610, 16 SP-PPS  MFWD________ 116 pto hp</v>
      </c>
      <c r="C112" s="434">
        <v>115.94286</v>
      </c>
      <c r="D112" s="434" t="s">
        <v>495</v>
      </c>
      <c r="E112" s="434" t="s">
        <v>573</v>
      </c>
      <c r="F112" s="434" t="s">
        <v>497</v>
      </c>
      <c r="G112" s="434"/>
      <c r="H112" s="434">
        <v>5224</v>
      </c>
      <c r="I112" s="434" t="s">
        <v>529</v>
      </c>
      <c r="J112" s="522">
        <v>5070.58</v>
      </c>
      <c r="K112" s="522">
        <v>9574.5778000000009</v>
      </c>
      <c r="L112" s="434">
        <v>2</v>
      </c>
      <c r="M112" s="434">
        <v>13.6</v>
      </c>
      <c r="N112" s="434" t="s">
        <v>481</v>
      </c>
      <c r="O112" s="434">
        <v>28</v>
      </c>
      <c r="P112" s="434">
        <v>2</v>
      </c>
      <c r="Q112" s="447">
        <v>18.399999999999999</v>
      </c>
      <c r="R112" s="434" t="s">
        <v>481</v>
      </c>
      <c r="S112" s="27">
        <v>38</v>
      </c>
      <c r="T112" s="436">
        <v>21.062992125984252</v>
      </c>
      <c r="U112" s="524">
        <v>110.23622047244095</v>
      </c>
      <c r="V112" s="387">
        <v>0.96217013067261536</v>
      </c>
    </row>
    <row r="113" spans="1:22">
      <c r="A113" s="27">
        <v>73</v>
      </c>
      <c r="B113" s="525" t="str">
        <f>CONCATENATE( LEFT(CONCATENATE(D113," ",E113," ",G113," ",F113,$W$5),40)," ",FIXED(C113,0)," pto hp")</f>
        <v>JOHN DEERE 7610-PS, 19-SP  MFWD_________ 116 pto hp</v>
      </c>
      <c r="C113" s="434">
        <v>115.95626999999999</v>
      </c>
      <c r="D113" s="434" t="s">
        <v>495</v>
      </c>
      <c r="E113" s="434" t="s">
        <v>574</v>
      </c>
      <c r="F113" s="434" t="s">
        <v>497</v>
      </c>
      <c r="G113" s="434"/>
      <c r="H113" s="434">
        <v>5225</v>
      </c>
      <c r="I113" s="434" t="s">
        <v>529</v>
      </c>
      <c r="J113" s="522">
        <v>5149.9456</v>
      </c>
      <c r="K113" s="522">
        <v>9814.8792000000012</v>
      </c>
      <c r="L113" s="434">
        <v>2</v>
      </c>
      <c r="M113" s="434">
        <v>13.6</v>
      </c>
      <c r="N113" s="434" t="s">
        <v>481</v>
      </c>
      <c r="O113" s="434">
        <v>28</v>
      </c>
      <c r="P113" s="434">
        <v>2</v>
      </c>
      <c r="Q113" s="447">
        <v>18.399999999999999</v>
      </c>
      <c r="R113" s="434" t="s">
        <v>481</v>
      </c>
      <c r="S113" s="27">
        <v>38</v>
      </c>
      <c r="T113" s="436">
        <v>21.062992125984252</v>
      </c>
      <c r="U113" s="524">
        <v>110.23622047244095</v>
      </c>
      <c r="V113" s="387">
        <v>0.89744922689273188</v>
      </c>
    </row>
    <row r="114" spans="1:22">
      <c r="A114" s="27">
        <v>74</v>
      </c>
      <c r="B114" s="525" t="str">
        <f t="shared" si="5"/>
        <v>JOHN DEERE 7610 PowerShift MFWD_________ 116 pto hp</v>
      </c>
      <c r="C114" s="443">
        <v>115.96</v>
      </c>
      <c r="D114" s="434" t="s">
        <v>495</v>
      </c>
      <c r="E114" s="439" t="s">
        <v>572</v>
      </c>
      <c r="F114" s="439" t="s">
        <v>497</v>
      </c>
      <c r="G114" s="431" t="s">
        <v>552</v>
      </c>
      <c r="H114" s="438">
        <v>1725</v>
      </c>
      <c r="I114" s="438"/>
      <c r="J114" s="438">
        <v>5150</v>
      </c>
      <c r="K114" s="438">
        <v>9815</v>
      </c>
      <c r="L114" s="438">
        <v>2</v>
      </c>
      <c r="M114" s="438">
        <v>13.6</v>
      </c>
      <c r="N114" s="439" t="s">
        <v>481</v>
      </c>
      <c r="O114" s="438">
        <v>28</v>
      </c>
      <c r="P114" s="438">
        <v>2</v>
      </c>
      <c r="Q114" s="438">
        <v>18.399999999999999</v>
      </c>
      <c r="R114" s="439" t="s">
        <v>481</v>
      </c>
      <c r="S114" s="438">
        <v>38</v>
      </c>
      <c r="T114" s="444">
        <v>21</v>
      </c>
      <c r="U114" s="386">
        <v>110.2</v>
      </c>
      <c r="V114" s="386">
        <v>0.89900000000000002</v>
      </c>
    </row>
    <row r="115" spans="1:22">
      <c r="A115" s="27">
        <v>75</v>
      </c>
      <c r="B115" s="525" t="str">
        <f t="shared" si="5"/>
        <v>JOHN DEERE 4250 Partial PowerShift 2WD__ 120 pto hp</v>
      </c>
      <c r="C115" s="432">
        <v>120.21</v>
      </c>
      <c r="D115" s="434" t="s">
        <v>495</v>
      </c>
      <c r="E115" s="431" t="s">
        <v>575</v>
      </c>
      <c r="F115" s="431" t="s">
        <v>507</v>
      </c>
      <c r="G115" s="433" t="s">
        <v>509</v>
      </c>
      <c r="H115" s="434">
        <v>1475</v>
      </c>
      <c r="I115" s="434"/>
      <c r="J115" s="435">
        <v>3699.99</v>
      </c>
      <c r="K115" s="435">
        <v>9671.1299999999992</v>
      </c>
      <c r="L115" s="434">
        <v>2</v>
      </c>
      <c r="M115" s="432">
        <v>11</v>
      </c>
      <c r="N115" s="431" t="s">
        <v>499</v>
      </c>
      <c r="O115" s="434">
        <v>16</v>
      </c>
      <c r="P115" s="434">
        <v>4</v>
      </c>
      <c r="Q115" s="434">
        <v>18.399999999999999</v>
      </c>
      <c r="R115" s="431" t="s">
        <v>500</v>
      </c>
      <c r="S115" s="434">
        <v>38</v>
      </c>
      <c r="T115" s="436">
        <v>24.015748031496063</v>
      </c>
      <c r="U115" s="385">
        <v>106.69291338582678</v>
      </c>
      <c r="V115" s="384">
        <v>0.97820712278543609</v>
      </c>
    </row>
    <row r="116" spans="1:22">
      <c r="A116" s="27">
        <v>76</v>
      </c>
      <c r="B116" s="525" t="str">
        <f>CONCATENATE( LEFT(CONCATENATE(D116," ",E116," ",G116," ",F116,$W$5),40)," ",FIXED(C116,0)," pto hp")</f>
        <v>JOHN DEERE 7610, 20-SP,Quad-PPS  MFWD___ 121 pto hp</v>
      </c>
      <c r="C116" s="27">
        <v>120.62295</v>
      </c>
      <c r="D116" s="27" t="s">
        <v>495</v>
      </c>
      <c r="E116" s="27" t="s">
        <v>576</v>
      </c>
      <c r="F116" s="27" t="s">
        <v>497</v>
      </c>
      <c r="H116" s="27">
        <v>5340</v>
      </c>
      <c r="I116" s="27" t="s">
        <v>532</v>
      </c>
      <c r="J116" s="522">
        <v>4989.0097999999998</v>
      </c>
      <c r="K116" s="522">
        <v>9724.490600000001</v>
      </c>
      <c r="L116" s="27">
        <v>2</v>
      </c>
      <c r="M116" s="434">
        <v>14.9</v>
      </c>
      <c r="N116" s="27" t="s">
        <v>481</v>
      </c>
      <c r="O116" s="27">
        <v>30</v>
      </c>
      <c r="P116" s="27">
        <v>4</v>
      </c>
      <c r="Q116" s="447">
        <v>18.399999999999999</v>
      </c>
      <c r="R116" s="27" t="s">
        <v>481</v>
      </c>
      <c r="S116" s="438">
        <v>42</v>
      </c>
      <c r="T116" s="436">
        <v>24.606299212598426</v>
      </c>
      <c r="U116" s="524">
        <v>110.23622047244095</v>
      </c>
      <c r="V116" s="387">
        <v>0.9787927161859733</v>
      </c>
    </row>
    <row r="117" spans="1:22">
      <c r="A117" s="27">
        <v>77</v>
      </c>
      <c r="B117" s="525" t="str">
        <f t="shared" si="5"/>
        <v>JOHN DEERE 4250 PowerShift 2WD__________ 121 pto hp</v>
      </c>
      <c r="C117" s="432">
        <v>120.87</v>
      </c>
      <c r="D117" s="434" t="s">
        <v>495</v>
      </c>
      <c r="E117" s="431" t="s">
        <v>575</v>
      </c>
      <c r="F117" s="431" t="s">
        <v>507</v>
      </c>
      <c r="G117" s="431" t="s">
        <v>552</v>
      </c>
      <c r="H117" s="434">
        <v>1458</v>
      </c>
      <c r="I117" s="434"/>
      <c r="J117" s="435">
        <v>3790.395</v>
      </c>
      <c r="K117" s="435">
        <v>10068.030000000001</v>
      </c>
      <c r="L117" s="434">
        <v>2</v>
      </c>
      <c r="M117" s="432">
        <v>11</v>
      </c>
      <c r="N117" s="431" t="s">
        <v>499</v>
      </c>
      <c r="O117" s="434">
        <v>16</v>
      </c>
      <c r="P117" s="434">
        <v>4</v>
      </c>
      <c r="Q117" s="434">
        <v>18.399999999999999</v>
      </c>
      <c r="R117" s="431" t="s">
        <v>500</v>
      </c>
      <c r="S117" s="434">
        <v>38</v>
      </c>
      <c r="T117" s="436">
        <v>24.606299212598426</v>
      </c>
      <c r="U117" s="385">
        <v>106.69291338582678</v>
      </c>
      <c r="V117" s="384">
        <v>0.94014351642222493</v>
      </c>
    </row>
    <row r="118" spans="1:22">
      <c r="A118" s="27">
        <v>78</v>
      </c>
      <c r="B118" s="525" t="str">
        <f t="shared" si="5"/>
        <v>JOHN DEERE 4255 PowerShift MFWD_________ 123 pto hp</v>
      </c>
      <c r="C118" s="432">
        <v>123.36</v>
      </c>
      <c r="D118" s="434" t="s">
        <v>495</v>
      </c>
      <c r="E118" s="431" t="s">
        <v>577</v>
      </c>
      <c r="F118" s="431" t="s">
        <v>497</v>
      </c>
      <c r="G118" s="431" t="s">
        <v>552</v>
      </c>
      <c r="H118" s="434">
        <v>5056</v>
      </c>
      <c r="I118" s="434"/>
      <c r="J118" s="435">
        <v>5355.9450000000006</v>
      </c>
      <c r="K118" s="435">
        <v>8696.52</v>
      </c>
      <c r="L118" s="434">
        <v>2</v>
      </c>
      <c r="M118" s="434">
        <v>14.9</v>
      </c>
      <c r="N118" s="431" t="s">
        <v>481</v>
      </c>
      <c r="O118" s="434">
        <v>26</v>
      </c>
      <c r="P118" s="434">
        <v>2</v>
      </c>
      <c r="Q118" s="434">
        <v>18.399999999999999</v>
      </c>
      <c r="R118" s="431" t="s">
        <v>481</v>
      </c>
      <c r="S118" s="434">
        <v>38</v>
      </c>
      <c r="T118" s="436">
        <v>16.929133858267718</v>
      </c>
      <c r="U118" s="385">
        <v>105.31496062992126</v>
      </c>
      <c r="V118" s="384">
        <v>0.91384786242923</v>
      </c>
    </row>
    <row r="119" spans="1:22">
      <c r="A119" s="27">
        <v>79</v>
      </c>
      <c r="B119" s="525" t="str">
        <f t="shared" si="5"/>
        <v>JOHN DEERE 4255 Partial PowerShift 2WD__ 124 pto hp</v>
      </c>
      <c r="C119" s="432">
        <v>123.68</v>
      </c>
      <c r="D119" s="434" t="s">
        <v>495</v>
      </c>
      <c r="E119" s="431" t="s">
        <v>577</v>
      </c>
      <c r="F119" s="431" t="s">
        <v>507</v>
      </c>
      <c r="G119" s="433" t="s">
        <v>509</v>
      </c>
      <c r="H119" s="434">
        <v>5065</v>
      </c>
      <c r="I119" s="434"/>
      <c r="J119" s="435">
        <v>3794.8050000000003</v>
      </c>
      <c r="K119" s="435">
        <v>8434.125</v>
      </c>
      <c r="L119" s="434">
        <v>2</v>
      </c>
      <c r="M119" s="432">
        <v>11</v>
      </c>
      <c r="N119" s="431" t="s">
        <v>499</v>
      </c>
      <c r="O119" s="434">
        <v>16</v>
      </c>
      <c r="P119" s="434">
        <v>2</v>
      </c>
      <c r="Q119" s="434">
        <v>18.399999999999999</v>
      </c>
      <c r="R119" s="431" t="s">
        <v>481</v>
      </c>
      <c r="S119" s="434">
        <v>38</v>
      </c>
      <c r="T119" s="436">
        <v>22.047244094488189</v>
      </c>
      <c r="U119" s="385">
        <v>106.69291338582678</v>
      </c>
      <c r="V119" s="384">
        <v>0.98121324186595771</v>
      </c>
    </row>
    <row r="120" spans="1:22">
      <c r="A120" s="27">
        <v>80</v>
      </c>
      <c r="B120" s="525" t="str">
        <f t="shared" ref="B120:B145" si="6">CONCATENATE( LEFT(CONCATENATE(D120," ",E120," ",G120," ",F120,$W$5),40)," ",FIXED(C120,0)," pto hp")</f>
        <v>JOHN DEERE 7700 PowerShift MFWD_________ 126 pto hp</v>
      </c>
      <c r="C120" s="443">
        <v>126.08</v>
      </c>
      <c r="D120" s="434" t="s">
        <v>495</v>
      </c>
      <c r="E120" s="439" t="s">
        <v>578</v>
      </c>
      <c r="F120" s="439" t="s">
        <v>497</v>
      </c>
      <c r="G120" s="431" t="s">
        <v>552</v>
      </c>
      <c r="H120" s="434">
        <v>1667</v>
      </c>
      <c r="I120" s="438"/>
      <c r="J120" s="438">
        <v>5360</v>
      </c>
      <c r="K120" s="438">
        <v>10145</v>
      </c>
      <c r="L120" s="438">
        <v>2</v>
      </c>
      <c r="M120" s="438">
        <v>14.9</v>
      </c>
      <c r="N120" s="439" t="s">
        <v>481</v>
      </c>
      <c r="O120" s="438">
        <v>30</v>
      </c>
      <c r="P120" s="438">
        <v>2</v>
      </c>
      <c r="Q120" s="438">
        <v>18.399999999999999</v>
      </c>
      <c r="R120" s="439" t="s">
        <v>481</v>
      </c>
      <c r="S120" s="438">
        <v>42</v>
      </c>
      <c r="T120" s="438">
        <v>21.5</v>
      </c>
      <c r="U120" s="386">
        <v>110.2</v>
      </c>
      <c r="V120" s="387">
        <v>0.95299999999999996</v>
      </c>
    </row>
    <row r="121" spans="1:22">
      <c r="A121" s="27">
        <v>81</v>
      </c>
      <c r="B121" s="525" t="str">
        <f>CONCATENATE( LEFT(CONCATENATE(D121," ",E121," ",G121," ",F121,$W$5),40)," ",FIXED(C121,0)," pto hp")</f>
        <v>JOHN DEERE 7700-PS 19 SP  MFWD__________ 126 pto hp</v>
      </c>
      <c r="C121" s="434">
        <v>126.08081999999999</v>
      </c>
      <c r="D121" s="434" t="s">
        <v>495</v>
      </c>
      <c r="E121" s="434" t="s">
        <v>579</v>
      </c>
      <c r="F121" s="434" t="s">
        <v>497</v>
      </c>
      <c r="G121" s="434"/>
      <c r="H121" s="434">
        <v>5134</v>
      </c>
      <c r="I121" s="434" t="s">
        <v>499</v>
      </c>
      <c r="J121" s="522">
        <v>5359.3825999999999</v>
      </c>
      <c r="K121" s="522">
        <v>10145.5692</v>
      </c>
      <c r="L121" s="434">
        <v>2</v>
      </c>
      <c r="M121" s="434">
        <v>14.9</v>
      </c>
      <c r="N121" s="434" t="s">
        <v>481</v>
      </c>
      <c r="O121" s="434">
        <v>30</v>
      </c>
      <c r="P121" s="434">
        <v>4</v>
      </c>
      <c r="Q121" s="447">
        <v>18.399999999999999</v>
      </c>
      <c r="R121" s="434" t="s">
        <v>481</v>
      </c>
      <c r="S121" s="438">
        <v>42</v>
      </c>
      <c r="T121" s="436">
        <v>22.440944881889767</v>
      </c>
      <c r="U121" s="524">
        <v>110.23622047244095</v>
      </c>
      <c r="V121" s="387">
        <v>0.95657218445601333</v>
      </c>
    </row>
    <row r="122" spans="1:22">
      <c r="A122" s="27">
        <v>82</v>
      </c>
      <c r="B122" s="525" t="str">
        <f>CONCATENATE( LEFT(CONCATENATE(D122," ",E122," ",G122," ",F122,$W$5),40)," ",FIXED(C122,0)," pto hp")</f>
        <v>JOHN DEERE 7700-QD 16 SP  MFWD__________ 126 pto hp</v>
      </c>
      <c r="C122" s="434">
        <v>126.08081999999999</v>
      </c>
      <c r="D122" s="434" t="s">
        <v>495</v>
      </c>
      <c r="E122" s="434" t="s">
        <v>580</v>
      </c>
      <c r="F122" s="434" t="s">
        <v>497</v>
      </c>
      <c r="G122" s="434"/>
      <c r="H122" s="434">
        <v>5133</v>
      </c>
      <c r="I122" s="434" t="s">
        <v>499</v>
      </c>
      <c r="J122" s="522">
        <v>5233.7204000000002</v>
      </c>
      <c r="K122" s="522">
        <v>9900.8586000000014</v>
      </c>
      <c r="L122" s="434">
        <v>2</v>
      </c>
      <c r="M122" s="434">
        <v>14.9</v>
      </c>
      <c r="N122" s="434" t="s">
        <v>481</v>
      </c>
      <c r="O122" s="434">
        <v>30</v>
      </c>
      <c r="P122" s="434">
        <v>4</v>
      </c>
      <c r="Q122" s="447">
        <v>18.399999999999999</v>
      </c>
      <c r="R122" s="434" t="s">
        <v>481</v>
      </c>
      <c r="S122" s="438">
        <v>42</v>
      </c>
      <c r="T122" s="436">
        <v>22.440944881889767</v>
      </c>
      <c r="U122" s="524">
        <v>110.23622047244095</v>
      </c>
      <c r="V122" s="387">
        <v>0.99129894446898259</v>
      </c>
    </row>
    <row r="123" spans="1:22">
      <c r="A123" s="27">
        <v>83</v>
      </c>
      <c r="B123" s="525" t="str">
        <f t="shared" si="6"/>
        <v>JOHN DEERE 4440 PowerShift 2WD__________ 130 pto hp</v>
      </c>
      <c r="C123" s="432">
        <v>130.41</v>
      </c>
      <c r="D123" s="434" t="s">
        <v>495</v>
      </c>
      <c r="E123" s="431" t="s">
        <v>581</v>
      </c>
      <c r="F123" s="431" t="s">
        <v>507</v>
      </c>
      <c r="G123" s="431" t="s">
        <v>552</v>
      </c>
      <c r="H123" s="434">
        <v>1357</v>
      </c>
      <c r="I123" s="434"/>
      <c r="J123" s="435">
        <v>3651.48</v>
      </c>
      <c r="K123" s="435">
        <v>9472.68</v>
      </c>
      <c r="L123" s="434">
        <v>2</v>
      </c>
      <c r="M123" s="432">
        <v>11</v>
      </c>
      <c r="N123" s="431" t="s">
        <v>499</v>
      </c>
      <c r="O123" s="434">
        <v>16</v>
      </c>
      <c r="P123" s="434">
        <v>4</v>
      </c>
      <c r="Q123" s="434">
        <v>18.399999999999999</v>
      </c>
      <c r="R123" s="431" t="s">
        <v>500</v>
      </c>
      <c r="S123" s="434">
        <v>38</v>
      </c>
      <c r="T123" s="436">
        <v>22.440944881889767</v>
      </c>
      <c r="U123" s="385">
        <v>106.65354330708662</v>
      </c>
      <c r="V123" s="384">
        <v>0.94634891961370105</v>
      </c>
    </row>
    <row r="124" spans="1:22">
      <c r="A124" s="27">
        <v>84</v>
      </c>
      <c r="B124" s="525" t="str">
        <f>CONCATENATE( LEFT(CONCATENATE(D124," ",E124," ",G124," ",F124,$W$5),40)," ",FIXED(C124,0)," pto hp")</f>
        <v>JOHN DEERE 7710, 16 SP-PPS  MFWD________ 131 pto hp</v>
      </c>
      <c r="C124" s="434">
        <v>130.78773000000001</v>
      </c>
      <c r="D124" s="434" t="s">
        <v>495</v>
      </c>
      <c r="E124" s="434" t="s">
        <v>582</v>
      </c>
      <c r="F124" s="434" t="s">
        <v>497</v>
      </c>
      <c r="G124" s="434"/>
      <c r="H124" s="434">
        <v>5226</v>
      </c>
      <c r="I124" s="434" t="s">
        <v>583</v>
      </c>
      <c r="J124" s="522">
        <v>5399.0654000000004</v>
      </c>
      <c r="K124" s="522">
        <v>9869.994200000001</v>
      </c>
      <c r="L124" s="434">
        <v>2</v>
      </c>
      <c r="M124" s="434">
        <v>14.9</v>
      </c>
      <c r="N124" s="434" t="s">
        <v>481</v>
      </c>
      <c r="O124" s="434">
        <v>30</v>
      </c>
      <c r="P124" s="434">
        <v>4</v>
      </c>
      <c r="Q124" s="447">
        <v>18.399999999999999</v>
      </c>
      <c r="R124" s="434" t="s">
        <v>481</v>
      </c>
      <c r="S124" s="438">
        <v>42</v>
      </c>
      <c r="T124" s="436">
        <v>22.047244094488189</v>
      </c>
      <c r="U124" s="524">
        <v>110.23622047244095</v>
      </c>
      <c r="V124" s="387">
        <v>0.97827178395057346</v>
      </c>
    </row>
    <row r="125" spans="1:22">
      <c r="A125" s="27">
        <v>85</v>
      </c>
      <c r="B125" s="525" t="str">
        <f t="shared" si="6"/>
        <v>JOHN DEERE 7710 Partial PowerShift MFWD_ 131 pto hp</v>
      </c>
      <c r="C125" s="443">
        <v>130.79</v>
      </c>
      <c r="D125" s="434" t="s">
        <v>495</v>
      </c>
      <c r="E125" s="439" t="s">
        <v>584</v>
      </c>
      <c r="F125" s="439" t="s">
        <v>497</v>
      </c>
      <c r="G125" s="433" t="s">
        <v>509</v>
      </c>
      <c r="H125" s="438">
        <v>1726</v>
      </c>
      <c r="I125" s="438"/>
      <c r="J125" s="438">
        <v>5400</v>
      </c>
      <c r="K125" s="438">
        <v>9870</v>
      </c>
      <c r="L125" s="438">
        <v>2</v>
      </c>
      <c r="M125" s="438">
        <v>14.9</v>
      </c>
      <c r="N125" s="439" t="s">
        <v>481</v>
      </c>
      <c r="O125" s="438">
        <v>30</v>
      </c>
      <c r="P125" s="438">
        <v>2</v>
      </c>
      <c r="Q125" s="438">
        <v>18.399999999999999</v>
      </c>
      <c r="R125" s="439" t="s">
        <v>481</v>
      </c>
      <c r="S125" s="438">
        <v>42</v>
      </c>
      <c r="T125" s="444">
        <v>21</v>
      </c>
      <c r="U125" s="386">
        <v>110.2</v>
      </c>
      <c r="V125" s="386">
        <v>0.97399999999999998</v>
      </c>
    </row>
    <row r="126" spans="1:22">
      <c r="A126" s="27">
        <v>86</v>
      </c>
      <c r="B126" s="525" t="str">
        <f>CONCATENATE( LEFT(CONCATENATE(D126," ",E126," ",G126," ",F126,$W$5),40)," ",FIXED(C126,0)," pto hp")</f>
        <v>JOHN DEERE 7710-PS, 19-SP  MFWD_________ 131 pto hp</v>
      </c>
      <c r="C126" s="434">
        <v>130.90842000000001</v>
      </c>
      <c r="D126" s="434" t="s">
        <v>495</v>
      </c>
      <c r="E126" s="434" t="s">
        <v>585</v>
      </c>
      <c r="F126" s="434" t="s">
        <v>497</v>
      </c>
      <c r="G126" s="434"/>
      <c r="H126" s="434">
        <v>5227</v>
      </c>
      <c r="I126" s="434" t="s">
        <v>583</v>
      </c>
      <c r="J126" s="522">
        <v>5509.2954</v>
      </c>
      <c r="K126" s="522">
        <v>10103.6818</v>
      </c>
      <c r="L126" s="434">
        <v>2</v>
      </c>
      <c r="M126" s="434">
        <v>14.9</v>
      </c>
      <c r="N126" s="434" t="s">
        <v>481</v>
      </c>
      <c r="O126" s="434">
        <v>30</v>
      </c>
      <c r="P126" s="434">
        <v>4</v>
      </c>
      <c r="Q126" s="447">
        <v>18.399999999999999</v>
      </c>
      <c r="R126" s="434" t="s">
        <v>481</v>
      </c>
      <c r="S126" s="438">
        <v>42</v>
      </c>
      <c r="T126" s="436">
        <v>22.047244094488189</v>
      </c>
      <c r="U126" s="524">
        <v>110.23622047244095</v>
      </c>
      <c r="V126" s="387">
        <v>0.91576295154338483</v>
      </c>
    </row>
    <row r="127" spans="1:22">
      <c r="A127" s="27">
        <v>87</v>
      </c>
      <c r="B127" s="525" t="str">
        <f t="shared" si="6"/>
        <v>JOHN DEERE 7710 PowerShift MFWD_________ 131 pto hp</v>
      </c>
      <c r="C127" s="443">
        <v>130.91</v>
      </c>
      <c r="D127" s="434" t="s">
        <v>495</v>
      </c>
      <c r="E127" s="439" t="s">
        <v>584</v>
      </c>
      <c r="F127" s="439" t="s">
        <v>497</v>
      </c>
      <c r="G127" s="431" t="s">
        <v>552</v>
      </c>
      <c r="H127" s="438">
        <v>1727</v>
      </c>
      <c r="I127" s="438"/>
      <c r="J127" s="438">
        <v>5510</v>
      </c>
      <c r="K127" s="438">
        <v>10104</v>
      </c>
      <c r="L127" s="438">
        <v>2</v>
      </c>
      <c r="M127" s="438">
        <v>14.9</v>
      </c>
      <c r="N127" s="439" t="s">
        <v>481</v>
      </c>
      <c r="O127" s="438">
        <v>30</v>
      </c>
      <c r="P127" s="438">
        <v>2</v>
      </c>
      <c r="Q127" s="438">
        <v>18.399999999999999</v>
      </c>
      <c r="R127" s="439" t="s">
        <v>481</v>
      </c>
      <c r="S127" s="438">
        <v>42</v>
      </c>
      <c r="T127" s="444">
        <v>21</v>
      </c>
      <c r="U127" s="386">
        <v>110.2</v>
      </c>
      <c r="V127" s="386">
        <v>0.95199999999999996</v>
      </c>
    </row>
    <row r="128" spans="1:22">
      <c r="A128" s="27">
        <v>88</v>
      </c>
      <c r="B128" s="525" t="str">
        <f>CONCATENATE( LEFT(CONCATENATE(D128," ",E128," ",G128," ",F128,$W$5),40)," ",FIXED(C128,0)," pto hp")</f>
        <v>JOHN DEERE 7710, 20-SP,Quad-PPS  MFWD___ 138 pto hp</v>
      </c>
      <c r="C128" s="27">
        <v>137.84139000000002</v>
      </c>
      <c r="D128" s="27" t="s">
        <v>495</v>
      </c>
      <c r="E128" s="27" t="s">
        <v>586</v>
      </c>
      <c r="F128" s="27" t="s">
        <v>497</v>
      </c>
      <c r="H128" s="27">
        <v>5341</v>
      </c>
      <c r="I128" s="27" t="s">
        <v>532</v>
      </c>
      <c r="J128" s="522">
        <v>5275.6078000000007</v>
      </c>
      <c r="K128" s="522">
        <v>9969.2012000000013</v>
      </c>
      <c r="L128" s="27">
        <v>2</v>
      </c>
      <c r="M128" s="434">
        <v>14.9</v>
      </c>
      <c r="N128" s="27" t="s">
        <v>481</v>
      </c>
      <c r="O128" s="27">
        <v>30</v>
      </c>
      <c r="P128" s="27">
        <v>4</v>
      </c>
      <c r="Q128" s="447">
        <v>18.399999999999999</v>
      </c>
      <c r="R128" s="27" t="s">
        <v>481</v>
      </c>
      <c r="S128" s="438">
        <v>42</v>
      </c>
      <c r="T128" s="436">
        <v>24.015748031496063</v>
      </c>
      <c r="U128" s="524">
        <v>110.23622047244095</v>
      </c>
      <c r="V128" s="387">
        <v>0.99354302326283372</v>
      </c>
    </row>
    <row r="129" spans="1:24">
      <c r="A129" s="27">
        <v>89</v>
      </c>
      <c r="B129" s="525" t="str">
        <f t="shared" si="6"/>
        <v>JOHN DEERE 4450 Partial PowerShift 2WD__ 140 pto hp</v>
      </c>
      <c r="C129" s="432">
        <v>140.32</v>
      </c>
      <c r="D129" s="434" t="s">
        <v>495</v>
      </c>
      <c r="E129" s="431" t="s">
        <v>587</v>
      </c>
      <c r="F129" s="431" t="s">
        <v>507</v>
      </c>
      <c r="G129" s="433" t="s">
        <v>509</v>
      </c>
      <c r="H129" s="434">
        <v>1476</v>
      </c>
      <c r="I129" s="434"/>
      <c r="J129" s="435">
        <v>3699.99</v>
      </c>
      <c r="K129" s="435">
        <v>10601.64</v>
      </c>
      <c r="L129" s="434">
        <v>2</v>
      </c>
      <c r="M129" s="432">
        <v>11</v>
      </c>
      <c r="N129" s="431" t="s">
        <v>499</v>
      </c>
      <c r="O129" s="434">
        <v>16</v>
      </c>
      <c r="P129" s="434">
        <v>4</v>
      </c>
      <c r="Q129" s="434">
        <v>18.399999999999999</v>
      </c>
      <c r="R129" s="431" t="s">
        <v>500</v>
      </c>
      <c r="S129" s="434">
        <v>38</v>
      </c>
      <c r="T129" s="436">
        <v>21.45669291338583</v>
      </c>
      <c r="U129" s="385">
        <v>106.69291338582678</v>
      </c>
      <c r="V129" s="384">
        <v>0.96443920985205378</v>
      </c>
    </row>
    <row r="130" spans="1:24">
      <c r="A130" s="27">
        <v>90</v>
      </c>
      <c r="B130" s="525" t="str">
        <f t="shared" si="6"/>
        <v>JOHN DEERE 4450 PowerShift 2WD__________ 140 pto hp</v>
      </c>
      <c r="C130" s="432">
        <v>140.43</v>
      </c>
      <c r="D130" s="434" t="s">
        <v>495</v>
      </c>
      <c r="E130" s="431" t="s">
        <v>587</v>
      </c>
      <c r="F130" s="431" t="s">
        <v>507</v>
      </c>
      <c r="G130" s="431" t="s">
        <v>552</v>
      </c>
      <c r="H130" s="434">
        <v>1459</v>
      </c>
      <c r="I130" s="434"/>
      <c r="J130" s="435">
        <v>3790.395</v>
      </c>
      <c r="K130" s="435">
        <v>11161.71</v>
      </c>
      <c r="L130" s="434">
        <v>2</v>
      </c>
      <c r="M130" s="432">
        <v>11</v>
      </c>
      <c r="N130" s="431" t="s">
        <v>499</v>
      </c>
      <c r="O130" s="434">
        <v>16</v>
      </c>
      <c r="P130" s="434">
        <v>4</v>
      </c>
      <c r="Q130" s="434">
        <v>18.399999999999999</v>
      </c>
      <c r="R130" s="431" t="s">
        <v>500</v>
      </c>
      <c r="S130" s="434">
        <v>38</v>
      </c>
      <c r="T130" s="436">
        <v>22.047244094488189</v>
      </c>
      <c r="U130" s="385">
        <v>106.69291338582678</v>
      </c>
      <c r="V130" s="384">
        <v>0.93871946813123275</v>
      </c>
      <c r="W130"/>
      <c r="X130"/>
    </row>
    <row r="131" spans="1:24">
      <c r="A131" s="27">
        <v>91</v>
      </c>
      <c r="B131" s="525" t="str">
        <f t="shared" si="6"/>
        <v>JOHN DEERE 4455 PowerShift MFWD_________ 142 pto hp</v>
      </c>
      <c r="C131" s="432">
        <v>141.6</v>
      </c>
      <c r="D131" s="434" t="s">
        <v>495</v>
      </c>
      <c r="E131" s="431" t="s">
        <v>588</v>
      </c>
      <c r="F131" s="431" t="s">
        <v>497</v>
      </c>
      <c r="G131" s="431" t="s">
        <v>552</v>
      </c>
      <c r="H131" s="434">
        <v>5057</v>
      </c>
      <c r="I131" s="434"/>
      <c r="J131" s="435">
        <v>5450.76</v>
      </c>
      <c r="K131" s="435">
        <v>9825.48</v>
      </c>
      <c r="L131" s="434">
        <v>2</v>
      </c>
      <c r="M131" s="434">
        <v>14.9</v>
      </c>
      <c r="N131" s="431" t="s">
        <v>481</v>
      </c>
      <c r="O131" s="434">
        <v>30</v>
      </c>
      <c r="P131" s="434">
        <v>2</v>
      </c>
      <c r="Q131" s="434">
        <v>18.399999999999999</v>
      </c>
      <c r="R131" s="431" t="s">
        <v>481</v>
      </c>
      <c r="S131" s="434">
        <v>42</v>
      </c>
      <c r="T131" s="436">
        <v>18.503937007874018</v>
      </c>
      <c r="U131" s="385">
        <v>105.31496062992126</v>
      </c>
      <c r="V131" s="384">
        <v>0.93548989845987673</v>
      </c>
      <c r="W131"/>
    </row>
    <row r="132" spans="1:24">
      <c r="A132" s="27">
        <v>92</v>
      </c>
      <c r="B132" s="525" t="str">
        <f t="shared" si="6"/>
        <v>JOHN DEERE 4455 Partial PowerShift 2WD__ 143 pto hp</v>
      </c>
      <c r="C132" s="432">
        <v>142.68</v>
      </c>
      <c r="D132" s="434" t="s">
        <v>495</v>
      </c>
      <c r="E132" s="431" t="s">
        <v>588</v>
      </c>
      <c r="F132" s="431" t="s">
        <v>507</v>
      </c>
      <c r="G132" s="433" t="s">
        <v>509</v>
      </c>
      <c r="H132" s="434">
        <v>5066</v>
      </c>
      <c r="I132" s="434"/>
      <c r="J132" s="435">
        <v>3841.11</v>
      </c>
      <c r="K132" s="435">
        <v>9477.09</v>
      </c>
      <c r="L132" s="434">
        <v>2</v>
      </c>
      <c r="M132" s="432">
        <v>11</v>
      </c>
      <c r="N132" s="431" t="s">
        <v>499</v>
      </c>
      <c r="O132" s="434">
        <v>16</v>
      </c>
      <c r="P132" s="434">
        <v>2</v>
      </c>
      <c r="Q132" s="434">
        <v>18.399999999999999</v>
      </c>
      <c r="R132" s="431" t="s">
        <v>481</v>
      </c>
      <c r="S132" s="434">
        <v>42</v>
      </c>
      <c r="T132" s="436">
        <v>25</v>
      </c>
      <c r="U132" s="385">
        <v>106.69291338582678</v>
      </c>
      <c r="V132" s="384">
        <v>0.97429384271489516</v>
      </c>
    </row>
    <row r="133" spans="1:24">
      <c r="A133" s="27">
        <v>93</v>
      </c>
      <c r="B133" s="525" t="str">
        <f t="shared" si="6"/>
        <v>JOHN DEERE 7800 PowerShift MFWD_________ 147 pto hp</v>
      </c>
      <c r="C133" s="443">
        <v>146.72999999999999</v>
      </c>
      <c r="D133" s="434" t="s">
        <v>495</v>
      </c>
      <c r="E133" s="439" t="s">
        <v>589</v>
      </c>
      <c r="F133" s="439" t="s">
        <v>497</v>
      </c>
      <c r="G133" s="431" t="s">
        <v>552</v>
      </c>
      <c r="H133" s="434">
        <v>1669</v>
      </c>
      <c r="I133" s="438"/>
      <c r="J133" s="438">
        <v>5350</v>
      </c>
      <c r="K133" s="438">
        <v>10210</v>
      </c>
      <c r="L133" s="438">
        <v>2</v>
      </c>
      <c r="M133" s="438">
        <v>14.9</v>
      </c>
      <c r="N133" s="439" t="s">
        <v>481</v>
      </c>
      <c r="O133" s="438">
        <v>30</v>
      </c>
      <c r="P133" s="438">
        <v>2</v>
      </c>
      <c r="Q133" s="438">
        <v>18.399999999999999</v>
      </c>
      <c r="R133" s="439" t="s">
        <v>481</v>
      </c>
      <c r="S133" s="438">
        <v>42</v>
      </c>
      <c r="T133" s="438">
        <v>21.5</v>
      </c>
      <c r="U133" s="386">
        <v>110.2</v>
      </c>
      <c r="V133" s="387">
        <v>0.93</v>
      </c>
    </row>
    <row r="134" spans="1:24">
      <c r="A134" s="27">
        <v>94</v>
      </c>
      <c r="B134" s="525" t="str">
        <f>CONCATENATE( LEFT(CONCATENATE(D134," ",E134," ",G134," ",F134,$W$5),40)," ",FIXED(C134,0)," pto hp")</f>
        <v>JOHN DEERE 7800-PS 19 SP  MFWD__________ 147 pto hp</v>
      </c>
      <c r="C134" s="434">
        <v>146.73222000000001</v>
      </c>
      <c r="D134" s="434" t="s">
        <v>495</v>
      </c>
      <c r="E134" s="434" t="s">
        <v>590</v>
      </c>
      <c r="F134" s="434" t="s">
        <v>497</v>
      </c>
      <c r="G134" s="434"/>
      <c r="H134" s="434">
        <v>5136</v>
      </c>
      <c r="I134" s="434" t="s">
        <v>499</v>
      </c>
      <c r="J134" s="522">
        <v>5350.5642000000007</v>
      </c>
      <c r="K134" s="522">
        <v>10209.5026</v>
      </c>
      <c r="L134" s="434">
        <v>2</v>
      </c>
      <c r="M134" s="434">
        <v>14.9</v>
      </c>
      <c r="N134" s="434" t="s">
        <v>481</v>
      </c>
      <c r="O134" s="434">
        <v>30</v>
      </c>
      <c r="P134" s="434">
        <v>4</v>
      </c>
      <c r="Q134" s="447">
        <v>18.399999999999999</v>
      </c>
      <c r="R134" s="434" t="s">
        <v>481</v>
      </c>
      <c r="S134" s="438">
        <v>42</v>
      </c>
      <c r="T134" s="436">
        <v>22.440944881889767</v>
      </c>
      <c r="U134" s="524">
        <v>110.23622047244095</v>
      </c>
      <c r="V134" s="387">
        <v>0.91448070358223821</v>
      </c>
    </row>
    <row r="135" spans="1:24">
      <c r="A135" s="27">
        <v>95</v>
      </c>
      <c r="B135" s="525" t="str">
        <f t="shared" si="6"/>
        <v>JOHN DEERE 7800 Partial PowerShift MFWD_ 147 pto hp</v>
      </c>
      <c r="C135" s="443">
        <v>147.08000000000001</v>
      </c>
      <c r="D135" s="434" t="s">
        <v>495</v>
      </c>
      <c r="E135" s="439" t="s">
        <v>589</v>
      </c>
      <c r="F135" s="439" t="s">
        <v>497</v>
      </c>
      <c r="G135" s="433" t="s">
        <v>509</v>
      </c>
      <c r="H135" s="434">
        <v>1668</v>
      </c>
      <c r="I135" s="438"/>
      <c r="J135" s="438">
        <v>5286</v>
      </c>
      <c r="K135" s="438">
        <v>9980</v>
      </c>
      <c r="L135" s="438">
        <v>2</v>
      </c>
      <c r="M135" s="438">
        <v>14.9</v>
      </c>
      <c r="N135" s="439" t="s">
        <v>481</v>
      </c>
      <c r="O135" s="438">
        <v>30</v>
      </c>
      <c r="P135" s="438">
        <v>2</v>
      </c>
      <c r="Q135" s="438">
        <v>18.399999999999999</v>
      </c>
      <c r="R135" s="439" t="s">
        <v>481</v>
      </c>
      <c r="S135" s="438">
        <v>42</v>
      </c>
      <c r="T135" s="438">
        <v>21.5</v>
      </c>
      <c r="U135" s="386">
        <v>110.2</v>
      </c>
      <c r="V135" s="387">
        <v>0.98699999999999999</v>
      </c>
    </row>
    <row r="136" spans="1:24">
      <c r="A136" s="27">
        <v>96</v>
      </c>
      <c r="B136" s="525" t="str">
        <f>CONCATENATE( LEFT(CONCATENATE(D136," ",E136," ",G136," ",F136,$W$5),40)," ",FIXED(C136,0)," pto hp")</f>
        <v>JOHN DEERE 7800-QD 16 SP  MFWD__________ 147 pto hp</v>
      </c>
      <c r="C136" s="434">
        <v>147.08088000000001</v>
      </c>
      <c r="D136" s="434" t="s">
        <v>495</v>
      </c>
      <c r="E136" s="434" t="s">
        <v>591</v>
      </c>
      <c r="F136" s="434" t="s">
        <v>497</v>
      </c>
      <c r="G136" s="434"/>
      <c r="H136" s="434">
        <v>5135</v>
      </c>
      <c r="I136" s="434" t="s">
        <v>499</v>
      </c>
      <c r="J136" s="522">
        <v>5286.6307999999999</v>
      </c>
      <c r="K136" s="522">
        <v>9980.2242000000006</v>
      </c>
      <c r="L136" s="434">
        <v>2</v>
      </c>
      <c r="M136" s="434">
        <v>14.9</v>
      </c>
      <c r="N136" s="434" t="s">
        <v>481</v>
      </c>
      <c r="O136" s="434">
        <v>30</v>
      </c>
      <c r="P136" s="434">
        <v>4</v>
      </c>
      <c r="Q136" s="447">
        <v>18.399999999999999</v>
      </c>
      <c r="R136" s="434" t="s">
        <v>481</v>
      </c>
      <c r="S136" s="438">
        <v>42</v>
      </c>
      <c r="T136" s="436">
        <v>22.440944881889767</v>
      </c>
      <c r="U136" s="524">
        <v>110.23622047244095</v>
      </c>
      <c r="V136" s="387">
        <v>0.97015935648394203</v>
      </c>
      <c r="W136"/>
    </row>
    <row r="137" spans="1:24">
      <c r="A137" s="27">
        <v>97</v>
      </c>
      <c r="B137" s="525" t="str">
        <f>CONCATENATE( LEFT(CONCATENATE(D137," ",E137," ",G137," ",F137,$W$5),40)," ",FIXED(C137,0)," pto hp")</f>
        <v>JOHN DEERE 7810-PS, 19-SP  MFWD_________ 150 pto hp</v>
      </c>
      <c r="C137" s="437">
        <v>150.16517999999999</v>
      </c>
      <c r="D137" s="437" t="s">
        <v>495</v>
      </c>
      <c r="E137" s="437" t="s">
        <v>592</v>
      </c>
      <c r="F137" s="437" t="s">
        <v>497</v>
      </c>
      <c r="G137" s="437"/>
      <c r="H137" s="437">
        <v>5229</v>
      </c>
      <c r="I137" s="437" t="s">
        <v>583</v>
      </c>
      <c r="J137" s="522">
        <v>5540.1598000000004</v>
      </c>
      <c r="K137" s="522">
        <v>10189.6612</v>
      </c>
      <c r="L137" s="437">
        <v>2</v>
      </c>
      <c r="M137" s="434">
        <v>14.9</v>
      </c>
      <c r="N137" s="437" t="s">
        <v>481</v>
      </c>
      <c r="O137" s="437">
        <v>30</v>
      </c>
      <c r="P137" s="437">
        <v>4</v>
      </c>
      <c r="Q137" s="447">
        <v>18.399999999999999</v>
      </c>
      <c r="R137" s="437" t="s">
        <v>481</v>
      </c>
      <c r="S137" s="438">
        <v>42</v>
      </c>
      <c r="T137" s="436">
        <v>22.047244094488189</v>
      </c>
      <c r="U137" s="524">
        <v>110.23622047244095</v>
      </c>
      <c r="V137" s="387">
        <v>0.90826108415538931</v>
      </c>
    </row>
    <row r="138" spans="1:24">
      <c r="A138" s="27">
        <v>98</v>
      </c>
      <c r="B138" s="525" t="str">
        <f t="shared" si="6"/>
        <v>JOHN DEERE 7810 PowerShift MFWD_________ 150 pto hp</v>
      </c>
      <c r="C138" s="443">
        <v>150.16999999999999</v>
      </c>
      <c r="D138" s="434" t="s">
        <v>495</v>
      </c>
      <c r="E138" s="439" t="s">
        <v>593</v>
      </c>
      <c r="F138" s="439" t="s">
        <v>497</v>
      </c>
      <c r="G138" s="431" t="s">
        <v>552</v>
      </c>
      <c r="H138" s="438">
        <v>1729</v>
      </c>
      <c r="I138" s="438"/>
      <c r="J138" s="438">
        <v>5540</v>
      </c>
      <c r="K138" s="438">
        <v>10190</v>
      </c>
      <c r="L138" s="438">
        <v>2</v>
      </c>
      <c r="M138" s="438">
        <v>14.9</v>
      </c>
      <c r="N138" s="439" t="s">
        <v>481</v>
      </c>
      <c r="O138" s="438">
        <v>30</v>
      </c>
      <c r="P138" s="438">
        <v>2</v>
      </c>
      <c r="Q138" s="438">
        <v>18.399999999999999</v>
      </c>
      <c r="R138" s="439" t="s">
        <v>481</v>
      </c>
      <c r="S138" s="438">
        <v>42</v>
      </c>
      <c r="T138" s="444">
        <v>21</v>
      </c>
      <c r="U138" s="386">
        <v>110.2</v>
      </c>
      <c r="V138" s="386">
        <v>0.94099999999999995</v>
      </c>
    </row>
    <row r="139" spans="1:24">
      <c r="A139" s="27">
        <v>99</v>
      </c>
      <c r="B139" s="525" t="str">
        <f>CONCATENATE( LEFT(CONCATENATE(D139," ",E139," ",G139," ",F139,$W$5),40)," ",FIXED(C139,0)," pto hp")</f>
        <v>JOHN DEERE 7810, 16-SP-PPS  MFWD________ 151 pto hp</v>
      </c>
      <c r="C139" s="434">
        <v>151.31844000000001</v>
      </c>
      <c r="D139" s="434" t="s">
        <v>495</v>
      </c>
      <c r="E139" s="434" t="s">
        <v>594</v>
      </c>
      <c r="F139" s="434" t="s">
        <v>497</v>
      </c>
      <c r="G139" s="434"/>
      <c r="H139" s="434">
        <v>5228</v>
      </c>
      <c r="I139" s="434" t="s">
        <v>583</v>
      </c>
      <c r="J139" s="522">
        <v>5410.0884000000005</v>
      </c>
      <c r="K139" s="522">
        <v>9969.2012000000013</v>
      </c>
      <c r="L139" s="434">
        <v>2</v>
      </c>
      <c r="M139" s="434">
        <v>14.9</v>
      </c>
      <c r="N139" s="434" t="s">
        <v>481</v>
      </c>
      <c r="O139" s="434">
        <v>30</v>
      </c>
      <c r="P139" s="434">
        <v>4</v>
      </c>
      <c r="Q139" s="447">
        <v>18.399999999999999</v>
      </c>
      <c r="R139" s="434" t="s">
        <v>481</v>
      </c>
      <c r="S139" s="438">
        <v>42</v>
      </c>
      <c r="T139" s="436">
        <v>22.047244094488189</v>
      </c>
      <c r="U139" s="524">
        <v>110.23622047244095</v>
      </c>
      <c r="V139" s="387">
        <v>0.97585505682496365</v>
      </c>
    </row>
    <row r="140" spans="1:24">
      <c r="A140" s="27">
        <v>100</v>
      </c>
      <c r="B140" s="525" t="str">
        <f t="shared" si="6"/>
        <v>JOHN DEERE 7810 Partial PowerShift MFWD_ 151 pto hp</v>
      </c>
      <c r="C140" s="443">
        <v>151.32</v>
      </c>
      <c r="D140" s="434" t="s">
        <v>495</v>
      </c>
      <c r="E140" s="439" t="s">
        <v>593</v>
      </c>
      <c r="F140" s="439" t="s">
        <v>497</v>
      </c>
      <c r="G140" s="433" t="s">
        <v>509</v>
      </c>
      <c r="H140" s="438">
        <v>1728</v>
      </c>
      <c r="I140" s="438"/>
      <c r="J140" s="438">
        <v>5410</v>
      </c>
      <c r="K140" s="438">
        <v>9970</v>
      </c>
      <c r="L140" s="438">
        <v>2</v>
      </c>
      <c r="M140" s="438">
        <v>14.9</v>
      </c>
      <c r="N140" s="439" t="s">
        <v>481</v>
      </c>
      <c r="O140" s="438">
        <v>30</v>
      </c>
      <c r="P140" s="438">
        <v>2</v>
      </c>
      <c r="Q140" s="438">
        <v>18.399999999999999</v>
      </c>
      <c r="R140" s="439" t="s">
        <v>481</v>
      </c>
      <c r="S140" s="438">
        <v>42</v>
      </c>
      <c r="T140" s="444">
        <v>21</v>
      </c>
      <c r="U140" s="386">
        <v>110.2</v>
      </c>
      <c r="V140" s="386">
        <v>0.97899999999999998</v>
      </c>
    </row>
    <row r="141" spans="1:24">
      <c r="A141" s="27">
        <v>101</v>
      </c>
      <c r="B141" s="525" t="str">
        <f t="shared" si="6"/>
        <v>JOHN DEERE 4640 PowerShift 2WD__________ 156 pto hp</v>
      </c>
      <c r="C141" s="432">
        <v>155.96</v>
      </c>
      <c r="D141" s="434" t="s">
        <v>495</v>
      </c>
      <c r="E141" s="431" t="s">
        <v>595</v>
      </c>
      <c r="F141" s="431" t="s">
        <v>507</v>
      </c>
      <c r="G141" s="431" t="s">
        <v>552</v>
      </c>
      <c r="H141" s="434">
        <v>1358</v>
      </c>
      <c r="I141" s="434"/>
      <c r="J141" s="435">
        <v>4350.4650000000001</v>
      </c>
      <c r="K141" s="435">
        <v>11432.925000000001</v>
      </c>
      <c r="L141" s="434">
        <v>2</v>
      </c>
      <c r="M141" s="432">
        <v>14</v>
      </c>
      <c r="N141" s="431" t="s">
        <v>499</v>
      </c>
      <c r="O141" s="434">
        <v>16.100000000000001</v>
      </c>
      <c r="P141" s="434">
        <v>4</v>
      </c>
      <c r="Q141" s="434">
        <v>18.399999999999999</v>
      </c>
      <c r="R141" s="431" t="s">
        <v>500</v>
      </c>
      <c r="S141" s="434">
        <v>42</v>
      </c>
      <c r="T141" s="436">
        <v>24.015748031496063</v>
      </c>
      <c r="U141" s="385">
        <v>118.46456692913387</v>
      </c>
      <c r="V141" s="384">
        <v>0.94991982524226737</v>
      </c>
      <c r="W141"/>
      <c r="X141"/>
    </row>
    <row r="142" spans="1:24">
      <c r="A142" s="27">
        <v>102</v>
      </c>
      <c r="B142" s="525" t="str">
        <f t="shared" si="6"/>
        <v>JOHN DEERE 4555 Partial PowerShift 2WD__ 157 pto hp</v>
      </c>
      <c r="C142" s="432">
        <v>156.83000000000001</v>
      </c>
      <c r="D142" s="434" t="s">
        <v>495</v>
      </c>
      <c r="E142" s="431" t="s">
        <v>596</v>
      </c>
      <c r="F142" s="431" t="s">
        <v>507</v>
      </c>
      <c r="G142" s="433" t="s">
        <v>509</v>
      </c>
      <c r="H142" s="434">
        <v>5067</v>
      </c>
      <c r="I142" s="434"/>
      <c r="J142" s="435">
        <v>4820.13</v>
      </c>
      <c r="K142" s="435">
        <v>11022.795</v>
      </c>
      <c r="L142" s="434">
        <v>2</v>
      </c>
      <c r="M142" s="432">
        <v>14</v>
      </c>
      <c r="N142" s="431" t="s">
        <v>499</v>
      </c>
      <c r="O142" s="434">
        <v>16.100000000000001</v>
      </c>
      <c r="P142" s="434">
        <v>2</v>
      </c>
      <c r="Q142" s="434">
        <v>18.399999999999999</v>
      </c>
      <c r="R142" s="431" t="s">
        <v>481</v>
      </c>
      <c r="S142" s="434">
        <v>42</v>
      </c>
      <c r="T142" s="436">
        <v>23.425196850393704</v>
      </c>
      <c r="U142" s="385">
        <v>118.50393700787403</v>
      </c>
      <c r="V142" s="384">
        <v>0.96497694787562238</v>
      </c>
    </row>
    <row r="143" spans="1:24">
      <c r="A143" s="27">
        <v>103</v>
      </c>
      <c r="B143" s="525" t="str">
        <f t="shared" si="6"/>
        <v>JOHN DEERE 4555 PowerShift MFWD_________ 157 pto hp</v>
      </c>
      <c r="C143" s="432">
        <v>156.88999999999999</v>
      </c>
      <c r="D143" s="434" t="s">
        <v>495</v>
      </c>
      <c r="E143" s="431" t="s">
        <v>596</v>
      </c>
      <c r="F143" s="431" t="s">
        <v>497</v>
      </c>
      <c r="G143" s="431" t="s">
        <v>552</v>
      </c>
      <c r="H143" s="434">
        <v>5058</v>
      </c>
      <c r="I143" s="434"/>
      <c r="J143" s="435">
        <v>6390.09</v>
      </c>
      <c r="K143" s="435">
        <v>11366.775</v>
      </c>
      <c r="L143" s="434">
        <v>2</v>
      </c>
      <c r="M143" s="434">
        <v>14.9</v>
      </c>
      <c r="N143" s="431" t="s">
        <v>481</v>
      </c>
      <c r="O143" s="434">
        <v>30</v>
      </c>
      <c r="P143" s="434">
        <v>2</v>
      </c>
      <c r="Q143" s="434">
        <v>18.399999999999999</v>
      </c>
      <c r="R143" s="431" t="s">
        <v>481</v>
      </c>
      <c r="S143" s="434">
        <v>42</v>
      </c>
      <c r="T143" s="436">
        <v>18.503937007874018</v>
      </c>
      <c r="U143" s="385">
        <v>117.08661417322836</v>
      </c>
      <c r="V143" s="384">
        <v>0.90550589909509482</v>
      </c>
    </row>
    <row r="144" spans="1:24">
      <c r="A144" s="27">
        <v>104</v>
      </c>
      <c r="B144" s="525" t="str">
        <f>CONCATENATE( LEFT(CONCATENATE(D144," ",E144," ",G144," ",F144,$W$5),40)," ",FIXED(C144,0)," pto hp")</f>
        <v>JOHN DEERE 8100-PS 16 SP  MFWD__________ 160 pto hp</v>
      </c>
      <c r="C144" s="434">
        <v>160.39700999999999</v>
      </c>
      <c r="D144" s="434" t="s">
        <v>495</v>
      </c>
      <c r="E144" s="434" t="s">
        <v>597</v>
      </c>
      <c r="F144" s="434" t="s">
        <v>497</v>
      </c>
      <c r="G144" s="434"/>
      <c r="H144" s="434">
        <v>5174</v>
      </c>
      <c r="I144" s="434" t="s">
        <v>500</v>
      </c>
      <c r="J144" s="522">
        <v>7720.5092000000004</v>
      </c>
      <c r="K144" s="522">
        <v>11358.099200000001</v>
      </c>
      <c r="L144" s="434">
        <v>2</v>
      </c>
      <c r="M144" s="434">
        <v>16.899999999999999</v>
      </c>
      <c r="N144" s="434" t="s">
        <v>481</v>
      </c>
      <c r="O144" s="434">
        <v>30</v>
      </c>
      <c r="P144" s="434">
        <v>4</v>
      </c>
      <c r="Q144" s="437">
        <v>20.8</v>
      </c>
      <c r="R144" s="434" t="s">
        <v>481</v>
      </c>
      <c r="S144" s="438">
        <v>42</v>
      </c>
      <c r="T144" s="436">
        <v>20.078740157480315</v>
      </c>
      <c r="U144" s="524">
        <v>116.14173228346458</v>
      </c>
      <c r="V144" s="387">
        <v>0.96200485721462448</v>
      </c>
    </row>
    <row r="145" spans="1:22">
      <c r="A145" s="27">
        <v>105</v>
      </c>
      <c r="B145" s="525" t="str">
        <f t="shared" si="6"/>
        <v>JOHN DEERE 8100 PowerShift MFWD_________ 160 pto hp</v>
      </c>
      <c r="C145" s="443">
        <v>160.4</v>
      </c>
      <c r="D145" s="434" t="s">
        <v>495</v>
      </c>
      <c r="E145" s="439" t="s">
        <v>598</v>
      </c>
      <c r="F145" s="439" t="s">
        <v>497</v>
      </c>
      <c r="G145" s="431" t="s">
        <v>552</v>
      </c>
      <c r="H145" s="438">
        <v>1688</v>
      </c>
      <c r="I145" s="438"/>
      <c r="J145" s="438">
        <v>7720</v>
      </c>
      <c r="K145" s="438">
        <v>11358</v>
      </c>
      <c r="L145" s="438">
        <v>2</v>
      </c>
      <c r="M145" s="438">
        <v>16.899999999999999</v>
      </c>
      <c r="N145" s="439" t="s">
        <v>481</v>
      </c>
      <c r="O145" s="438">
        <v>30</v>
      </c>
      <c r="P145" s="438">
        <v>2</v>
      </c>
      <c r="Q145" s="438">
        <v>20.8</v>
      </c>
      <c r="R145" s="439" t="s">
        <v>481</v>
      </c>
      <c r="S145" s="438">
        <v>42</v>
      </c>
      <c r="T145" s="444">
        <v>20</v>
      </c>
      <c r="U145" s="386">
        <v>116.1</v>
      </c>
      <c r="V145" s="387">
        <v>0.96199999999999997</v>
      </c>
    </row>
    <row r="146" spans="1:22">
      <c r="A146" s="27">
        <v>106</v>
      </c>
      <c r="B146" s="525" t="str">
        <f>CONCATENATE( LEFT(CONCATENATE(D146," ",E146," ",G146," ",F146,$W$5),40)," ",FIXED(C146,0)," pto hp")</f>
        <v>JOHN DEERE 8110, 16 PS  MFWD____________ 165 pto hp</v>
      </c>
      <c r="C146" s="437">
        <v>165.38552999999999</v>
      </c>
      <c r="D146" s="437" t="s">
        <v>495</v>
      </c>
      <c r="E146" s="437" t="s">
        <v>599</v>
      </c>
      <c r="F146" s="437" t="s">
        <v>497</v>
      </c>
      <c r="G146" s="437"/>
      <c r="H146" s="437">
        <v>5307</v>
      </c>
      <c r="I146" s="437" t="s">
        <v>600</v>
      </c>
      <c r="J146" s="522">
        <v>8679.5102000000006</v>
      </c>
      <c r="K146" s="522">
        <v>14429.107</v>
      </c>
      <c r="L146" s="437">
        <v>2</v>
      </c>
      <c r="M146" s="434">
        <v>14.9</v>
      </c>
      <c r="N146" s="437" t="s">
        <v>481</v>
      </c>
      <c r="O146" s="437">
        <v>34</v>
      </c>
      <c r="P146" s="437">
        <v>4</v>
      </c>
      <c r="Q146" s="447">
        <v>18.399999999999999</v>
      </c>
      <c r="R146" s="437" t="s">
        <v>481</v>
      </c>
      <c r="S146" s="437">
        <v>46</v>
      </c>
      <c r="T146" s="436">
        <v>22.047244094488189</v>
      </c>
      <c r="U146" s="524">
        <v>116.14173228346458</v>
      </c>
      <c r="V146" s="387">
        <v>1.0782341376801485</v>
      </c>
    </row>
    <row r="147" spans="1:22">
      <c r="A147" s="27">
        <v>107</v>
      </c>
      <c r="B147" s="525" t="str">
        <f t="shared" ref="B147:B173" si="7">CONCATENATE( LEFT(CONCATENATE(D147," ",E147," ",G147," ",F147,$W$5),40)," ",FIXED(C147,0)," pto hp")</f>
        <v>JOHN DEERE 4650 PowerShift 2WD__________ 166 pto hp</v>
      </c>
      <c r="C147" s="432">
        <v>165.52</v>
      </c>
      <c r="D147" s="434" t="s">
        <v>495</v>
      </c>
      <c r="E147" s="431" t="s">
        <v>601</v>
      </c>
      <c r="F147" s="431" t="s">
        <v>507</v>
      </c>
      <c r="G147" s="431" t="s">
        <v>552</v>
      </c>
      <c r="H147" s="434">
        <v>1460</v>
      </c>
      <c r="I147" s="434"/>
      <c r="J147" s="435">
        <v>4936.9949999999999</v>
      </c>
      <c r="K147" s="435">
        <v>13653.36</v>
      </c>
      <c r="L147" s="434">
        <v>2</v>
      </c>
      <c r="M147" s="432">
        <v>14</v>
      </c>
      <c r="N147" s="431" t="s">
        <v>499</v>
      </c>
      <c r="O147" s="434">
        <v>16.100000000000001</v>
      </c>
      <c r="P147" s="434">
        <v>4</v>
      </c>
      <c r="Q147" s="434">
        <v>20.8</v>
      </c>
      <c r="R147" s="431" t="s">
        <v>500</v>
      </c>
      <c r="S147" s="434">
        <v>38</v>
      </c>
      <c r="T147" s="436">
        <v>24.409448818897641</v>
      </c>
      <c r="U147" s="385">
        <v>118.50393700787403</v>
      </c>
      <c r="V147" s="384">
        <v>0.93612530135255545</v>
      </c>
    </row>
    <row r="148" spans="1:22">
      <c r="A148" s="27">
        <v>108</v>
      </c>
      <c r="B148" s="525" t="str">
        <f t="shared" si="7"/>
        <v>JOHN DEERE 4650 Partial PowerShift 2WD__ 166 pto hp</v>
      </c>
      <c r="C148" s="432">
        <v>165.7</v>
      </c>
      <c r="D148" s="434" t="s">
        <v>495</v>
      </c>
      <c r="E148" s="431" t="s">
        <v>601</v>
      </c>
      <c r="F148" s="431" t="s">
        <v>507</v>
      </c>
      <c r="G148" s="433" t="s">
        <v>509</v>
      </c>
      <c r="H148" s="434">
        <v>1477</v>
      </c>
      <c r="I148" s="434"/>
      <c r="J148" s="435">
        <v>4800.2849999999999</v>
      </c>
      <c r="K148" s="435">
        <v>13203.54</v>
      </c>
      <c r="L148" s="434">
        <v>2</v>
      </c>
      <c r="M148" s="432">
        <v>14</v>
      </c>
      <c r="N148" s="431" t="s">
        <v>499</v>
      </c>
      <c r="O148" s="434">
        <v>16.100000000000001</v>
      </c>
      <c r="P148" s="434">
        <v>4</v>
      </c>
      <c r="Q148" s="434">
        <v>20.8</v>
      </c>
      <c r="R148" s="431" t="s">
        <v>500</v>
      </c>
      <c r="S148" s="434">
        <v>38</v>
      </c>
      <c r="T148" s="436">
        <v>24.409448818897641</v>
      </c>
      <c r="U148" s="385">
        <v>118.50393700787403</v>
      </c>
      <c r="V148" s="384">
        <v>0.94983944773520679</v>
      </c>
    </row>
    <row r="149" spans="1:22">
      <c r="A149" s="27">
        <v>109</v>
      </c>
      <c r="B149" s="525" t="str">
        <f t="shared" si="7"/>
        <v>JOHN DEERE 4755 PowerShift MFWD_________ 177 pto hp</v>
      </c>
      <c r="C149" s="432">
        <v>177.07</v>
      </c>
      <c r="D149" s="434" t="s">
        <v>495</v>
      </c>
      <c r="E149" s="431" t="s">
        <v>602</v>
      </c>
      <c r="F149" s="431" t="s">
        <v>497</v>
      </c>
      <c r="G149" s="431" t="s">
        <v>552</v>
      </c>
      <c r="H149" s="434">
        <v>5059</v>
      </c>
      <c r="I149" s="434"/>
      <c r="J149" s="435">
        <v>6575.31</v>
      </c>
      <c r="K149" s="435">
        <v>11591.684999999999</v>
      </c>
      <c r="L149" s="434">
        <v>2</v>
      </c>
      <c r="M149" s="434">
        <v>16.899999999999999</v>
      </c>
      <c r="N149" s="431" t="s">
        <v>481</v>
      </c>
      <c r="O149" s="434">
        <v>30</v>
      </c>
      <c r="P149" s="434">
        <v>2</v>
      </c>
      <c r="Q149" s="434">
        <v>20.8</v>
      </c>
      <c r="R149" s="431" t="s">
        <v>481</v>
      </c>
      <c r="S149" s="434">
        <v>42</v>
      </c>
      <c r="T149" s="436">
        <v>19.094488188976378</v>
      </c>
      <c r="U149" s="385">
        <v>117.08661417322836</v>
      </c>
      <c r="V149" s="384">
        <v>0.90218361348321963</v>
      </c>
    </row>
    <row r="150" spans="1:22">
      <c r="A150" s="27">
        <v>110</v>
      </c>
      <c r="B150" s="525" t="str">
        <f t="shared" si="7"/>
        <v>JOHN DEERE 4755 Partial PowerShift 2WD__ 177 pto hp</v>
      </c>
      <c r="C150" s="432">
        <v>177.11</v>
      </c>
      <c r="D150" s="434" t="s">
        <v>495</v>
      </c>
      <c r="E150" s="431" t="s">
        <v>602</v>
      </c>
      <c r="F150" s="431" t="s">
        <v>507</v>
      </c>
      <c r="G150" s="433" t="s">
        <v>509</v>
      </c>
      <c r="H150" s="434">
        <v>5068</v>
      </c>
      <c r="I150" s="434"/>
      <c r="J150" s="435">
        <v>4866.4350000000004</v>
      </c>
      <c r="K150" s="435">
        <v>11166.12</v>
      </c>
      <c r="L150" s="434">
        <v>2</v>
      </c>
      <c r="M150" s="432">
        <v>14</v>
      </c>
      <c r="N150" s="431" t="s">
        <v>499</v>
      </c>
      <c r="O150" s="434">
        <v>16.100000000000001</v>
      </c>
      <c r="P150" s="434">
        <v>2</v>
      </c>
      <c r="Q150" s="434">
        <v>20.8</v>
      </c>
      <c r="R150" s="431" t="s">
        <v>481</v>
      </c>
      <c r="S150" s="434">
        <v>42</v>
      </c>
      <c r="T150" s="436">
        <v>25.590551181102363</v>
      </c>
      <c r="U150" s="385">
        <v>118.50393700787403</v>
      </c>
      <c r="V150" s="384">
        <v>0.95813235814750164</v>
      </c>
    </row>
    <row r="151" spans="1:22">
      <c r="A151" s="27">
        <v>111</v>
      </c>
      <c r="B151" s="525" t="str">
        <f>CONCATENATE( LEFT(CONCATENATE(D151," ",E151," ",G151," ",F151,$W$5),40)," ",FIXED(C151,0)," pto hp")</f>
        <v>JOHN DEERE 8200-PS 16 SP  MFWD__________ 182 pto hp</v>
      </c>
      <c r="C151" s="434">
        <v>181.7055</v>
      </c>
      <c r="D151" s="434" t="s">
        <v>495</v>
      </c>
      <c r="E151" s="434" t="s">
        <v>603</v>
      </c>
      <c r="F151" s="434" t="s">
        <v>497</v>
      </c>
      <c r="G151" s="434"/>
      <c r="H151" s="434">
        <v>5175</v>
      </c>
      <c r="I151" s="434" t="s">
        <v>500</v>
      </c>
      <c r="J151" s="522">
        <v>7676.4172000000008</v>
      </c>
      <c r="K151" s="522">
        <v>11417.6234</v>
      </c>
      <c r="L151" s="434">
        <v>2</v>
      </c>
      <c r="M151" s="434">
        <v>16.899999999999999</v>
      </c>
      <c r="N151" s="434" t="s">
        <v>481</v>
      </c>
      <c r="O151" s="434">
        <v>30</v>
      </c>
      <c r="P151" s="434">
        <v>4</v>
      </c>
      <c r="Q151" s="437">
        <v>20.8</v>
      </c>
      <c r="R151" s="434" t="s">
        <v>481</v>
      </c>
      <c r="S151" s="438">
        <v>42</v>
      </c>
      <c r="T151" s="436">
        <v>20.078740157480315</v>
      </c>
      <c r="U151" s="524">
        <v>116.14173228346458</v>
      </c>
      <c r="V151" s="387">
        <v>0.96996870567290827</v>
      </c>
    </row>
    <row r="152" spans="1:22">
      <c r="A152" s="27">
        <v>112</v>
      </c>
      <c r="B152" s="525" t="str">
        <f t="shared" si="7"/>
        <v>JOHN DEERE 8200 PowerShift MFWD_________ 182 pto hp</v>
      </c>
      <c r="C152" s="443">
        <v>181.71</v>
      </c>
      <c r="D152" s="434" t="s">
        <v>495</v>
      </c>
      <c r="E152" s="439" t="s">
        <v>604</v>
      </c>
      <c r="F152" s="439" t="s">
        <v>497</v>
      </c>
      <c r="G152" s="431" t="s">
        <v>552</v>
      </c>
      <c r="H152" s="438">
        <v>1689</v>
      </c>
      <c r="I152" s="438"/>
      <c r="J152" s="438">
        <v>7676</v>
      </c>
      <c r="K152" s="438">
        <v>11418</v>
      </c>
      <c r="L152" s="438">
        <v>2</v>
      </c>
      <c r="M152" s="438">
        <v>16.899999999999999</v>
      </c>
      <c r="N152" s="439" t="s">
        <v>481</v>
      </c>
      <c r="O152" s="438">
        <v>30</v>
      </c>
      <c r="P152" s="438">
        <v>2</v>
      </c>
      <c r="Q152" s="438">
        <v>20.8</v>
      </c>
      <c r="R152" s="439" t="s">
        <v>481</v>
      </c>
      <c r="S152" s="438">
        <v>42</v>
      </c>
      <c r="T152" s="444">
        <v>20.5</v>
      </c>
      <c r="U152" s="386">
        <v>116.1</v>
      </c>
      <c r="V152" s="387">
        <v>0.95099999999999996</v>
      </c>
    </row>
    <row r="153" spans="1:22">
      <c r="A153" s="27">
        <v>113</v>
      </c>
      <c r="B153" s="525" t="str">
        <f t="shared" si="7"/>
        <v>JOHN DEERE 8450 Partial PowerShift 4WD__ 187 pto hp</v>
      </c>
      <c r="C153" s="432">
        <v>186.98</v>
      </c>
      <c r="D153" s="434" t="s">
        <v>495</v>
      </c>
      <c r="E153" s="431" t="s">
        <v>605</v>
      </c>
      <c r="F153" s="431" t="s">
        <v>606</v>
      </c>
      <c r="G153" s="433" t="s">
        <v>509</v>
      </c>
      <c r="H153" s="434">
        <v>1436</v>
      </c>
      <c r="I153" s="434"/>
      <c r="J153" s="435">
        <v>14923.44</v>
      </c>
      <c r="K153" s="435">
        <v>14233.275</v>
      </c>
      <c r="L153" s="434">
        <v>4</v>
      </c>
      <c r="M153" s="434">
        <v>20.8</v>
      </c>
      <c r="N153" s="431" t="s">
        <v>500</v>
      </c>
      <c r="O153" s="434">
        <v>38</v>
      </c>
      <c r="P153" s="434">
        <v>4</v>
      </c>
      <c r="Q153" s="434">
        <v>20.8</v>
      </c>
      <c r="R153" s="431" t="s">
        <v>500</v>
      </c>
      <c r="S153" s="434">
        <v>38</v>
      </c>
      <c r="T153" s="436">
        <v>17.519685039370081</v>
      </c>
      <c r="U153" s="385">
        <v>125</v>
      </c>
      <c r="V153" s="384">
        <v>1.0160285796805912</v>
      </c>
    </row>
    <row r="154" spans="1:22">
      <c r="A154" s="27">
        <v>114</v>
      </c>
      <c r="B154" s="525" t="str">
        <f>CONCATENATE( LEFT(CONCATENATE(D154," ",E154," ",G154," ",F154,$W$5),40)," ",FIXED(C154,0)," pto hp")</f>
        <v>JOHN DEERE 8210, 16 PS  MFWD____________ 187 pto hp</v>
      </c>
      <c r="C154" s="437">
        <v>187.28405999999998</v>
      </c>
      <c r="D154" s="437" t="s">
        <v>495</v>
      </c>
      <c r="E154" s="437" t="s">
        <v>607</v>
      </c>
      <c r="F154" s="437" t="s">
        <v>497</v>
      </c>
      <c r="G154" s="437"/>
      <c r="H154" s="437">
        <v>5308</v>
      </c>
      <c r="I154" s="437" t="s">
        <v>600</v>
      </c>
      <c r="J154" s="522">
        <v>9254.9107999999997</v>
      </c>
      <c r="K154" s="522">
        <v>15249.218200000001</v>
      </c>
      <c r="L154" s="437">
        <v>2</v>
      </c>
      <c r="M154" s="434">
        <v>14.9</v>
      </c>
      <c r="N154" s="437" t="s">
        <v>481</v>
      </c>
      <c r="O154" s="437">
        <v>34</v>
      </c>
      <c r="P154" s="437">
        <v>4</v>
      </c>
      <c r="Q154" s="447">
        <v>18.399999999999999</v>
      </c>
      <c r="R154" s="437" t="s">
        <v>481</v>
      </c>
      <c r="S154" s="437">
        <v>46</v>
      </c>
      <c r="T154" s="436">
        <v>22.047244094488189</v>
      </c>
      <c r="U154" s="524">
        <v>116.14173228346458</v>
      </c>
      <c r="V154" s="387">
        <v>0.95348730144451699</v>
      </c>
    </row>
    <row r="155" spans="1:22">
      <c r="A155" s="27">
        <v>115</v>
      </c>
      <c r="B155" s="525" t="str">
        <f t="shared" si="7"/>
        <v>JOHN DEERE 4850 PowerShift 2WD__________ 193 pto hp</v>
      </c>
      <c r="C155" s="432">
        <v>192.99</v>
      </c>
      <c r="D155" s="434" t="s">
        <v>495</v>
      </c>
      <c r="E155" s="431" t="s">
        <v>608</v>
      </c>
      <c r="F155" s="431" t="s">
        <v>507</v>
      </c>
      <c r="G155" s="431" t="s">
        <v>552</v>
      </c>
      <c r="H155" s="434">
        <v>1461</v>
      </c>
      <c r="I155" s="434"/>
      <c r="J155" s="435">
        <v>4970.07</v>
      </c>
      <c r="K155" s="435">
        <v>13752.585000000001</v>
      </c>
      <c r="L155" s="434">
        <v>2</v>
      </c>
      <c r="M155" s="432">
        <v>14</v>
      </c>
      <c r="N155" s="431" t="s">
        <v>499</v>
      </c>
      <c r="O155" s="434">
        <v>16.100000000000001</v>
      </c>
      <c r="P155" s="434">
        <v>4</v>
      </c>
      <c r="Q155" s="434">
        <v>20.8</v>
      </c>
      <c r="R155" s="431" t="s">
        <v>500</v>
      </c>
      <c r="S155" s="434">
        <v>38</v>
      </c>
      <c r="T155" s="436">
        <v>24.409448818897641</v>
      </c>
      <c r="U155" s="385">
        <v>118.50393700787403</v>
      </c>
      <c r="V155" s="384">
        <v>0.95945852043413016</v>
      </c>
    </row>
    <row r="156" spans="1:22">
      <c r="A156" s="27">
        <v>116</v>
      </c>
      <c r="B156" s="525" t="str">
        <f t="shared" si="7"/>
        <v>JOHN DEERE 8560 Partial PowerShift 4WD__ 203 pto hp</v>
      </c>
      <c r="C156" s="432">
        <v>202.66</v>
      </c>
      <c r="D156" s="434" t="s">
        <v>495</v>
      </c>
      <c r="E156" s="431" t="s">
        <v>609</v>
      </c>
      <c r="F156" s="431" t="s">
        <v>606</v>
      </c>
      <c r="G156" s="433" t="s">
        <v>509</v>
      </c>
      <c r="H156" s="434">
        <v>5061</v>
      </c>
      <c r="I156" s="434"/>
      <c r="J156" s="435">
        <v>17662.05</v>
      </c>
      <c r="K156" s="435">
        <v>14418.495000000001</v>
      </c>
      <c r="L156" s="434">
        <v>4</v>
      </c>
      <c r="M156" s="434">
        <v>18.399999999999999</v>
      </c>
      <c r="N156" s="431" t="s">
        <v>481</v>
      </c>
      <c r="O156" s="434">
        <v>42</v>
      </c>
      <c r="P156" s="434">
        <v>4</v>
      </c>
      <c r="Q156" s="434">
        <v>18.399999999999999</v>
      </c>
      <c r="R156" s="431" t="s">
        <v>481</v>
      </c>
      <c r="S156" s="434">
        <v>42</v>
      </c>
      <c r="T156" s="436">
        <v>17.913385826771655</v>
      </c>
      <c r="U156" s="385">
        <v>133.85826771653544</v>
      </c>
      <c r="V156" s="384">
        <v>0.96418811612035538</v>
      </c>
    </row>
    <row r="157" spans="1:22">
      <c r="A157" s="27">
        <v>117</v>
      </c>
      <c r="B157" s="525" t="str">
        <f t="shared" si="7"/>
        <v>JOHN DEERE 4955 PowerShift MFWD_________ 203 pto hp</v>
      </c>
      <c r="C157" s="432">
        <v>202.74</v>
      </c>
      <c r="D157" s="434" t="s">
        <v>495</v>
      </c>
      <c r="E157" s="431" t="s">
        <v>610</v>
      </c>
      <c r="F157" s="431" t="s">
        <v>497</v>
      </c>
      <c r="G157" s="431" t="s">
        <v>552</v>
      </c>
      <c r="H157" s="434">
        <v>5060</v>
      </c>
      <c r="I157" s="434"/>
      <c r="J157" s="435">
        <v>6540.03</v>
      </c>
      <c r="K157" s="435">
        <v>11832.03</v>
      </c>
      <c r="L157" s="434">
        <v>2</v>
      </c>
      <c r="M157" s="434">
        <v>16.899999999999999</v>
      </c>
      <c r="N157" s="431" t="s">
        <v>481</v>
      </c>
      <c r="O157" s="434">
        <v>30</v>
      </c>
      <c r="P157" s="434">
        <v>2</v>
      </c>
      <c r="Q157" s="434">
        <v>20.8</v>
      </c>
      <c r="R157" s="431" t="s">
        <v>481</v>
      </c>
      <c r="S157" s="434">
        <v>42</v>
      </c>
      <c r="T157" s="436">
        <v>19.488188976377955</v>
      </c>
      <c r="U157" s="385">
        <v>117.08661417322836</v>
      </c>
      <c r="V157" s="384">
        <v>0.94106542049391628</v>
      </c>
    </row>
    <row r="158" spans="1:22">
      <c r="A158" s="27">
        <v>118</v>
      </c>
      <c r="B158" s="525" t="str">
        <f t="shared" si="7"/>
        <v>JOHN DEERE 8300 PowerShift MFWD_________ 203 pto hp</v>
      </c>
      <c r="C158" s="443">
        <v>202.92</v>
      </c>
      <c r="D158" s="434" t="s">
        <v>495</v>
      </c>
      <c r="E158" s="439" t="s">
        <v>611</v>
      </c>
      <c r="F158" s="439" t="s">
        <v>497</v>
      </c>
      <c r="G158" s="431" t="s">
        <v>552</v>
      </c>
      <c r="H158" s="438">
        <v>1690</v>
      </c>
      <c r="I158" s="438"/>
      <c r="J158" s="438">
        <v>7662</v>
      </c>
      <c r="K158" s="438">
        <v>11460</v>
      </c>
      <c r="L158" s="438">
        <v>2</v>
      </c>
      <c r="M158" s="438">
        <v>16.899999999999999</v>
      </c>
      <c r="N158" s="439" t="s">
        <v>481</v>
      </c>
      <c r="O158" s="438">
        <v>30</v>
      </c>
      <c r="P158" s="438">
        <v>2</v>
      </c>
      <c r="Q158" s="438">
        <v>20.8</v>
      </c>
      <c r="R158" s="439" t="s">
        <v>481</v>
      </c>
      <c r="S158" s="438">
        <v>42</v>
      </c>
      <c r="T158" s="436">
        <v>20</v>
      </c>
      <c r="U158" s="386">
        <v>116.1</v>
      </c>
      <c r="V158" s="387">
        <v>0.95199999999999996</v>
      </c>
    </row>
    <row r="159" spans="1:22">
      <c r="A159" s="27">
        <v>119</v>
      </c>
      <c r="B159" s="525" t="str">
        <f>CONCATENATE( LEFT(CONCATENATE(D159," ",E159," ",G159," ",F159,$W$5),40)," ",FIXED(C159,0)," pto hp")</f>
        <v>JOHN DEERE 8300-PS 16 SP  MFWD__________ 203 pto hp</v>
      </c>
      <c r="C159" s="434">
        <v>202.92012</v>
      </c>
      <c r="D159" s="434" t="s">
        <v>495</v>
      </c>
      <c r="E159" s="434" t="s">
        <v>612</v>
      </c>
      <c r="F159" s="434" t="s">
        <v>497</v>
      </c>
      <c r="G159" s="434"/>
      <c r="H159" s="434">
        <v>5176</v>
      </c>
      <c r="I159" s="434" t="s">
        <v>500</v>
      </c>
      <c r="J159" s="522">
        <v>7660.9850000000006</v>
      </c>
      <c r="K159" s="522">
        <v>11459.5108</v>
      </c>
      <c r="L159" s="434">
        <v>2</v>
      </c>
      <c r="M159" s="434">
        <v>16.899999999999999</v>
      </c>
      <c r="N159" s="434" t="s">
        <v>481</v>
      </c>
      <c r="O159" s="434">
        <v>30</v>
      </c>
      <c r="P159" s="434">
        <v>4</v>
      </c>
      <c r="Q159" s="437">
        <v>20.8</v>
      </c>
      <c r="R159" s="434" t="s">
        <v>481</v>
      </c>
      <c r="S159" s="438">
        <v>42</v>
      </c>
      <c r="T159" s="436">
        <v>20.078740157480315</v>
      </c>
      <c r="U159" s="524">
        <v>116.14173228346458</v>
      </c>
      <c r="V159" s="387">
        <v>0.96365971962733876</v>
      </c>
    </row>
    <row r="160" spans="1:22">
      <c r="A160" s="27">
        <v>120</v>
      </c>
      <c r="B160" s="525" t="str">
        <f>CONCATENATE( LEFT(CONCATENATE(D160," ",E160," ",G160," ",F160,$W$5),40)," ",FIXED(C160,0)," pto hp")</f>
        <v>JOHN DEERE 8310, 16 PS  MFWD____________ 207 pto hp</v>
      </c>
      <c r="C160" s="437">
        <v>207.25155000000001</v>
      </c>
      <c r="D160" s="437" t="s">
        <v>495</v>
      </c>
      <c r="E160" s="437" t="s">
        <v>613</v>
      </c>
      <c r="F160" s="437" t="s">
        <v>497</v>
      </c>
      <c r="G160" s="437"/>
      <c r="H160" s="437">
        <v>5310</v>
      </c>
      <c r="I160" s="437" t="s">
        <v>600</v>
      </c>
      <c r="J160" s="522">
        <v>10449.804</v>
      </c>
      <c r="K160" s="522">
        <v>16715.2772</v>
      </c>
      <c r="L160" s="437">
        <v>2</v>
      </c>
      <c r="M160" s="437">
        <v>480</v>
      </c>
      <c r="N160" s="523" t="s">
        <v>614</v>
      </c>
      <c r="O160" s="437">
        <v>30</v>
      </c>
      <c r="P160" s="437">
        <v>4</v>
      </c>
      <c r="Q160" s="437">
        <v>620</v>
      </c>
      <c r="R160" s="485" t="s">
        <v>614</v>
      </c>
      <c r="S160" s="438">
        <v>42</v>
      </c>
      <c r="T160" s="436">
        <v>20.472440944881892</v>
      </c>
      <c r="U160" s="524">
        <v>116.14173228346458</v>
      </c>
      <c r="V160" s="387">
        <v>1.0784126955996358</v>
      </c>
    </row>
    <row r="161" spans="1:22">
      <c r="A161" s="27">
        <v>121</v>
      </c>
      <c r="B161" s="525" t="str">
        <f>CONCATENATE( LEFT(CONCATENATE(D161," ",E161," ",G161," ",F161,$W$5),40)," ",FIXED(C161,0)," pto hp")</f>
        <v>JOHN DEERE 8570-PS 24/12 PPS  4WD_______ 208 pto hp</v>
      </c>
      <c r="C161" s="434">
        <v>208.20365999999999</v>
      </c>
      <c r="D161" s="434" t="s">
        <v>495</v>
      </c>
      <c r="E161" s="434" t="s">
        <v>615</v>
      </c>
      <c r="F161" s="434" t="s">
        <v>606</v>
      </c>
      <c r="G161" s="434"/>
      <c r="H161" s="434">
        <v>5138</v>
      </c>
      <c r="I161" s="434">
        <v>0</v>
      </c>
      <c r="J161" s="522">
        <v>17370.043400000002</v>
      </c>
      <c r="K161" s="522">
        <v>14894.277600000001</v>
      </c>
      <c r="L161" s="434">
        <v>4</v>
      </c>
      <c r="M161" s="434">
        <v>18.399999999999999</v>
      </c>
      <c r="N161" s="434" t="s">
        <v>481</v>
      </c>
      <c r="O161" s="434">
        <v>42</v>
      </c>
      <c r="P161" s="434">
        <v>4</v>
      </c>
      <c r="Q161" s="447">
        <v>18.399999999999999</v>
      </c>
      <c r="R161" s="434" t="s">
        <v>481</v>
      </c>
      <c r="S161" s="438">
        <v>42</v>
      </c>
      <c r="T161" s="436">
        <v>18.503937007874018</v>
      </c>
      <c r="U161" s="524">
        <v>133.85826771653544</v>
      </c>
      <c r="V161" s="387">
        <v>0.99481596204564482</v>
      </c>
    </row>
    <row r="162" spans="1:22">
      <c r="A162" s="27">
        <v>122</v>
      </c>
      <c r="B162" s="525" t="str">
        <f t="shared" si="7"/>
        <v>JOHN DEERE 8570 Partial PowerShift 4WD__ 208 pto hp</v>
      </c>
      <c r="C162" s="438">
        <v>208.21</v>
      </c>
      <c r="D162" s="434" t="s">
        <v>495</v>
      </c>
      <c r="E162" s="439" t="s">
        <v>616</v>
      </c>
      <c r="F162" s="439" t="s">
        <v>606</v>
      </c>
      <c r="G162" s="433" t="s">
        <v>509</v>
      </c>
      <c r="H162" s="438">
        <v>1670</v>
      </c>
      <c r="I162" s="438"/>
      <c r="J162" s="438">
        <v>17370</v>
      </c>
      <c r="K162" s="438">
        <v>14895</v>
      </c>
      <c r="L162" s="438">
        <v>4</v>
      </c>
      <c r="M162" s="438">
        <v>18.399999999999999</v>
      </c>
      <c r="N162" s="439" t="s">
        <v>481</v>
      </c>
      <c r="O162" s="438">
        <v>42</v>
      </c>
      <c r="P162" s="438">
        <v>4</v>
      </c>
      <c r="Q162" s="438">
        <v>18.399999999999999</v>
      </c>
      <c r="R162" s="439" t="s">
        <v>481</v>
      </c>
      <c r="S162" s="438">
        <v>42</v>
      </c>
      <c r="T162" s="438">
        <v>18.5</v>
      </c>
      <c r="U162" s="386">
        <v>133.80000000000001</v>
      </c>
      <c r="V162" s="387">
        <v>0.995</v>
      </c>
    </row>
    <row r="163" spans="1:22">
      <c r="A163" s="27">
        <v>123</v>
      </c>
      <c r="B163" s="525" t="str">
        <f>CONCATENATE( LEFT(CONCATENATE(D163," ",E163," ",G163," ",F163,$W$5),40)," ",FIXED(C163,0)," pto hp")</f>
        <v>JOHN DEERE 9100-PS 24/12 PPS  4WD_______ 220 pto hp</v>
      </c>
      <c r="C163" s="437">
        <v>219.60215999999997</v>
      </c>
      <c r="D163" s="437" t="s">
        <v>495</v>
      </c>
      <c r="E163" s="437" t="s">
        <v>617</v>
      </c>
      <c r="F163" s="437" t="s">
        <v>606</v>
      </c>
      <c r="G163" s="437"/>
      <c r="H163" s="437">
        <v>5230</v>
      </c>
      <c r="I163" s="437">
        <v>0</v>
      </c>
      <c r="J163" s="522">
        <v>17998.3544</v>
      </c>
      <c r="K163" s="522">
        <v>15714.388800000001</v>
      </c>
      <c r="L163" s="437">
        <v>4</v>
      </c>
      <c r="M163" s="437">
        <v>20.8</v>
      </c>
      <c r="N163" s="437" t="s">
        <v>481</v>
      </c>
      <c r="O163" s="437">
        <v>42</v>
      </c>
      <c r="P163" s="437">
        <v>4</v>
      </c>
      <c r="Q163" s="437">
        <v>20.8</v>
      </c>
      <c r="R163" s="437" t="s">
        <v>481</v>
      </c>
      <c r="S163" s="438">
        <v>42</v>
      </c>
      <c r="T163" s="436">
        <v>17.913385826771655</v>
      </c>
      <c r="U163" s="524">
        <v>137.7952755905512</v>
      </c>
      <c r="V163" s="387">
        <v>0.98295690470193675</v>
      </c>
    </row>
    <row r="164" spans="1:22">
      <c r="A164" s="27">
        <v>124</v>
      </c>
      <c r="B164" s="525" t="str">
        <f t="shared" si="7"/>
        <v>JOHN DEERE 9100 Partial PowerShift 4WD__ 220 pto hp</v>
      </c>
      <c r="C164" s="443">
        <v>219.61</v>
      </c>
      <c r="D164" s="434" t="s">
        <v>495</v>
      </c>
      <c r="E164" s="439" t="s">
        <v>618</v>
      </c>
      <c r="F164" s="439" t="s">
        <v>606</v>
      </c>
      <c r="G164" s="433" t="s">
        <v>509</v>
      </c>
      <c r="H164" s="438">
        <v>1730</v>
      </c>
      <c r="I164" s="438"/>
      <c r="J164" s="445">
        <v>17998</v>
      </c>
      <c r="K164" s="445">
        <v>15716</v>
      </c>
      <c r="L164" s="438">
        <v>4</v>
      </c>
      <c r="M164" s="438">
        <v>20.8</v>
      </c>
      <c r="N164" s="439" t="s">
        <v>481</v>
      </c>
      <c r="O164" s="438">
        <v>42</v>
      </c>
      <c r="P164" s="438">
        <v>4</v>
      </c>
      <c r="Q164" s="438">
        <v>20.8</v>
      </c>
      <c r="R164" s="439" t="s">
        <v>481</v>
      </c>
      <c r="S164" s="438">
        <v>42</v>
      </c>
      <c r="T164" s="436">
        <v>18</v>
      </c>
      <c r="U164" s="386">
        <v>137.80000000000001</v>
      </c>
      <c r="V164" s="387">
        <v>0.98399999999999999</v>
      </c>
    </row>
    <row r="165" spans="1:22">
      <c r="A165" s="27">
        <v>125</v>
      </c>
      <c r="B165" s="525" t="str">
        <f t="shared" si="7"/>
        <v>JOHN DEERE 8400 PowerShift MFWD_________ 228 pto hp</v>
      </c>
      <c r="C165" s="443">
        <v>228.29</v>
      </c>
      <c r="D165" s="434" t="s">
        <v>495</v>
      </c>
      <c r="E165" s="439" t="s">
        <v>619</v>
      </c>
      <c r="F165" s="439" t="s">
        <v>497</v>
      </c>
      <c r="G165" s="431" t="s">
        <v>552</v>
      </c>
      <c r="H165" s="438">
        <v>1691</v>
      </c>
      <c r="I165" s="438"/>
      <c r="J165" s="438">
        <v>7736</v>
      </c>
      <c r="K165" s="438">
        <v>11620</v>
      </c>
      <c r="L165" s="438">
        <v>2</v>
      </c>
      <c r="M165" s="438">
        <v>16.899999999999999</v>
      </c>
      <c r="N165" s="439" t="s">
        <v>481</v>
      </c>
      <c r="O165" s="438">
        <v>30</v>
      </c>
      <c r="P165" s="438">
        <v>2</v>
      </c>
      <c r="Q165" s="438">
        <v>20.8</v>
      </c>
      <c r="R165" s="439" t="s">
        <v>481</v>
      </c>
      <c r="S165" s="438">
        <v>42</v>
      </c>
      <c r="T165" s="436">
        <v>20</v>
      </c>
      <c r="U165" s="386">
        <v>116.1</v>
      </c>
      <c r="V165" s="387">
        <v>0.95</v>
      </c>
    </row>
    <row r="166" spans="1:22">
      <c r="A166" s="27">
        <v>126</v>
      </c>
      <c r="B166" s="525" t="str">
        <f>CONCATENATE( LEFT(CONCATENATE(D166," ",E166," ",G166," ",F166,$W$5),40)," ",FIXED(C166,0)," pto hp")</f>
        <v>JOHN DEERE 8400-PS 16 SP  MFWD__________ 228 pto hp</v>
      </c>
      <c r="C166" s="434">
        <v>228.29184000000001</v>
      </c>
      <c r="D166" s="434" t="s">
        <v>495</v>
      </c>
      <c r="E166" s="434" t="s">
        <v>620</v>
      </c>
      <c r="F166" s="434" t="s">
        <v>497</v>
      </c>
      <c r="G166" s="434"/>
      <c r="H166" s="434">
        <v>5177</v>
      </c>
      <c r="I166" s="434" t="s">
        <v>500</v>
      </c>
      <c r="J166" s="522">
        <v>7735.9414000000006</v>
      </c>
      <c r="K166" s="522">
        <v>11620.446600000001</v>
      </c>
      <c r="L166" s="434">
        <v>2</v>
      </c>
      <c r="M166" s="434">
        <v>16.899999999999999</v>
      </c>
      <c r="N166" s="434" t="s">
        <v>481</v>
      </c>
      <c r="O166" s="434">
        <v>30</v>
      </c>
      <c r="P166" s="434">
        <v>4</v>
      </c>
      <c r="Q166" s="437">
        <v>20.8</v>
      </c>
      <c r="R166" s="434" t="s">
        <v>481</v>
      </c>
      <c r="S166" s="438">
        <v>42</v>
      </c>
      <c r="T166" s="436">
        <v>20.472440944881892</v>
      </c>
      <c r="U166" s="524">
        <v>116.14173228346458</v>
      </c>
      <c r="V166" s="387">
        <v>0.96415232409580687</v>
      </c>
    </row>
    <row r="167" spans="1:22">
      <c r="A167" s="27">
        <v>127</v>
      </c>
      <c r="B167" s="525" t="str">
        <f>CONCATENATE( LEFT(CONCATENATE(D167," ",E167," ",G167," ",F167,$W$5),40)," ",FIXED(C167,0)," pto hp")</f>
        <v>JOHN DEERE 8410, 16-SP-PPS  MFWD________ 237 pto hp</v>
      </c>
      <c r="C167" s="437">
        <v>237.07538999999997</v>
      </c>
      <c r="D167" s="437" t="s">
        <v>495</v>
      </c>
      <c r="E167" s="437" t="s">
        <v>621</v>
      </c>
      <c r="F167" s="437" t="s">
        <v>497</v>
      </c>
      <c r="G167" s="437"/>
      <c r="H167" s="437">
        <v>5312</v>
      </c>
      <c r="I167" s="437" t="s">
        <v>600</v>
      </c>
      <c r="J167" s="522">
        <v>11199.368</v>
      </c>
      <c r="K167" s="522">
        <v>19989.108200000002</v>
      </c>
      <c r="L167" s="437">
        <v>2</v>
      </c>
      <c r="M167" s="437">
        <v>600</v>
      </c>
      <c r="N167" s="523" t="s">
        <v>622</v>
      </c>
      <c r="O167" s="437">
        <v>30</v>
      </c>
      <c r="P167" s="437">
        <v>4</v>
      </c>
      <c r="Q167" s="437">
        <v>710</v>
      </c>
      <c r="R167" s="485" t="s">
        <v>614</v>
      </c>
      <c r="S167" s="27">
        <v>38</v>
      </c>
      <c r="T167" s="436">
        <v>21.062992125984252</v>
      </c>
      <c r="U167" s="524">
        <v>116.14173228346458</v>
      </c>
      <c r="V167" s="387">
        <v>1.0678778913642939</v>
      </c>
    </row>
    <row r="168" spans="1:22">
      <c r="A168" s="27">
        <v>128</v>
      </c>
      <c r="B168" s="525" t="str">
        <f t="shared" si="7"/>
        <v>JOHN DEERE 8650 Partial PowerShift 4WD__ 239 pto hp</v>
      </c>
      <c r="C168" s="432">
        <v>238.55</v>
      </c>
      <c r="D168" s="434" t="s">
        <v>495</v>
      </c>
      <c r="E168" s="431" t="s">
        <v>623</v>
      </c>
      <c r="F168" s="431" t="s">
        <v>606</v>
      </c>
      <c r="G168" s="433" t="s">
        <v>509</v>
      </c>
      <c r="H168" s="434">
        <v>1435</v>
      </c>
      <c r="I168" s="434"/>
      <c r="J168" s="435">
        <v>15961.995000000001</v>
      </c>
      <c r="K168" s="435">
        <v>14312.655000000001</v>
      </c>
      <c r="L168" s="434">
        <v>4</v>
      </c>
      <c r="M168" s="434">
        <v>23.1</v>
      </c>
      <c r="N168" s="431" t="s">
        <v>500</v>
      </c>
      <c r="O168" s="434">
        <v>34</v>
      </c>
      <c r="P168" s="434">
        <v>4</v>
      </c>
      <c r="Q168" s="434">
        <v>23.1</v>
      </c>
      <c r="R168" s="431" t="s">
        <v>500</v>
      </c>
      <c r="S168" s="434">
        <v>34</v>
      </c>
      <c r="T168" s="436">
        <v>17.519685039370081</v>
      </c>
      <c r="U168" s="385">
        <v>125</v>
      </c>
      <c r="V168" s="384">
        <v>1.0051762932756805</v>
      </c>
    </row>
    <row r="169" spans="1:22">
      <c r="A169" s="27">
        <v>129</v>
      </c>
      <c r="B169" s="525" t="str">
        <f>CONCATENATE( LEFT(CONCATENATE(D169," ",E169," ",G169," ",F169,$W$5),40)," ",FIXED(C169,0)," pto hp")</f>
        <v>JOHN DEERE 9100-PS 24/12 PPS  4WD_______ 248 pto hp</v>
      </c>
      <c r="C169" s="437">
        <v>248.23251000000002</v>
      </c>
      <c r="D169" s="437" t="s">
        <v>495</v>
      </c>
      <c r="E169" s="437" t="s">
        <v>617</v>
      </c>
      <c r="F169" s="437" t="s">
        <v>606</v>
      </c>
      <c r="G169" s="437"/>
      <c r="H169" s="437">
        <v>5230</v>
      </c>
      <c r="I169" s="437" t="s">
        <v>624</v>
      </c>
      <c r="J169" s="522">
        <v>17998.3544</v>
      </c>
      <c r="K169" s="522">
        <v>15714.388800000001</v>
      </c>
      <c r="L169" s="437">
        <v>4</v>
      </c>
      <c r="M169" s="437">
        <v>20.8</v>
      </c>
      <c r="N169" s="437" t="s">
        <v>481</v>
      </c>
      <c r="O169" s="437">
        <v>42</v>
      </c>
      <c r="P169" s="437">
        <v>4</v>
      </c>
      <c r="Q169" s="437">
        <v>20.8</v>
      </c>
      <c r="R169" s="437" t="s">
        <v>481</v>
      </c>
      <c r="S169" s="438">
        <v>42</v>
      </c>
      <c r="T169" s="436">
        <v>17.913385826771655</v>
      </c>
      <c r="U169" s="524">
        <v>137.7952755905512</v>
      </c>
      <c r="V169" s="387">
        <v>0.98638995373351401</v>
      </c>
    </row>
    <row r="170" spans="1:22">
      <c r="A170" s="27">
        <v>130</v>
      </c>
      <c r="B170" s="525" t="str">
        <f>CONCATENATE( LEFT(CONCATENATE(D170," ",E170," ",G170," ",F170,$W$5),40)," ",FIXED(C170,0)," pto hp")</f>
        <v>JOHN DEERE 8400-PS 16 SP  MFWD__________ 252 pto hp</v>
      </c>
      <c r="C170" s="434">
        <v>252.20186999999999</v>
      </c>
      <c r="D170" s="434" t="s">
        <v>495</v>
      </c>
      <c r="E170" s="434" t="s">
        <v>620</v>
      </c>
      <c r="F170" s="434" t="s">
        <v>497</v>
      </c>
      <c r="G170" s="434"/>
      <c r="H170" s="434">
        <v>5177</v>
      </c>
      <c r="I170" s="434" t="s">
        <v>624</v>
      </c>
      <c r="J170" s="522">
        <v>7735.9414000000006</v>
      </c>
      <c r="K170" s="522">
        <v>11620.446600000001</v>
      </c>
      <c r="L170" s="434">
        <v>2</v>
      </c>
      <c r="M170" s="434">
        <v>16.899999999999999</v>
      </c>
      <c r="N170" s="434" t="s">
        <v>481</v>
      </c>
      <c r="O170" s="434">
        <v>30</v>
      </c>
      <c r="P170" s="434">
        <v>4</v>
      </c>
      <c r="Q170" s="437">
        <v>20.8</v>
      </c>
      <c r="R170" s="434" t="s">
        <v>481</v>
      </c>
      <c r="S170" s="438">
        <v>42</v>
      </c>
      <c r="T170" s="436">
        <v>20.472440944881892</v>
      </c>
      <c r="U170" s="524">
        <v>116.14173228346458</v>
      </c>
      <c r="V170" s="387">
        <v>0.95174723499247815</v>
      </c>
    </row>
    <row r="171" spans="1:22">
      <c r="A171" s="27">
        <v>131</v>
      </c>
      <c r="B171" s="525" t="str">
        <f t="shared" si="7"/>
        <v>JOHN DEERE 8760 Partial PowerShift 4WD__ 257 pto hp</v>
      </c>
      <c r="C171" s="432">
        <v>256.94</v>
      </c>
      <c r="D171" s="434" t="s">
        <v>495</v>
      </c>
      <c r="E171" s="431" t="s">
        <v>625</v>
      </c>
      <c r="F171" s="431" t="s">
        <v>606</v>
      </c>
      <c r="G171" s="433" t="s">
        <v>509</v>
      </c>
      <c r="H171" s="434">
        <v>5062</v>
      </c>
      <c r="I171" s="434"/>
      <c r="J171" s="435">
        <v>18411.75</v>
      </c>
      <c r="K171" s="435">
        <v>14288.4</v>
      </c>
      <c r="L171" s="434">
        <v>4</v>
      </c>
      <c r="M171" s="434">
        <v>18.399999999999999</v>
      </c>
      <c r="N171" s="431" t="s">
        <v>481</v>
      </c>
      <c r="O171" s="434">
        <v>42</v>
      </c>
      <c r="P171" s="434">
        <v>4</v>
      </c>
      <c r="Q171" s="434">
        <v>18.399999999999999</v>
      </c>
      <c r="R171" s="431" t="s">
        <v>481</v>
      </c>
      <c r="S171" s="434">
        <v>42</v>
      </c>
      <c r="T171" s="436">
        <v>17.913385826771655</v>
      </c>
      <c r="U171" s="385">
        <v>133.85826771653544</v>
      </c>
      <c r="V171" s="384">
        <v>0.99808158889578502</v>
      </c>
    </row>
    <row r="172" spans="1:22">
      <c r="A172" s="27">
        <v>132</v>
      </c>
      <c r="B172" s="525" t="str">
        <f>CONCATENATE( LEFT(CONCATENATE(D172," ",E172," ",G172," ",F172,$W$5),40)," ",FIXED(C172,0)," pto hp")</f>
        <v>JOHN DEERE 8770-PS 24/12 PPS  4WD_______ 259 pto hp</v>
      </c>
      <c r="C172" s="434">
        <v>259.29576000000003</v>
      </c>
      <c r="D172" s="434" t="s">
        <v>495</v>
      </c>
      <c r="E172" s="434" t="s">
        <v>626</v>
      </c>
      <c r="F172" s="434" t="s">
        <v>606</v>
      </c>
      <c r="G172" s="434"/>
      <c r="H172" s="434">
        <v>5139</v>
      </c>
      <c r="I172" s="434">
        <v>0</v>
      </c>
      <c r="J172" s="522">
        <v>18384.1594</v>
      </c>
      <c r="K172" s="522">
        <v>14739.955600000001</v>
      </c>
      <c r="L172" s="434">
        <v>4</v>
      </c>
      <c r="M172" s="434">
        <v>18.399999999999999</v>
      </c>
      <c r="N172" s="434" t="s">
        <v>481</v>
      </c>
      <c r="O172" s="434">
        <v>42</v>
      </c>
      <c r="P172" s="434">
        <v>4</v>
      </c>
      <c r="Q172" s="447">
        <v>18.399999999999999</v>
      </c>
      <c r="R172" s="434" t="s">
        <v>481</v>
      </c>
      <c r="S172" s="438">
        <v>42</v>
      </c>
      <c r="T172" s="436">
        <v>18.503937007874018</v>
      </c>
      <c r="U172" s="524">
        <v>133.85826771653544</v>
      </c>
      <c r="V172" s="387">
        <v>1.0111379522124995</v>
      </c>
    </row>
    <row r="173" spans="1:22">
      <c r="A173" s="27">
        <v>133</v>
      </c>
      <c r="B173" s="525" t="str">
        <f t="shared" si="7"/>
        <v>JOHN DEERE 8770 Partial PowerShift 4WD__ 259 pto hp</v>
      </c>
      <c r="C173" s="438">
        <v>259.31</v>
      </c>
      <c r="D173" s="434" t="s">
        <v>495</v>
      </c>
      <c r="E173" s="439" t="s">
        <v>627</v>
      </c>
      <c r="F173" s="439" t="s">
        <v>606</v>
      </c>
      <c r="G173" s="433" t="s">
        <v>509</v>
      </c>
      <c r="H173" s="438">
        <v>1671</v>
      </c>
      <c r="I173" s="438"/>
      <c r="J173" s="438">
        <v>18384</v>
      </c>
      <c r="K173" s="438">
        <v>14740</v>
      </c>
      <c r="L173" s="438">
        <v>4</v>
      </c>
      <c r="M173" s="438">
        <v>18.399999999999999</v>
      </c>
      <c r="N173" s="439" t="s">
        <v>481</v>
      </c>
      <c r="O173" s="438">
        <v>42</v>
      </c>
      <c r="P173" s="438">
        <v>4</v>
      </c>
      <c r="Q173" s="438">
        <v>18.399999999999999</v>
      </c>
      <c r="R173" s="439" t="s">
        <v>481</v>
      </c>
      <c r="S173" s="438">
        <v>42</v>
      </c>
      <c r="T173" s="436">
        <v>18.5</v>
      </c>
      <c r="U173" s="386">
        <v>133.80000000000001</v>
      </c>
      <c r="V173" s="387">
        <v>1.0109999999999999</v>
      </c>
    </row>
    <row r="174" spans="1:22">
      <c r="A174" s="27">
        <v>134</v>
      </c>
      <c r="B174" s="525" t="str">
        <f t="shared" ref="B174:B187" si="8">CONCATENATE( LEFT(CONCATENATE(D174," ",E174," ",G174," ",F174,$W$5),40)," ",FIXED(C174,0)," pto hp")</f>
        <v>JOHN DEERE 8760 PowerShift 4WD__________ 261 pto hp</v>
      </c>
      <c r="C174" s="432">
        <v>260.94</v>
      </c>
      <c r="D174" s="434" t="s">
        <v>495</v>
      </c>
      <c r="E174" s="431" t="s">
        <v>625</v>
      </c>
      <c r="F174" s="431" t="s">
        <v>606</v>
      </c>
      <c r="G174" s="431" t="s">
        <v>552</v>
      </c>
      <c r="H174" s="434">
        <v>5069</v>
      </c>
      <c r="I174" s="434"/>
      <c r="J174" s="435">
        <v>17763.48</v>
      </c>
      <c r="K174" s="435">
        <v>14336.91</v>
      </c>
      <c r="L174" s="434">
        <v>4</v>
      </c>
      <c r="M174" s="434">
        <v>18.399999999999999</v>
      </c>
      <c r="N174" s="431" t="s">
        <v>481</v>
      </c>
      <c r="O174" s="434">
        <v>42</v>
      </c>
      <c r="P174" s="434">
        <v>4</v>
      </c>
      <c r="Q174" s="434">
        <v>18.399999999999999</v>
      </c>
      <c r="R174" s="431" t="s">
        <v>481</v>
      </c>
      <c r="S174" s="434">
        <v>42</v>
      </c>
      <c r="T174" s="436">
        <v>17.519685039370081</v>
      </c>
      <c r="U174" s="385">
        <v>133.85826771653544</v>
      </c>
      <c r="V174" s="384">
        <v>1.0018529167465335</v>
      </c>
    </row>
    <row r="175" spans="1:22">
      <c r="A175" s="27">
        <v>135</v>
      </c>
      <c r="B175" s="525" t="str">
        <f t="shared" si="8"/>
        <v>JOHN DEERE 9200-PS 24/12 PPS  4WD_______ 266 pto hp</v>
      </c>
      <c r="C175" s="437">
        <v>265.70573999999999</v>
      </c>
      <c r="D175" s="437" t="s">
        <v>495</v>
      </c>
      <c r="E175" s="437" t="s">
        <v>628</v>
      </c>
      <c r="F175" s="437" t="s">
        <v>606</v>
      </c>
      <c r="G175" s="437"/>
      <c r="H175" s="437">
        <v>5231</v>
      </c>
      <c r="I175" s="437">
        <v>0</v>
      </c>
      <c r="J175" s="522">
        <v>19437.958200000001</v>
      </c>
      <c r="K175" s="522">
        <v>15846.6648</v>
      </c>
      <c r="L175" s="437">
        <v>4</v>
      </c>
      <c r="M175" s="437">
        <v>20.8</v>
      </c>
      <c r="N175" s="437" t="s">
        <v>481</v>
      </c>
      <c r="O175" s="437">
        <v>42</v>
      </c>
      <c r="P175" s="437">
        <v>4</v>
      </c>
      <c r="Q175" s="437">
        <v>20.8</v>
      </c>
      <c r="R175" s="437" t="s">
        <v>481</v>
      </c>
      <c r="S175" s="438">
        <v>42</v>
      </c>
      <c r="T175" s="436">
        <v>18.503937007874018</v>
      </c>
      <c r="U175" s="524">
        <v>137.7952755905512</v>
      </c>
      <c r="V175" s="387">
        <v>1.0027756391082978</v>
      </c>
    </row>
    <row r="176" spans="1:22">
      <c r="A176" s="27">
        <v>136</v>
      </c>
      <c r="B176" s="525" t="str">
        <f t="shared" si="8"/>
        <v>JOHN DEERE 9200 Partial PowerShift 4WD__ 266 pto hp</v>
      </c>
      <c r="C176" s="438">
        <v>265.72000000000003</v>
      </c>
      <c r="D176" s="434" t="s">
        <v>495</v>
      </c>
      <c r="E176" s="439" t="s">
        <v>629</v>
      </c>
      <c r="F176" s="439" t="s">
        <v>606</v>
      </c>
      <c r="G176" s="433" t="s">
        <v>509</v>
      </c>
      <c r="H176" s="438">
        <v>1731</v>
      </c>
      <c r="I176" s="438"/>
      <c r="J176" s="438">
        <v>19438</v>
      </c>
      <c r="K176" s="438">
        <v>15846</v>
      </c>
      <c r="L176" s="438">
        <v>4</v>
      </c>
      <c r="M176" s="438">
        <v>20.8</v>
      </c>
      <c r="N176" s="439" t="s">
        <v>481</v>
      </c>
      <c r="O176" s="438">
        <v>42</v>
      </c>
      <c r="P176" s="438">
        <v>4</v>
      </c>
      <c r="Q176" s="438">
        <v>20.8</v>
      </c>
      <c r="R176" s="439" t="s">
        <v>481</v>
      </c>
      <c r="S176" s="438">
        <v>42</v>
      </c>
      <c r="T176" s="436">
        <v>18.5</v>
      </c>
      <c r="U176" s="386">
        <v>137.80000000000001</v>
      </c>
      <c r="V176" s="386">
        <v>1.012</v>
      </c>
    </row>
    <row r="177" spans="1:27">
      <c r="A177" s="27">
        <v>137</v>
      </c>
      <c r="B177" s="525" t="str">
        <f t="shared" si="8"/>
        <v>JOHN DEERE 8870-PS 24/12 PPS  4WD_______ 303 pto hp</v>
      </c>
      <c r="C177" s="434">
        <v>302.74415999999997</v>
      </c>
      <c r="D177" s="434" t="s">
        <v>495</v>
      </c>
      <c r="E177" s="434" t="s">
        <v>630</v>
      </c>
      <c r="F177" s="434" t="s">
        <v>606</v>
      </c>
      <c r="G177" s="434"/>
      <c r="H177" s="434">
        <v>5140</v>
      </c>
      <c r="I177" s="434">
        <v>0</v>
      </c>
      <c r="J177" s="522">
        <v>19424.730600000003</v>
      </c>
      <c r="K177" s="522">
        <v>15868.710800000001</v>
      </c>
      <c r="L177" s="434">
        <v>4</v>
      </c>
      <c r="M177" s="434">
        <v>20.8</v>
      </c>
      <c r="N177" s="434" t="s">
        <v>481</v>
      </c>
      <c r="O177" s="434">
        <v>42</v>
      </c>
      <c r="P177" s="434">
        <v>4</v>
      </c>
      <c r="Q177" s="437">
        <v>20.8</v>
      </c>
      <c r="R177" s="434" t="s">
        <v>481</v>
      </c>
      <c r="S177" s="438">
        <v>42</v>
      </c>
      <c r="T177" s="436">
        <v>19.488188976377955</v>
      </c>
      <c r="U177" s="524">
        <v>133.85826771653544</v>
      </c>
      <c r="V177" s="387">
        <v>1.0010771810437904</v>
      </c>
    </row>
    <row r="178" spans="1:27">
      <c r="A178" s="27">
        <v>138</v>
      </c>
      <c r="B178" s="525" t="str">
        <f t="shared" si="8"/>
        <v>JOHN DEERE 8870 Partial PowerShift 4WD__ 303 pto hp</v>
      </c>
      <c r="C178" s="438">
        <v>302.75</v>
      </c>
      <c r="D178" s="434" t="s">
        <v>495</v>
      </c>
      <c r="E178" s="439" t="s">
        <v>631</v>
      </c>
      <c r="F178" s="439" t="s">
        <v>606</v>
      </c>
      <c r="G178" s="433" t="s">
        <v>509</v>
      </c>
      <c r="H178" s="438">
        <v>1672</v>
      </c>
      <c r="I178" s="438"/>
      <c r="J178" s="438">
        <v>19425</v>
      </c>
      <c r="K178" s="438">
        <v>15870</v>
      </c>
      <c r="L178" s="438">
        <v>4</v>
      </c>
      <c r="M178" s="438">
        <v>20.8</v>
      </c>
      <c r="N178" s="439" t="s">
        <v>481</v>
      </c>
      <c r="O178" s="438">
        <v>42</v>
      </c>
      <c r="P178" s="438">
        <v>4</v>
      </c>
      <c r="Q178" s="438">
        <v>20.8</v>
      </c>
      <c r="R178" s="439" t="s">
        <v>481</v>
      </c>
      <c r="S178" s="438">
        <v>42</v>
      </c>
      <c r="T178" s="436">
        <v>19.5</v>
      </c>
      <c r="U178" s="386">
        <v>133.80000000000001</v>
      </c>
      <c r="V178" s="387">
        <v>1.0009999999999999</v>
      </c>
    </row>
    <row r="179" spans="1:27">
      <c r="A179" s="27">
        <v>139</v>
      </c>
      <c r="B179" s="525" t="str">
        <f t="shared" si="8"/>
        <v>JOHN DEERE 8850 Partial PowerShift 4WD__ 304 pto hp</v>
      </c>
      <c r="C179" s="432">
        <v>304</v>
      </c>
      <c r="D179" s="434" t="s">
        <v>495</v>
      </c>
      <c r="E179" s="431" t="s">
        <v>632</v>
      </c>
      <c r="F179" s="431" t="s">
        <v>606</v>
      </c>
      <c r="G179" s="433" t="s">
        <v>509</v>
      </c>
      <c r="H179" s="434">
        <v>1434</v>
      </c>
      <c r="I179" s="434"/>
      <c r="J179" s="435">
        <v>22365.315000000002</v>
      </c>
      <c r="K179" s="435">
        <v>15342.39</v>
      </c>
      <c r="L179" s="434">
        <v>4</v>
      </c>
      <c r="M179" s="434">
        <v>24.5</v>
      </c>
      <c r="N179" s="431" t="s">
        <v>500</v>
      </c>
      <c r="O179" s="434">
        <v>32</v>
      </c>
      <c r="P179" s="434">
        <v>4</v>
      </c>
      <c r="Q179" s="434">
        <v>24.5</v>
      </c>
      <c r="R179" s="431" t="s">
        <v>500</v>
      </c>
      <c r="S179" s="434">
        <v>32</v>
      </c>
      <c r="T179" s="436">
        <v>16.929133858267718</v>
      </c>
      <c r="U179" s="385">
        <v>133.0708661417323</v>
      </c>
      <c r="V179" s="384">
        <v>0.97530500636063289</v>
      </c>
    </row>
    <row r="180" spans="1:27">
      <c r="A180" s="27">
        <v>140</v>
      </c>
      <c r="B180" s="525" t="str">
        <f t="shared" si="8"/>
        <v>JOHN DEERE 9400 Partial PowerShift 4WD__ 312 pto hp</v>
      </c>
      <c r="C180" s="438">
        <v>312.25</v>
      </c>
      <c r="D180" s="434" t="s">
        <v>495</v>
      </c>
      <c r="E180" s="439" t="s">
        <v>633</v>
      </c>
      <c r="F180" s="439" t="s">
        <v>606</v>
      </c>
      <c r="G180" s="433" t="s">
        <v>509</v>
      </c>
      <c r="H180" s="438">
        <v>1733</v>
      </c>
      <c r="I180" s="438"/>
      <c r="J180" s="438">
        <v>20500</v>
      </c>
      <c r="K180" s="438">
        <v>16910</v>
      </c>
      <c r="L180" s="438">
        <v>4</v>
      </c>
      <c r="M180" s="438">
        <v>620</v>
      </c>
      <c r="N180" s="485" t="s">
        <v>614</v>
      </c>
      <c r="O180" s="438">
        <v>42</v>
      </c>
      <c r="P180" s="438">
        <v>4</v>
      </c>
      <c r="Q180" s="438">
        <v>620</v>
      </c>
      <c r="R180" s="485" t="s">
        <v>614</v>
      </c>
      <c r="S180" s="438">
        <v>42</v>
      </c>
      <c r="T180" s="436">
        <v>18</v>
      </c>
      <c r="U180" s="386">
        <v>138.9</v>
      </c>
      <c r="V180" s="386">
        <v>1.1990000000000001</v>
      </c>
      <c r="AA180" s="424">
        <v>0.86</v>
      </c>
    </row>
    <row r="181" spans="1:27">
      <c r="A181" s="27">
        <v>141</v>
      </c>
      <c r="B181" s="525" t="str">
        <f t="shared" si="8"/>
        <v>JOHN DEERE 9400-PS 24/12 PPS  4WD_______ 312 pto hp</v>
      </c>
      <c r="C181" s="437">
        <v>312.25184999999999</v>
      </c>
      <c r="D181" s="437" t="s">
        <v>495</v>
      </c>
      <c r="E181" s="437" t="s">
        <v>634</v>
      </c>
      <c r="F181" s="437" t="s">
        <v>606</v>
      </c>
      <c r="G181" s="437"/>
      <c r="H181" s="437">
        <v>5233</v>
      </c>
      <c r="I181" s="437">
        <v>0</v>
      </c>
      <c r="J181" s="522">
        <v>20500.575400000002</v>
      </c>
      <c r="K181" s="522">
        <v>16909.281999999999</v>
      </c>
      <c r="L181" s="437">
        <v>4</v>
      </c>
      <c r="M181" s="437">
        <v>620</v>
      </c>
      <c r="N181" s="523" t="s">
        <v>614</v>
      </c>
      <c r="O181" s="437">
        <v>42</v>
      </c>
      <c r="P181" s="437">
        <v>4</v>
      </c>
      <c r="Q181" s="437">
        <v>620</v>
      </c>
      <c r="R181" s="485" t="s">
        <v>614</v>
      </c>
      <c r="S181" s="438">
        <v>42</v>
      </c>
      <c r="T181" s="436">
        <v>17.913385826771655</v>
      </c>
      <c r="U181" s="524">
        <v>137.7952755905512</v>
      </c>
      <c r="V181" s="387">
        <v>1.1944620119079294</v>
      </c>
      <c r="AA181" s="424">
        <v>0.95999999999999897</v>
      </c>
    </row>
    <row r="182" spans="1:27">
      <c r="A182" s="27">
        <v>142</v>
      </c>
      <c r="B182" s="525" t="str">
        <f t="shared" si="8"/>
        <v>JOHN DEERE 9300-PS 24/12 PPS  4WD_______ 321 pto hp</v>
      </c>
      <c r="C182" s="437">
        <v>320.53922999999998</v>
      </c>
      <c r="D182" s="437" t="s">
        <v>495</v>
      </c>
      <c r="E182" s="437" t="s">
        <v>635</v>
      </c>
      <c r="F182" s="437" t="s">
        <v>606</v>
      </c>
      <c r="G182" s="437"/>
      <c r="H182" s="437">
        <v>5232</v>
      </c>
      <c r="I182" s="437">
        <v>0</v>
      </c>
      <c r="J182" s="522">
        <v>20456.483400000001</v>
      </c>
      <c r="K182" s="522">
        <v>16843.144</v>
      </c>
      <c r="L182" s="437">
        <v>4</v>
      </c>
      <c r="M182" s="437">
        <v>620</v>
      </c>
      <c r="N182" s="523" t="s">
        <v>614</v>
      </c>
      <c r="O182" s="437">
        <v>42</v>
      </c>
      <c r="P182" s="437">
        <v>4</v>
      </c>
      <c r="Q182" s="437">
        <v>620</v>
      </c>
      <c r="R182" s="485" t="s">
        <v>614</v>
      </c>
      <c r="S182" s="438">
        <v>42</v>
      </c>
      <c r="T182" s="436">
        <v>18.503937007874018</v>
      </c>
      <c r="U182" s="524">
        <v>137.7952755905512</v>
      </c>
      <c r="V182" s="387">
        <v>0.96158909169098283</v>
      </c>
      <c r="AA182"/>
    </row>
    <row r="183" spans="1:27">
      <c r="A183" s="27">
        <v>143</v>
      </c>
      <c r="B183" s="525" t="str">
        <f t="shared" si="8"/>
        <v>JOHN DEERE 9300 Partial PowerShift 4WD__ 321 pto hp</v>
      </c>
      <c r="C183" s="438">
        <v>320.55</v>
      </c>
      <c r="D183" s="434" t="s">
        <v>495</v>
      </c>
      <c r="E183" s="439" t="s">
        <v>636</v>
      </c>
      <c r="F183" s="439" t="s">
        <v>606</v>
      </c>
      <c r="G183" s="433" t="s">
        <v>509</v>
      </c>
      <c r="H183" s="438">
        <v>1732</v>
      </c>
      <c r="I183" s="438"/>
      <c r="J183" s="438">
        <v>20456</v>
      </c>
      <c r="K183" s="438">
        <v>16844</v>
      </c>
      <c r="L183" s="438">
        <v>4</v>
      </c>
      <c r="M183" s="438">
        <v>620</v>
      </c>
      <c r="N183" s="485" t="s">
        <v>614</v>
      </c>
      <c r="O183" s="438">
        <v>42</v>
      </c>
      <c r="P183" s="438">
        <v>4</v>
      </c>
      <c r="Q183" s="438">
        <v>620</v>
      </c>
      <c r="R183" s="485" t="s">
        <v>614</v>
      </c>
      <c r="S183" s="438">
        <v>42</v>
      </c>
      <c r="T183" s="436">
        <v>18.5</v>
      </c>
      <c r="U183" s="386">
        <v>138.9</v>
      </c>
      <c r="V183" s="386">
        <v>0.96299999999999997</v>
      </c>
    </row>
    <row r="184" spans="1:27">
      <c r="A184" s="27">
        <v>144</v>
      </c>
      <c r="B184" s="525" t="str">
        <f t="shared" si="8"/>
        <v>JOHN DEERE 8960 PowerShift 4WD__________ 332 pto hp</v>
      </c>
      <c r="C184" s="432">
        <v>332.25</v>
      </c>
      <c r="D184" s="434" t="s">
        <v>495</v>
      </c>
      <c r="E184" s="431" t="s">
        <v>637</v>
      </c>
      <c r="F184" s="431" t="s">
        <v>606</v>
      </c>
      <c r="G184" s="431" t="s">
        <v>552</v>
      </c>
      <c r="H184" s="434">
        <v>5070</v>
      </c>
      <c r="I184" s="434"/>
      <c r="J184" s="435">
        <v>19582.605</v>
      </c>
      <c r="K184" s="435">
        <v>15538.635</v>
      </c>
      <c r="L184" s="434">
        <v>4</v>
      </c>
      <c r="M184" s="434">
        <v>20.8</v>
      </c>
      <c r="N184" s="431" t="s">
        <v>481</v>
      </c>
      <c r="O184" s="434">
        <v>42</v>
      </c>
      <c r="P184" s="434">
        <v>4</v>
      </c>
      <c r="Q184" s="434">
        <v>20.8</v>
      </c>
      <c r="R184" s="431" t="s">
        <v>481</v>
      </c>
      <c r="S184" s="434">
        <v>42</v>
      </c>
      <c r="T184" s="436">
        <v>19.094488188976378</v>
      </c>
      <c r="U184" s="385">
        <v>133.80000000000001</v>
      </c>
      <c r="V184" s="384">
        <v>0.98560943895138287</v>
      </c>
    </row>
    <row r="185" spans="1:27">
      <c r="A185" s="27">
        <v>145</v>
      </c>
      <c r="B185" s="525" t="str">
        <f t="shared" si="8"/>
        <v>JOHN DEERE 8960 Partial PowerShift 4WD__ 333 pto hp</v>
      </c>
      <c r="C185" s="432">
        <v>333.39</v>
      </c>
      <c r="D185" s="434" t="s">
        <v>495</v>
      </c>
      <c r="E185" s="431" t="s">
        <v>637</v>
      </c>
      <c r="F185" s="431" t="s">
        <v>606</v>
      </c>
      <c r="G185" s="433" t="s">
        <v>509</v>
      </c>
      <c r="H185" s="434">
        <v>5063</v>
      </c>
      <c r="I185" s="434"/>
      <c r="J185" s="435">
        <v>19842.795000000002</v>
      </c>
      <c r="K185" s="435">
        <v>15732.675000000001</v>
      </c>
      <c r="L185" s="434">
        <v>4</v>
      </c>
      <c r="M185" s="434">
        <v>20.8</v>
      </c>
      <c r="N185" s="431" t="s">
        <v>481</v>
      </c>
      <c r="O185" s="434">
        <v>42</v>
      </c>
      <c r="P185" s="434">
        <v>4</v>
      </c>
      <c r="Q185" s="434">
        <v>20.8</v>
      </c>
      <c r="R185" s="431" t="s">
        <v>481</v>
      </c>
      <c r="S185" s="434">
        <v>42</v>
      </c>
      <c r="T185" s="436">
        <v>20.078740157480315</v>
      </c>
      <c r="U185" s="385">
        <v>133.80000000000001</v>
      </c>
      <c r="V185" s="384">
        <v>0.9995901536869316</v>
      </c>
    </row>
    <row r="186" spans="1:27">
      <c r="A186" s="27">
        <v>146</v>
      </c>
      <c r="B186" s="525" t="str">
        <f t="shared" si="8"/>
        <v>JOHN DEERE 8970-PS 24/12 PPS  4WD_______ 354 pto hp</v>
      </c>
      <c r="C186" s="434">
        <v>354.43970999999999</v>
      </c>
      <c r="D186" s="434" t="s">
        <v>495</v>
      </c>
      <c r="E186" s="434" t="s">
        <v>638</v>
      </c>
      <c r="F186" s="434" t="s">
        <v>606</v>
      </c>
      <c r="G186" s="434"/>
      <c r="H186" s="434">
        <v>5141</v>
      </c>
      <c r="I186" s="434">
        <v>0</v>
      </c>
      <c r="J186" s="522">
        <v>20458.688000000002</v>
      </c>
      <c r="K186" s="522">
        <v>13359.876</v>
      </c>
      <c r="L186" s="434">
        <v>4</v>
      </c>
      <c r="M186" s="434">
        <v>20.8</v>
      </c>
      <c r="N186" s="434" t="s">
        <v>481</v>
      </c>
      <c r="O186" s="434">
        <v>42</v>
      </c>
      <c r="P186" s="434">
        <v>4</v>
      </c>
      <c r="Q186" s="437">
        <v>20.8</v>
      </c>
      <c r="R186" s="434" t="s">
        <v>481</v>
      </c>
      <c r="S186" s="438">
        <v>42</v>
      </c>
      <c r="T186" s="436">
        <v>21.062992125984252</v>
      </c>
      <c r="U186" s="524">
        <v>133.85826771653544</v>
      </c>
      <c r="V186" s="387">
        <v>0.95749139669754546</v>
      </c>
    </row>
    <row r="187" spans="1:27">
      <c r="A187" s="27">
        <v>147</v>
      </c>
      <c r="B187" s="525" t="str">
        <f t="shared" si="8"/>
        <v>JOHN DEERE 8970 Partial PowerShift 4WD__ 354 pto hp</v>
      </c>
      <c r="C187" s="443">
        <v>354.45</v>
      </c>
      <c r="D187" s="434" t="s">
        <v>495</v>
      </c>
      <c r="E187" s="446" t="s">
        <v>639</v>
      </c>
      <c r="F187" s="439" t="s">
        <v>606</v>
      </c>
      <c r="G187" s="433" t="s">
        <v>509</v>
      </c>
      <c r="H187" s="438">
        <v>1673</v>
      </c>
      <c r="I187" s="438"/>
      <c r="J187" s="438">
        <v>20460</v>
      </c>
      <c r="K187" s="438">
        <v>13360</v>
      </c>
      <c r="L187" s="438">
        <v>4</v>
      </c>
      <c r="M187" s="438">
        <v>20.8</v>
      </c>
      <c r="N187" s="439" t="s">
        <v>481</v>
      </c>
      <c r="O187" s="438">
        <v>42</v>
      </c>
      <c r="P187" s="438">
        <v>4</v>
      </c>
      <c r="Q187" s="438">
        <v>20.8</v>
      </c>
      <c r="R187" s="439" t="s">
        <v>481</v>
      </c>
      <c r="S187" s="438">
        <v>42</v>
      </c>
      <c r="T187" s="436">
        <v>21</v>
      </c>
      <c r="U187" s="386">
        <v>133.80000000000001</v>
      </c>
      <c r="V187" s="387">
        <v>0.95699999999999996</v>
      </c>
    </row>
    <row r="188" spans="1:27">
      <c r="A188" s="27">
        <v>148</v>
      </c>
    </row>
    <row r="189" spans="1:27">
      <c r="A189" s="27">
        <v>149</v>
      </c>
    </row>
    <row r="190" spans="1:27">
      <c r="A190" s="27">
        <v>150</v>
      </c>
    </row>
  </sheetData>
  <printOptions gridLines="1" gridLinesSet="0"/>
  <pageMargins left="0.75" right="0.75" top="1" bottom="1" header="0.5" footer="0.5"/>
  <pageSetup orientation="portrait" horizontalDpi="4294967292"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098" r:id="rId4" name="Button 2">
              <controlPr defaultSize="0" print="0" autoFill="0" autoLine="0" autoPict="0" macro="[0]!pickTractor">
                <anchor moveWithCells="1" sizeWithCells="1">
                  <from>
                    <xdr:col>2</xdr:col>
                    <xdr:colOff>9525</xdr:colOff>
                    <xdr:row>0</xdr:row>
                    <xdr:rowOff>142875</xdr:rowOff>
                  </from>
                  <to>
                    <xdr:col>3</xdr:col>
                    <xdr:colOff>542925</xdr:colOff>
                    <xdr:row>3</xdr:row>
                    <xdr:rowOff>104775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154"/>
  <sheetViews>
    <sheetView topLeftCell="D38" zoomScale="75" workbookViewId="0">
      <pane ySplit="1140" topLeftCell="A115" activePane="bottomLeft"/>
      <selection activeCell="N29" sqref="N29"/>
      <selection pane="bottomLeft" activeCell="N132" sqref="N132"/>
    </sheetView>
  </sheetViews>
  <sheetFormatPr defaultRowHeight="12.75"/>
  <cols>
    <col min="1" max="1" width="8.625" style="138" customWidth="1"/>
    <col min="2" max="2" width="8.75" style="138" customWidth="1"/>
    <col min="3" max="3" width="5.5" style="138" customWidth="1"/>
    <col min="4" max="4" width="9" style="138"/>
    <col min="5" max="5" width="25.375" style="138" customWidth="1"/>
    <col min="6" max="6" width="8.875" style="138" customWidth="1"/>
    <col min="7" max="7" width="12" style="138" customWidth="1"/>
    <col min="8" max="8" width="7.875" style="138" customWidth="1"/>
    <col min="9" max="9" width="9.5" style="138" customWidth="1"/>
    <col min="10" max="10" width="7.875" style="138" customWidth="1"/>
    <col min="11" max="11" width="7.5" style="138" customWidth="1"/>
    <col min="12" max="12" width="6.75" style="138" customWidth="1"/>
    <col min="13" max="13" width="7.625" style="138" customWidth="1"/>
    <col min="14" max="14" width="6.75" style="138" customWidth="1"/>
    <col min="15" max="15" width="7.5" style="138" customWidth="1"/>
    <col min="16" max="16" width="8.5" style="138" customWidth="1"/>
    <col min="17" max="17" width="8.25" style="138" customWidth="1"/>
    <col min="18" max="18" width="9.5" style="138" customWidth="1"/>
    <col min="19" max="19" width="8.625" style="138" customWidth="1"/>
    <col min="20" max="16384" width="9" style="138"/>
  </cols>
  <sheetData>
    <row r="1" spans="1:19" ht="13.5" thickBot="1">
      <c r="A1" s="136"/>
      <c r="D1" s="139"/>
      <c r="E1" s="139"/>
      <c r="F1" s="140"/>
      <c r="G1" s="141"/>
      <c r="H1" s="141"/>
      <c r="I1" s="141"/>
      <c r="J1" s="142"/>
      <c r="K1" s="141"/>
      <c r="L1" s="141"/>
      <c r="M1" s="141"/>
      <c r="N1" s="141"/>
      <c r="O1" s="141"/>
      <c r="P1" s="141"/>
      <c r="Q1" s="141"/>
      <c r="R1" s="140"/>
      <c r="S1" s="143"/>
    </row>
    <row r="2" spans="1:19" ht="35.25" customHeight="1" thickBot="1">
      <c r="E2" s="144" t="s">
        <v>640</v>
      </c>
      <c r="F2" s="142"/>
      <c r="G2" s="142"/>
      <c r="H2" s="142"/>
      <c r="I2" s="142"/>
      <c r="J2" s="142"/>
      <c r="K2" s="141"/>
      <c r="L2" s="142"/>
      <c r="M2" s="142"/>
      <c r="N2" s="142"/>
      <c r="P2" s="145" t="s">
        <v>641</v>
      </c>
      <c r="Q2" s="146"/>
      <c r="R2" s="146"/>
      <c r="S2" s="147"/>
    </row>
    <row r="3" spans="1:19" ht="25.5">
      <c r="B3" s="142"/>
      <c r="E3" s="148"/>
      <c r="F3" s="402"/>
      <c r="G3" s="149" t="s">
        <v>642</v>
      </c>
      <c r="H3" s="149"/>
      <c r="I3" s="149" t="s">
        <v>643</v>
      </c>
      <c r="J3" s="150"/>
      <c r="K3" s="142"/>
      <c r="L3" s="142"/>
      <c r="M3" s="142"/>
      <c r="N3" s="142"/>
      <c r="P3" s="151"/>
      <c r="Q3" s="138" t="s">
        <v>644</v>
      </c>
      <c r="R3" s="152" t="s">
        <v>645</v>
      </c>
      <c r="S3" s="153"/>
    </row>
    <row r="4" spans="1:19">
      <c r="B4" s="142"/>
      <c r="E4" s="151"/>
      <c r="F4" s="142"/>
      <c r="G4" s="154" t="s">
        <v>646</v>
      </c>
      <c r="H4" s="154" t="s">
        <v>647</v>
      </c>
      <c r="I4" s="154" t="s">
        <v>646</v>
      </c>
      <c r="J4" s="155" t="s">
        <v>647</v>
      </c>
      <c r="K4" s="142"/>
      <c r="L4" s="142"/>
      <c r="M4" s="142"/>
      <c r="N4" s="142"/>
      <c r="P4" s="151" t="s">
        <v>648</v>
      </c>
      <c r="Q4" s="141">
        <v>1</v>
      </c>
      <c r="R4" s="141">
        <v>1</v>
      </c>
      <c r="S4" s="153"/>
    </row>
    <row r="5" spans="1:19">
      <c r="B5" s="142"/>
      <c r="D5" s="138">
        <v>2</v>
      </c>
      <c r="E5" s="156" t="s">
        <v>649</v>
      </c>
      <c r="F5" s="142"/>
      <c r="G5" s="157">
        <f>VLOOKUP(frontTirePick,tiredat,$D5)</f>
        <v>149.26</v>
      </c>
      <c r="H5" s="158"/>
      <c r="I5" s="157">
        <f>VLOOKUP(rearTirePick,tiredat,$D5)</f>
        <v>184.38</v>
      </c>
      <c r="J5" s="159"/>
      <c r="K5" s="142"/>
      <c r="L5" s="142"/>
      <c r="M5" s="142"/>
      <c r="N5" s="142"/>
      <c r="P5" s="151" t="s">
        <v>650</v>
      </c>
      <c r="Q5" s="141">
        <v>2</v>
      </c>
      <c r="R5" s="141">
        <v>0.88</v>
      </c>
      <c r="S5" s="153"/>
    </row>
    <row r="6" spans="1:19" ht="13.5" thickBot="1">
      <c r="B6" s="142"/>
      <c r="E6" s="151"/>
      <c r="F6" s="142"/>
      <c r="G6" s="157"/>
      <c r="H6" s="158"/>
      <c r="I6" s="157"/>
      <c r="J6" s="160"/>
      <c r="K6" s="142"/>
      <c r="L6" s="142"/>
      <c r="M6" s="142"/>
      <c r="N6" s="142"/>
      <c r="P6" s="161" t="s">
        <v>651</v>
      </c>
      <c r="Q6" s="162">
        <v>3</v>
      </c>
      <c r="R6" s="162">
        <v>0.82</v>
      </c>
      <c r="S6" s="163"/>
    </row>
    <row r="7" spans="1:19">
      <c r="B7" s="142"/>
      <c r="D7" s="138">
        <v>3</v>
      </c>
      <c r="E7" s="156" t="s">
        <v>652</v>
      </c>
      <c r="F7" s="142"/>
      <c r="G7" s="164" t="str">
        <f>VLOOKUP(frontTirePick,tiredat,$D7)</f>
        <v>R-1   14.90 R 26</v>
      </c>
      <c r="H7" s="165"/>
      <c r="I7" s="164" t="str">
        <f>VLOOKUP(rearTirePick,tiredat,$D7)</f>
        <v>R-1   18.40 R 38</v>
      </c>
      <c r="J7" s="166"/>
      <c r="K7" s="142"/>
      <c r="L7" s="142"/>
      <c r="M7" s="142"/>
      <c r="N7" s="141"/>
      <c r="O7" s="141"/>
      <c r="P7" s="141"/>
      <c r="Q7" s="141"/>
      <c r="R7" s="140"/>
      <c r="S7" s="143"/>
    </row>
    <row r="8" spans="1:19">
      <c r="B8" s="142"/>
      <c r="D8" s="138">
        <v>4</v>
      </c>
      <c r="E8" s="156" t="s">
        <v>653</v>
      </c>
      <c r="F8" s="142"/>
      <c r="G8" s="167">
        <f>H8*2.205</f>
        <v>4710</v>
      </c>
      <c r="H8" s="168">
        <f>VLOOKUP(frontTirePick,tiredat,$D8)</f>
        <v>2136.0544217687075</v>
      </c>
      <c r="I8" s="169">
        <f>J8*2.205</f>
        <v>7060</v>
      </c>
      <c r="J8" s="170">
        <f>VLOOKUP(rearTirePick,tiredat,$D8)</f>
        <v>3201.8140589569161</v>
      </c>
      <c r="K8" s="142"/>
      <c r="L8" s="142"/>
      <c r="M8" s="142"/>
      <c r="N8" s="141"/>
      <c r="O8" s="141"/>
      <c r="P8" s="141"/>
      <c r="Q8" s="141"/>
      <c r="R8" s="140"/>
      <c r="S8" s="143"/>
    </row>
    <row r="9" spans="1:19">
      <c r="B9" s="142"/>
      <c r="D9" s="138">
        <v>5</v>
      </c>
      <c r="E9" s="156" t="s">
        <v>654</v>
      </c>
      <c r="F9" s="142"/>
      <c r="G9" s="157">
        <f>VLOOKUP(frontTirePick,tiredat,$D9)</f>
        <v>14.9</v>
      </c>
      <c r="H9" s="171">
        <f>+G9*25.4</f>
        <v>378.46</v>
      </c>
      <c r="I9" s="157">
        <f>VLOOKUP(rearTirePick,tiredat,$D9)</f>
        <v>18.399999999999999</v>
      </c>
      <c r="J9" s="172">
        <f>+I9*25.4</f>
        <v>467.35999999999996</v>
      </c>
      <c r="K9" s="142"/>
      <c r="L9" s="142"/>
      <c r="M9" s="142"/>
      <c r="N9" s="141"/>
      <c r="O9" s="141"/>
      <c r="P9" s="141"/>
      <c r="Q9" s="141"/>
      <c r="R9" s="140"/>
      <c r="S9" s="143"/>
    </row>
    <row r="10" spans="1:19">
      <c r="B10" s="142"/>
      <c r="D10" s="138">
        <v>6</v>
      </c>
      <c r="E10" s="156" t="s">
        <v>655</v>
      </c>
      <c r="F10" s="142"/>
      <c r="G10" s="173" t="str">
        <f>VLOOKUP(frontTirePick,tiredat,$D10)</f>
        <v>R</v>
      </c>
      <c r="H10" s="174"/>
      <c r="I10" s="173" t="str">
        <f>VLOOKUP(rearTirePick,tiredat,$D10)</f>
        <v>R</v>
      </c>
      <c r="J10" s="175"/>
      <c r="K10" s="142"/>
      <c r="L10" s="142"/>
      <c r="M10" s="142"/>
      <c r="N10" s="141"/>
      <c r="O10" s="141"/>
      <c r="P10" s="141"/>
      <c r="Q10" s="141"/>
      <c r="R10" s="140"/>
      <c r="S10" s="143"/>
    </row>
    <row r="11" spans="1:19">
      <c r="B11" s="142"/>
      <c r="D11" s="138">
        <v>7</v>
      </c>
      <c r="E11" s="156" t="s">
        <v>656</v>
      </c>
      <c r="F11" s="142"/>
      <c r="G11" s="157">
        <f>VLOOKUP(frontTirePick,tiredat,$D11)</f>
        <v>26</v>
      </c>
      <c r="H11" s="171">
        <f>+G11*25.4</f>
        <v>660.4</v>
      </c>
      <c r="I11" s="157">
        <f>VLOOKUP(rearTirePick,tiredat,$D11)</f>
        <v>38</v>
      </c>
      <c r="J11" s="172">
        <f>+I11*25.4</f>
        <v>965.19999999999993</v>
      </c>
      <c r="K11" s="142"/>
      <c r="L11" s="142"/>
      <c r="M11" s="142"/>
      <c r="N11" s="141"/>
      <c r="O11" s="141"/>
      <c r="P11" s="141"/>
      <c r="Q11" s="141"/>
      <c r="R11" s="140"/>
      <c r="S11" s="143"/>
    </row>
    <row r="12" spans="1:19">
      <c r="B12" s="142"/>
      <c r="D12" s="138">
        <v>8</v>
      </c>
      <c r="E12" s="151" t="s">
        <v>657</v>
      </c>
      <c r="F12" s="142"/>
      <c r="G12" s="176">
        <f>VLOOKUP(frontTirePick,tiredat,$D12)</f>
        <v>3</v>
      </c>
      <c r="H12" s="177"/>
      <c r="I12" s="176">
        <f>VLOOKUP(rearTirePick,tiredat,$D12)</f>
        <v>2</v>
      </c>
      <c r="J12" s="178"/>
      <c r="K12" s="142"/>
      <c r="L12" s="142"/>
      <c r="M12" s="142"/>
      <c r="N12" s="141"/>
      <c r="O12" s="141"/>
      <c r="P12" s="141"/>
      <c r="Q12" s="141"/>
      <c r="R12" s="140"/>
      <c r="S12" s="143"/>
    </row>
    <row r="13" spans="1:19">
      <c r="B13" s="142"/>
      <c r="D13" s="138">
        <v>9</v>
      </c>
      <c r="E13" s="156" t="s">
        <v>658</v>
      </c>
      <c r="F13" s="142"/>
      <c r="G13" s="173" t="str">
        <f>VLOOKUP(frontTirePick,tiredat,$D13)</f>
        <v>R-1</v>
      </c>
      <c r="H13" s="177"/>
      <c r="I13" s="173" t="str">
        <f>VLOOKUP(rearTirePick,tiredat,$D13)</f>
        <v>R-1</v>
      </c>
      <c r="J13" s="179"/>
      <c r="K13" s="142"/>
      <c r="L13" s="142"/>
      <c r="M13" s="142"/>
      <c r="N13" s="141"/>
      <c r="O13" s="141"/>
      <c r="P13" s="141"/>
      <c r="Q13" s="141"/>
      <c r="R13" s="140"/>
      <c r="S13" s="143"/>
    </row>
    <row r="14" spans="1:19">
      <c r="B14" s="142"/>
      <c r="D14" s="138">
        <v>10</v>
      </c>
      <c r="E14" s="180" t="s">
        <v>659</v>
      </c>
      <c r="F14" s="142"/>
      <c r="G14" s="181">
        <f>H14/25.4</f>
        <v>23.700000000000003</v>
      </c>
      <c r="H14" s="168">
        <f>VLOOKUP(frontTirePick,tiredat,$D14)</f>
        <v>601.98</v>
      </c>
      <c r="I14" s="181">
        <f>J14/25.4</f>
        <v>31</v>
      </c>
      <c r="J14" s="170">
        <f>VLOOKUP(rearTirePick,tiredat,$D14)</f>
        <v>787.4</v>
      </c>
      <c r="K14" s="141"/>
      <c r="L14" s="142"/>
      <c r="M14" s="142"/>
      <c r="N14" s="141"/>
      <c r="O14" s="141"/>
      <c r="P14" s="141"/>
      <c r="Q14" s="141"/>
      <c r="R14" s="140"/>
      <c r="S14" s="143"/>
    </row>
    <row r="15" spans="1:19">
      <c r="B15" s="142"/>
      <c r="D15" s="138">
        <v>11</v>
      </c>
      <c r="E15" s="180" t="s">
        <v>660</v>
      </c>
      <c r="F15" s="142" t="s">
        <v>661</v>
      </c>
      <c r="G15" s="181">
        <f>H15/25.4</f>
        <v>52</v>
      </c>
      <c r="H15" s="168">
        <f>VLOOKUP(frontTirePick,tiredat,$D15)</f>
        <v>1320.8</v>
      </c>
      <c r="I15" s="181">
        <f>J15/25.4</f>
        <v>69.100000000000009</v>
      </c>
      <c r="J15" s="170">
        <f>VLOOKUP(rearTirePick,tiredat,$D15)</f>
        <v>1755.14</v>
      </c>
      <c r="K15" s="141"/>
      <c r="L15" s="142"/>
      <c r="M15" s="142"/>
      <c r="N15" s="182"/>
      <c r="O15" s="141"/>
      <c r="P15" s="141"/>
      <c r="Q15" s="141"/>
      <c r="R15" s="140"/>
      <c r="S15" s="143"/>
    </row>
    <row r="16" spans="1:19">
      <c r="B16" s="142"/>
      <c r="D16" s="138">
        <v>12</v>
      </c>
      <c r="E16" s="183" t="s">
        <v>662</v>
      </c>
      <c r="F16" s="142" t="s">
        <v>663</v>
      </c>
      <c r="G16" s="181">
        <f>H16/25.4</f>
        <v>16.600000000000001</v>
      </c>
      <c r="H16" s="168">
        <f>VLOOKUP(frontTirePick,tiredat,$D16)</f>
        <v>421.64</v>
      </c>
      <c r="I16" s="181">
        <f>J16/25.4</f>
        <v>21.8</v>
      </c>
      <c r="J16" s="170">
        <f>VLOOKUP(rearTirePick,tiredat,$D16)</f>
        <v>553.72</v>
      </c>
      <c r="K16" s="141"/>
      <c r="L16" s="142"/>
      <c r="M16" s="142"/>
      <c r="N16" s="182"/>
      <c r="O16" s="141"/>
      <c r="P16" s="141"/>
      <c r="Q16" s="141"/>
      <c r="R16" s="140"/>
      <c r="S16" s="143"/>
    </row>
    <row r="17" spans="2:19">
      <c r="B17" s="142"/>
      <c r="D17" s="138">
        <v>13</v>
      </c>
      <c r="E17" s="151" t="s">
        <v>664</v>
      </c>
      <c r="F17" s="184"/>
      <c r="G17" s="168">
        <f>VLOOKUP(frontTirePick,tiredat,$D17)</f>
        <v>595.77599999999995</v>
      </c>
      <c r="H17" s="184"/>
      <c r="I17" s="168">
        <f>VLOOKUP(rearTirePick,tiredat,$D17)</f>
        <v>1037.1099999999999</v>
      </c>
      <c r="J17" s="178"/>
      <c r="K17" s="141"/>
      <c r="L17" s="142"/>
      <c r="M17" s="142"/>
      <c r="N17" s="182"/>
      <c r="O17" s="141"/>
      <c r="P17" s="141"/>
      <c r="Q17" s="141"/>
      <c r="R17" s="140"/>
      <c r="S17" s="143"/>
    </row>
    <row r="18" spans="2:19">
      <c r="B18" s="142"/>
      <c r="D18" s="138">
        <v>14</v>
      </c>
      <c r="E18" s="151" t="s">
        <v>665</v>
      </c>
      <c r="F18" s="184"/>
      <c r="G18" s="185">
        <f>VLOOKUP(frontTirePick,tiredat,$D18)</f>
        <v>0.58499999999999996</v>
      </c>
      <c r="H18" s="184"/>
      <c r="I18" s="185">
        <f>VLOOKUP(rearTirePick,tiredat,$D18)</f>
        <v>0.58499999999999996</v>
      </c>
      <c r="J18" s="178"/>
      <c r="K18" s="141"/>
      <c r="L18" s="142"/>
      <c r="M18" s="142"/>
      <c r="N18" s="141"/>
      <c r="O18" s="141"/>
      <c r="P18" s="141"/>
      <c r="Q18" s="141"/>
      <c r="R18" s="140"/>
      <c r="S18" s="143"/>
    </row>
    <row r="19" spans="2:19">
      <c r="B19" s="142"/>
      <c r="D19" s="138">
        <v>15</v>
      </c>
      <c r="E19" s="151" t="s">
        <v>666</v>
      </c>
      <c r="F19" s="184"/>
      <c r="G19" s="185">
        <f>VLOOKUP(frontTirePick,tiredat,$D19)</f>
        <v>0</v>
      </c>
      <c r="H19" s="184"/>
      <c r="I19" s="185">
        <f>VLOOKUP(rearTirePick,tiredat,$D19)</f>
        <v>0</v>
      </c>
      <c r="J19" s="178"/>
      <c r="K19" s="142"/>
      <c r="L19" s="142"/>
      <c r="M19" s="142"/>
      <c r="N19" s="141"/>
      <c r="O19" s="141"/>
      <c r="P19" s="141"/>
      <c r="Q19" s="141"/>
      <c r="R19" s="140"/>
      <c r="S19" s="143"/>
    </row>
    <row r="20" spans="2:19">
      <c r="B20" s="142"/>
      <c r="D20" s="138">
        <v>16</v>
      </c>
      <c r="E20" s="151"/>
      <c r="F20" s="142"/>
      <c r="G20" s="176"/>
      <c r="H20" s="186"/>
      <c r="I20" s="176">
        <f>VLOOKUP(rearTirePick,tiredat,$D20)</f>
        <v>0</v>
      </c>
      <c r="J20" s="178"/>
      <c r="K20" s="142"/>
      <c r="L20" s="142"/>
      <c r="M20" s="142"/>
      <c r="N20" s="141"/>
      <c r="O20" s="141"/>
      <c r="P20" s="141"/>
      <c r="Q20" s="141"/>
      <c r="R20" s="140"/>
      <c r="S20" s="143"/>
    </row>
    <row r="21" spans="2:19" ht="13.5" thickBot="1">
      <c r="B21" s="142"/>
      <c r="D21" s="138">
        <v>17</v>
      </c>
      <c r="E21" s="161" t="s">
        <v>667</v>
      </c>
      <c r="F21" s="187"/>
      <c r="G21" s="188">
        <f>VLOOKUP(frontTirePick,tiredat,$D21)</f>
        <v>30</v>
      </c>
      <c r="H21" s="187"/>
      <c r="I21" s="188">
        <f>VLOOKUP(rearTirePick,tiredat,$D21)</f>
        <v>24</v>
      </c>
      <c r="J21" s="163"/>
      <c r="K21" s="142"/>
      <c r="L21" s="142"/>
      <c r="M21" s="142"/>
      <c r="N21" s="141"/>
      <c r="O21" s="141"/>
      <c r="P21" s="141"/>
      <c r="Q21" s="141"/>
      <c r="R21" s="140"/>
      <c r="S21" s="143"/>
    </row>
    <row r="22" spans="2:19">
      <c r="B22" s="142"/>
      <c r="E22" s="142" t="s">
        <v>668</v>
      </c>
      <c r="F22" s="142"/>
      <c r="G22" s="189">
        <f>1.06*G11</f>
        <v>27.560000000000002</v>
      </c>
      <c r="H22" s="140">
        <f>+G22*25.4</f>
        <v>700.024</v>
      </c>
      <c r="I22" s="189">
        <f>1.06*I11</f>
        <v>40.28</v>
      </c>
      <c r="J22" s="140">
        <f>+I22*25.4</f>
        <v>1023.112</v>
      </c>
      <c r="K22" s="142"/>
      <c r="L22" s="142"/>
      <c r="M22" s="142"/>
      <c r="N22" s="141"/>
      <c r="O22" s="141"/>
      <c r="P22" s="141"/>
      <c r="Q22" s="141"/>
      <c r="R22" s="140"/>
      <c r="S22" s="143"/>
    </row>
    <row r="23" spans="2:19">
      <c r="B23" s="142"/>
      <c r="E23" s="138" t="s">
        <v>669</v>
      </c>
      <c r="F23" s="142" t="s">
        <v>670</v>
      </c>
      <c r="G23" s="190">
        <f>(G15-G22)/2</f>
        <v>12.219999999999999</v>
      </c>
      <c r="H23" s="191">
        <f>+G23*25.4</f>
        <v>310.38799999999998</v>
      </c>
      <c r="I23" s="190">
        <f>(I15-I22)/2</f>
        <v>14.410000000000004</v>
      </c>
      <c r="J23" s="191">
        <f>+I23*25.4</f>
        <v>366.01400000000007</v>
      </c>
      <c r="K23" s="142"/>
      <c r="L23" s="142"/>
      <c r="M23" s="142"/>
      <c r="N23" s="141"/>
      <c r="O23" s="141"/>
      <c r="P23" s="141"/>
      <c r="Q23" s="141"/>
      <c r="R23" s="140"/>
      <c r="S23" s="143"/>
    </row>
    <row r="24" spans="2:19">
      <c r="B24" s="142"/>
      <c r="E24" s="138" t="s">
        <v>671</v>
      </c>
      <c r="F24" s="142" t="s">
        <v>672</v>
      </c>
      <c r="G24" s="189">
        <f>G15/2-G14</f>
        <v>2.2999999999999972</v>
      </c>
      <c r="H24" s="140">
        <f>+delta.f*25.4</f>
        <v>58.419999999999924</v>
      </c>
      <c r="I24" s="189">
        <f>I15/2-I14</f>
        <v>3.5500000000000043</v>
      </c>
      <c r="J24" s="140">
        <f>+I24*25.4</f>
        <v>90.170000000000101</v>
      </c>
      <c r="K24" s="142"/>
      <c r="L24" s="142"/>
      <c r="M24" s="142"/>
      <c r="N24" s="141"/>
      <c r="O24" s="141"/>
      <c r="P24" s="141"/>
      <c r="Q24" s="141"/>
      <c r="R24" s="140"/>
      <c r="S24" s="143"/>
    </row>
    <row r="25" spans="2:19">
      <c r="B25" s="142"/>
      <c r="E25" s="142" t="s">
        <v>673</v>
      </c>
      <c r="F25" s="142" t="s">
        <v>674</v>
      </c>
      <c r="G25" s="192">
        <f>(2.5*G15/2*G14)/(1.5*G15/2+G14)</f>
        <v>24.569377990430624</v>
      </c>
      <c r="H25" s="140">
        <f>+G25*25.4</f>
        <v>624.06220095693777</v>
      </c>
      <c r="I25" s="192">
        <f>(2.5*I15/2*I14)/(1.5*I15/2+I14)</f>
        <v>32.328705101116817</v>
      </c>
      <c r="J25" s="140">
        <f>+I25*25.4</f>
        <v>821.14910956836707</v>
      </c>
      <c r="K25" s="142"/>
      <c r="L25" s="142"/>
      <c r="M25" s="142"/>
      <c r="N25" s="141"/>
      <c r="O25" s="141"/>
      <c r="P25" s="141"/>
      <c r="Q25" s="141"/>
      <c r="R25" s="140"/>
      <c r="S25" s="143"/>
    </row>
    <row r="26" spans="2:19" ht="25.5">
      <c r="B26" s="142"/>
      <c r="D26" s="142"/>
      <c r="E26" s="193" t="s">
        <v>675</v>
      </c>
      <c r="F26" s="142"/>
      <c r="G26" s="194">
        <f>H26*2.205</f>
        <v>4710</v>
      </c>
      <c r="H26" s="194">
        <f>frontTireNumber*H8*VLOOKUP(frontTireNumber,tireDerate,2)</f>
        <v>2136.0544217687075</v>
      </c>
      <c r="I26" s="194">
        <f>J26*2.205</f>
        <v>7060</v>
      </c>
      <c r="J26" s="194">
        <f>rearTireNumber*J8*VLOOKUP(rearTireNumber,tireDerate,2)</f>
        <v>3201.8140589569161</v>
      </c>
      <c r="K26" s="142"/>
      <c r="L26" s="142"/>
      <c r="M26" s="142"/>
      <c r="N26" s="142"/>
      <c r="O26" s="142"/>
      <c r="P26" s="142"/>
      <c r="Q26" s="142"/>
      <c r="R26" s="140"/>
      <c r="S26" s="143"/>
    </row>
    <row r="27" spans="2:19">
      <c r="B27" s="142"/>
      <c r="D27" s="142"/>
      <c r="E27" s="193"/>
      <c r="F27" s="142"/>
      <c r="G27" s="194"/>
      <c r="H27" s="194"/>
      <c r="I27" s="194"/>
      <c r="J27" s="194"/>
      <c r="K27" s="142"/>
      <c r="L27" s="142"/>
      <c r="M27" s="142"/>
      <c r="N27" s="142"/>
      <c r="O27" s="142"/>
      <c r="P27" s="142"/>
      <c r="Q27" s="142"/>
      <c r="R27" s="140"/>
      <c r="S27" s="143"/>
    </row>
    <row r="28" spans="2:19">
      <c r="B28" s="142"/>
      <c r="D28" s="142"/>
      <c r="E28" s="193" t="s">
        <v>676</v>
      </c>
      <c r="F28" s="142" t="s">
        <v>677</v>
      </c>
      <c r="G28" s="195">
        <f>(tracperf!$B$4/(tire!G35*2*G17*VLOOKUP(frontTireNumber,tireDerate,2))-G19)^(1/G18)</f>
        <v>13.137466318800245</v>
      </c>
      <c r="H28" s="196">
        <f>+G28*6.895</f>
        <v>90.58283026812768</v>
      </c>
      <c r="I28" s="195">
        <f>(tracperf!$B$11/(tire!I35*2*I17*VLOOKUP(I35,tireDerate,2))-I19)^(1/I18)</f>
        <v>11.330094125101711</v>
      </c>
      <c r="J28" s="196">
        <f>+I28*6.895</f>
        <v>78.12099899257629</v>
      </c>
      <c r="K28" s="142"/>
      <c r="L28" s="142">
        <v>6</v>
      </c>
      <c r="M28" s="142" t="s">
        <v>678</v>
      </c>
      <c r="N28" s="142"/>
      <c r="O28" s="142"/>
      <c r="P28" s="142"/>
      <c r="Q28" s="142"/>
      <c r="R28" s="140"/>
      <c r="S28" s="143"/>
    </row>
    <row r="29" spans="2:19">
      <c r="B29" s="142"/>
      <c r="D29" s="142"/>
      <c r="E29" s="193" t="s">
        <v>679</v>
      </c>
      <c r="F29" s="142" t="s">
        <v>677</v>
      </c>
      <c r="G29" s="195">
        <f>H29/6.895</f>
        <v>0.49312169272475442</v>
      </c>
      <c r="H29" s="197">
        <f>((tracperf!$B$4/2.205)/(tire!G35*2*G17*VLOOKUP(frontTireNumber,tireDerate,2))-G19)^(1/G18)</f>
        <v>3.4000740713371815</v>
      </c>
      <c r="I29" s="195">
        <f>J29/6.895</f>
        <v>0.42528102893824837</v>
      </c>
      <c r="J29" s="197">
        <f>((tracperf!$B$11/2.205)/(tire!I35*2*I17*VLOOKUP(I35,tireDerate,2))-I19)^(1/I18)</f>
        <v>2.9323126945292222</v>
      </c>
      <c r="K29" s="142"/>
      <c r="L29" s="142">
        <v>12</v>
      </c>
      <c r="M29" s="142" t="s">
        <v>680</v>
      </c>
      <c r="N29" s="142"/>
      <c r="O29" s="142"/>
      <c r="P29" s="142"/>
      <c r="Q29" s="142"/>
      <c r="R29" s="140"/>
      <c r="S29" s="143"/>
    </row>
    <row r="30" spans="2:19">
      <c r="B30" s="142"/>
      <c r="D30" s="142"/>
      <c r="E30" s="142" t="s">
        <v>681</v>
      </c>
      <c r="F30" s="142"/>
      <c r="G30" s="195">
        <f>IF(G18=0.585,G28, IF(G18=1,G29,#N/A))</f>
        <v>13.137466318800245</v>
      </c>
      <c r="H30" s="196">
        <f>+G30*6.895</f>
        <v>90.58283026812768</v>
      </c>
      <c r="I30" s="195">
        <f>IF(I18=0.585,I28, IF(I18=1,I29,#N/A))</f>
        <v>11.330094125101711</v>
      </c>
      <c r="J30" s="196">
        <f>+I30*6.895</f>
        <v>78.12099899257629</v>
      </c>
      <c r="K30" s="142"/>
      <c r="L30" s="142"/>
      <c r="M30" s="142"/>
      <c r="N30" s="142"/>
      <c r="O30" s="142"/>
      <c r="P30" s="142"/>
      <c r="Q30" s="142"/>
      <c r="R30" s="140"/>
      <c r="S30" s="143"/>
    </row>
    <row r="31" spans="2:19">
      <c r="D31" s="142"/>
      <c r="E31" s="142" t="s">
        <v>682</v>
      </c>
      <c r="F31" s="142"/>
      <c r="G31" s="195">
        <f>MAX(CHOOSE(G34,$L$29,$L$28), MIN(G30,G21))</f>
        <v>13.137466318800245</v>
      </c>
      <c r="H31" s="196">
        <f>+G31*6.895</f>
        <v>90.58283026812768</v>
      </c>
      <c r="I31" s="195">
        <f>MAX(CHOOSE(I34,$L$29,$L$28), MIN(I30,I21))</f>
        <v>11.330094125101711</v>
      </c>
      <c r="J31" s="196">
        <f>+I31*6.895</f>
        <v>78.12099899257629</v>
      </c>
      <c r="K31" s="142"/>
      <c r="L31" s="142"/>
      <c r="M31" s="142"/>
      <c r="N31" s="142"/>
      <c r="O31" s="142"/>
      <c r="P31" s="142"/>
      <c r="Q31" s="142"/>
      <c r="R31" s="140"/>
      <c r="S31" s="143"/>
    </row>
    <row r="32" spans="2:19">
      <c r="D32" s="142"/>
      <c r="E32" s="142"/>
      <c r="F32" s="142"/>
      <c r="G32" s="195"/>
      <c r="H32" s="196"/>
      <c r="I32" s="195"/>
      <c r="J32" s="196"/>
      <c r="K32" s="142"/>
      <c r="L32" s="142"/>
      <c r="M32" s="142"/>
      <c r="N32" s="142"/>
      <c r="O32" s="142"/>
      <c r="P32" s="142"/>
      <c r="Q32" s="142"/>
      <c r="R32" s="140"/>
      <c r="S32" s="143"/>
    </row>
    <row r="33" spans="1:19">
      <c r="D33" s="142"/>
      <c r="E33" s="231" t="s">
        <v>683</v>
      </c>
      <c r="F33" s="142"/>
      <c r="G33" s="142"/>
      <c r="H33" s="142"/>
      <c r="I33" s="142"/>
      <c r="J33" s="142"/>
      <c r="K33" s="232" t="s">
        <v>684</v>
      </c>
      <c r="L33" s="199"/>
      <c r="M33" s="142"/>
      <c r="N33" s="142"/>
      <c r="O33" s="142"/>
      <c r="P33" s="142"/>
      <c r="Q33" s="142"/>
      <c r="R33" s="140"/>
      <c r="S33" s="143"/>
    </row>
    <row r="34" spans="1:19">
      <c r="D34" s="142"/>
      <c r="E34" s="198" t="s">
        <v>685</v>
      </c>
      <c r="F34" s="142"/>
      <c r="G34" s="200">
        <f>IF(G10="b",1,2)</f>
        <v>2</v>
      </c>
      <c r="H34" s="200"/>
      <c r="I34" s="200">
        <f>IF(I10="b",1,2)</f>
        <v>2</v>
      </c>
      <c r="J34" s="200"/>
      <c r="K34" s="137"/>
      <c r="L34" s="184"/>
      <c r="M34" s="141" t="s">
        <v>686</v>
      </c>
      <c r="N34" s="142"/>
      <c r="O34" s="142"/>
      <c r="P34" s="142"/>
      <c r="Q34" s="142"/>
      <c r="R34" s="140"/>
      <c r="S34" s="143"/>
    </row>
    <row r="35" spans="1:19">
      <c r="D35" s="139"/>
      <c r="E35" s="137" t="s">
        <v>687</v>
      </c>
      <c r="F35" s="142"/>
      <c r="G35" s="230">
        <v>1</v>
      </c>
      <c r="H35" s="139"/>
      <c r="I35" s="201">
        <v>1</v>
      </c>
      <c r="K35" s="202">
        <v>1</v>
      </c>
      <c r="L35" s="143">
        <v>2</v>
      </c>
      <c r="M35" s="141"/>
      <c r="N35" s="141"/>
      <c r="O35" s="141"/>
      <c r="P35" s="141"/>
      <c r="Q35" s="141"/>
      <c r="R35" s="140"/>
      <c r="S35" s="143"/>
    </row>
    <row r="36" spans="1:19">
      <c r="D36" s="139"/>
      <c r="E36" s="203" t="s">
        <v>688</v>
      </c>
      <c r="F36" s="142"/>
      <c r="G36" s="204">
        <v>48</v>
      </c>
      <c r="H36" s="205"/>
      <c r="I36" s="204">
        <v>62</v>
      </c>
      <c r="J36" s="206"/>
      <c r="K36" s="207">
        <v>94</v>
      </c>
      <c r="L36" s="208">
        <v>67</v>
      </c>
      <c r="M36" s="141"/>
      <c r="N36" s="141"/>
      <c r="O36" s="141"/>
      <c r="P36" s="141"/>
      <c r="Q36" s="141"/>
      <c r="R36" s="140"/>
      <c r="S36" s="143"/>
    </row>
    <row r="37" spans="1:19" ht="13.5" thickBot="1">
      <c r="D37" s="139"/>
      <c r="E37" s="139"/>
      <c r="F37" s="140"/>
      <c r="G37" s="141">
        <f>tractor!H19</f>
        <v>48</v>
      </c>
      <c r="H37" s="141"/>
      <c r="I37" s="141">
        <f>tractor!H26</f>
        <v>62</v>
      </c>
      <c r="J37" s="142"/>
      <c r="K37" s="141"/>
      <c r="L37" s="141"/>
      <c r="M37" s="141"/>
      <c r="N37" s="141"/>
      <c r="O37" s="141"/>
      <c r="P37" s="141"/>
      <c r="Q37" s="141"/>
      <c r="R37" s="140"/>
      <c r="S37" s="143"/>
    </row>
    <row r="38" spans="1:19" s="209" customFormat="1" ht="51.75" customHeight="1" thickTop="1">
      <c r="B38" s="407" t="s">
        <v>689</v>
      </c>
      <c r="D38" s="210" t="s">
        <v>690</v>
      </c>
      <c r="E38" s="211" t="s">
        <v>691</v>
      </c>
      <c r="F38" s="406" t="s">
        <v>692</v>
      </c>
      <c r="G38" s="212" t="s">
        <v>693</v>
      </c>
      <c r="H38" s="213" t="s">
        <v>694</v>
      </c>
      <c r="I38" s="213" t="s">
        <v>695</v>
      </c>
      <c r="J38" s="213" t="s">
        <v>696</v>
      </c>
      <c r="K38" s="213" t="s">
        <v>697</v>
      </c>
      <c r="L38" s="406" t="s">
        <v>698</v>
      </c>
      <c r="M38" s="406" t="s">
        <v>699</v>
      </c>
      <c r="N38" s="406" t="s">
        <v>662</v>
      </c>
      <c r="O38" s="406" t="s">
        <v>700</v>
      </c>
      <c r="P38" s="406" t="s">
        <v>700</v>
      </c>
      <c r="Q38" s="406" t="s">
        <v>700</v>
      </c>
      <c r="R38" s="214"/>
      <c r="S38" s="406" t="s">
        <v>701</v>
      </c>
    </row>
    <row r="39" spans="1:19">
      <c r="A39" s="215"/>
      <c r="B39" s="215"/>
      <c r="C39" s="215">
        <v>1</v>
      </c>
      <c r="D39" s="216">
        <v>2</v>
      </c>
      <c r="E39" s="215">
        <v>3</v>
      </c>
      <c r="F39" s="216">
        <v>4</v>
      </c>
      <c r="G39" s="215">
        <v>5</v>
      </c>
      <c r="H39" s="216">
        <v>6</v>
      </c>
      <c r="I39" s="215">
        <v>7</v>
      </c>
      <c r="J39" s="216">
        <v>8</v>
      </c>
      <c r="K39" s="215">
        <v>9</v>
      </c>
      <c r="L39" s="216">
        <v>10</v>
      </c>
      <c r="M39" s="215">
        <v>11</v>
      </c>
      <c r="N39" s="216">
        <v>12</v>
      </c>
      <c r="O39" s="215">
        <v>13</v>
      </c>
      <c r="P39" s="216">
        <v>14</v>
      </c>
      <c r="Q39" s="215">
        <v>15</v>
      </c>
      <c r="R39" s="216">
        <v>16</v>
      </c>
      <c r="S39" s="215">
        <v>17</v>
      </c>
    </row>
    <row r="40" spans="1:19">
      <c r="C40" s="217"/>
      <c r="D40" s="218"/>
      <c r="E40" s="218"/>
      <c r="F40" s="217"/>
      <c r="G40" s="218"/>
      <c r="H40" s="217"/>
      <c r="I40" s="218"/>
      <c r="J40" s="217"/>
      <c r="K40" s="218"/>
      <c r="L40" s="217"/>
      <c r="M40" s="218"/>
      <c r="N40" s="217"/>
      <c r="O40" s="218"/>
      <c r="P40" s="217"/>
      <c r="Q40" s="218"/>
      <c r="R40" s="217"/>
      <c r="S40" s="218"/>
    </row>
    <row r="41" spans="1:19" s="397" customFormat="1">
      <c r="C41" s="397">
        <v>1</v>
      </c>
      <c r="D41" s="398"/>
      <c r="E41" s="409" t="s">
        <v>702</v>
      </c>
      <c r="F41" s="408" t="s">
        <v>703</v>
      </c>
      <c r="H41" s="400" t="s">
        <v>88</v>
      </c>
      <c r="I41" s="399" t="s">
        <v>704</v>
      </c>
      <c r="M41" s="400" t="s">
        <v>88</v>
      </c>
      <c r="N41" s="401" t="s">
        <v>15</v>
      </c>
      <c r="O41" s="400" t="s">
        <v>88</v>
      </c>
      <c r="P41" s="400" t="s">
        <v>88</v>
      </c>
      <c r="Q41" s="400" t="s">
        <v>88</v>
      </c>
      <c r="R41" s="400" t="s">
        <v>88</v>
      </c>
      <c r="S41" s="400" t="s">
        <v>88</v>
      </c>
    </row>
    <row r="42" spans="1:19">
      <c r="A42" s="138" t="str">
        <f>CONCATENATE(G42,"-",I42)</f>
        <v>7-14</v>
      </c>
      <c r="B42" s="138" t="str">
        <f>CONCATENATE(G42,H42,I42)</f>
        <v>7B14</v>
      </c>
      <c r="C42" s="138">
        <v>2</v>
      </c>
      <c r="D42" s="220">
        <f>G42*10+I42/100</f>
        <v>70.14</v>
      </c>
      <c r="E42" s="220" t="str">
        <f>CONCATENATE(K42,"   ",FIXED(G42,2)," ",H42," ",I42)</f>
        <v>R-1   7.00 B 14</v>
      </c>
      <c r="F42">
        <v>450</v>
      </c>
      <c r="G42" s="423">
        <v>7</v>
      </c>
      <c r="H42" t="s">
        <v>500</v>
      </c>
      <c r="I42">
        <v>14</v>
      </c>
      <c r="J42">
        <v>6</v>
      </c>
      <c r="K42" s="219" t="s">
        <v>705</v>
      </c>
      <c r="L42">
        <v>318</v>
      </c>
      <c r="M42">
        <v>688</v>
      </c>
      <c r="N42">
        <v>178</v>
      </c>
      <c r="O42"/>
      <c r="P42"/>
      <c r="Q42"/>
      <c r="R42"/>
      <c r="S42"/>
    </row>
    <row r="43" spans="1:19">
      <c r="A43" s="138" t="str">
        <f>CONCATENATE(G43,"-",I43)</f>
        <v>7-16</v>
      </c>
      <c r="B43" s="138" t="str">
        <f>CONCATENATE(G43,H43,I43)</f>
        <v>7B16</v>
      </c>
      <c r="C43" s="138">
        <v>3</v>
      </c>
      <c r="D43" s="220">
        <f>G43*10+I43/100</f>
        <v>70.16</v>
      </c>
      <c r="E43" s="220" t="str">
        <f>CONCATENATE(K43,"   ",FIXED(G43,2)," ",H43," ",I43)</f>
        <v>R-1   7.00 B 16</v>
      </c>
      <c r="F43" s="141">
        <v>500</v>
      </c>
      <c r="G43" s="423">
        <v>7</v>
      </c>
      <c r="H43" s="139" t="s">
        <v>500</v>
      </c>
      <c r="I43" s="141">
        <v>16</v>
      </c>
      <c r="J43" s="141">
        <v>6</v>
      </c>
      <c r="K43" s="219" t="s">
        <v>705</v>
      </c>
      <c r="L43" s="141">
        <v>343</v>
      </c>
      <c r="M43" s="141">
        <v>739</v>
      </c>
      <c r="N43" s="141">
        <v>188</v>
      </c>
      <c r="O43"/>
      <c r="P43"/>
      <c r="Q43"/>
      <c r="R43" s="140"/>
      <c r="S43" s="141">
        <v>30</v>
      </c>
    </row>
    <row r="44" spans="1:19">
      <c r="A44" s="138" t="str">
        <f>CONCATENATE(G44,"-",I44)</f>
        <v>8-16</v>
      </c>
      <c r="B44" s="138" t="str">
        <f>CONCATENATE(G44,H44,I44)</f>
        <v>8B16</v>
      </c>
      <c r="C44" s="138">
        <v>4</v>
      </c>
      <c r="D44" s="220">
        <f>G44*10+I44/100</f>
        <v>80.16</v>
      </c>
      <c r="E44" s="220" t="str">
        <f>CONCATENATE(K44,"   ",FIXED(G44,2)," ",H44," ",I44)</f>
        <v>R-1   8.00 B 16</v>
      </c>
      <c r="F44">
        <v>615</v>
      </c>
      <c r="G44" s="423">
        <v>8</v>
      </c>
      <c r="H44" t="s">
        <v>500</v>
      </c>
      <c r="I44">
        <v>16</v>
      </c>
      <c r="J44">
        <v>6</v>
      </c>
      <c r="K44" s="219" t="s">
        <v>705</v>
      </c>
      <c r="L44">
        <v>366</v>
      </c>
      <c r="M44">
        <v>787</v>
      </c>
      <c r="N44">
        <v>208</v>
      </c>
      <c r="O44"/>
      <c r="P44"/>
      <c r="Q44"/>
      <c r="R44"/>
      <c r="S44"/>
    </row>
    <row r="45" spans="1:19">
      <c r="A45" s="138" t="str">
        <f>CONCATENATE(G45,"-",I45)</f>
        <v>8.3-24</v>
      </c>
      <c r="B45" s="138" t="str">
        <f>CONCATENATE(G45,H45,I45)</f>
        <v>8.3B24</v>
      </c>
      <c r="C45" s="138">
        <v>5</v>
      </c>
      <c r="D45" s="220">
        <f>G45*10+I45/100</f>
        <v>83.24</v>
      </c>
      <c r="E45" s="220" t="str">
        <f>CONCATENATE(K45,"   ",FIXED(G45,2)," ",H45," ",I45)</f>
        <v>R-1   8.30 B 24</v>
      </c>
      <c r="F45">
        <v>730</v>
      </c>
      <c r="G45">
        <v>8.3000000000000007</v>
      </c>
      <c r="H45" t="s">
        <v>500</v>
      </c>
      <c r="I45">
        <v>24</v>
      </c>
      <c r="J45">
        <v>6</v>
      </c>
      <c r="K45" s="219" t="s">
        <v>705</v>
      </c>
      <c r="L45">
        <v>467</v>
      </c>
      <c r="M45">
        <v>991</v>
      </c>
      <c r="N45">
        <v>213</v>
      </c>
      <c r="O45"/>
      <c r="P45"/>
      <c r="Q45"/>
      <c r="R45"/>
      <c r="S45"/>
    </row>
    <row r="46" spans="1:19">
      <c r="A46" s="138" t="str">
        <f>CONCATENATE(G46,"-",I46)</f>
        <v>9.5-16</v>
      </c>
      <c r="B46" s="138" t="str">
        <f>CONCATENATE(G46,H46,I46)</f>
        <v>9.5B16</v>
      </c>
      <c r="C46" s="138">
        <v>6</v>
      </c>
      <c r="D46" s="220">
        <f>G46*10+I46/100</f>
        <v>95.16</v>
      </c>
      <c r="E46" s="220" t="str">
        <f>CONCATENATE(K46,"   ",FIXED(G46,2)," ",H46," ",I46)</f>
        <v>R-1   9.50 B 16</v>
      </c>
      <c r="F46">
        <v>630</v>
      </c>
      <c r="G46">
        <v>9.5</v>
      </c>
      <c r="H46" t="s">
        <v>500</v>
      </c>
      <c r="I46">
        <v>16</v>
      </c>
      <c r="J46">
        <v>6</v>
      </c>
      <c r="K46" s="219" t="s">
        <v>705</v>
      </c>
      <c r="L46">
        <v>389</v>
      </c>
      <c r="M46">
        <v>843</v>
      </c>
      <c r="N46">
        <v>239</v>
      </c>
      <c r="O46"/>
      <c r="P46"/>
      <c r="Q46"/>
      <c r="R46"/>
      <c r="S46"/>
    </row>
    <row r="47" spans="1:19">
      <c r="A47" s="138" t="str">
        <f t="shared" ref="A47:A82" si="0">CONCATENATE(G47,"-",I47)</f>
        <v>9.5-20</v>
      </c>
      <c r="B47" s="138" t="str">
        <f t="shared" ref="B47:B78" si="1">CONCATENATE(G47,H47,I47)</f>
        <v>9.5B20</v>
      </c>
      <c r="C47" s="138">
        <v>7</v>
      </c>
      <c r="D47" s="220">
        <f t="shared" ref="D47:D81" si="2">G47*10+I47/100</f>
        <v>95.2</v>
      </c>
      <c r="E47" s="220" t="str">
        <f t="shared" ref="E47:E81" si="3">CONCATENATE(K47,"   ",FIXED(G47,2)," ",H47," ",I47)</f>
        <v>R-1   9.50 B 20</v>
      </c>
      <c r="F47">
        <v>750</v>
      </c>
      <c r="G47">
        <v>9.5</v>
      </c>
      <c r="H47" t="s">
        <v>500</v>
      </c>
      <c r="I47">
        <v>20</v>
      </c>
      <c r="J47">
        <v>6</v>
      </c>
      <c r="K47" s="219" t="s">
        <v>705</v>
      </c>
      <c r="L47">
        <v>427</v>
      </c>
      <c r="M47">
        <v>973</v>
      </c>
      <c r="N47">
        <v>239</v>
      </c>
      <c r="O47"/>
      <c r="P47"/>
      <c r="Q47"/>
      <c r="R47"/>
      <c r="S47"/>
    </row>
    <row r="48" spans="1:19">
      <c r="A48" s="138" t="str">
        <f t="shared" si="0"/>
        <v>9.5-24</v>
      </c>
      <c r="B48" s="138" t="str">
        <f t="shared" si="1"/>
        <v>9.5B24</v>
      </c>
      <c r="C48" s="138">
        <v>8</v>
      </c>
      <c r="D48" s="220">
        <f t="shared" si="2"/>
        <v>95.24</v>
      </c>
      <c r="E48" s="220" t="str">
        <f t="shared" si="3"/>
        <v>R-1   9.50 B 24</v>
      </c>
      <c r="F48" s="141">
        <v>1048</v>
      </c>
      <c r="G48" s="141">
        <v>9.5</v>
      </c>
      <c r="H48" s="139" t="s">
        <v>500</v>
      </c>
      <c r="I48" s="141">
        <v>24</v>
      </c>
      <c r="J48" s="141">
        <v>6</v>
      </c>
      <c r="K48" s="219" t="s">
        <v>705</v>
      </c>
      <c r="L48" s="141">
        <v>490</v>
      </c>
      <c r="M48" s="141">
        <v>1050</v>
      </c>
      <c r="N48" s="141">
        <v>240</v>
      </c>
      <c r="O48" s="221">
        <v>283.25799999999998</v>
      </c>
      <c r="P48" s="221">
        <v>0.58499999999999996</v>
      </c>
      <c r="Q48" s="141">
        <v>0</v>
      </c>
      <c r="R48" s="140"/>
      <c r="S48" s="141">
        <v>30</v>
      </c>
    </row>
    <row r="49" spans="1:19">
      <c r="A49" s="138" t="str">
        <f t="shared" si="0"/>
        <v>11.2-24</v>
      </c>
      <c r="B49" s="138" t="str">
        <f t="shared" si="1"/>
        <v>11.2B24</v>
      </c>
      <c r="C49" s="138">
        <v>9</v>
      </c>
      <c r="D49" s="220">
        <f t="shared" si="2"/>
        <v>112.24</v>
      </c>
      <c r="E49" s="220" t="str">
        <f t="shared" si="3"/>
        <v>R-1   11.20 B 24</v>
      </c>
      <c r="F49" s="141">
        <v>1048</v>
      </c>
      <c r="G49" s="141">
        <v>11.2</v>
      </c>
      <c r="H49" s="139" t="s">
        <v>500</v>
      </c>
      <c r="I49" s="141">
        <v>24</v>
      </c>
      <c r="J49" s="141">
        <v>6</v>
      </c>
      <c r="K49" s="219" t="s">
        <v>705</v>
      </c>
      <c r="L49" s="141">
        <v>508</v>
      </c>
      <c r="M49" s="141">
        <v>1102</v>
      </c>
      <c r="N49" s="141">
        <v>284</v>
      </c>
      <c r="O49" s="221">
        <v>343</v>
      </c>
      <c r="P49" s="221">
        <v>0.58499999999999996</v>
      </c>
      <c r="Q49" s="141">
        <v>0</v>
      </c>
      <c r="S49" s="141">
        <v>26</v>
      </c>
    </row>
    <row r="50" spans="1:19">
      <c r="A50" s="138" t="str">
        <f t="shared" si="0"/>
        <v>11.2-28</v>
      </c>
      <c r="B50" s="138" t="str">
        <f t="shared" si="1"/>
        <v>11.2B28</v>
      </c>
      <c r="C50" s="138">
        <v>10</v>
      </c>
      <c r="D50" s="220">
        <f t="shared" si="2"/>
        <v>112.28</v>
      </c>
      <c r="E50" s="220" t="str">
        <f t="shared" si="3"/>
        <v>R-1   11.20 B 28</v>
      </c>
      <c r="F50">
        <v>800</v>
      </c>
      <c r="G50">
        <v>11.2</v>
      </c>
      <c r="H50" t="s">
        <v>500</v>
      </c>
      <c r="I50">
        <v>28</v>
      </c>
      <c r="J50">
        <v>4</v>
      </c>
      <c r="K50" s="219" t="s">
        <v>705</v>
      </c>
      <c r="L50">
        <v>566</v>
      </c>
      <c r="M50">
        <v>1204</v>
      </c>
      <c r="N50">
        <v>287</v>
      </c>
      <c r="O50"/>
      <c r="P50"/>
      <c r="Q50"/>
      <c r="R50"/>
      <c r="S50"/>
    </row>
    <row r="51" spans="1:19">
      <c r="A51" s="138" t="str">
        <f t="shared" si="0"/>
        <v>12.4-24</v>
      </c>
      <c r="B51" s="138" t="str">
        <f t="shared" si="1"/>
        <v>12.4B24</v>
      </c>
      <c r="C51" s="138">
        <v>11</v>
      </c>
      <c r="D51" s="220">
        <f t="shared" si="2"/>
        <v>124.24</v>
      </c>
      <c r="E51" s="220" t="str">
        <f t="shared" si="3"/>
        <v>R-1   12.40 B 24</v>
      </c>
      <c r="F51" s="141">
        <v>1415</v>
      </c>
      <c r="G51" s="141">
        <v>12.4</v>
      </c>
      <c r="H51" s="139" t="s">
        <v>500</v>
      </c>
      <c r="I51" s="141">
        <v>24</v>
      </c>
      <c r="J51" s="141">
        <v>8</v>
      </c>
      <c r="K51" s="219" t="s">
        <v>705</v>
      </c>
      <c r="L51" s="141">
        <v>528</v>
      </c>
      <c r="M51" s="141">
        <v>1163</v>
      </c>
      <c r="N51" s="141">
        <v>315</v>
      </c>
      <c r="O51" s="221">
        <v>410.80099999999999</v>
      </c>
      <c r="P51" s="221">
        <v>0.58499999999999996</v>
      </c>
      <c r="Q51" s="141">
        <v>0</v>
      </c>
      <c r="S51" s="141">
        <v>32</v>
      </c>
    </row>
    <row r="52" spans="1:19">
      <c r="A52" s="138" t="str">
        <f t="shared" si="0"/>
        <v>12.4-28</v>
      </c>
      <c r="B52" s="138" t="str">
        <f t="shared" si="1"/>
        <v>12.4B28</v>
      </c>
      <c r="C52" s="138">
        <v>12</v>
      </c>
      <c r="D52" s="220">
        <f t="shared" si="2"/>
        <v>124.28</v>
      </c>
      <c r="E52" s="220" t="str">
        <f t="shared" si="3"/>
        <v>R-1   12.40 B 28</v>
      </c>
      <c r="F52">
        <v>900</v>
      </c>
      <c r="G52">
        <v>12.4</v>
      </c>
      <c r="H52" t="s">
        <v>500</v>
      </c>
      <c r="I52">
        <v>28</v>
      </c>
      <c r="J52">
        <v>4</v>
      </c>
      <c r="K52" s="219" t="s">
        <v>705</v>
      </c>
      <c r="L52">
        <v>589</v>
      </c>
      <c r="M52">
        <v>1257</v>
      </c>
      <c r="N52">
        <v>315</v>
      </c>
      <c r="O52"/>
      <c r="P52"/>
      <c r="Q52"/>
      <c r="R52"/>
      <c r="S52"/>
    </row>
    <row r="53" spans="1:19">
      <c r="A53" s="138" t="str">
        <f t="shared" si="0"/>
        <v>12.4-42</v>
      </c>
      <c r="B53" s="138" t="str">
        <f t="shared" si="1"/>
        <v>12.4B42</v>
      </c>
      <c r="C53" s="138">
        <v>13</v>
      </c>
      <c r="D53" s="220">
        <f t="shared" si="2"/>
        <v>124.42</v>
      </c>
      <c r="E53" s="220" t="str">
        <f t="shared" si="3"/>
        <v>R-1   12.40 B 42</v>
      </c>
      <c r="F53" s="141">
        <v>1492</v>
      </c>
      <c r="G53" s="141">
        <v>12.4</v>
      </c>
      <c r="H53" s="139" t="s">
        <v>500</v>
      </c>
      <c r="I53" s="141">
        <v>42</v>
      </c>
      <c r="J53" s="141">
        <v>6</v>
      </c>
      <c r="K53" s="219" t="s">
        <v>705</v>
      </c>
      <c r="L53" s="141">
        <v>757</v>
      </c>
      <c r="M53" s="141">
        <v>1621</v>
      </c>
      <c r="N53" s="141">
        <v>293</v>
      </c>
      <c r="O53" s="221"/>
      <c r="P53" s="221">
        <v>0.58499999999999996</v>
      </c>
      <c r="Q53" s="141">
        <v>0</v>
      </c>
      <c r="S53" s="141">
        <v>24</v>
      </c>
    </row>
    <row r="54" spans="1:19">
      <c r="A54" s="138" t="str">
        <f t="shared" si="0"/>
        <v>13.6-24</v>
      </c>
      <c r="B54" s="138" t="str">
        <f t="shared" si="1"/>
        <v>13.6B24</v>
      </c>
      <c r="C54" s="138">
        <v>14</v>
      </c>
      <c r="D54" s="220">
        <f t="shared" si="2"/>
        <v>136.24</v>
      </c>
      <c r="E54" s="220" t="str">
        <f t="shared" si="3"/>
        <v>R-1   13.60 B 24</v>
      </c>
      <c r="F54" s="141">
        <v>1542</v>
      </c>
      <c r="G54" s="141">
        <v>13.6</v>
      </c>
      <c r="H54" s="139" t="s">
        <v>500</v>
      </c>
      <c r="I54" s="141">
        <v>24</v>
      </c>
      <c r="J54" s="141">
        <v>8</v>
      </c>
      <c r="K54" s="219" t="s">
        <v>705</v>
      </c>
      <c r="L54" s="141">
        <v>546</v>
      </c>
      <c r="M54" s="141">
        <v>1207</v>
      </c>
      <c r="N54" s="141">
        <v>345</v>
      </c>
      <c r="O54" s="221">
        <v>484.47300000000001</v>
      </c>
      <c r="P54" s="221">
        <v>0.58499999999999996</v>
      </c>
      <c r="Q54" s="141">
        <v>0</v>
      </c>
      <c r="S54" s="141">
        <v>28</v>
      </c>
    </row>
    <row r="55" spans="1:19">
      <c r="A55" s="138" t="str">
        <f t="shared" si="0"/>
        <v>13.6-28</v>
      </c>
      <c r="B55" s="138" t="str">
        <f t="shared" si="1"/>
        <v>13.6B28</v>
      </c>
      <c r="C55" s="138">
        <v>15</v>
      </c>
      <c r="D55" s="220">
        <f t="shared" si="2"/>
        <v>136.28</v>
      </c>
      <c r="E55" s="220" t="str">
        <f t="shared" si="3"/>
        <v>R-1   13.60 B 28</v>
      </c>
      <c r="F55" s="141">
        <v>1910</v>
      </c>
      <c r="G55" s="141">
        <v>13.6</v>
      </c>
      <c r="H55" s="139" t="s">
        <v>500</v>
      </c>
      <c r="I55" s="141">
        <v>28</v>
      </c>
      <c r="J55" s="141">
        <v>10</v>
      </c>
      <c r="K55" s="219" t="s">
        <v>705</v>
      </c>
      <c r="L55" s="141">
        <v>599</v>
      </c>
      <c r="M55" s="141">
        <v>1306</v>
      </c>
      <c r="N55" s="141">
        <v>352</v>
      </c>
      <c r="O55" s="221">
        <v>516.93299999999999</v>
      </c>
      <c r="P55" s="221">
        <v>0.58499999999999996</v>
      </c>
      <c r="Q55" s="141">
        <v>0</v>
      </c>
      <c r="S55" s="141">
        <v>36</v>
      </c>
    </row>
    <row r="56" spans="1:19">
      <c r="A56" s="138" t="str">
        <f t="shared" si="0"/>
        <v>13.6-38</v>
      </c>
      <c r="B56" s="138" t="str">
        <f t="shared" si="1"/>
        <v>13.6B38</v>
      </c>
      <c r="C56" s="138">
        <v>16</v>
      </c>
      <c r="D56" s="220">
        <f t="shared" si="2"/>
        <v>136.38</v>
      </c>
      <c r="E56" s="220" t="str">
        <f t="shared" si="3"/>
        <v>R-1   13.60 B 38</v>
      </c>
      <c r="F56" s="141">
        <v>1909</v>
      </c>
      <c r="G56" s="141">
        <v>13.6</v>
      </c>
      <c r="H56" s="139" t="s">
        <v>500</v>
      </c>
      <c r="I56" s="141">
        <v>38</v>
      </c>
      <c r="J56" s="141">
        <v>8</v>
      </c>
      <c r="K56" s="219" t="s">
        <v>705</v>
      </c>
      <c r="L56" s="141">
        <v>721</v>
      </c>
      <c r="M56" s="141">
        <v>1552</v>
      </c>
      <c r="N56" s="141">
        <v>351</v>
      </c>
      <c r="O56" s="221">
        <v>599.29399999999998</v>
      </c>
      <c r="P56" s="221">
        <v>0.58499999999999996</v>
      </c>
      <c r="Q56" s="141">
        <v>0</v>
      </c>
      <c r="S56" s="141">
        <v>28</v>
      </c>
    </row>
    <row r="57" spans="1:19">
      <c r="A57" s="138" t="str">
        <f t="shared" si="0"/>
        <v>14.9-24</v>
      </c>
      <c r="B57" s="138" t="str">
        <f t="shared" si="1"/>
        <v>14.9B24</v>
      </c>
      <c r="C57" s="138">
        <v>17</v>
      </c>
      <c r="D57" s="220">
        <f t="shared" si="2"/>
        <v>149.24</v>
      </c>
      <c r="E57" s="220" t="str">
        <f t="shared" si="3"/>
        <v>R-1   14.90 B 24</v>
      </c>
      <c r="F57" s="141">
        <v>3880</v>
      </c>
      <c r="G57" s="141">
        <v>14.9</v>
      </c>
      <c r="H57" s="139" t="s">
        <v>500</v>
      </c>
      <c r="I57" s="141">
        <v>24</v>
      </c>
      <c r="J57" s="141">
        <v>8</v>
      </c>
      <c r="K57" s="219" t="s">
        <v>705</v>
      </c>
      <c r="L57" s="141">
        <v>569</v>
      </c>
      <c r="M57" s="141">
        <v>1265</v>
      </c>
      <c r="N57" s="141">
        <v>366</v>
      </c>
      <c r="O57" s="221">
        <v>576.74300000000005</v>
      </c>
      <c r="P57" s="221">
        <v>0.58499999999999996</v>
      </c>
      <c r="Q57" s="141">
        <v>0</v>
      </c>
      <c r="S57" s="141">
        <v>26</v>
      </c>
    </row>
    <row r="58" spans="1:19">
      <c r="A58" s="138" t="str">
        <f t="shared" si="0"/>
        <v>14.9-26</v>
      </c>
      <c r="B58" s="138" t="str">
        <f t="shared" si="1"/>
        <v>14.9B26</v>
      </c>
      <c r="C58" s="138">
        <v>18</v>
      </c>
      <c r="D58" s="220">
        <f t="shared" si="2"/>
        <v>149.26</v>
      </c>
      <c r="E58" s="220" t="str">
        <f t="shared" si="3"/>
        <v>R-1   14.90 B 26</v>
      </c>
      <c r="F58" s="141">
        <v>2054</v>
      </c>
      <c r="G58" s="141">
        <v>14.9</v>
      </c>
      <c r="H58" s="139" t="s">
        <v>500</v>
      </c>
      <c r="I58" s="141">
        <v>26</v>
      </c>
      <c r="J58" s="141">
        <v>10</v>
      </c>
      <c r="K58" s="219" t="s">
        <v>705</v>
      </c>
      <c r="L58" s="141">
        <v>602</v>
      </c>
      <c r="M58" s="141">
        <v>1318</v>
      </c>
      <c r="N58" s="141">
        <v>376</v>
      </c>
      <c r="O58" s="221">
        <v>595.77599999999995</v>
      </c>
      <c r="P58" s="221">
        <v>0.58499999999999996</v>
      </c>
      <c r="Q58" s="141">
        <v>0</v>
      </c>
      <c r="S58" s="141">
        <v>32</v>
      </c>
    </row>
    <row r="59" spans="1:19">
      <c r="A59" s="138" t="str">
        <f t="shared" si="0"/>
        <v>14.9-28</v>
      </c>
      <c r="B59" s="138" t="str">
        <f t="shared" si="1"/>
        <v>14.9B28</v>
      </c>
      <c r="C59" s="138">
        <v>19</v>
      </c>
      <c r="D59" s="220">
        <f t="shared" si="2"/>
        <v>149.28</v>
      </c>
      <c r="E59" s="220" t="str">
        <f t="shared" si="3"/>
        <v>R-1   14.90 B 28</v>
      </c>
      <c r="F59" s="141">
        <v>2122</v>
      </c>
      <c r="G59" s="141">
        <v>14.9</v>
      </c>
      <c r="H59" s="139" t="s">
        <v>500</v>
      </c>
      <c r="I59" s="141">
        <v>28</v>
      </c>
      <c r="J59" s="141">
        <v>10</v>
      </c>
      <c r="K59" s="219" t="s">
        <v>705</v>
      </c>
      <c r="L59" s="141">
        <v>622</v>
      </c>
      <c r="M59" s="141">
        <v>1372</v>
      </c>
      <c r="N59" s="141">
        <v>373</v>
      </c>
      <c r="O59" s="221">
        <v>615.38499999999999</v>
      </c>
      <c r="P59" s="221">
        <v>0.58499999999999996</v>
      </c>
      <c r="Q59" s="141">
        <v>0</v>
      </c>
      <c r="S59" s="141">
        <v>32</v>
      </c>
    </row>
    <row r="60" spans="1:19">
      <c r="A60" s="138" t="str">
        <f t="shared" si="0"/>
        <v>14.9-30</v>
      </c>
      <c r="B60" s="138" t="str">
        <f t="shared" si="1"/>
        <v>14.9B30</v>
      </c>
      <c r="C60" s="138">
        <v>20</v>
      </c>
      <c r="D60" s="220">
        <f t="shared" si="2"/>
        <v>149.30000000000001</v>
      </c>
      <c r="E60" s="220" t="str">
        <f t="shared" si="3"/>
        <v>R-1   14.90 B 30</v>
      </c>
      <c r="F60" s="141">
        <v>2190</v>
      </c>
      <c r="G60" s="141">
        <v>14.9</v>
      </c>
      <c r="H60" s="139" t="s">
        <v>500</v>
      </c>
      <c r="I60" s="141">
        <v>30</v>
      </c>
      <c r="J60" s="141">
        <v>10</v>
      </c>
      <c r="K60" s="219" t="s">
        <v>705</v>
      </c>
      <c r="L60" s="141">
        <v>650</v>
      </c>
      <c r="M60" s="141">
        <v>1410</v>
      </c>
      <c r="N60" s="141">
        <v>378</v>
      </c>
      <c r="O60" s="221">
        <v>634.99400000000003</v>
      </c>
      <c r="P60" s="221">
        <v>0.58499999999999996</v>
      </c>
      <c r="Q60" s="141">
        <v>0</v>
      </c>
      <c r="S60" s="141">
        <v>32</v>
      </c>
    </row>
    <row r="61" spans="1:19">
      <c r="A61" s="138" t="str">
        <f t="shared" si="0"/>
        <v>15.5-38</v>
      </c>
      <c r="B61" s="138" t="str">
        <f t="shared" si="1"/>
        <v>15.5B38</v>
      </c>
      <c r="C61" s="138">
        <v>21</v>
      </c>
      <c r="D61" s="220">
        <f t="shared" si="2"/>
        <v>155.38</v>
      </c>
      <c r="E61" s="220" t="str">
        <f t="shared" si="3"/>
        <v>R-1   15.50 B 38</v>
      </c>
      <c r="F61" s="141">
        <v>2318</v>
      </c>
      <c r="G61" s="141">
        <v>15.5</v>
      </c>
      <c r="H61" s="139" t="s">
        <v>500</v>
      </c>
      <c r="I61" s="141">
        <v>38</v>
      </c>
      <c r="J61" s="141">
        <v>10</v>
      </c>
      <c r="K61" s="219" t="s">
        <v>705</v>
      </c>
      <c r="L61" s="141">
        <v>732</v>
      </c>
      <c r="M61" s="141">
        <v>1565</v>
      </c>
      <c r="N61" s="141">
        <v>394</v>
      </c>
      <c r="O61" s="221">
        <v>674.33299999999997</v>
      </c>
      <c r="P61" s="221">
        <v>0.58499999999999996</v>
      </c>
      <c r="Q61" s="141">
        <v>0</v>
      </c>
      <c r="S61" s="141">
        <v>32</v>
      </c>
    </row>
    <row r="62" spans="1:19">
      <c r="A62" s="138" t="str">
        <f t="shared" si="0"/>
        <v>16.9-24</v>
      </c>
      <c r="B62" s="138" t="str">
        <f t="shared" si="1"/>
        <v>16.9B24</v>
      </c>
      <c r="C62" s="138">
        <v>22</v>
      </c>
      <c r="D62" s="220">
        <f t="shared" si="2"/>
        <v>169.24</v>
      </c>
      <c r="E62" s="220" t="str">
        <f t="shared" si="3"/>
        <v>R-1   16.90 B 24</v>
      </c>
      <c r="F62" s="141">
        <v>2231</v>
      </c>
      <c r="G62" s="141">
        <v>16.899999999999999</v>
      </c>
      <c r="H62" s="139" t="s">
        <v>500</v>
      </c>
      <c r="I62" s="141">
        <v>24</v>
      </c>
      <c r="J62" s="141">
        <v>10</v>
      </c>
      <c r="K62" s="219" t="s">
        <v>705</v>
      </c>
      <c r="L62" s="141">
        <v>597</v>
      </c>
      <c r="M62" s="141">
        <v>1323</v>
      </c>
      <c r="N62" s="141">
        <v>437</v>
      </c>
      <c r="O62" s="221">
        <v>700.49800000000005</v>
      </c>
      <c r="P62" s="221">
        <v>0.58499999999999996</v>
      </c>
      <c r="Q62" s="141">
        <v>0</v>
      </c>
      <c r="S62" s="141">
        <v>28</v>
      </c>
    </row>
    <row r="63" spans="1:19">
      <c r="A63" s="138" t="str">
        <f t="shared" si="0"/>
        <v>16.9-26</v>
      </c>
      <c r="B63" s="138" t="str">
        <f t="shared" si="1"/>
        <v>16.9B26</v>
      </c>
      <c r="C63" s="138">
        <v>23</v>
      </c>
      <c r="D63" s="220">
        <f t="shared" si="2"/>
        <v>169.26</v>
      </c>
      <c r="E63" s="220" t="str">
        <f t="shared" si="3"/>
        <v>R-1   16.90 B 26</v>
      </c>
      <c r="F63" s="141">
        <v>2304</v>
      </c>
      <c r="G63" s="141">
        <v>16.899999999999999</v>
      </c>
      <c r="H63" s="139" t="s">
        <v>500</v>
      </c>
      <c r="I63" s="141">
        <v>26</v>
      </c>
      <c r="J63" s="141">
        <v>10</v>
      </c>
      <c r="K63" s="219" t="s">
        <v>705</v>
      </c>
      <c r="L63" s="141">
        <v>617</v>
      </c>
      <c r="M63" s="141">
        <v>1374</v>
      </c>
      <c r="N63" s="141">
        <v>437</v>
      </c>
      <c r="O63" s="221">
        <v>723.61400000000003</v>
      </c>
      <c r="P63" s="221">
        <v>0.58499999999999996</v>
      </c>
      <c r="Q63" s="141">
        <v>0</v>
      </c>
      <c r="S63" s="141">
        <v>28</v>
      </c>
    </row>
    <row r="64" spans="1:19" s="227" customFormat="1">
      <c r="A64" s="138" t="str">
        <f t="shared" si="0"/>
        <v>16.9-28</v>
      </c>
      <c r="B64" s="138" t="str">
        <f t="shared" si="1"/>
        <v>16.9B28</v>
      </c>
      <c r="C64" s="138">
        <v>24</v>
      </c>
      <c r="D64" s="220">
        <f t="shared" si="2"/>
        <v>169.28</v>
      </c>
      <c r="E64" s="220" t="str">
        <f t="shared" si="3"/>
        <v>R-1   16.90 B 28</v>
      </c>
      <c r="F64" s="141">
        <v>2381</v>
      </c>
      <c r="G64" s="141">
        <v>16.899999999999999</v>
      </c>
      <c r="H64" s="139" t="s">
        <v>500</v>
      </c>
      <c r="I64" s="141">
        <v>28</v>
      </c>
      <c r="J64" s="141">
        <v>10</v>
      </c>
      <c r="K64" s="219" t="s">
        <v>705</v>
      </c>
      <c r="L64" s="141">
        <v>640</v>
      </c>
      <c r="M64" s="141">
        <v>1412</v>
      </c>
      <c r="N64" s="141">
        <v>427</v>
      </c>
      <c r="O64" s="221">
        <v>747.43100000000004</v>
      </c>
      <c r="P64" s="221">
        <v>0.58499999999999996</v>
      </c>
      <c r="Q64" s="141">
        <v>0</v>
      </c>
      <c r="R64" s="138"/>
      <c r="S64" s="141">
        <v>28</v>
      </c>
    </row>
    <row r="65" spans="1:19">
      <c r="A65" s="138" t="str">
        <f t="shared" si="0"/>
        <v>16.9-30</v>
      </c>
      <c r="B65" s="138" t="str">
        <f t="shared" si="1"/>
        <v>16.9B30</v>
      </c>
      <c r="C65" s="138">
        <v>25</v>
      </c>
      <c r="D65" s="220">
        <f t="shared" si="2"/>
        <v>169.3</v>
      </c>
      <c r="E65" s="220" t="str">
        <f t="shared" si="3"/>
        <v>R-1   16.90 B 30</v>
      </c>
      <c r="F65" s="141">
        <v>2453</v>
      </c>
      <c r="G65" s="141">
        <v>16.899999999999999</v>
      </c>
      <c r="H65" s="139" t="s">
        <v>500</v>
      </c>
      <c r="I65" s="141">
        <v>30</v>
      </c>
      <c r="J65" s="141">
        <v>10</v>
      </c>
      <c r="K65" s="219" t="s">
        <v>705</v>
      </c>
      <c r="L65" s="141">
        <v>673</v>
      </c>
      <c r="M65" s="141">
        <v>1486</v>
      </c>
      <c r="N65" s="141">
        <v>417</v>
      </c>
      <c r="O65" s="221">
        <v>771.24800000000005</v>
      </c>
      <c r="P65" s="221">
        <v>0.58499999999999996</v>
      </c>
      <c r="Q65" s="141">
        <v>0</v>
      </c>
      <c r="S65" s="141">
        <v>28</v>
      </c>
    </row>
    <row r="66" spans="1:19">
      <c r="A66" s="138" t="str">
        <f t="shared" si="0"/>
        <v>16.9-34</v>
      </c>
      <c r="B66" s="138" t="str">
        <f t="shared" si="1"/>
        <v>16.9B34</v>
      </c>
      <c r="C66" s="138">
        <v>26</v>
      </c>
      <c r="D66" s="220">
        <f t="shared" si="2"/>
        <v>169.34</v>
      </c>
      <c r="E66" s="220" t="str">
        <f t="shared" si="3"/>
        <v>R-1   16.90 B 34</v>
      </c>
      <c r="F66" s="141">
        <v>2277</v>
      </c>
      <c r="G66" s="141">
        <v>16.899999999999999</v>
      </c>
      <c r="H66" s="139" t="s">
        <v>500</v>
      </c>
      <c r="I66" s="141">
        <v>34</v>
      </c>
      <c r="J66" s="141">
        <v>8</v>
      </c>
      <c r="K66" s="219" t="s">
        <v>705</v>
      </c>
      <c r="L66" s="141">
        <v>726</v>
      </c>
      <c r="M66" s="141">
        <v>1588</v>
      </c>
      <c r="N66" s="141">
        <v>447</v>
      </c>
      <c r="O66" s="221">
        <v>818.88199999999995</v>
      </c>
      <c r="P66" s="221">
        <v>0.58499999999999996</v>
      </c>
      <c r="Q66" s="141">
        <v>0</v>
      </c>
      <c r="S66" s="141">
        <v>24</v>
      </c>
    </row>
    <row r="67" spans="1:19">
      <c r="A67" s="138" t="str">
        <f t="shared" si="0"/>
        <v>16.9-38</v>
      </c>
      <c r="B67" s="138" t="str">
        <f t="shared" si="1"/>
        <v>16.9B38</v>
      </c>
      <c r="C67" s="138">
        <v>27</v>
      </c>
      <c r="D67" s="220">
        <f t="shared" si="2"/>
        <v>169.38</v>
      </c>
      <c r="E67" s="220" t="str">
        <f t="shared" si="3"/>
        <v>R-1   16.90 B 38</v>
      </c>
      <c r="F67" s="141">
        <v>2522</v>
      </c>
      <c r="G67" s="141">
        <v>16.899999999999999</v>
      </c>
      <c r="H67" s="139" t="s">
        <v>500</v>
      </c>
      <c r="I67" s="141">
        <v>38</v>
      </c>
      <c r="J67" s="141">
        <v>8</v>
      </c>
      <c r="K67" s="219" t="s">
        <v>705</v>
      </c>
      <c r="L67" s="141">
        <v>777</v>
      </c>
      <c r="M67" s="141">
        <v>1697</v>
      </c>
      <c r="N67" s="141">
        <v>437</v>
      </c>
      <c r="O67" s="221">
        <v>866.51599999999996</v>
      </c>
      <c r="P67" s="221">
        <v>0.58499999999999996</v>
      </c>
      <c r="Q67" s="141">
        <v>0</v>
      </c>
      <c r="S67" s="141">
        <v>24</v>
      </c>
    </row>
    <row r="68" spans="1:19">
      <c r="A68" s="138" t="str">
        <f t="shared" si="0"/>
        <v>18.4-26</v>
      </c>
      <c r="B68" s="138" t="str">
        <f t="shared" si="1"/>
        <v>18.4B26</v>
      </c>
      <c r="C68" s="138">
        <v>28</v>
      </c>
      <c r="D68" s="220">
        <f t="shared" si="2"/>
        <v>184.26</v>
      </c>
      <c r="E68" s="220" t="str">
        <f t="shared" si="3"/>
        <v>R-1   18.40 B 26</v>
      </c>
      <c r="F68" s="141">
        <v>2644</v>
      </c>
      <c r="G68" s="141">
        <v>18.399999999999999</v>
      </c>
      <c r="H68" s="139" t="s">
        <v>500</v>
      </c>
      <c r="I68" s="141">
        <v>26</v>
      </c>
      <c r="J68" s="141">
        <v>10</v>
      </c>
      <c r="K68" s="219" t="s">
        <v>705</v>
      </c>
      <c r="L68" s="141">
        <v>650</v>
      </c>
      <c r="M68" s="141">
        <v>1445</v>
      </c>
      <c r="N68" s="141">
        <v>465</v>
      </c>
      <c r="O68" s="221">
        <v>866.07100000000003</v>
      </c>
      <c r="P68" s="221">
        <v>0.58499999999999996</v>
      </c>
      <c r="Q68" s="141">
        <v>0</v>
      </c>
      <c r="S68" s="141">
        <v>26</v>
      </c>
    </row>
    <row r="69" spans="1:19">
      <c r="A69" s="138" t="str">
        <f t="shared" si="0"/>
        <v>18.4-28</v>
      </c>
      <c r="B69" s="138" t="str">
        <f t="shared" si="1"/>
        <v>18.4B28</v>
      </c>
      <c r="C69" s="138">
        <v>29</v>
      </c>
      <c r="D69" s="220">
        <f t="shared" si="2"/>
        <v>184.28</v>
      </c>
      <c r="E69" s="220" t="str">
        <f t="shared" si="3"/>
        <v>R-1   18.40 B 28</v>
      </c>
      <c r="F69" s="141">
        <v>3079</v>
      </c>
      <c r="G69" s="141">
        <v>18.399999999999999</v>
      </c>
      <c r="H69" s="139" t="s">
        <v>500</v>
      </c>
      <c r="I69" s="141">
        <v>28</v>
      </c>
      <c r="J69" s="141">
        <v>12</v>
      </c>
      <c r="K69" s="219" t="s">
        <v>705</v>
      </c>
      <c r="L69" s="141">
        <v>678</v>
      </c>
      <c r="M69" s="141">
        <v>1509</v>
      </c>
      <c r="N69" s="141">
        <v>455</v>
      </c>
      <c r="O69" s="221">
        <v>894.577</v>
      </c>
      <c r="P69" s="221">
        <v>0.58499999999999996</v>
      </c>
      <c r="Q69" s="141">
        <v>0</v>
      </c>
      <c r="S69" s="141">
        <v>32</v>
      </c>
    </row>
    <row r="70" spans="1:19">
      <c r="A70" s="138" t="str">
        <f t="shared" si="0"/>
        <v>18.4-30</v>
      </c>
      <c r="B70" s="138" t="str">
        <f t="shared" si="1"/>
        <v>18.4B30</v>
      </c>
      <c r="C70" s="138">
        <v>30</v>
      </c>
      <c r="D70" s="220">
        <f t="shared" si="2"/>
        <v>184.3</v>
      </c>
      <c r="E70" s="220" t="str">
        <f t="shared" si="3"/>
        <v>R-1   18.40 B 30</v>
      </c>
      <c r="F70" s="141">
        <v>3179</v>
      </c>
      <c r="G70" s="141">
        <v>18.399999999999999</v>
      </c>
      <c r="H70" s="139" t="s">
        <v>500</v>
      </c>
      <c r="I70" s="141">
        <v>30</v>
      </c>
      <c r="J70" s="141">
        <v>12</v>
      </c>
      <c r="K70" s="219" t="s">
        <v>705</v>
      </c>
      <c r="L70" s="141">
        <v>699</v>
      </c>
      <c r="M70" s="141">
        <v>1560</v>
      </c>
      <c r="N70" s="141">
        <v>467</v>
      </c>
      <c r="O70" s="221">
        <v>923.08199999999999</v>
      </c>
      <c r="P70" s="221">
        <v>0.58499999999999996</v>
      </c>
      <c r="Q70" s="141">
        <v>0</v>
      </c>
      <c r="S70" s="141">
        <v>32</v>
      </c>
    </row>
    <row r="71" spans="1:19">
      <c r="A71" s="138" t="str">
        <f t="shared" si="0"/>
        <v>18.4-34</v>
      </c>
      <c r="B71" s="138" t="str">
        <f t="shared" si="1"/>
        <v>18.4B34</v>
      </c>
      <c r="C71" s="138">
        <v>31</v>
      </c>
      <c r="D71" s="220">
        <f t="shared" si="2"/>
        <v>184.34</v>
      </c>
      <c r="E71" s="220" t="str">
        <f t="shared" si="3"/>
        <v>R-1   18.40 B 34</v>
      </c>
      <c r="F71" s="141">
        <v>2989</v>
      </c>
      <c r="G71" s="141">
        <v>18.399999999999999</v>
      </c>
      <c r="H71" s="139" t="s">
        <v>500</v>
      </c>
      <c r="I71" s="141">
        <v>34</v>
      </c>
      <c r="J71" s="141">
        <v>10</v>
      </c>
      <c r="K71" s="219" t="s">
        <v>705</v>
      </c>
      <c r="L71" s="141">
        <v>737</v>
      </c>
      <c r="M71" s="141">
        <v>1656</v>
      </c>
      <c r="N71" s="141">
        <v>476</v>
      </c>
      <c r="O71" s="221">
        <v>980.09299999999996</v>
      </c>
      <c r="P71" s="221">
        <v>0.58499999999999996</v>
      </c>
      <c r="Q71" s="141">
        <v>0</v>
      </c>
      <c r="S71" s="141">
        <v>26</v>
      </c>
    </row>
    <row r="72" spans="1:19">
      <c r="A72" s="138" t="str">
        <f t="shared" si="0"/>
        <v>18.4-38</v>
      </c>
      <c r="B72" s="138" t="str">
        <f t="shared" si="1"/>
        <v>18.4B38</v>
      </c>
      <c r="C72" s="138">
        <v>32</v>
      </c>
      <c r="D72" s="222">
        <f t="shared" si="2"/>
        <v>184.38</v>
      </c>
      <c r="E72" s="220" t="str">
        <f t="shared" si="3"/>
        <v>R-1   18.40 B 38</v>
      </c>
      <c r="F72" s="223">
        <v>3574</v>
      </c>
      <c r="G72" s="223">
        <v>18.399999999999999</v>
      </c>
      <c r="H72" s="224" t="s">
        <v>500</v>
      </c>
      <c r="I72" s="223">
        <v>38</v>
      </c>
      <c r="J72" s="223">
        <v>12</v>
      </c>
      <c r="K72" s="225" t="s">
        <v>705</v>
      </c>
      <c r="L72" s="223">
        <v>798</v>
      </c>
      <c r="M72" s="223">
        <v>1755</v>
      </c>
      <c r="N72" s="223">
        <v>480</v>
      </c>
      <c r="O72" s="226">
        <v>1037.1099999999999</v>
      </c>
      <c r="P72" s="226">
        <v>0.58499999999999996</v>
      </c>
      <c r="Q72" s="223">
        <v>0</v>
      </c>
      <c r="R72" s="227"/>
      <c r="S72" s="223">
        <v>32</v>
      </c>
    </row>
    <row r="73" spans="1:19">
      <c r="A73" s="138" t="str">
        <f t="shared" si="0"/>
        <v>18.4-42</v>
      </c>
      <c r="B73" s="138" t="str">
        <f t="shared" si="1"/>
        <v>18.4B42</v>
      </c>
      <c r="C73" s="138">
        <v>33</v>
      </c>
      <c r="D73" s="220">
        <f t="shared" si="2"/>
        <v>184.42</v>
      </c>
      <c r="E73" s="220" t="str">
        <f t="shared" si="3"/>
        <v>R-1   18.40 B 42</v>
      </c>
      <c r="F73" s="141">
        <v>3769</v>
      </c>
      <c r="G73" s="141">
        <v>18.399999999999999</v>
      </c>
      <c r="H73" s="139" t="s">
        <v>500</v>
      </c>
      <c r="I73" s="141">
        <v>42</v>
      </c>
      <c r="J73" s="141">
        <v>12</v>
      </c>
      <c r="K73" s="219" t="s">
        <v>705</v>
      </c>
      <c r="L73" s="141">
        <v>846</v>
      </c>
      <c r="M73" s="141">
        <v>1864</v>
      </c>
      <c r="N73" s="141">
        <v>467</v>
      </c>
      <c r="O73" s="221">
        <v>1094.1199999999999</v>
      </c>
      <c r="P73" s="221">
        <v>0.58499999999999996</v>
      </c>
      <c r="Q73" s="141">
        <v>0</v>
      </c>
      <c r="S73" s="141">
        <v>32</v>
      </c>
    </row>
    <row r="74" spans="1:19" s="388" customFormat="1">
      <c r="A74" s="138" t="str">
        <f t="shared" si="0"/>
        <v>20.8-34</v>
      </c>
      <c r="B74" s="138" t="str">
        <f t="shared" si="1"/>
        <v>20.8B34</v>
      </c>
      <c r="C74" s="138">
        <v>34</v>
      </c>
      <c r="D74" s="220">
        <f t="shared" si="2"/>
        <v>208.34</v>
      </c>
      <c r="E74" s="220" t="str">
        <f t="shared" si="3"/>
        <v>R-1   20.80 B 34</v>
      </c>
      <c r="F74" s="141">
        <v>2921</v>
      </c>
      <c r="G74" s="141">
        <v>20.8</v>
      </c>
      <c r="H74" s="139" t="s">
        <v>500</v>
      </c>
      <c r="I74" s="141">
        <v>34</v>
      </c>
      <c r="J74" s="141">
        <v>8</v>
      </c>
      <c r="K74" s="219" t="s">
        <v>705</v>
      </c>
      <c r="L74" s="141">
        <v>767</v>
      </c>
      <c r="M74" s="141">
        <v>1742</v>
      </c>
      <c r="N74" s="141">
        <v>541</v>
      </c>
      <c r="O74" s="221">
        <v>1188</v>
      </c>
      <c r="P74" s="221">
        <v>0.58499999999999996</v>
      </c>
      <c r="Q74" s="141">
        <v>0</v>
      </c>
      <c r="R74" s="138"/>
      <c r="S74" s="141">
        <v>18</v>
      </c>
    </row>
    <row r="75" spans="1:19">
      <c r="A75" s="138" t="str">
        <f t="shared" si="0"/>
        <v>20.8-38</v>
      </c>
      <c r="B75" s="138" t="str">
        <f t="shared" si="1"/>
        <v>20.8B38</v>
      </c>
      <c r="C75" s="138">
        <v>35</v>
      </c>
      <c r="D75" s="220">
        <f t="shared" si="2"/>
        <v>208.38</v>
      </c>
      <c r="E75" s="220" t="str">
        <f t="shared" si="3"/>
        <v>R-1   20.80 B 38</v>
      </c>
      <c r="F75" s="141">
        <v>3474</v>
      </c>
      <c r="G75" s="141">
        <v>20.8</v>
      </c>
      <c r="H75" s="139" t="s">
        <v>500</v>
      </c>
      <c r="I75" s="141">
        <v>38</v>
      </c>
      <c r="J75" s="141">
        <v>10</v>
      </c>
      <c r="K75" s="219" t="s">
        <v>705</v>
      </c>
      <c r="L75" s="141">
        <v>824</v>
      </c>
      <c r="M75" s="141">
        <v>1844</v>
      </c>
      <c r="N75" s="141">
        <v>533</v>
      </c>
      <c r="O75" s="221">
        <v>1257.1099999999999</v>
      </c>
      <c r="P75" s="221">
        <v>0.58499999999999996</v>
      </c>
      <c r="Q75" s="141">
        <v>0</v>
      </c>
      <c r="S75" s="141">
        <v>22</v>
      </c>
    </row>
    <row r="76" spans="1:19">
      <c r="A76" s="138" t="str">
        <f t="shared" si="0"/>
        <v>20.8-42</v>
      </c>
      <c r="B76" s="138" t="str">
        <f t="shared" si="1"/>
        <v>20.8B42</v>
      </c>
      <c r="C76" s="138">
        <v>36</v>
      </c>
      <c r="D76" s="220">
        <f t="shared" si="2"/>
        <v>208.42</v>
      </c>
      <c r="E76" s="220" t="str">
        <f t="shared" si="3"/>
        <v>R-1   20.80 B 42</v>
      </c>
      <c r="F76" s="141">
        <v>3669</v>
      </c>
      <c r="G76" s="141">
        <v>20.8</v>
      </c>
      <c r="H76" s="139" t="s">
        <v>500</v>
      </c>
      <c r="I76" s="141">
        <v>42</v>
      </c>
      <c r="J76" s="141">
        <v>10</v>
      </c>
      <c r="K76" s="219" t="s">
        <v>705</v>
      </c>
      <c r="L76" s="141">
        <v>866</v>
      </c>
      <c r="M76" s="141">
        <v>1941</v>
      </c>
      <c r="N76" s="141">
        <v>528</v>
      </c>
      <c r="O76" s="221">
        <v>1326.21</v>
      </c>
      <c r="P76" s="221">
        <v>0.58499999999999996</v>
      </c>
      <c r="Q76" s="141">
        <v>0</v>
      </c>
      <c r="S76" s="141">
        <v>22</v>
      </c>
    </row>
    <row r="77" spans="1:19">
      <c r="A77" s="138" t="str">
        <f t="shared" si="0"/>
        <v>23.1-26</v>
      </c>
      <c r="B77" s="138" t="str">
        <f t="shared" si="1"/>
        <v>23.1B26</v>
      </c>
      <c r="C77" s="138">
        <v>37</v>
      </c>
      <c r="D77" s="220">
        <f t="shared" si="2"/>
        <v>231.26</v>
      </c>
      <c r="E77" s="220" t="str">
        <f t="shared" si="3"/>
        <v>R-1   23.10 B 26</v>
      </c>
      <c r="F77" s="141">
        <v>3610</v>
      </c>
      <c r="G77" s="141">
        <v>23.1</v>
      </c>
      <c r="H77" s="139" t="s">
        <v>500</v>
      </c>
      <c r="I77" s="141">
        <v>26</v>
      </c>
      <c r="J77" s="141">
        <v>12</v>
      </c>
      <c r="K77" s="219" t="s">
        <v>705</v>
      </c>
      <c r="L77" s="141">
        <v>704</v>
      </c>
      <c r="M77" s="141">
        <v>1608</v>
      </c>
      <c r="N77" s="141">
        <v>585</v>
      </c>
      <c r="O77" s="221">
        <v>1240.3800000000001</v>
      </c>
      <c r="P77" s="221">
        <v>0.58499999999999996</v>
      </c>
      <c r="Q77" s="141">
        <v>0</v>
      </c>
      <c r="S77" s="141">
        <v>24</v>
      </c>
    </row>
    <row r="78" spans="1:19">
      <c r="A78" s="138" t="str">
        <f t="shared" si="0"/>
        <v>23.1-30</v>
      </c>
      <c r="B78" s="138" t="str">
        <f t="shared" si="1"/>
        <v>23.1B30</v>
      </c>
      <c r="C78" s="138">
        <v>38</v>
      </c>
      <c r="D78" s="220">
        <f t="shared" si="2"/>
        <v>231.3</v>
      </c>
      <c r="E78" s="220" t="str">
        <f t="shared" si="3"/>
        <v>R-1   23.10 B 30</v>
      </c>
      <c r="F78" s="141">
        <v>3460</v>
      </c>
      <c r="G78" s="141">
        <v>23.1</v>
      </c>
      <c r="H78" s="139" t="s">
        <v>500</v>
      </c>
      <c r="I78" s="141">
        <v>30</v>
      </c>
      <c r="J78" s="141">
        <v>10</v>
      </c>
      <c r="K78" s="219" t="s">
        <v>705</v>
      </c>
      <c r="L78" s="141">
        <v>757</v>
      </c>
      <c r="M78" s="141">
        <v>1697</v>
      </c>
      <c r="N78" s="141">
        <v>601</v>
      </c>
      <c r="O78" s="221">
        <v>1322.03</v>
      </c>
      <c r="P78" s="221">
        <v>0.58499999999999996</v>
      </c>
      <c r="Q78" s="141">
        <v>0</v>
      </c>
      <c r="S78" s="141">
        <v>20</v>
      </c>
    </row>
    <row r="79" spans="1:19">
      <c r="A79" s="138" t="str">
        <f t="shared" si="0"/>
        <v>23.1-34</v>
      </c>
      <c r="B79" s="138" t="str">
        <f t="shared" ref="B79:B110" si="4">CONCATENATE(G79,H79,I79)</f>
        <v>23.1B34</v>
      </c>
      <c r="C79" s="138">
        <v>39</v>
      </c>
      <c r="D79" s="220">
        <f t="shared" si="2"/>
        <v>231.34</v>
      </c>
      <c r="E79" s="220" t="str">
        <f t="shared" si="3"/>
        <v>R-1   23.10 B 34</v>
      </c>
      <c r="F79" s="141">
        <v>3673</v>
      </c>
      <c r="G79" s="141">
        <v>23.1</v>
      </c>
      <c r="H79" s="139" t="s">
        <v>500</v>
      </c>
      <c r="I79" s="141">
        <v>34</v>
      </c>
      <c r="J79" s="141">
        <v>10</v>
      </c>
      <c r="K79" s="219" t="s">
        <v>705</v>
      </c>
      <c r="L79" s="141">
        <v>800</v>
      </c>
      <c r="M79" s="141">
        <v>1808</v>
      </c>
      <c r="N79" s="141">
        <v>599</v>
      </c>
      <c r="O79" s="221">
        <v>1403.68</v>
      </c>
      <c r="P79" s="221">
        <v>0.58499999999999996</v>
      </c>
      <c r="Q79" s="141">
        <v>0</v>
      </c>
      <c r="S79" s="141">
        <v>20</v>
      </c>
    </row>
    <row r="80" spans="1:19">
      <c r="A80" s="138" t="str">
        <f t="shared" si="0"/>
        <v>24.5-32</v>
      </c>
      <c r="B80" s="138" t="str">
        <f t="shared" si="4"/>
        <v>24.5B32</v>
      </c>
      <c r="C80" s="138">
        <v>40</v>
      </c>
      <c r="D80" s="220">
        <f t="shared" si="2"/>
        <v>245.32</v>
      </c>
      <c r="E80" s="220" t="str">
        <f t="shared" si="3"/>
        <v>R-1   24.50 B 32</v>
      </c>
      <c r="F80" s="141">
        <v>5002</v>
      </c>
      <c r="G80" s="141">
        <v>24.5</v>
      </c>
      <c r="H80" s="139" t="s">
        <v>500</v>
      </c>
      <c r="I80" s="141">
        <v>32</v>
      </c>
      <c r="J80" s="141">
        <v>16</v>
      </c>
      <c r="K80" s="219" t="s">
        <v>705</v>
      </c>
      <c r="L80" s="141">
        <v>798</v>
      </c>
      <c r="M80" s="141">
        <v>1811</v>
      </c>
      <c r="N80" s="141">
        <v>632</v>
      </c>
      <c r="O80" s="221">
        <v>1508.08</v>
      </c>
      <c r="P80" s="221">
        <v>0.58499999999999996</v>
      </c>
      <c r="Q80" s="141">
        <v>0</v>
      </c>
      <c r="S80" s="141">
        <v>30</v>
      </c>
    </row>
    <row r="81" spans="1:20">
      <c r="A81" s="138" t="str">
        <f t="shared" si="0"/>
        <v>30.5-32</v>
      </c>
      <c r="B81" s="138" t="str">
        <f t="shared" si="4"/>
        <v>30.5B32</v>
      </c>
      <c r="C81">
        <v>41</v>
      </c>
      <c r="D81" s="220">
        <f t="shared" si="2"/>
        <v>305.32</v>
      </c>
      <c r="E81" s="220" t="str">
        <f t="shared" si="3"/>
        <v>R-1   30.50 B 32</v>
      </c>
      <c r="F81" s="141">
        <v>5492</v>
      </c>
      <c r="G81" s="141">
        <v>30.5</v>
      </c>
      <c r="H81" s="420" t="s">
        <v>500</v>
      </c>
      <c r="I81" s="141">
        <v>32</v>
      </c>
      <c r="J81" s="141">
        <v>16</v>
      </c>
      <c r="K81" s="219" t="s">
        <v>705</v>
      </c>
      <c r="L81" s="141">
        <v>828</v>
      </c>
      <c r="M81" s="141">
        <v>1818</v>
      </c>
      <c r="N81" s="141">
        <v>775</v>
      </c>
      <c r="O81" s="221">
        <v>1800.97</v>
      </c>
      <c r="P81" s="221">
        <v>0.58499999999999996</v>
      </c>
      <c r="Q81" s="141">
        <v>0</v>
      </c>
      <c r="S81" s="141">
        <v>26</v>
      </c>
    </row>
    <row r="82" spans="1:20">
      <c r="A82" s="388" t="str">
        <f t="shared" si="0"/>
        <v>-</v>
      </c>
      <c r="B82" s="388" t="str">
        <f t="shared" si="4"/>
        <v/>
      </c>
      <c r="C82" s="138">
        <v>42</v>
      </c>
      <c r="D82" s="389"/>
      <c r="E82" s="390" t="s">
        <v>706</v>
      </c>
      <c r="F82" s="389"/>
      <c r="G82" s="389"/>
      <c r="H82" s="389"/>
      <c r="I82" s="389"/>
      <c r="J82" s="390" t="s">
        <v>707</v>
      </c>
      <c r="K82" s="389"/>
      <c r="L82" s="389"/>
      <c r="M82" s="389"/>
      <c r="N82" s="391" t="s">
        <v>88</v>
      </c>
      <c r="O82" s="391" t="s">
        <v>88</v>
      </c>
      <c r="P82" s="391" t="s">
        <v>88</v>
      </c>
      <c r="Q82" s="391" t="s">
        <v>88</v>
      </c>
      <c r="R82" s="391" t="s">
        <v>88</v>
      </c>
      <c r="S82" s="391" t="s">
        <v>88</v>
      </c>
    </row>
    <row r="83" spans="1:20">
      <c r="A83" s="138" t="str">
        <f t="shared" ref="A83:A109" si="5">CONCATENATE(G83,"R",I83)</f>
        <v>11.2R20</v>
      </c>
      <c r="B83" s="138" t="str">
        <f t="shared" si="4"/>
        <v>11.2R20</v>
      </c>
      <c r="C83" s="138">
        <v>43</v>
      </c>
      <c r="D83" s="220">
        <f t="shared" ref="D83:D114" si="6">G83*10+I83/100</f>
        <v>112.2</v>
      </c>
      <c r="E83" s="220" t="str">
        <f t="shared" ref="E83:E109" si="7">CONCATENATE(K83,"   ",FIXED(G83,2)," ",H83," ",I83)</f>
        <v>R-1   11.20 R 20</v>
      </c>
      <c r="F83">
        <v>1090</v>
      </c>
      <c r="G83">
        <v>11.2</v>
      </c>
      <c r="H83" t="s">
        <v>481</v>
      </c>
      <c r="I83">
        <v>20</v>
      </c>
      <c r="J83">
        <v>3</v>
      </c>
      <c r="K83" s="410" t="s">
        <v>705</v>
      </c>
      <c r="L83">
        <v>452</v>
      </c>
      <c r="M83">
        <v>1001</v>
      </c>
      <c r="N83">
        <v>333</v>
      </c>
      <c r="O83"/>
      <c r="P83"/>
      <c r="Q83"/>
      <c r="R83"/>
      <c r="S83"/>
    </row>
    <row r="84" spans="1:20">
      <c r="A84" s="138" t="str">
        <f t="shared" si="5"/>
        <v>12.4R32</v>
      </c>
      <c r="B84" s="138" t="str">
        <f t="shared" si="4"/>
        <v>12.4R32</v>
      </c>
      <c r="C84" s="138">
        <v>44</v>
      </c>
      <c r="D84" s="220">
        <f t="shared" si="6"/>
        <v>124.32</v>
      </c>
      <c r="E84" s="220" t="str">
        <f t="shared" si="7"/>
        <v>R-1   12.40 R 32</v>
      </c>
      <c r="F84">
        <v>1500</v>
      </c>
      <c r="G84">
        <v>12.4</v>
      </c>
      <c r="H84" t="s">
        <v>481</v>
      </c>
      <c r="I84">
        <v>32</v>
      </c>
      <c r="J84"/>
      <c r="K84" s="410" t="s">
        <v>705</v>
      </c>
      <c r="L84">
        <v>620</v>
      </c>
      <c r="M84">
        <v>1349</v>
      </c>
      <c r="N84">
        <v>320</v>
      </c>
      <c r="O84"/>
      <c r="P84"/>
      <c r="Q84"/>
      <c r="R84"/>
      <c r="S84"/>
    </row>
    <row r="85" spans="1:20">
      <c r="A85" s="138" t="str">
        <f t="shared" si="5"/>
        <v>13.6R28</v>
      </c>
      <c r="B85" s="138" t="str">
        <f t="shared" si="4"/>
        <v>13.6R28</v>
      </c>
      <c r="C85" s="138">
        <v>45</v>
      </c>
      <c r="D85" s="220">
        <f t="shared" si="6"/>
        <v>136.28</v>
      </c>
      <c r="E85" s="220" t="str">
        <f t="shared" si="7"/>
        <v>R-1   13.60 R 28</v>
      </c>
      <c r="F85" s="140">
        <v>1814.0589569160998</v>
      </c>
      <c r="G85" s="228">
        <v>13.6</v>
      </c>
      <c r="H85" s="139" t="s">
        <v>481</v>
      </c>
      <c r="I85" s="140">
        <v>28</v>
      </c>
      <c r="J85" s="140">
        <v>3</v>
      </c>
      <c r="K85" s="219" t="s">
        <v>705</v>
      </c>
      <c r="L85" s="140">
        <v>601.98</v>
      </c>
      <c r="M85" s="140">
        <v>1315.72</v>
      </c>
      <c r="N85" s="140">
        <v>396.24</v>
      </c>
      <c r="O85" s="221">
        <v>516.93299999999999</v>
      </c>
      <c r="P85" s="221">
        <v>0.58499999999999996</v>
      </c>
      <c r="Q85" s="141">
        <v>0</v>
      </c>
      <c r="S85" s="141">
        <v>30</v>
      </c>
    </row>
    <row r="86" spans="1:20">
      <c r="A86" s="138" t="str">
        <f t="shared" si="5"/>
        <v>13.6R36</v>
      </c>
      <c r="B86" s="138" t="str">
        <f t="shared" si="4"/>
        <v>13.6R36</v>
      </c>
      <c r="C86" s="138">
        <v>46</v>
      </c>
      <c r="D86" s="220">
        <f t="shared" si="6"/>
        <v>136.36000000000001</v>
      </c>
      <c r="E86" s="220" t="str">
        <f t="shared" si="7"/>
        <v>R-1   13.60 R 36</v>
      </c>
      <c r="F86">
        <v>1750</v>
      </c>
      <c r="G86" s="228">
        <v>13.6</v>
      </c>
      <c r="H86" s="139" t="s">
        <v>481</v>
      </c>
      <c r="I86">
        <v>36</v>
      </c>
      <c r="J86">
        <v>127</v>
      </c>
      <c r="K86" s="219" t="s">
        <v>705</v>
      </c>
      <c r="L86">
        <v>691</v>
      </c>
      <c r="M86">
        <v>1501</v>
      </c>
      <c r="N86">
        <v>351</v>
      </c>
      <c r="O86"/>
      <c r="P86"/>
      <c r="Q86"/>
      <c r="R86"/>
      <c r="S86"/>
    </row>
    <row r="87" spans="1:20">
      <c r="A87" s="138" t="str">
        <f t="shared" si="5"/>
        <v>13.6R38</v>
      </c>
      <c r="B87" s="138" t="str">
        <f t="shared" si="4"/>
        <v>13.6R38</v>
      </c>
      <c r="C87" s="138">
        <v>47</v>
      </c>
      <c r="D87" s="220">
        <f t="shared" si="6"/>
        <v>136.38</v>
      </c>
      <c r="E87" s="220" t="str">
        <f t="shared" si="7"/>
        <v>R-1   13.60 R 38</v>
      </c>
      <c r="F87">
        <v>1800</v>
      </c>
      <c r="G87">
        <v>13.6</v>
      </c>
      <c r="H87" t="s">
        <v>481</v>
      </c>
      <c r="I87">
        <v>38</v>
      </c>
      <c r="J87">
        <v>128</v>
      </c>
      <c r="K87" s="219" t="s">
        <v>705</v>
      </c>
      <c r="L87">
        <v>719</v>
      </c>
      <c r="M87">
        <v>1557</v>
      </c>
      <c r="N87">
        <v>351</v>
      </c>
      <c r="O87"/>
      <c r="P87"/>
      <c r="Q87"/>
      <c r="R87"/>
      <c r="S87"/>
    </row>
    <row r="88" spans="1:20">
      <c r="A88" s="138" t="str">
        <f t="shared" si="5"/>
        <v>14.9R26</v>
      </c>
      <c r="B88" s="138" t="str">
        <f t="shared" si="4"/>
        <v>14.9R26</v>
      </c>
      <c r="C88" s="138">
        <v>48</v>
      </c>
      <c r="D88" s="220">
        <f t="shared" si="6"/>
        <v>149.26</v>
      </c>
      <c r="E88" s="220" t="str">
        <f t="shared" si="7"/>
        <v>R-1   14.90 R 26</v>
      </c>
      <c r="F88" s="140">
        <v>2136.0544217687075</v>
      </c>
      <c r="G88" s="228">
        <v>14.9</v>
      </c>
      <c r="H88" s="139" t="s">
        <v>481</v>
      </c>
      <c r="I88" s="140">
        <v>26</v>
      </c>
      <c r="J88" s="140">
        <v>3</v>
      </c>
      <c r="K88" s="219" t="s">
        <v>705</v>
      </c>
      <c r="L88" s="140">
        <v>601.98</v>
      </c>
      <c r="M88" s="140">
        <v>1320.8</v>
      </c>
      <c r="N88" s="140">
        <v>421.64</v>
      </c>
      <c r="O88" s="221">
        <v>595.77599999999995</v>
      </c>
      <c r="P88" s="221">
        <v>0.58499999999999996</v>
      </c>
      <c r="Q88" s="141">
        <v>0</v>
      </c>
      <c r="S88" s="141">
        <v>30</v>
      </c>
      <c r="T88"/>
    </row>
    <row r="89" spans="1:20">
      <c r="A89" s="138" t="str">
        <f t="shared" si="5"/>
        <v>14.9R28</v>
      </c>
      <c r="B89" s="138" t="str">
        <f t="shared" si="4"/>
        <v>14.9R28</v>
      </c>
      <c r="C89" s="138">
        <v>49</v>
      </c>
      <c r="D89" s="220">
        <f t="shared" si="6"/>
        <v>149.28</v>
      </c>
      <c r="E89" s="220" t="str">
        <f t="shared" si="7"/>
        <v>R-1   14.90 R 28</v>
      </c>
      <c r="F89" s="140">
        <v>2204.0816326530612</v>
      </c>
      <c r="G89" s="228">
        <v>14.9</v>
      </c>
      <c r="H89" s="139" t="s">
        <v>481</v>
      </c>
      <c r="I89" s="140">
        <v>28</v>
      </c>
      <c r="J89" s="140">
        <v>3</v>
      </c>
      <c r="K89" s="219" t="s">
        <v>705</v>
      </c>
      <c r="L89" s="140">
        <v>607.05999999999995</v>
      </c>
      <c r="M89" s="140">
        <v>1366.52</v>
      </c>
      <c r="N89" s="140">
        <v>439.42</v>
      </c>
      <c r="O89" s="221">
        <v>615.38499999999999</v>
      </c>
      <c r="P89" s="221">
        <v>0.58499999999999996</v>
      </c>
      <c r="Q89" s="141">
        <v>0</v>
      </c>
      <c r="S89" s="141">
        <v>30</v>
      </c>
    </row>
    <row r="90" spans="1:20">
      <c r="A90" s="138" t="str">
        <f t="shared" si="5"/>
        <v>14.9R30</v>
      </c>
      <c r="B90" s="138" t="str">
        <f t="shared" si="4"/>
        <v>14.9R30</v>
      </c>
      <c r="C90" s="138">
        <v>50</v>
      </c>
      <c r="D90" s="220">
        <f t="shared" si="6"/>
        <v>149.30000000000001</v>
      </c>
      <c r="E90" s="220" t="str">
        <f t="shared" si="7"/>
        <v>R-1   14.90 R 30</v>
      </c>
      <c r="F90" s="140">
        <v>2272.1088435374149</v>
      </c>
      <c r="G90" s="228">
        <v>14.9</v>
      </c>
      <c r="H90" s="139" t="s">
        <v>481</v>
      </c>
      <c r="I90" s="140">
        <v>30</v>
      </c>
      <c r="J90" s="140">
        <v>3</v>
      </c>
      <c r="K90" s="219" t="s">
        <v>705</v>
      </c>
      <c r="L90" s="140">
        <v>632.46</v>
      </c>
      <c r="M90" s="140">
        <v>1417.32</v>
      </c>
      <c r="N90" s="140">
        <v>439.42</v>
      </c>
      <c r="O90" s="221">
        <v>634.99400000000003</v>
      </c>
      <c r="P90" s="221">
        <v>0.58499999999999996</v>
      </c>
      <c r="Q90" s="141">
        <v>0</v>
      </c>
      <c r="S90" s="141">
        <v>30</v>
      </c>
    </row>
    <row r="91" spans="1:20">
      <c r="A91" s="138" t="str">
        <f t="shared" si="5"/>
        <v>14.9R34</v>
      </c>
      <c r="B91" s="138" t="str">
        <f t="shared" si="4"/>
        <v>14.9R34</v>
      </c>
      <c r="C91" s="138">
        <v>51</v>
      </c>
      <c r="D91" s="220">
        <f t="shared" si="6"/>
        <v>149.34</v>
      </c>
      <c r="E91" s="220" t="str">
        <f t="shared" si="7"/>
        <v>R-1   14.90 R 34</v>
      </c>
      <c r="F91" s="140">
        <v>2399.0929705215417</v>
      </c>
      <c r="G91" s="228">
        <v>14.9</v>
      </c>
      <c r="H91" s="139" t="s">
        <v>481</v>
      </c>
      <c r="I91" s="140">
        <v>34</v>
      </c>
      <c r="J91" s="140">
        <v>3</v>
      </c>
      <c r="K91" s="219" t="s">
        <v>705</v>
      </c>
      <c r="L91" s="140">
        <v>683.26</v>
      </c>
      <c r="M91" s="140">
        <v>1518.92</v>
      </c>
      <c r="N91" s="140">
        <v>439.42</v>
      </c>
      <c r="O91" s="221">
        <v>674.21299999999997</v>
      </c>
      <c r="P91" s="221">
        <v>0.58499999999999996</v>
      </c>
      <c r="Q91" s="141">
        <v>0</v>
      </c>
      <c r="S91" s="141">
        <v>30</v>
      </c>
    </row>
    <row r="92" spans="1:20">
      <c r="A92" s="138" t="str">
        <f t="shared" si="5"/>
        <v>14.9R46</v>
      </c>
      <c r="B92" s="138" t="str">
        <f t="shared" si="4"/>
        <v>14.9R46</v>
      </c>
      <c r="C92" s="138">
        <v>52</v>
      </c>
      <c r="D92" s="220">
        <f t="shared" si="6"/>
        <v>149.46</v>
      </c>
      <c r="E92" s="220" t="str">
        <f t="shared" si="7"/>
        <v>R-1   14.90 R 46</v>
      </c>
      <c r="F92" s="140">
        <v>2834.4671201814058</v>
      </c>
      <c r="G92" s="228">
        <v>14.9</v>
      </c>
      <c r="H92" s="139" t="s">
        <v>481</v>
      </c>
      <c r="I92" s="140">
        <v>46</v>
      </c>
      <c r="J92" s="140">
        <v>3</v>
      </c>
      <c r="K92" s="219" t="s">
        <v>705</v>
      </c>
      <c r="L92" s="140">
        <v>835.66</v>
      </c>
      <c r="M92" s="140">
        <v>1823.72</v>
      </c>
      <c r="N92" s="140">
        <v>439.42</v>
      </c>
      <c r="O92" s="221">
        <v>791.86900000000003</v>
      </c>
      <c r="P92" s="221">
        <v>0.58499999999999996</v>
      </c>
      <c r="Q92" s="141">
        <v>0</v>
      </c>
      <c r="S92" s="141">
        <v>30</v>
      </c>
    </row>
    <row r="93" spans="1:20">
      <c r="A93" s="138" t="str">
        <f t="shared" si="5"/>
        <v>16.9R24</v>
      </c>
      <c r="B93" s="138" t="str">
        <f t="shared" si="4"/>
        <v>16.9R24</v>
      </c>
      <c r="C93" s="138">
        <v>53</v>
      </c>
      <c r="D93" s="220">
        <f t="shared" si="6"/>
        <v>169.24</v>
      </c>
      <c r="E93" s="220" t="str">
        <f t="shared" si="7"/>
        <v>R-1   16.90 R 24</v>
      </c>
      <c r="F93" s="140">
        <v>2272.1088435374149</v>
      </c>
      <c r="G93" s="228">
        <v>16.899999999999999</v>
      </c>
      <c r="H93" s="139" t="s">
        <v>481</v>
      </c>
      <c r="I93" s="140">
        <v>24</v>
      </c>
      <c r="J93" s="140">
        <v>2</v>
      </c>
      <c r="K93" s="219" t="s">
        <v>705</v>
      </c>
      <c r="L93" s="140">
        <v>589.28</v>
      </c>
      <c r="M93" s="140">
        <v>1338.58</v>
      </c>
      <c r="N93" s="140">
        <v>502.92</v>
      </c>
      <c r="O93" s="221">
        <v>700.49800000000005</v>
      </c>
      <c r="P93" s="221">
        <v>0.58499999999999996</v>
      </c>
      <c r="Q93" s="141">
        <v>0</v>
      </c>
      <c r="S93" s="141">
        <v>24</v>
      </c>
    </row>
    <row r="94" spans="1:20">
      <c r="A94" s="138" t="str">
        <f t="shared" si="5"/>
        <v>16.9R26</v>
      </c>
      <c r="B94" s="138" t="str">
        <f t="shared" si="4"/>
        <v>16.9R26</v>
      </c>
      <c r="C94" s="138">
        <v>54</v>
      </c>
      <c r="D94" s="220">
        <f t="shared" si="6"/>
        <v>169.26</v>
      </c>
      <c r="E94" s="220" t="str">
        <f t="shared" si="7"/>
        <v>R-1   16.90 R 26</v>
      </c>
      <c r="F94" s="140">
        <v>2331.065759637188</v>
      </c>
      <c r="G94" s="228">
        <v>16.899999999999999</v>
      </c>
      <c r="H94" s="139" t="s">
        <v>481</v>
      </c>
      <c r="I94" s="140">
        <v>26</v>
      </c>
      <c r="J94" s="140">
        <v>2</v>
      </c>
      <c r="K94" s="219" t="s">
        <v>705</v>
      </c>
      <c r="L94" s="140">
        <v>617.22</v>
      </c>
      <c r="M94" s="140">
        <v>1386.84</v>
      </c>
      <c r="N94" s="140">
        <v>495.3</v>
      </c>
      <c r="O94" s="221">
        <v>723.61400000000003</v>
      </c>
      <c r="P94" s="221">
        <v>0.58499999999999996</v>
      </c>
      <c r="Q94" s="141">
        <v>0</v>
      </c>
      <c r="S94" s="141">
        <v>24</v>
      </c>
    </row>
    <row r="95" spans="1:20">
      <c r="A95" s="138" t="str">
        <f t="shared" si="5"/>
        <v>16.9R28</v>
      </c>
      <c r="B95" s="138" t="str">
        <f t="shared" si="4"/>
        <v>16.9R28</v>
      </c>
      <c r="C95" s="138">
        <v>55</v>
      </c>
      <c r="D95" s="220">
        <f t="shared" si="6"/>
        <v>169.28</v>
      </c>
      <c r="E95" s="220" t="str">
        <f t="shared" si="7"/>
        <v>R-1   16.90 R 28</v>
      </c>
      <c r="F95" s="140">
        <v>2399.0929705215417</v>
      </c>
      <c r="G95" s="228">
        <v>16.899999999999999</v>
      </c>
      <c r="H95" s="139" t="s">
        <v>481</v>
      </c>
      <c r="I95" s="140">
        <v>28</v>
      </c>
      <c r="J95" s="140">
        <v>2</v>
      </c>
      <c r="K95" s="219" t="s">
        <v>705</v>
      </c>
      <c r="L95" s="140">
        <v>645.16</v>
      </c>
      <c r="M95" s="140">
        <v>1432.56</v>
      </c>
      <c r="N95" s="140">
        <v>492.76</v>
      </c>
      <c r="O95" s="221">
        <v>747.43100000000004</v>
      </c>
      <c r="P95" s="221">
        <v>0.58499999999999996</v>
      </c>
      <c r="Q95" s="141">
        <v>0</v>
      </c>
      <c r="S95" s="141">
        <v>24</v>
      </c>
    </row>
    <row r="96" spans="1:20">
      <c r="A96" s="138" t="str">
        <f t="shared" si="5"/>
        <v>16.9R30</v>
      </c>
      <c r="B96" s="138" t="str">
        <f t="shared" si="4"/>
        <v>16.9R30</v>
      </c>
      <c r="C96" s="138">
        <v>56</v>
      </c>
      <c r="D96" s="220">
        <f t="shared" si="6"/>
        <v>169.3</v>
      </c>
      <c r="E96" s="220" t="str">
        <f t="shared" si="7"/>
        <v>R-1   16.90 R 30</v>
      </c>
      <c r="F96" s="140">
        <v>2757.3696145124713</v>
      </c>
      <c r="G96" s="228">
        <v>16.899999999999999</v>
      </c>
      <c r="H96" s="139" t="s">
        <v>481</v>
      </c>
      <c r="I96" s="140">
        <v>30</v>
      </c>
      <c r="J96" s="140">
        <v>2</v>
      </c>
      <c r="K96" s="219" t="s">
        <v>705</v>
      </c>
      <c r="L96" s="140">
        <v>665.48</v>
      </c>
      <c r="M96" s="140">
        <v>1485.9</v>
      </c>
      <c r="N96" s="140">
        <v>497.84</v>
      </c>
      <c r="O96" s="221">
        <v>771.24800000000005</v>
      </c>
      <c r="P96" s="221">
        <v>0.58499999999999996</v>
      </c>
      <c r="Q96" s="141">
        <v>0</v>
      </c>
      <c r="S96" s="141">
        <v>24</v>
      </c>
    </row>
    <row r="97" spans="1:20">
      <c r="A97" s="138" t="str">
        <f t="shared" si="5"/>
        <v>16.9R34</v>
      </c>
      <c r="B97" s="138" t="str">
        <f t="shared" si="4"/>
        <v>16.9R34</v>
      </c>
      <c r="C97" s="138">
        <v>57</v>
      </c>
      <c r="D97" s="220">
        <f t="shared" si="6"/>
        <v>169.34</v>
      </c>
      <c r="E97" s="220" t="str">
        <f t="shared" si="7"/>
        <v>R-1   16.90 R 34</v>
      </c>
      <c r="F97">
        <v>2430</v>
      </c>
      <c r="G97">
        <v>16.899999999999999</v>
      </c>
      <c r="H97" t="s">
        <v>481</v>
      </c>
      <c r="I97">
        <v>34</v>
      </c>
      <c r="J97">
        <v>2</v>
      </c>
      <c r="K97" s="219" t="s">
        <v>705</v>
      </c>
      <c r="L97">
        <v>714</v>
      </c>
      <c r="M97">
        <v>1575</v>
      </c>
      <c r="N97">
        <v>447</v>
      </c>
      <c r="O97"/>
      <c r="P97"/>
      <c r="Q97"/>
      <c r="R97"/>
      <c r="S97"/>
      <c r="T97"/>
    </row>
    <row r="98" spans="1:20" s="392" customFormat="1">
      <c r="A98" s="138" t="str">
        <f t="shared" si="5"/>
        <v>16.9R38</v>
      </c>
      <c r="B98" s="138" t="str">
        <f t="shared" si="4"/>
        <v>16.9R38</v>
      </c>
      <c r="C98" s="138">
        <v>58</v>
      </c>
      <c r="D98" s="220">
        <f t="shared" si="6"/>
        <v>169.38</v>
      </c>
      <c r="E98" s="220" t="str">
        <f t="shared" si="7"/>
        <v>R-1   16.90 R 38</v>
      </c>
      <c r="F98" s="140">
        <v>2272.1088435374149</v>
      </c>
      <c r="G98" s="228">
        <v>16.899999999999999</v>
      </c>
      <c r="H98" s="139" t="s">
        <v>481</v>
      </c>
      <c r="I98" s="140">
        <v>38</v>
      </c>
      <c r="J98" s="140">
        <v>1</v>
      </c>
      <c r="K98" s="219" t="s">
        <v>705</v>
      </c>
      <c r="L98" s="140">
        <v>767.08</v>
      </c>
      <c r="M98" s="140">
        <v>1689.1</v>
      </c>
      <c r="N98" s="140">
        <v>508</v>
      </c>
      <c r="O98" s="221">
        <v>866.51599999999996</v>
      </c>
      <c r="P98" s="221">
        <v>0.58499999999999996</v>
      </c>
      <c r="Q98" s="141">
        <v>0</v>
      </c>
      <c r="R98" s="138"/>
      <c r="S98" s="141">
        <v>18</v>
      </c>
      <c r="T98" s="138"/>
    </row>
    <row r="99" spans="1:20">
      <c r="A99" s="138" t="str">
        <f t="shared" si="5"/>
        <v>18.4R26</v>
      </c>
      <c r="B99" s="138" t="str">
        <f t="shared" si="4"/>
        <v>18.4R26</v>
      </c>
      <c r="C99" s="138">
        <v>59</v>
      </c>
      <c r="D99" s="220">
        <f t="shared" si="6"/>
        <v>184.26</v>
      </c>
      <c r="E99" s="220" t="str">
        <f t="shared" si="7"/>
        <v>R-1   18.40 R 26</v>
      </c>
      <c r="F99" s="140">
        <v>2680.2721088435374</v>
      </c>
      <c r="G99" s="228">
        <v>18.399999999999999</v>
      </c>
      <c r="H99" s="139" t="s">
        <v>481</v>
      </c>
      <c r="I99" s="140">
        <v>26</v>
      </c>
      <c r="J99" s="140">
        <v>2</v>
      </c>
      <c r="K99" s="219" t="s">
        <v>705</v>
      </c>
      <c r="L99" s="140">
        <v>645.16</v>
      </c>
      <c r="M99" s="140">
        <v>1460.5</v>
      </c>
      <c r="N99" s="140">
        <v>551.17999999999995</v>
      </c>
      <c r="O99" s="221">
        <v>866.07100000000003</v>
      </c>
      <c r="P99" s="221">
        <v>0.58499999999999996</v>
      </c>
      <c r="Q99" s="141">
        <v>0</v>
      </c>
      <c r="S99" s="141">
        <v>24</v>
      </c>
      <c r="T99" s="392"/>
    </row>
    <row r="100" spans="1:20">
      <c r="A100" s="138" t="str">
        <f t="shared" si="5"/>
        <v>18.4R30</v>
      </c>
      <c r="B100" s="138" t="str">
        <f t="shared" si="4"/>
        <v>18.4R30</v>
      </c>
      <c r="C100" s="138">
        <v>60</v>
      </c>
      <c r="D100" s="220">
        <f t="shared" si="6"/>
        <v>184.3</v>
      </c>
      <c r="E100" s="220" t="str">
        <f t="shared" si="7"/>
        <v>R-1   18.40 R 30</v>
      </c>
      <c r="F100">
        <v>2240</v>
      </c>
      <c r="G100">
        <v>18.399999999999999</v>
      </c>
      <c r="H100" t="s">
        <v>481</v>
      </c>
      <c r="I100">
        <v>30</v>
      </c>
      <c r="J100">
        <v>1</v>
      </c>
      <c r="K100" s="219" t="s">
        <v>705</v>
      </c>
      <c r="L100">
        <v>676</v>
      </c>
      <c r="M100">
        <v>1554</v>
      </c>
      <c r="N100">
        <v>493</v>
      </c>
      <c r="O100"/>
      <c r="P100"/>
      <c r="Q100"/>
      <c r="R100"/>
      <c r="S100"/>
    </row>
    <row r="101" spans="1:20">
      <c r="A101" s="138" t="str">
        <f t="shared" si="5"/>
        <v>18.4R34</v>
      </c>
      <c r="B101" s="138" t="str">
        <f t="shared" si="4"/>
        <v>18.4R34</v>
      </c>
      <c r="C101" s="138">
        <v>61</v>
      </c>
      <c r="D101" s="220">
        <f t="shared" si="6"/>
        <v>184.34</v>
      </c>
      <c r="E101" s="220" t="str">
        <f t="shared" si="7"/>
        <v>R-1   18.40 R 34</v>
      </c>
      <c r="F101" s="140">
        <v>2603.1746031746029</v>
      </c>
      <c r="G101" s="228">
        <v>18.399999999999999</v>
      </c>
      <c r="H101" s="139" t="s">
        <v>481</v>
      </c>
      <c r="I101" s="140">
        <v>34</v>
      </c>
      <c r="J101" s="140">
        <v>1</v>
      </c>
      <c r="K101" s="219" t="s">
        <v>705</v>
      </c>
      <c r="L101" s="140">
        <v>741.68</v>
      </c>
      <c r="M101" s="140">
        <v>1653.54</v>
      </c>
      <c r="N101" s="140">
        <v>556.26</v>
      </c>
      <c r="O101" s="221">
        <v>980.09299999999996</v>
      </c>
      <c r="P101" s="221">
        <v>0.58499999999999996</v>
      </c>
      <c r="Q101" s="141">
        <v>0</v>
      </c>
      <c r="S101" s="141">
        <v>18</v>
      </c>
    </row>
    <row r="102" spans="1:20">
      <c r="A102" s="138" t="str">
        <f t="shared" si="5"/>
        <v>18.4R38</v>
      </c>
      <c r="B102" s="138" t="str">
        <f t="shared" si="4"/>
        <v>18.4R38</v>
      </c>
      <c r="C102" s="138">
        <v>62</v>
      </c>
      <c r="D102" s="220">
        <f t="shared" si="6"/>
        <v>184.38</v>
      </c>
      <c r="E102" s="220" t="str">
        <f t="shared" si="7"/>
        <v>R-1   18.40 R 38</v>
      </c>
      <c r="F102" s="140">
        <v>3201.8140589569161</v>
      </c>
      <c r="G102" s="228">
        <v>18.399999999999999</v>
      </c>
      <c r="H102" s="139" t="s">
        <v>481</v>
      </c>
      <c r="I102" s="140">
        <v>38</v>
      </c>
      <c r="J102" s="140">
        <v>2</v>
      </c>
      <c r="K102" s="219" t="s">
        <v>705</v>
      </c>
      <c r="L102" s="140">
        <v>787.4</v>
      </c>
      <c r="M102" s="140">
        <v>1755.14</v>
      </c>
      <c r="N102" s="140">
        <v>553.72</v>
      </c>
      <c r="O102" s="221">
        <v>1037.1099999999999</v>
      </c>
      <c r="P102" s="221">
        <v>0.58499999999999996</v>
      </c>
      <c r="Q102" s="141">
        <v>0</v>
      </c>
      <c r="S102" s="141">
        <v>24</v>
      </c>
    </row>
    <row r="103" spans="1:20">
      <c r="A103" s="138" t="str">
        <f t="shared" si="5"/>
        <v>18.4R42</v>
      </c>
      <c r="B103" s="138" t="str">
        <f t="shared" si="4"/>
        <v>18.4R42</v>
      </c>
      <c r="C103" s="138">
        <v>63</v>
      </c>
      <c r="D103" s="220">
        <f t="shared" si="6"/>
        <v>184.42</v>
      </c>
      <c r="E103" s="220" t="str">
        <f t="shared" si="7"/>
        <v>R-1   18.40 R 42</v>
      </c>
      <c r="F103" s="140">
        <v>3374.1496598639455</v>
      </c>
      <c r="G103" s="228">
        <v>18.399999999999999</v>
      </c>
      <c r="H103" s="139" t="s">
        <v>481</v>
      </c>
      <c r="I103" s="140">
        <v>42</v>
      </c>
      <c r="J103" s="140">
        <v>2</v>
      </c>
      <c r="K103" s="219" t="s">
        <v>705</v>
      </c>
      <c r="L103" s="140">
        <v>845.82</v>
      </c>
      <c r="M103" s="140">
        <v>1861.82</v>
      </c>
      <c r="N103" s="140">
        <v>543.55999999999995</v>
      </c>
      <c r="O103" s="221">
        <v>1094.1199999999999</v>
      </c>
      <c r="P103" s="221">
        <v>0.58499999999999996</v>
      </c>
      <c r="Q103" s="141">
        <v>0</v>
      </c>
      <c r="S103" s="141">
        <v>24</v>
      </c>
    </row>
    <row r="104" spans="1:20">
      <c r="A104" s="138" t="str">
        <f t="shared" si="5"/>
        <v>18.4R46</v>
      </c>
      <c r="B104" s="138" t="str">
        <f t="shared" si="4"/>
        <v>18.4R46</v>
      </c>
      <c r="C104" s="138">
        <v>64</v>
      </c>
      <c r="D104" s="220">
        <f t="shared" si="6"/>
        <v>184.46</v>
      </c>
      <c r="E104" s="220" t="str">
        <f t="shared" si="7"/>
        <v>R-1   18.40 R 46</v>
      </c>
      <c r="F104" s="140">
        <v>4149.6598639455779</v>
      </c>
      <c r="G104" s="228">
        <v>18.399999999999999</v>
      </c>
      <c r="H104" s="139" t="s">
        <v>481</v>
      </c>
      <c r="I104" s="140">
        <v>46</v>
      </c>
      <c r="J104" s="140">
        <v>3</v>
      </c>
      <c r="K104" s="219" t="s">
        <v>705</v>
      </c>
      <c r="L104" s="140">
        <v>889</v>
      </c>
      <c r="M104" s="140">
        <v>1958.34</v>
      </c>
      <c r="N104" s="140">
        <v>551.17999999999995</v>
      </c>
      <c r="O104" s="221">
        <v>1151.1300000000001</v>
      </c>
      <c r="P104" s="221">
        <v>0.58499999999999996</v>
      </c>
      <c r="Q104" s="141">
        <v>0</v>
      </c>
      <c r="S104" s="141">
        <v>30</v>
      </c>
    </row>
    <row r="105" spans="1:20">
      <c r="A105" s="138" t="str">
        <f t="shared" si="5"/>
        <v>20.8R34</v>
      </c>
      <c r="B105" s="138" t="str">
        <f t="shared" si="4"/>
        <v>20.8R34</v>
      </c>
      <c r="C105" s="138">
        <v>65</v>
      </c>
      <c r="D105" s="220">
        <f t="shared" si="6"/>
        <v>208.34</v>
      </c>
      <c r="E105" s="220" t="str">
        <f t="shared" si="7"/>
        <v>R-1   20.80 R 34</v>
      </c>
      <c r="F105" s="140">
        <v>3106.5759637188207</v>
      </c>
      <c r="G105" s="228">
        <v>20.8</v>
      </c>
      <c r="H105" s="139" t="s">
        <v>481</v>
      </c>
      <c r="I105" s="140">
        <v>34</v>
      </c>
      <c r="J105" s="140">
        <v>1</v>
      </c>
      <c r="K105" s="219" t="s">
        <v>705</v>
      </c>
      <c r="L105" s="140">
        <v>772.16</v>
      </c>
      <c r="M105" s="140">
        <v>1732.28</v>
      </c>
      <c r="N105" s="140">
        <v>617.22</v>
      </c>
      <c r="O105" s="221">
        <v>1188</v>
      </c>
      <c r="P105" s="221">
        <v>0.58499999999999996</v>
      </c>
      <c r="Q105" s="141">
        <v>0</v>
      </c>
      <c r="S105" s="141">
        <v>18</v>
      </c>
    </row>
    <row r="106" spans="1:20">
      <c r="A106" s="138" t="str">
        <f t="shared" si="5"/>
        <v>20.8R38</v>
      </c>
      <c r="B106" s="138" t="str">
        <f t="shared" si="4"/>
        <v>20.8R38</v>
      </c>
      <c r="C106" s="138">
        <v>66</v>
      </c>
      <c r="D106" s="220">
        <f t="shared" si="6"/>
        <v>208.38</v>
      </c>
      <c r="E106" s="220" t="str">
        <f t="shared" si="7"/>
        <v>R-1   20.80 R 38</v>
      </c>
      <c r="F106" s="140">
        <v>3904.7619047619046</v>
      </c>
      <c r="G106" s="228">
        <v>20.8</v>
      </c>
      <c r="H106" s="139" t="s">
        <v>481</v>
      </c>
      <c r="I106" s="140">
        <v>38</v>
      </c>
      <c r="J106" s="140">
        <v>2</v>
      </c>
      <c r="K106" s="219" t="s">
        <v>705</v>
      </c>
      <c r="L106" s="140">
        <v>822.96</v>
      </c>
      <c r="M106" s="140">
        <v>1833.88</v>
      </c>
      <c r="N106" s="140">
        <v>617.22</v>
      </c>
      <c r="O106" s="221">
        <v>1257.1099999999999</v>
      </c>
      <c r="P106" s="221">
        <v>0.58499999999999996</v>
      </c>
      <c r="Q106" s="141">
        <v>0</v>
      </c>
      <c r="S106" s="141">
        <v>24</v>
      </c>
    </row>
    <row r="107" spans="1:20">
      <c r="A107" s="138" t="str">
        <f t="shared" si="5"/>
        <v>20.8R42</v>
      </c>
      <c r="B107" s="138" t="str">
        <f t="shared" si="4"/>
        <v>20.8R42</v>
      </c>
      <c r="C107" s="138">
        <v>67</v>
      </c>
      <c r="D107" s="220">
        <f t="shared" si="6"/>
        <v>208.42</v>
      </c>
      <c r="E107" s="220" t="str">
        <f t="shared" si="7"/>
        <v>R-1   20.80 R 42</v>
      </c>
      <c r="F107" s="140">
        <v>4149.6598639455779</v>
      </c>
      <c r="G107" s="228">
        <v>20.8</v>
      </c>
      <c r="H107" s="139" t="s">
        <v>481</v>
      </c>
      <c r="I107" s="140">
        <v>42</v>
      </c>
      <c r="J107" s="140">
        <v>2</v>
      </c>
      <c r="K107" s="219" t="s">
        <v>705</v>
      </c>
      <c r="L107" s="140">
        <v>873.76</v>
      </c>
      <c r="M107" s="140">
        <v>1935.48</v>
      </c>
      <c r="N107" s="140">
        <v>614.67999999999995</v>
      </c>
      <c r="O107" s="221">
        <v>1326.21</v>
      </c>
      <c r="P107" s="221">
        <v>0.58499999999999996</v>
      </c>
      <c r="Q107" s="141">
        <v>0</v>
      </c>
      <c r="S107" s="141">
        <v>24</v>
      </c>
    </row>
    <row r="108" spans="1:20">
      <c r="A108" s="138" t="str">
        <f t="shared" si="5"/>
        <v>24.5R32</v>
      </c>
      <c r="B108" s="138" t="str">
        <f t="shared" si="4"/>
        <v>24.5R32</v>
      </c>
      <c r="C108" s="138">
        <v>68</v>
      </c>
      <c r="D108" s="220">
        <f t="shared" si="6"/>
        <v>245.32</v>
      </c>
      <c r="E108" s="220" t="str">
        <f t="shared" si="7"/>
        <v>R-1   24.50 R 32</v>
      </c>
      <c r="F108" s="140">
        <v>4004.5351473922901</v>
      </c>
      <c r="G108" s="228">
        <v>24.5</v>
      </c>
      <c r="H108" s="139" t="s">
        <v>481</v>
      </c>
      <c r="I108" s="140">
        <v>32</v>
      </c>
      <c r="J108" s="140">
        <v>1</v>
      </c>
      <c r="K108" s="219" t="s">
        <v>705</v>
      </c>
      <c r="L108" s="140">
        <v>784.86</v>
      </c>
      <c r="M108" s="140">
        <v>1800.86</v>
      </c>
      <c r="N108" s="140">
        <v>721.36</v>
      </c>
      <c r="O108" s="221">
        <v>1508.08</v>
      </c>
      <c r="P108" s="221">
        <v>0.58499999999999996</v>
      </c>
      <c r="Q108" s="141">
        <v>0</v>
      </c>
      <c r="S108" s="141">
        <v>18</v>
      </c>
    </row>
    <row r="109" spans="1:20">
      <c r="A109" s="138" t="str">
        <f t="shared" si="5"/>
        <v>30.5R32</v>
      </c>
      <c r="B109" s="138" t="str">
        <f t="shared" si="4"/>
        <v>30.5LR32</v>
      </c>
      <c r="C109" s="138">
        <v>69</v>
      </c>
      <c r="D109" s="220">
        <f t="shared" si="6"/>
        <v>305.32</v>
      </c>
      <c r="E109" s="220" t="str">
        <f t="shared" si="7"/>
        <v>R-1   30.50 LR 32</v>
      </c>
      <c r="F109" s="140">
        <v>6403</v>
      </c>
      <c r="G109" s="228">
        <v>30.5</v>
      </c>
      <c r="H109" s="139" t="s">
        <v>708</v>
      </c>
      <c r="I109" s="140">
        <v>32</v>
      </c>
      <c r="J109" s="140">
        <v>3</v>
      </c>
      <c r="K109" s="219" t="s">
        <v>705</v>
      </c>
      <c r="L109" s="140">
        <v>790</v>
      </c>
      <c r="M109" s="140">
        <v>1826</v>
      </c>
      <c r="N109" s="140">
        <v>818</v>
      </c>
      <c r="O109" s="221">
        <v>1800.97</v>
      </c>
      <c r="P109" s="221">
        <v>0.58499999999999996</v>
      </c>
      <c r="Q109" s="141">
        <v>0</v>
      </c>
      <c r="S109" s="141">
        <v>30</v>
      </c>
    </row>
    <row r="110" spans="1:20">
      <c r="A110" s="138" t="str">
        <f t="shared" ref="A110:A134" si="8">CONCATENATE(G110,H110,I110)</f>
        <v>300/70R20</v>
      </c>
      <c r="B110" s="138" t="str">
        <f t="shared" si="4"/>
        <v>300/70R20</v>
      </c>
      <c r="C110" s="138">
        <v>70</v>
      </c>
      <c r="D110" s="220">
        <f t="shared" si="6"/>
        <v>3000.2</v>
      </c>
      <c r="E110" s="220" t="str">
        <f t="shared" ref="E110:E134" si="9">CONCATENATE(K110,"   ",FIXED(G110,0)," ",H110," ",I110)</f>
        <v>R-1   300 /70R 20</v>
      </c>
      <c r="F110">
        <v>1060</v>
      </c>
      <c r="G110">
        <v>300</v>
      </c>
      <c r="H110" s="351" t="s">
        <v>614</v>
      </c>
      <c r="I110">
        <v>20</v>
      </c>
      <c r="J110">
        <v>2</v>
      </c>
      <c r="K110" s="219" t="s">
        <v>705</v>
      </c>
      <c r="L110">
        <v>434</v>
      </c>
      <c r="M110">
        <v>958</v>
      </c>
      <c r="N110">
        <v>335</v>
      </c>
      <c r="O110" s="515">
        <v>4.766</v>
      </c>
      <c r="P110" s="456">
        <v>1</v>
      </c>
      <c r="Q110" s="456">
        <v>60</v>
      </c>
      <c r="R110"/>
      <c r="S110" s="517">
        <v>24</v>
      </c>
    </row>
    <row r="111" spans="1:20">
      <c r="A111" s="138" t="str">
        <f t="shared" si="8"/>
        <v>320/70R24</v>
      </c>
      <c r="B111" s="138" t="str">
        <f t="shared" ref="B111:B142" si="10">CONCATENATE(G111,H111,I111)</f>
        <v>320/70R24</v>
      </c>
      <c r="C111" s="138">
        <v>71</v>
      </c>
      <c r="D111" s="220">
        <f t="shared" si="6"/>
        <v>3200.24</v>
      </c>
      <c r="E111" s="220" t="str">
        <f t="shared" si="9"/>
        <v>R-1   320 /70R 24</v>
      </c>
      <c r="F111">
        <v>1250</v>
      </c>
      <c r="G111">
        <v>320</v>
      </c>
      <c r="H111" s="351" t="s">
        <v>614</v>
      </c>
      <c r="I111">
        <v>24</v>
      </c>
      <c r="J111">
        <v>2</v>
      </c>
      <c r="K111" s="219" t="s">
        <v>705</v>
      </c>
      <c r="L111">
        <v>500</v>
      </c>
      <c r="M111">
        <v>1097</v>
      </c>
      <c r="N111">
        <v>353</v>
      </c>
      <c r="O111" s="515">
        <v>5.7389999999999999</v>
      </c>
      <c r="P111" s="456">
        <v>1</v>
      </c>
      <c r="Q111" s="456">
        <v>60</v>
      </c>
      <c r="R111"/>
      <c r="S111" s="517">
        <v>24</v>
      </c>
    </row>
    <row r="112" spans="1:20">
      <c r="A112" s="138" t="str">
        <f t="shared" si="8"/>
        <v>360/70R20</v>
      </c>
      <c r="B112" s="138" t="str">
        <f t="shared" si="10"/>
        <v>360/70R20</v>
      </c>
      <c r="C112" s="138">
        <v>72</v>
      </c>
      <c r="D112" s="220">
        <f t="shared" si="6"/>
        <v>3600.2</v>
      </c>
      <c r="E112" s="220" t="str">
        <f t="shared" si="9"/>
        <v>R-1   360 /70R 20</v>
      </c>
      <c r="F112">
        <v>1400</v>
      </c>
      <c r="G112">
        <v>360</v>
      </c>
      <c r="H112" s="351" t="s">
        <v>614</v>
      </c>
      <c r="I112">
        <v>20</v>
      </c>
      <c r="J112">
        <v>2</v>
      </c>
      <c r="K112" s="219" t="s">
        <v>705</v>
      </c>
      <c r="L112">
        <v>470</v>
      </c>
      <c r="M112">
        <v>1054</v>
      </c>
      <c r="N112">
        <v>358</v>
      </c>
      <c r="O112" s="515">
        <v>6.3120000000000003</v>
      </c>
      <c r="P112" s="456">
        <v>1</v>
      </c>
      <c r="Q112" s="456">
        <v>60</v>
      </c>
      <c r="R112"/>
      <c r="S112" s="517">
        <v>24</v>
      </c>
    </row>
    <row r="113" spans="1:19">
      <c r="A113" s="138" t="str">
        <f t="shared" si="8"/>
        <v>360/70R24</v>
      </c>
      <c r="B113" s="138" t="str">
        <f t="shared" si="10"/>
        <v>360/70R24</v>
      </c>
      <c r="C113" s="138">
        <v>73</v>
      </c>
      <c r="D113" s="220">
        <f t="shared" si="6"/>
        <v>3600.24</v>
      </c>
      <c r="E113" s="220" t="str">
        <f t="shared" si="9"/>
        <v>R-1   360 /70R 24</v>
      </c>
      <c r="F113">
        <v>1500</v>
      </c>
      <c r="G113">
        <v>360</v>
      </c>
      <c r="H113" s="351" t="s">
        <v>614</v>
      </c>
      <c r="I113">
        <v>24</v>
      </c>
      <c r="J113">
        <v>2</v>
      </c>
      <c r="K113" s="219" t="s">
        <v>705</v>
      </c>
      <c r="L113">
        <v>521</v>
      </c>
      <c r="M113">
        <v>1158</v>
      </c>
      <c r="N113">
        <v>356</v>
      </c>
      <c r="O113" s="515">
        <v>6.8650000000000002</v>
      </c>
      <c r="P113" s="456">
        <v>1</v>
      </c>
      <c r="Q113" s="456">
        <v>60</v>
      </c>
      <c r="R113"/>
      <c r="S113" s="517">
        <v>24</v>
      </c>
    </row>
    <row r="114" spans="1:19">
      <c r="A114" s="138" t="str">
        <f t="shared" si="8"/>
        <v>360/70R28</v>
      </c>
      <c r="B114" s="138" t="str">
        <f t="shared" si="10"/>
        <v>360/70R28</v>
      </c>
      <c r="C114">
        <v>74</v>
      </c>
      <c r="D114" s="220">
        <f t="shared" si="6"/>
        <v>3600.28</v>
      </c>
      <c r="E114" s="220" t="str">
        <f t="shared" si="9"/>
        <v>R-1   360 /70R 28</v>
      </c>
      <c r="F114">
        <v>1650</v>
      </c>
      <c r="G114">
        <v>360</v>
      </c>
      <c r="H114" s="351" t="s">
        <v>614</v>
      </c>
      <c r="I114">
        <v>28</v>
      </c>
      <c r="J114">
        <v>2</v>
      </c>
      <c r="K114" s="219" t="s">
        <v>705</v>
      </c>
      <c r="L114">
        <v>564</v>
      </c>
      <c r="M114">
        <v>1262</v>
      </c>
      <c r="N114">
        <v>353</v>
      </c>
      <c r="O114" s="515">
        <v>7.391</v>
      </c>
      <c r="P114" s="456">
        <v>1</v>
      </c>
      <c r="Q114" s="456">
        <v>60</v>
      </c>
      <c r="R114"/>
      <c r="S114" s="517">
        <v>24</v>
      </c>
    </row>
    <row r="115" spans="1:19">
      <c r="A115" s="138" t="str">
        <f t="shared" si="8"/>
        <v>380/70R20</v>
      </c>
      <c r="B115" s="138" t="str">
        <f t="shared" si="10"/>
        <v>380/70R20</v>
      </c>
      <c r="C115">
        <v>75</v>
      </c>
      <c r="D115" s="220">
        <f t="shared" ref="D115:D134" si="11">G115*10+I115/100</f>
        <v>3800.2</v>
      </c>
      <c r="E115" s="220" t="str">
        <f t="shared" si="9"/>
        <v>R-1   380 /70R 20</v>
      </c>
      <c r="F115">
        <v>1500</v>
      </c>
      <c r="G115">
        <v>380</v>
      </c>
      <c r="H115" s="351" t="s">
        <v>614</v>
      </c>
      <c r="I115">
        <v>20</v>
      </c>
      <c r="J115">
        <v>122</v>
      </c>
      <c r="K115" s="219" t="s">
        <v>705</v>
      </c>
      <c r="L115">
        <v>483</v>
      </c>
      <c r="M115">
        <v>1077</v>
      </c>
      <c r="N115">
        <v>381</v>
      </c>
      <c r="O115"/>
      <c r="P115"/>
      <c r="Q115"/>
      <c r="R115"/>
      <c r="S115" s="517">
        <v>24</v>
      </c>
    </row>
    <row r="116" spans="1:19">
      <c r="A116" s="138" t="str">
        <f t="shared" si="8"/>
        <v>380/70R24</v>
      </c>
      <c r="B116" s="138" t="str">
        <f t="shared" si="10"/>
        <v>380/70R24</v>
      </c>
      <c r="C116">
        <v>76</v>
      </c>
      <c r="D116" s="220">
        <f t="shared" si="11"/>
        <v>3800.24</v>
      </c>
      <c r="E116" s="220" t="str">
        <f t="shared" si="9"/>
        <v>R-1   380 /70R 24</v>
      </c>
      <c r="F116">
        <v>1650</v>
      </c>
      <c r="G116">
        <v>380</v>
      </c>
      <c r="H116" s="351" t="s">
        <v>614</v>
      </c>
      <c r="I116">
        <v>24</v>
      </c>
      <c r="J116">
        <v>2</v>
      </c>
      <c r="K116" s="219" t="s">
        <v>705</v>
      </c>
      <c r="L116">
        <v>538</v>
      </c>
      <c r="M116">
        <v>1189</v>
      </c>
      <c r="N116">
        <v>376</v>
      </c>
      <c r="O116" s="515">
        <v>7.4569999999999999</v>
      </c>
      <c r="P116" s="456">
        <v>1</v>
      </c>
      <c r="Q116" s="456">
        <v>60</v>
      </c>
      <c r="R116"/>
      <c r="S116" s="517">
        <v>24</v>
      </c>
    </row>
    <row r="117" spans="1:19">
      <c r="A117" s="138" t="str">
        <f t="shared" si="8"/>
        <v>420/70R24</v>
      </c>
      <c r="B117" s="138" t="str">
        <f t="shared" si="10"/>
        <v>420/70R24</v>
      </c>
      <c r="C117">
        <v>77</v>
      </c>
      <c r="D117" s="220">
        <f t="shared" si="11"/>
        <v>4200.24</v>
      </c>
      <c r="E117" s="220" t="str">
        <f t="shared" si="9"/>
        <v>R-1   420 /70R 24</v>
      </c>
      <c r="F117">
        <v>1900</v>
      </c>
      <c r="G117">
        <v>420</v>
      </c>
      <c r="H117" s="351" t="s">
        <v>614</v>
      </c>
      <c r="I117">
        <v>24</v>
      </c>
      <c r="J117">
        <v>2</v>
      </c>
      <c r="K117" s="219" t="s">
        <v>705</v>
      </c>
      <c r="L117">
        <v>554</v>
      </c>
      <c r="M117">
        <v>1245</v>
      </c>
      <c r="N117">
        <v>422</v>
      </c>
      <c r="O117" s="518">
        <v>7.4593666666666669</v>
      </c>
      <c r="P117" s="519">
        <v>1</v>
      </c>
      <c r="Q117" s="519">
        <v>60</v>
      </c>
      <c r="R117"/>
      <c r="S117" s="517">
        <v>24</v>
      </c>
    </row>
    <row r="118" spans="1:19">
      <c r="A118" s="138" t="str">
        <f t="shared" si="8"/>
        <v>420/70R28</v>
      </c>
      <c r="B118" s="138" t="str">
        <f t="shared" si="10"/>
        <v>420/70R28</v>
      </c>
      <c r="C118">
        <v>78</v>
      </c>
      <c r="D118" s="220">
        <f t="shared" si="11"/>
        <v>4200.28</v>
      </c>
      <c r="E118" s="220" t="str">
        <f t="shared" si="9"/>
        <v>R-1   420 /70R 28</v>
      </c>
      <c r="F118">
        <v>2060</v>
      </c>
      <c r="G118">
        <v>420</v>
      </c>
      <c r="H118" s="351" t="s">
        <v>614</v>
      </c>
      <c r="I118">
        <v>28</v>
      </c>
      <c r="J118">
        <v>2</v>
      </c>
      <c r="K118" s="219" t="s">
        <v>705</v>
      </c>
      <c r="L118">
        <v>599</v>
      </c>
      <c r="M118">
        <v>1344</v>
      </c>
      <c r="N118">
        <v>429</v>
      </c>
      <c r="O118" s="515">
        <v>9.3390000000000004</v>
      </c>
      <c r="P118" s="456">
        <v>1</v>
      </c>
      <c r="Q118" s="456">
        <v>60</v>
      </c>
      <c r="R118"/>
      <c r="S118" s="517">
        <v>24</v>
      </c>
    </row>
    <row r="119" spans="1:19">
      <c r="A119" s="138" t="str">
        <f t="shared" si="8"/>
        <v>480/70R28</v>
      </c>
      <c r="B119" s="138" t="str">
        <f t="shared" si="10"/>
        <v>480/70R28</v>
      </c>
      <c r="C119">
        <v>79</v>
      </c>
      <c r="D119" s="220">
        <f t="shared" si="11"/>
        <v>4800.28</v>
      </c>
      <c r="E119" s="220" t="str">
        <f t="shared" si="9"/>
        <v>R-1   480 /70R 28</v>
      </c>
      <c r="F119">
        <v>2500</v>
      </c>
      <c r="G119">
        <v>480</v>
      </c>
      <c r="H119" s="351" t="s">
        <v>614</v>
      </c>
      <c r="I119">
        <v>28</v>
      </c>
      <c r="J119">
        <v>2</v>
      </c>
      <c r="K119" s="219" t="s">
        <v>705</v>
      </c>
      <c r="L119">
        <v>640</v>
      </c>
      <c r="M119">
        <v>1425</v>
      </c>
      <c r="N119">
        <v>485</v>
      </c>
      <c r="O119" s="515">
        <v>11.468</v>
      </c>
      <c r="P119" s="456">
        <v>1</v>
      </c>
      <c r="Q119" s="456">
        <v>60</v>
      </c>
      <c r="R119"/>
      <c r="S119" s="517">
        <v>24</v>
      </c>
    </row>
    <row r="120" spans="1:19">
      <c r="A120" s="138" t="str">
        <f t="shared" si="8"/>
        <v>480/70R30</v>
      </c>
      <c r="B120" s="138" t="str">
        <f t="shared" si="10"/>
        <v>480/70R30</v>
      </c>
      <c r="C120">
        <v>80</v>
      </c>
      <c r="D120" s="220">
        <f t="shared" si="11"/>
        <v>4800.3</v>
      </c>
      <c r="E120" s="220" t="str">
        <f t="shared" si="9"/>
        <v>R-1   480 /70R 30</v>
      </c>
      <c r="F120">
        <v>3550</v>
      </c>
      <c r="G120">
        <v>480</v>
      </c>
      <c r="H120" s="351" t="s">
        <v>614</v>
      </c>
      <c r="I120">
        <v>30</v>
      </c>
      <c r="J120">
        <v>4</v>
      </c>
      <c r="K120" s="219" t="s">
        <v>705</v>
      </c>
      <c r="L120">
        <v>660</v>
      </c>
      <c r="M120">
        <v>1483</v>
      </c>
      <c r="N120">
        <v>480</v>
      </c>
      <c r="O120" s="515">
        <v>12.56</v>
      </c>
      <c r="P120" s="456">
        <v>1</v>
      </c>
      <c r="Q120" s="456">
        <v>60</v>
      </c>
      <c r="R120"/>
      <c r="S120" s="517">
        <v>24</v>
      </c>
    </row>
    <row r="121" spans="1:19">
      <c r="A121" s="138" t="str">
        <f t="shared" si="8"/>
        <v>480/70R34</v>
      </c>
      <c r="B121" s="138" t="str">
        <f t="shared" si="10"/>
        <v>480/70R34</v>
      </c>
      <c r="C121">
        <v>81</v>
      </c>
      <c r="D121" s="220">
        <f t="shared" si="11"/>
        <v>4800.34</v>
      </c>
      <c r="E121" s="220" t="str">
        <f t="shared" si="9"/>
        <v>R-1   480 /70R 34</v>
      </c>
      <c r="F121">
        <v>2000</v>
      </c>
      <c r="G121">
        <v>480</v>
      </c>
      <c r="H121" s="351" t="s">
        <v>614</v>
      </c>
      <c r="I121">
        <v>34</v>
      </c>
      <c r="J121">
        <v>3</v>
      </c>
      <c r="K121" s="219" t="s">
        <v>705</v>
      </c>
      <c r="L121">
        <v>709</v>
      </c>
      <c r="M121">
        <v>1580</v>
      </c>
      <c r="N121">
        <v>488</v>
      </c>
      <c r="O121" s="515">
        <v>12.56</v>
      </c>
      <c r="P121" s="456">
        <v>1</v>
      </c>
      <c r="Q121" s="456">
        <v>60</v>
      </c>
      <c r="R121"/>
      <c r="S121" s="517">
        <v>24</v>
      </c>
    </row>
    <row r="122" spans="1:19">
      <c r="A122" s="138" t="str">
        <f t="shared" si="8"/>
        <v>480/80R38</v>
      </c>
      <c r="B122" s="138" t="str">
        <f t="shared" si="10"/>
        <v>480/80R38</v>
      </c>
      <c r="C122">
        <v>82</v>
      </c>
      <c r="D122" s="220">
        <f t="shared" si="11"/>
        <v>4800.38</v>
      </c>
      <c r="E122" s="220" t="str">
        <f t="shared" si="9"/>
        <v>R-1   480 /80R 38</v>
      </c>
      <c r="F122" s="418">
        <v>2000</v>
      </c>
      <c r="G122">
        <v>480</v>
      </c>
      <c r="H122" s="351" t="s">
        <v>709</v>
      </c>
      <c r="I122">
        <v>38</v>
      </c>
      <c r="J122" s="418">
        <v>146</v>
      </c>
      <c r="K122" s="419" t="s">
        <v>705</v>
      </c>
      <c r="L122" s="418">
        <v>709</v>
      </c>
      <c r="M122" s="418">
        <v>1580</v>
      </c>
      <c r="N122" s="418">
        <v>488</v>
      </c>
      <c r="O122" s="515">
        <v>14.843</v>
      </c>
      <c r="P122" s="456">
        <v>1</v>
      </c>
      <c r="Q122" s="456">
        <v>60</v>
      </c>
      <c r="R122"/>
      <c r="S122" s="517">
        <v>24</v>
      </c>
    </row>
    <row r="123" spans="1:19">
      <c r="A123" s="138" t="str">
        <f t="shared" si="8"/>
        <v>520/85R38</v>
      </c>
      <c r="B123" s="138" t="str">
        <f t="shared" si="10"/>
        <v>520/85R38</v>
      </c>
      <c r="C123">
        <v>83</v>
      </c>
      <c r="D123" s="220">
        <f t="shared" si="11"/>
        <v>5200.38</v>
      </c>
      <c r="E123" s="220" t="str">
        <f t="shared" si="9"/>
        <v>R-1   520 /85R 38</v>
      </c>
      <c r="F123" s="418">
        <v>2000</v>
      </c>
      <c r="G123">
        <v>520</v>
      </c>
      <c r="H123" s="351" t="s">
        <v>710</v>
      </c>
      <c r="I123">
        <v>38</v>
      </c>
      <c r="J123" s="418">
        <v>3</v>
      </c>
      <c r="K123" s="419" t="s">
        <v>705</v>
      </c>
      <c r="L123" s="418">
        <v>709</v>
      </c>
      <c r="M123" s="418">
        <v>1580</v>
      </c>
      <c r="N123" s="418">
        <v>488</v>
      </c>
      <c r="O123" s="516"/>
      <c r="P123" s="517"/>
      <c r="Q123" s="517"/>
      <c r="R123"/>
      <c r="S123" s="517">
        <v>24</v>
      </c>
    </row>
    <row r="124" spans="1:19">
      <c r="A124" s="138" t="str">
        <f t="shared" si="8"/>
        <v>540/65R28</v>
      </c>
      <c r="B124" s="138" t="str">
        <f t="shared" si="10"/>
        <v>540/65R28</v>
      </c>
      <c r="C124">
        <v>84</v>
      </c>
      <c r="D124" s="220">
        <f t="shared" si="11"/>
        <v>5400.28</v>
      </c>
      <c r="E124" s="220" t="str">
        <f t="shared" si="9"/>
        <v>R-1   540 /65R 28</v>
      </c>
      <c r="F124">
        <v>2485</v>
      </c>
      <c r="G124">
        <v>540</v>
      </c>
      <c r="H124" s="351" t="s">
        <v>711</v>
      </c>
      <c r="I124">
        <v>28</v>
      </c>
      <c r="J124">
        <v>142</v>
      </c>
      <c r="K124" s="219" t="s">
        <v>705</v>
      </c>
      <c r="L124">
        <v>643</v>
      </c>
      <c r="M124">
        <v>1433</v>
      </c>
      <c r="N124">
        <v>521</v>
      </c>
      <c r="O124" s="516">
        <v>12.922000000000001</v>
      </c>
      <c r="P124" s="517">
        <v>1</v>
      </c>
      <c r="Q124" s="517">
        <v>60</v>
      </c>
      <c r="R124"/>
      <c r="S124" s="517">
        <v>24</v>
      </c>
    </row>
    <row r="125" spans="1:19">
      <c r="A125" s="138" t="str">
        <f t="shared" si="8"/>
        <v>540/75R34</v>
      </c>
      <c r="B125" s="138" t="str">
        <f t="shared" si="10"/>
        <v>540/75R34</v>
      </c>
      <c r="C125">
        <v>85</v>
      </c>
      <c r="D125" s="220">
        <f t="shared" si="11"/>
        <v>5400.34</v>
      </c>
      <c r="E125" s="220" t="str">
        <f t="shared" si="9"/>
        <v>R-1   540 /75R 34</v>
      </c>
      <c r="F125">
        <v>4125</v>
      </c>
      <c r="G125">
        <v>540</v>
      </c>
      <c r="H125" s="351" t="s">
        <v>622</v>
      </c>
      <c r="I125">
        <v>34</v>
      </c>
      <c r="J125">
        <v>4</v>
      </c>
      <c r="K125" s="219" t="s">
        <v>705</v>
      </c>
      <c r="L125">
        <v>744</v>
      </c>
      <c r="M125">
        <v>1669</v>
      </c>
      <c r="N125">
        <v>551</v>
      </c>
      <c r="O125" s="515">
        <v>15.971</v>
      </c>
      <c r="P125" s="456">
        <v>1</v>
      </c>
      <c r="Q125" s="456">
        <v>60</v>
      </c>
      <c r="R125"/>
      <c r="S125" s="517">
        <v>24</v>
      </c>
    </row>
    <row r="126" spans="1:19">
      <c r="A126" s="138" t="str">
        <f t="shared" si="8"/>
        <v>540/65R38</v>
      </c>
      <c r="B126" s="138" t="str">
        <f t="shared" si="10"/>
        <v>540/65R38</v>
      </c>
      <c r="C126">
        <v>86</v>
      </c>
      <c r="D126" s="220">
        <f t="shared" si="11"/>
        <v>5400.38</v>
      </c>
      <c r="E126" s="220" t="str">
        <f t="shared" si="9"/>
        <v>R-1   540 /65R 38</v>
      </c>
      <c r="F126">
        <v>2650</v>
      </c>
      <c r="G126">
        <v>540</v>
      </c>
      <c r="H126" s="351" t="s">
        <v>711</v>
      </c>
      <c r="I126">
        <v>38</v>
      </c>
      <c r="J126">
        <v>2</v>
      </c>
      <c r="K126" s="219" t="s">
        <v>705</v>
      </c>
      <c r="L126">
        <v>742</v>
      </c>
      <c r="M126">
        <v>1679</v>
      </c>
      <c r="N126">
        <v>533</v>
      </c>
      <c r="O126" s="515">
        <v>14.45</v>
      </c>
      <c r="P126" s="456">
        <v>1</v>
      </c>
      <c r="Q126" s="456">
        <v>60</v>
      </c>
      <c r="R126"/>
      <c r="S126" s="517">
        <v>24</v>
      </c>
    </row>
    <row r="127" spans="1:19">
      <c r="A127" s="138" t="str">
        <f t="shared" si="8"/>
        <v>580/70R38</v>
      </c>
      <c r="B127" s="138" t="str">
        <f t="shared" si="10"/>
        <v>580/70R38</v>
      </c>
      <c r="C127">
        <v>87</v>
      </c>
      <c r="D127" s="220">
        <f t="shared" si="11"/>
        <v>5800.38</v>
      </c>
      <c r="E127" s="220" t="str">
        <f t="shared" si="9"/>
        <v>R-1   580 /70R 38</v>
      </c>
      <c r="F127">
        <v>3875</v>
      </c>
      <c r="G127">
        <v>580</v>
      </c>
      <c r="H127" s="351" t="s">
        <v>614</v>
      </c>
      <c r="I127">
        <v>38</v>
      </c>
      <c r="J127">
        <v>2</v>
      </c>
      <c r="K127" s="219" t="s">
        <v>705</v>
      </c>
      <c r="L127">
        <v>823</v>
      </c>
      <c r="M127">
        <v>1834</v>
      </c>
      <c r="N127">
        <v>587</v>
      </c>
      <c r="O127" s="515">
        <v>17.666</v>
      </c>
      <c r="P127" s="456">
        <v>1</v>
      </c>
      <c r="Q127" s="456">
        <v>60</v>
      </c>
      <c r="R127"/>
      <c r="S127" s="517">
        <v>24</v>
      </c>
    </row>
    <row r="128" spans="1:19">
      <c r="A128" s="138" t="str">
        <f t="shared" si="8"/>
        <v>600/65R28</v>
      </c>
      <c r="B128" s="138" t="str">
        <f t="shared" si="10"/>
        <v>600/65R28</v>
      </c>
      <c r="C128">
        <v>88</v>
      </c>
      <c r="D128" s="220">
        <f t="shared" si="11"/>
        <v>6000.28</v>
      </c>
      <c r="E128" s="220" t="str">
        <f t="shared" si="9"/>
        <v>R-1   600 /65R 28</v>
      </c>
      <c r="F128">
        <v>3075</v>
      </c>
      <c r="G128">
        <v>600</v>
      </c>
      <c r="H128" s="351" t="s">
        <v>711</v>
      </c>
      <c r="I128">
        <v>28</v>
      </c>
      <c r="J128">
        <v>2</v>
      </c>
      <c r="K128" s="219" t="s">
        <v>705</v>
      </c>
      <c r="L128">
        <v>673</v>
      </c>
      <c r="M128">
        <v>1491</v>
      </c>
      <c r="N128">
        <v>592</v>
      </c>
      <c r="O128" s="515">
        <v>14.763999999999999</v>
      </c>
      <c r="P128" s="456">
        <v>1</v>
      </c>
      <c r="Q128" s="456">
        <v>60</v>
      </c>
      <c r="R128"/>
      <c r="S128" s="517">
        <v>24</v>
      </c>
    </row>
    <row r="129" spans="1:19">
      <c r="A129" s="138" t="str">
        <f t="shared" si="8"/>
        <v>600/75R30</v>
      </c>
      <c r="B129" s="138" t="str">
        <f t="shared" si="10"/>
        <v>600/75R30</v>
      </c>
      <c r="C129">
        <v>89</v>
      </c>
      <c r="D129" s="220">
        <f t="shared" si="11"/>
        <v>6000.3</v>
      </c>
      <c r="E129" s="220" t="str">
        <f t="shared" si="9"/>
        <v>R-1   600 /75R 30</v>
      </c>
      <c r="F129">
        <v>3550</v>
      </c>
      <c r="G129">
        <v>600</v>
      </c>
      <c r="H129" s="351" t="s">
        <v>622</v>
      </c>
      <c r="I129">
        <v>30</v>
      </c>
      <c r="J129">
        <v>2</v>
      </c>
      <c r="K129" s="219" t="s">
        <v>705</v>
      </c>
      <c r="L129">
        <v>704</v>
      </c>
      <c r="M129">
        <v>1603</v>
      </c>
      <c r="N129">
        <v>612</v>
      </c>
      <c r="O129" s="515">
        <v>17.826000000000001</v>
      </c>
      <c r="P129" s="456">
        <v>1</v>
      </c>
      <c r="Q129" s="456">
        <v>60</v>
      </c>
      <c r="R129"/>
      <c r="S129" s="517">
        <v>24</v>
      </c>
    </row>
    <row r="130" spans="1:19">
      <c r="A130" s="138" t="str">
        <f t="shared" si="8"/>
        <v>620/70R42</v>
      </c>
      <c r="B130" s="138" t="str">
        <f t="shared" si="10"/>
        <v>620/70R42</v>
      </c>
      <c r="C130">
        <v>90</v>
      </c>
      <c r="D130" s="220">
        <f t="shared" si="11"/>
        <v>6200.42</v>
      </c>
      <c r="E130" s="220" t="str">
        <f t="shared" si="9"/>
        <v>R-1   620 /70R 42</v>
      </c>
      <c r="F130" s="140">
        <v>4500</v>
      </c>
      <c r="G130" s="218">
        <v>620</v>
      </c>
      <c r="H130" s="413" t="s">
        <v>614</v>
      </c>
      <c r="I130" s="140">
        <v>42</v>
      </c>
      <c r="J130" s="218">
        <v>2</v>
      </c>
      <c r="K130" s="403" t="s">
        <v>705</v>
      </c>
      <c r="L130" s="140">
        <v>877</v>
      </c>
      <c r="M130" s="140">
        <v>1949</v>
      </c>
      <c r="N130" s="140">
        <v>620</v>
      </c>
      <c r="O130" s="221">
        <v>20.6526</v>
      </c>
      <c r="P130" s="221">
        <v>1</v>
      </c>
      <c r="Q130" s="138">
        <v>60</v>
      </c>
      <c r="R130"/>
      <c r="S130" s="517">
        <v>24</v>
      </c>
    </row>
    <row r="131" spans="1:19">
      <c r="A131" s="138" t="str">
        <f t="shared" si="8"/>
        <v>620/70R46</v>
      </c>
      <c r="B131" s="138" t="str">
        <f t="shared" si="10"/>
        <v>620/70R46</v>
      </c>
      <c r="C131">
        <v>91</v>
      </c>
      <c r="D131" s="228">
        <f t="shared" si="11"/>
        <v>6200.46</v>
      </c>
      <c r="E131" s="220" t="str">
        <f t="shared" si="9"/>
        <v>R-1   620 /70R 46</v>
      </c>
      <c r="F131">
        <v>4750</v>
      </c>
      <c r="G131">
        <v>620</v>
      </c>
      <c r="H131" s="413" t="s">
        <v>614</v>
      </c>
      <c r="I131">
        <v>46</v>
      </c>
      <c r="J131">
        <v>2</v>
      </c>
      <c r="K131" s="403" t="s">
        <v>705</v>
      </c>
      <c r="L131">
        <v>925</v>
      </c>
      <c r="M131">
        <v>2050</v>
      </c>
      <c r="N131">
        <v>625</v>
      </c>
      <c r="O131" s="515">
        <v>21.420999999999999</v>
      </c>
      <c r="P131" s="456">
        <v>1</v>
      </c>
      <c r="Q131" s="456">
        <v>60</v>
      </c>
      <c r="R131"/>
      <c r="S131" s="517">
        <v>24</v>
      </c>
    </row>
    <row r="132" spans="1:19">
      <c r="A132" s="138" t="str">
        <f t="shared" si="8"/>
        <v>650/85R38</v>
      </c>
      <c r="B132" s="138" t="str">
        <f t="shared" si="10"/>
        <v>650/85R38</v>
      </c>
      <c r="C132">
        <v>92</v>
      </c>
      <c r="D132" s="228">
        <f t="shared" si="11"/>
        <v>6500.38</v>
      </c>
      <c r="E132" s="220" t="str">
        <f t="shared" si="9"/>
        <v>R-1   650 /85R 38</v>
      </c>
      <c r="F132">
        <v>6500</v>
      </c>
      <c r="G132">
        <v>650</v>
      </c>
      <c r="H132" s="351" t="s">
        <v>710</v>
      </c>
      <c r="I132">
        <v>38</v>
      </c>
      <c r="J132">
        <v>3</v>
      </c>
      <c r="K132" s="219" t="s">
        <v>705</v>
      </c>
      <c r="L132">
        <v>902</v>
      </c>
      <c r="M132">
        <v>2050</v>
      </c>
      <c r="N132">
        <v>650</v>
      </c>
      <c r="O132" s="221">
        <v>25.065999999999999</v>
      </c>
      <c r="P132" s="221">
        <v>1</v>
      </c>
      <c r="Q132" s="141">
        <v>60</v>
      </c>
      <c r="R132"/>
      <c r="S132" s="517">
        <v>24</v>
      </c>
    </row>
    <row r="133" spans="1:19">
      <c r="A133" s="138" t="str">
        <f t="shared" si="8"/>
        <v>710/70R38</v>
      </c>
      <c r="B133" s="138" t="str">
        <f t="shared" si="10"/>
        <v>710/70R38</v>
      </c>
      <c r="C133">
        <v>93</v>
      </c>
      <c r="D133" s="228">
        <f t="shared" si="11"/>
        <v>7100.38</v>
      </c>
      <c r="E133" s="220" t="str">
        <f t="shared" si="9"/>
        <v>R-1   710 /70R 38</v>
      </c>
      <c r="F133" s="140">
        <v>5450</v>
      </c>
      <c r="G133" s="140">
        <v>710</v>
      </c>
      <c r="H133" s="413" t="s">
        <v>614</v>
      </c>
      <c r="I133" s="140">
        <v>38</v>
      </c>
      <c r="J133" s="140">
        <v>2</v>
      </c>
      <c r="K133" s="219" t="s">
        <v>705</v>
      </c>
      <c r="L133" s="140">
        <v>853</v>
      </c>
      <c r="M133" s="140">
        <v>1930</v>
      </c>
      <c r="N133" s="140">
        <v>710</v>
      </c>
      <c r="O133" s="221">
        <v>24.146000000000001</v>
      </c>
      <c r="P133" s="221">
        <v>1</v>
      </c>
      <c r="Q133" s="141">
        <v>60</v>
      </c>
      <c r="S133" s="517">
        <v>24</v>
      </c>
    </row>
    <row r="134" spans="1:19">
      <c r="A134" s="138" t="str">
        <f t="shared" si="8"/>
        <v>900/50R42</v>
      </c>
      <c r="B134" s="138" t="str">
        <f t="shared" si="10"/>
        <v>900/50R42</v>
      </c>
      <c r="C134">
        <v>94</v>
      </c>
      <c r="D134" s="228">
        <f t="shared" si="11"/>
        <v>9000.42</v>
      </c>
      <c r="E134" s="220" t="str">
        <f t="shared" si="9"/>
        <v>R-1   900 /50R 42</v>
      </c>
      <c r="F134">
        <v>5600</v>
      </c>
      <c r="G134">
        <v>900</v>
      </c>
      <c r="H134" s="351" t="s">
        <v>712</v>
      </c>
      <c r="I134">
        <v>42</v>
      </c>
      <c r="J134">
        <v>162</v>
      </c>
      <c r="K134" s="219" t="s">
        <v>705</v>
      </c>
      <c r="L134">
        <v>874</v>
      </c>
      <c r="M134">
        <v>1946</v>
      </c>
      <c r="N134">
        <v>886</v>
      </c>
      <c r="O134" s="221">
        <v>25.579000000000001</v>
      </c>
      <c r="P134" s="221">
        <v>1</v>
      </c>
      <c r="Q134" s="141">
        <v>60</v>
      </c>
      <c r="R134"/>
      <c r="S134" s="517">
        <v>24</v>
      </c>
    </row>
    <row r="135" spans="1:19">
      <c r="A135" s="392" t="str">
        <f t="shared" ref="A135:A153" si="12">CONCATENATE(G135,"-",I135)</f>
        <v>-</v>
      </c>
      <c r="B135" s="392" t="str">
        <f t="shared" si="10"/>
        <v/>
      </c>
      <c r="C135">
        <v>95</v>
      </c>
      <c r="D135" s="393"/>
      <c r="E135" s="394" t="s">
        <v>713</v>
      </c>
      <c r="F135" s="395"/>
      <c r="G135" s="392"/>
      <c r="H135" s="392"/>
      <c r="I135" s="392"/>
      <c r="J135" s="392"/>
      <c r="K135" s="404"/>
      <c r="L135" s="393" t="s">
        <v>88</v>
      </c>
      <c r="M135" s="393" t="s">
        <v>88</v>
      </c>
      <c r="N135" s="396" t="s">
        <v>15</v>
      </c>
      <c r="O135" s="393" t="s">
        <v>88</v>
      </c>
      <c r="P135" s="393" t="s">
        <v>88</v>
      </c>
      <c r="Q135" s="393" t="s">
        <v>88</v>
      </c>
      <c r="R135" s="393" t="s">
        <v>88</v>
      </c>
      <c r="S135" s="393" t="s">
        <v>88</v>
      </c>
    </row>
    <row r="136" spans="1:19">
      <c r="A136" s="138" t="str">
        <f t="shared" si="12"/>
        <v>4-15</v>
      </c>
      <c r="B136" s="138" t="str">
        <f t="shared" si="10"/>
        <v>4-15</v>
      </c>
      <c r="C136">
        <v>96</v>
      </c>
      <c r="D136" s="220">
        <f t="shared" ref="D136:D153" si="13">G136*10+I136/100</f>
        <v>40.15</v>
      </c>
      <c r="E136" s="220" t="str">
        <f t="shared" ref="E136:E153" si="14">CONCATENATE(K136,"   ",FIXED(G136,2)," ",H136," ",I136)</f>
        <v>F-2   4.00 - 15</v>
      </c>
      <c r="F136" s="141">
        <v>295</v>
      </c>
      <c r="G136" s="220">
        <v>4</v>
      </c>
      <c r="H136" s="139" t="s">
        <v>363</v>
      </c>
      <c r="I136" s="141">
        <v>15</v>
      </c>
      <c r="J136" s="141">
        <v>4</v>
      </c>
      <c r="K136" s="219" t="s">
        <v>714</v>
      </c>
      <c r="L136" s="141">
        <v>295</v>
      </c>
      <c r="M136" s="141">
        <v>610</v>
      </c>
      <c r="N136" s="141">
        <v>115</v>
      </c>
      <c r="O136" s="221"/>
      <c r="P136" s="141"/>
      <c r="Q136" s="141"/>
      <c r="R136" s="141"/>
      <c r="S136" s="140"/>
    </row>
    <row r="137" spans="1:19">
      <c r="A137" s="138" t="str">
        <f t="shared" si="12"/>
        <v>5-15</v>
      </c>
      <c r="B137" s="138" t="str">
        <f t="shared" si="10"/>
        <v>5-15</v>
      </c>
      <c r="C137">
        <v>97</v>
      </c>
      <c r="D137" s="220">
        <f t="shared" si="13"/>
        <v>50.15</v>
      </c>
      <c r="E137" s="220" t="str">
        <f t="shared" si="14"/>
        <v>F-2   5.00 - 15</v>
      </c>
      <c r="F137">
        <v>300</v>
      </c>
      <c r="G137" s="220">
        <v>5</v>
      </c>
      <c r="H137" s="139" t="s">
        <v>363</v>
      </c>
      <c r="I137" s="141">
        <v>15</v>
      </c>
      <c r="J137">
        <v>4</v>
      </c>
      <c r="K137" s="219" t="s">
        <v>714</v>
      </c>
      <c r="L137">
        <v>307</v>
      </c>
      <c r="M137">
        <v>650</v>
      </c>
      <c r="N137">
        <v>135</v>
      </c>
      <c r="O137"/>
      <c r="P137"/>
      <c r="Q137"/>
      <c r="R137"/>
      <c r="S137"/>
    </row>
    <row r="138" spans="1:19">
      <c r="A138" s="138" t="str">
        <f t="shared" si="12"/>
        <v>5.5-16</v>
      </c>
      <c r="B138" s="138" t="str">
        <f t="shared" si="10"/>
        <v>5.5-16</v>
      </c>
      <c r="C138">
        <v>98</v>
      </c>
      <c r="D138" s="220">
        <f t="shared" si="13"/>
        <v>55.16</v>
      </c>
      <c r="E138" s="220" t="str">
        <f t="shared" si="14"/>
        <v>F-2   5.50 - 16</v>
      </c>
      <c r="F138">
        <v>475</v>
      </c>
      <c r="G138" s="220">
        <v>5.5</v>
      </c>
      <c r="H138" s="139" t="s">
        <v>363</v>
      </c>
      <c r="I138">
        <v>16</v>
      </c>
      <c r="J138">
        <v>6</v>
      </c>
      <c r="K138" s="219" t="s">
        <v>714</v>
      </c>
      <c r="L138">
        <v>330</v>
      </c>
      <c r="M138">
        <v>706</v>
      </c>
      <c r="N138">
        <v>152</v>
      </c>
      <c r="O138"/>
      <c r="P138"/>
      <c r="Q138"/>
      <c r="R138"/>
      <c r="S138"/>
    </row>
    <row r="139" spans="1:19">
      <c r="A139" s="138" t="str">
        <f t="shared" si="12"/>
        <v>6-16</v>
      </c>
      <c r="B139" s="138" t="str">
        <f t="shared" si="10"/>
        <v>6-16</v>
      </c>
      <c r="C139">
        <v>99</v>
      </c>
      <c r="D139" s="220">
        <f t="shared" si="13"/>
        <v>60.16</v>
      </c>
      <c r="E139" s="220" t="str">
        <f t="shared" si="14"/>
        <v>F-2   6.00 - 16</v>
      </c>
      <c r="F139" s="141">
        <v>572</v>
      </c>
      <c r="G139" s="220">
        <v>6</v>
      </c>
      <c r="H139" s="139" t="s">
        <v>363</v>
      </c>
      <c r="I139" s="141">
        <v>16</v>
      </c>
      <c r="J139" s="141">
        <v>6</v>
      </c>
      <c r="K139" s="219" t="s">
        <v>714</v>
      </c>
      <c r="L139" s="141">
        <v>351</v>
      </c>
      <c r="M139" s="141">
        <v>737</v>
      </c>
      <c r="N139" s="141">
        <v>159</v>
      </c>
    </row>
    <row r="140" spans="1:19">
      <c r="A140" s="138" t="str">
        <f t="shared" si="12"/>
        <v>6.5-16</v>
      </c>
      <c r="B140" s="138" t="str">
        <f t="shared" si="10"/>
        <v>6.5-16</v>
      </c>
      <c r="C140">
        <v>100</v>
      </c>
      <c r="D140" s="220">
        <f t="shared" si="13"/>
        <v>65.16</v>
      </c>
      <c r="E140" s="220" t="str">
        <f t="shared" si="14"/>
        <v>F-2   6.50 - 16</v>
      </c>
      <c r="F140">
        <v>560</v>
      </c>
      <c r="G140" s="220">
        <v>6.5</v>
      </c>
      <c r="H140" s="139" t="s">
        <v>363</v>
      </c>
      <c r="I140">
        <v>16</v>
      </c>
      <c r="J140">
        <v>6</v>
      </c>
      <c r="K140" s="219" t="s">
        <v>714</v>
      </c>
      <c r="L140">
        <v>351</v>
      </c>
      <c r="M140">
        <v>754</v>
      </c>
      <c r="N140">
        <v>175</v>
      </c>
      <c r="O140"/>
      <c r="P140"/>
      <c r="Q140"/>
      <c r="R140"/>
      <c r="S140"/>
    </row>
    <row r="141" spans="1:19">
      <c r="A141" s="138" t="str">
        <f t="shared" si="12"/>
        <v>7.5-15</v>
      </c>
      <c r="B141" s="138" t="str">
        <f t="shared" si="10"/>
        <v>7.5-15</v>
      </c>
      <c r="C141">
        <v>101</v>
      </c>
      <c r="D141" s="220">
        <f t="shared" si="13"/>
        <v>75.150000000000006</v>
      </c>
      <c r="E141" s="220" t="str">
        <f t="shared" si="14"/>
        <v>F-2   7.50 - 15</v>
      </c>
      <c r="F141" s="141">
        <v>721</v>
      </c>
      <c r="G141" s="220">
        <v>7.5</v>
      </c>
      <c r="H141" s="420" t="s">
        <v>363</v>
      </c>
      <c r="I141" s="141">
        <v>15</v>
      </c>
      <c r="J141" s="141">
        <v>6</v>
      </c>
      <c r="K141" s="219" t="s">
        <v>714</v>
      </c>
      <c r="L141" s="141">
        <v>343</v>
      </c>
      <c r="M141" s="141">
        <v>749</v>
      </c>
      <c r="N141" s="141">
        <v>208</v>
      </c>
    </row>
    <row r="142" spans="1:19">
      <c r="A142" s="138" t="str">
        <f t="shared" si="12"/>
        <v>7.5-16</v>
      </c>
      <c r="B142" s="138" t="str">
        <f t="shared" si="10"/>
        <v>7.5-16</v>
      </c>
      <c r="C142">
        <v>102</v>
      </c>
      <c r="D142" s="220">
        <f t="shared" si="13"/>
        <v>75.16</v>
      </c>
      <c r="E142" s="220" t="str">
        <f t="shared" si="14"/>
        <v>F-2   7.50 - 16</v>
      </c>
      <c r="F142" s="141">
        <v>748</v>
      </c>
      <c r="G142" s="220">
        <v>7.5</v>
      </c>
      <c r="H142" s="139" t="s">
        <v>363</v>
      </c>
      <c r="I142" s="141">
        <v>16</v>
      </c>
      <c r="J142" s="141">
        <v>6</v>
      </c>
      <c r="K142" s="219" t="s">
        <v>714</v>
      </c>
      <c r="L142" s="141">
        <v>371</v>
      </c>
      <c r="M142" s="141">
        <v>800</v>
      </c>
      <c r="N142" s="141">
        <v>207</v>
      </c>
    </row>
    <row r="143" spans="1:19">
      <c r="A143" s="138" t="str">
        <f t="shared" si="12"/>
        <v>7.5-18</v>
      </c>
      <c r="B143" s="138" t="str">
        <f t="shared" ref="B143:B153" si="15">CONCATENATE(G143,H143,I143)</f>
        <v>7.5-18</v>
      </c>
      <c r="C143">
        <v>103</v>
      </c>
      <c r="D143" s="220">
        <f t="shared" si="13"/>
        <v>75.180000000000007</v>
      </c>
      <c r="E143" s="220" t="str">
        <f t="shared" si="14"/>
        <v>F-2   7.50 - 18</v>
      </c>
      <c r="F143" s="141">
        <v>812</v>
      </c>
      <c r="G143" s="220">
        <v>7.5</v>
      </c>
      <c r="H143" s="139" t="s">
        <v>363</v>
      </c>
      <c r="I143" s="141">
        <v>18</v>
      </c>
      <c r="J143" s="141">
        <v>6</v>
      </c>
      <c r="K143" s="219" t="s">
        <v>714</v>
      </c>
      <c r="L143" s="141">
        <v>399</v>
      </c>
      <c r="M143" s="141">
        <v>859</v>
      </c>
      <c r="N143" s="141">
        <v>201</v>
      </c>
    </row>
    <row r="144" spans="1:19">
      <c r="A144" s="138" t="str">
        <f t="shared" si="12"/>
        <v>7.5-20</v>
      </c>
      <c r="B144" s="138" t="str">
        <f t="shared" si="15"/>
        <v>7.5-20</v>
      </c>
      <c r="C144">
        <v>104</v>
      </c>
      <c r="D144" s="220">
        <f t="shared" si="13"/>
        <v>75.2</v>
      </c>
      <c r="E144" s="220" t="str">
        <f t="shared" si="14"/>
        <v>F-2   7.50 - 20</v>
      </c>
      <c r="F144" s="141">
        <v>875</v>
      </c>
      <c r="G144" s="220">
        <v>7.5</v>
      </c>
      <c r="H144" s="139" t="s">
        <v>363</v>
      </c>
      <c r="I144" s="141">
        <v>20</v>
      </c>
      <c r="J144" s="141">
        <v>6</v>
      </c>
      <c r="K144" s="219" t="s">
        <v>714</v>
      </c>
      <c r="L144" s="141">
        <v>424</v>
      </c>
      <c r="M144" s="141">
        <v>910</v>
      </c>
      <c r="N144" s="141">
        <v>201</v>
      </c>
    </row>
    <row r="145" spans="1:19">
      <c r="A145" s="138" t="str">
        <f t="shared" si="12"/>
        <v>9.5-15</v>
      </c>
      <c r="B145" s="138" t="str">
        <f t="shared" si="15"/>
        <v>9.5-15</v>
      </c>
      <c r="C145">
        <v>105</v>
      </c>
      <c r="D145" s="220">
        <f t="shared" si="13"/>
        <v>95.15</v>
      </c>
      <c r="E145" s="220" t="str">
        <f t="shared" si="14"/>
        <v>F-2   9.50 - 15</v>
      </c>
      <c r="F145" s="141">
        <v>771</v>
      </c>
      <c r="G145" s="220">
        <v>9.5</v>
      </c>
      <c r="H145" s="420" t="s">
        <v>363</v>
      </c>
      <c r="I145" s="141">
        <v>15</v>
      </c>
      <c r="J145" s="141">
        <v>6</v>
      </c>
      <c r="K145" s="219" t="s">
        <v>714</v>
      </c>
      <c r="L145" s="141">
        <v>348</v>
      </c>
      <c r="M145" s="141">
        <v>765</v>
      </c>
      <c r="N145" s="141">
        <v>249</v>
      </c>
    </row>
    <row r="146" spans="1:19">
      <c r="A146" s="138" t="str">
        <f t="shared" si="12"/>
        <v>9.5-20</v>
      </c>
      <c r="B146" s="138" t="str">
        <f t="shared" si="15"/>
        <v>9.5-20</v>
      </c>
      <c r="C146">
        <v>106</v>
      </c>
      <c r="D146" s="220">
        <f t="shared" si="13"/>
        <v>95.2</v>
      </c>
      <c r="E146" s="220" t="str">
        <f t="shared" si="14"/>
        <v>F-2   9.50 - 20</v>
      </c>
      <c r="F146" s="141">
        <v>1256</v>
      </c>
      <c r="G146" s="220">
        <v>9.5</v>
      </c>
      <c r="H146" s="139" t="s">
        <v>363</v>
      </c>
      <c r="I146" s="141">
        <v>20</v>
      </c>
      <c r="J146" s="141">
        <v>8</v>
      </c>
      <c r="K146" s="219" t="s">
        <v>714</v>
      </c>
      <c r="L146" s="141">
        <v>450</v>
      </c>
      <c r="M146" s="141">
        <v>980</v>
      </c>
      <c r="N146" s="141">
        <v>244</v>
      </c>
    </row>
    <row r="147" spans="1:19">
      <c r="A147" s="138" t="str">
        <f t="shared" si="12"/>
        <v>10-16</v>
      </c>
      <c r="B147" s="138" t="str">
        <f t="shared" si="15"/>
        <v>10-16</v>
      </c>
      <c r="C147">
        <v>107</v>
      </c>
      <c r="D147" s="220">
        <f t="shared" si="13"/>
        <v>100.16</v>
      </c>
      <c r="E147" s="220" t="str">
        <f t="shared" si="14"/>
        <v>F-2   10.00 - 16</v>
      </c>
      <c r="F147" s="141">
        <v>966</v>
      </c>
      <c r="G147" s="228">
        <v>10</v>
      </c>
      <c r="H147" s="139" t="s">
        <v>363</v>
      </c>
      <c r="I147" s="141">
        <v>16</v>
      </c>
      <c r="J147" s="141">
        <v>6</v>
      </c>
      <c r="K147" s="219" t="s">
        <v>714</v>
      </c>
      <c r="L147" s="141">
        <v>399</v>
      </c>
      <c r="M147" s="141">
        <v>884</v>
      </c>
      <c r="N147" s="141">
        <v>269</v>
      </c>
    </row>
    <row r="148" spans="1:19">
      <c r="A148" s="138" t="str">
        <f t="shared" si="12"/>
        <v>11-15</v>
      </c>
      <c r="B148" s="138" t="str">
        <f t="shared" si="15"/>
        <v>11-15</v>
      </c>
      <c r="C148">
        <v>108</v>
      </c>
      <c r="D148" s="220">
        <f t="shared" si="13"/>
        <v>110.15</v>
      </c>
      <c r="E148" s="220" t="str">
        <f t="shared" si="14"/>
        <v>F-2   11.00 - 15</v>
      </c>
      <c r="F148" s="141">
        <v>1533</v>
      </c>
      <c r="G148" s="228">
        <v>11</v>
      </c>
      <c r="H148" s="420" t="s">
        <v>363</v>
      </c>
      <c r="I148" s="141">
        <v>15</v>
      </c>
      <c r="J148" s="141">
        <v>6</v>
      </c>
      <c r="K148" s="219" t="s">
        <v>714</v>
      </c>
      <c r="L148" s="141">
        <v>353</v>
      </c>
      <c r="M148" s="141">
        <v>810</v>
      </c>
      <c r="N148" s="141">
        <v>292</v>
      </c>
    </row>
    <row r="149" spans="1:19">
      <c r="A149" s="138" t="str">
        <f t="shared" si="12"/>
        <v>11-16</v>
      </c>
      <c r="B149" s="138" t="str">
        <f t="shared" si="15"/>
        <v>11-16</v>
      </c>
      <c r="C149">
        <v>109</v>
      </c>
      <c r="D149" s="220">
        <f t="shared" si="13"/>
        <v>110.16</v>
      </c>
      <c r="E149" s="220" t="str">
        <f t="shared" si="14"/>
        <v>F-2   11.00 - 16</v>
      </c>
      <c r="F149" s="141">
        <v>1715</v>
      </c>
      <c r="G149" s="228">
        <v>11</v>
      </c>
      <c r="H149" s="139" t="s">
        <v>363</v>
      </c>
      <c r="I149" s="141">
        <v>16</v>
      </c>
      <c r="J149" s="141">
        <v>12</v>
      </c>
      <c r="K149" s="219" t="s">
        <v>714</v>
      </c>
      <c r="L149" s="141">
        <v>445</v>
      </c>
      <c r="M149" s="141">
        <v>968</v>
      </c>
      <c r="N149" s="141">
        <v>315</v>
      </c>
    </row>
    <row r="150" spans="1:19">
      <c r="A150" s="138" t="str">
        <f t="shared" si="12"/>
        <v>14-16.1</v>
      </c>
      <c r="B150" s="138" t="str">
        <f t="shared" si="15"/>
        <v>14-16.1</v>
      </c>
      <c r="C150">
        <v>110</v>
      </c>
      <c r="D150" s="220">
        <f t="shared" si="13"/>
        <v>140.161</v>
      </c>
      <c r="E150" s="220" t="str">
        <f t="shared" si="14"/>
        <v>F-2   14.00 - 16.1</v>
      </c>
      <c r="F150" s="141">
        <v>1737</v>
      </c>
      <c r="G150" s="228">
        <v>14</v>
      </c>
      <c r="H150" s="139" t="s">
        <v>363</v>
      </c>
      <c r="I150" s="141">
        <v>16.100000000000001</v>
      </c>
      <c r="J150" s="141">
        <v>10</v>
      </c>
      <c r="K150" s="219" t="s">
        <v>714</v>
      </c>
      <c r="L150" s="141">
        <v>431</v>
      </c>
      <c r="M150" s="141">
        <v>986</v>
      </c>
      <c r="N150" s="141">
        <v>351</v>
      </c>
    </row>
    <row r="151" spans="1:19">
      <c r="A151" s="138" t="str">
        <f t="shared" si="12"/>
        <v>14.5-16.1</v>
      </c>
      <c r="B151" s="138" t="str">
        <f t="shared" si="15"/>
        <v>14.5-16.1</v>
      </c>
      <c r="C151">
        <v>111</v>
      </c>
      <c r="D151" s="220">
        <f t="shared" si="13"/>
        <v>145.161</v>
      </c>
      <c r="E151" s="220" t="str">
        <f t="shared" si="14"/>
        <v>F-3   14.50 - 16.1</v>
      </c>
      <c r="F151" s="141">
        <v>1737</v>
      </c>
      <c r="G151" s="228">
        <v>14.5</v>
      </c>
      <c r="H151" s="139" t="s">
        <v>363</v>
      </c>
      <c r="I151" s="141">
        <v>16.100000000000001</v>
      </c>
      <c r="J151" s="141">
        <v>10</v>
      </c>
      <c r="K151" s="219" t="s">
        <v>715</v>
      </c>
      <c r="L151" s="141">
        <v>417</v>
      </c>
      <c r="M151" s="141">
        <v>919</v>
      </c>
      <c r="N151" s="141">
        <v>373</v>
      </c>
    </row>
    <row r="152" spans="1:19">
      <c r="A152" s="138" t="str">
        <f t="shared" si="12"/>
        <v>16.5-16.1</v>
      </c>
      <c r="B152" s="138" t="str">
        <f t="shared" si="15"/>
        <v>16.5-16.1</v>
      </c>
      <c r="C152">
        <v>112</v>
      </c>
      <c r="D152" s="220">
        <f t="shared" si="13"/>
        <v>165.161</v>
      </c>
      <c r="E152" s="220" t="str">
        <f t="shared" si="14"/>
        <v>F-2   16.50 - 16.1</v>
      </c>
      <c r="F152" s="141">
        <v>1792</v>
      </c>
      <c r="G152" s="228">
        <v>16.5</v>
      </c>
      <c r="H152" s="420" t="s">
        <v>363</v>
      </c>
      <c r="I152" s="141">
        <v>16.100000000000001</v>
      </c>
      <c r="J152" s="141">
        <v>8</v>
      </c>
      <c r="K152" s="219" t="s">
        <v>714</v>
      </c>
      <c r="L152" s="141">
        <v>474</v>
      </c>
      <c r="M152" s="141">
        <v>1072</v>
      </c>
      <c r="N152" s="141">
        <v>419</v>
      </c>
    </row>
    <row r="153" spans="1:19">
      <c r="A153" s="138" t="str">
        <f t="shared" si="12"/>
        <v>18.4-16.1</v>
      </c>
      <c r="B153" s="138" t="str">
        <f t="shared" si="15"/>
        <v>18.4-16.1</v>
      </c>
      <c r="C153">
        <v>113</v>
      </c>
      <c r="D153" s="220">
        <f t="shared" si="13"/>
        <v>184.161</v>
      </c>
      <c r="E153" s="220" t="str">
        <f t="shared" si="14"/>
        <v>R-3   18.40 - 16.1</v>
      </c>
      <c r="F153" s="141">
        <v>1275</v>
      </c>
      <c r="G153" s="228">
        <v>18.399999999999999</v>
      </c>
      <c r="H153" s="139" t="s">
        <v>363</v>
      </c>
      <c r="I153" s="141">
        <v>16.100000000000001</v>
      </c>
      <c r="J153" s="141">
        <v>6</v>
      </c>
      <c r="K153" s="219" t="s">
        <v>716</v>
      </c>
      <c r="L153" s="141">
        <v>475</v>
      </c>
      <c r="M153" s="141">
        <v>1095</v>
      </c>
      <c r="N153" s="141">
        <v>465</v>
      </c>
    </row>
    <row r="154" spans="1:19">
      <c r="A154" s="229">
        <v>114</v>
      </c>
      <c r="B154" s="229">
        <v>114</v>
      </c>
      <c r="C154" s="229">
        <v>114</v>
      </c>
      <c r="D154" s="229"/>
      <c r="E154" s="229"/>
      <c r="F154" s="229"/>
      <c r="G154" s="229"/>
      <c r="H154" s="229"/>
      <c r="I154" s="229"/>
      <c r="J154" s="229"/>
      <c r="K154" s="405"/>
      <c r="L154" s="229"/>
      <c r="M154" s="229"/>
      <c r="N154" s="229"/>
      <c r="O154" s="229"/>
      <c r="P154" s="229"/>
      <c r="Q154" s="229"/>
      <c r="R154" s="229"/>
      <c r="S154" s="229"/>
    </row>
  </sheetData>
  <printOptions gridLines="1" gridLinesSet="0"/>
  <pageMargins left="0.75" right="0.75" top="1" bottom="1" header="0.5" footer="0.5"/>
  <pageSetup orientation="landscape" horizontalDpi="300" verticalDpi="300"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127" r:id="rId4" name="Button 7">
              <controlPr defaultSize="0" print="0" autoFill="0" autoLine="0" autoPict="0" macro="[0]!Module1.pickRearTire">
                <anchor moveWithCells="1" sizeWithCells="1">
                  <from>
                    <xdr:col>11</xdr:col>
                    <xdr:colOff>38100</xdr:colOff>
                    <xdr:row>18</xdr:row>
                    <xdr:rowOff>38100</xdr:rowOff>
                  </from>
                  <to>
                    <xdr:col>13</xdr:col>
                    <xdr:colOff>371475</xdr:colOff>
                    <xdr:row>21</xdr:row>
                    <xdr:rowOff>38100</xdr:rowOff>
                  </to>
                </anchor>
              </controlPr>
            </control>
          </mc:Choice>
        </mc:AlternateContent>
        <mc:AlternateContent xmlns:mc="http://schemas.openxmlformats.org/markup-compatibility/2006">
          <mc:Choice Requires="x14">
            <control shapeId="5128" r:id="rId5" name="Button 8">
              <controlPr defaultSize="0" print="0" autoFill="0" autoLine="0" autoPict="0" macro="[0]!Module1.pickFrontTire">
                <anchor moveWithCells="1" sizeWithCells="1">
                  <from>
                    <xdr:col>11</xdr:col>
                    <xdr:colOff>66675</xdr:colOff>
                    <xdr:row>14</xdr:row>
                    <xdr:rowOff>104775</xdr:rowOff>
                  </from>
                  <to>
                    <xdr:col>13</xdr:col>
                    <xdr:colOff>390525</xdr:colOff>
                    <xdr:row>17</xdr:row>
                    <xdr:rowOff>114300</xdr:rowOff>
                  </to>
                </anchor>
              </controlPr>
            </control>
          </mc:Choice>
        </mc:AlternateContent>
        <mc:AlternateContent xmlns:mc="http://schemas.openxmlformats.org/markup-compatibility/2006">
          <mc:Choice Requires="x14">
            <control shapeId="5129" r:id="rId6" name="Button 9">
              <controlPr defaultSize="0" print="0" autoFill="0" autoLine="0" autoPict="0" macro="[0]!Module1.picksameTire">
                <anchor moveWithCells="1" sizeWithCells="1">
                  <from>
                    <xdr:col>11</xdr:col>
                    <xdr:colOff>66675</xdr:colOff>
                    <xdr:row>21</xdr:row>
                    <xdr:rowOff>104775</xdr:rowOff>
                  </from>
                  <to>
                    <xdr:col>13</xdr:col>
                    <xdr:colOff>390525</xdr:colOff>
                    <xdr:row>24</xdr:row>
                    <xdr:rowOff>104775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56"/>
  <sheetViews>
    <sheetView workbookViewId="0">
      <selection activeCell="B16" sqref="B16"/>
    </sheetView>
  </sheetViews>
  <sheetFormatPr defaultRowHeight="12.75"/>
  <cols>
    <col min="1" max="1" width="9" style="27"/>
    <col min="2" max="2" width="54.875" style="27" customWidth="1"/>
    <col min="3" max="3" width="9.125" style="27" customWidth="1"/>
    <col min="4" max="5" width="9" style="27"/>
    <col min="6" max="6" width="9.125" style="27" customWidth="1"/>
    <col min="7" max="7" width="18.875" style="27" customWidth="1"/>
    <col min="8" max="9" width="9" style="27"/>
    <col min="10" max="10" width="10.125" style="27" customWidth="1"/>
    <col min="11" max="11" width="9.875" style="27" customWidth="1"/>
    <col min="12" max="12" width="8.375" style="27" customWidth="1"/>
    <col min="13" max="20" width="9" style="27"/>
    <col min="21" max="21" width="9.625" style="27" customWidth="1"/>
    <col min="22" max="22" width="9.875" style="27" customWidth="1"/>
    <col min="23" max="16384" width="9" style="27"/>
  </cols>
  <sheetData>
    <row r="1" spans="1:24" s="49" customFormat="1" ht="16.5" thickTop="1">
      <c r="B1" s="50" t="s">
        <v>472</v>
      </c>
      <c r="C1" s="51"/>
      <c r="D1" s="51"/>
      <c r="F1" s="51"/>
      <c r="G1" s="51"/>
      <c r="H1" s="51"/>
      <c r="J1" s="51"/>
      <c r="K1" s="51"/>
      <c r="L1" s="52" t="s">
        <v>473</v>
      </c>
      <c r="M1" s="53"/>
      <c r="N1" s="53"/>
      <c r="P1" s="52" t="s">
        <v>474</v>
      </c>
      <c r="Q1" s="53"/>
      <c r="R1" s="53"/>
      <c r="T1" s="51" t="s">
        <v>475</v>
      </c>
      <c r="U1" s="51" t="s">
        <v>476</v>
      </c>
      <c r="V1" s="51" t="s">
        <v>477</v>
      </c>
    </row>
    <row r="2" spans="1:24">
      <c r="B2" s="382" t="s">
        <v>717</v>
      </c>
      <c r="C2" s="27">
        <v>3</v>
      </c>
      <c r="D2" s="27">
        <v>4</v>
      </c>
      <c r="E2" s="27">
        <v>5</v>
      </c>
      <c r="F2" s="27">
        <v>6</v>
      </c>
      <c r="G2" s="27">
        <v>7</v>
      </c>
      <c r="H2" s="27">
        <v>8</v>
      </c>
      <c r="I2" s="27">
        <v>9</v>
      </c>
      <c r="J2" s="27">
        <v>10</v>
      </c>
      <c r="K2" s="27">
        <v>11</v>
      </c>
      <c r="L2" s="27">
        <v>12</v>
      </c>
      <c r="M2" s="27">
        <v>13</v>
      </c>
      <c r="N2" s="27">
        <v>14</v>
      </c>
      <c r="O2" s="27">
        <v>15</v>
      </c>
      <c r="P2" s="27">
        <v>16</v>
      </c>
      <c r="Q2" s="27">
        <v>17</v>
      </c>
      <c r="R2" s="27">
        <v>18</v>
      </c>
      <c r="S2" s="27">
        <v>19</v>
      </c>
      <c r="T2" s="27">
        <v>20</v>
      </c>
      <c r="U2" s="27">
        <v>21</v>
      </c>
      <c r="V2" s="27">
        <v>22</v>
      </c>
    </row>
    <row r="3" spans="1:24" s="29" customFormat="1" ht="38.25">
      <c r="B3" s="448" t="s">
        <v>718</v>
      </c>
      <c r="C3" s="32" t="s">
        <v>478</v>
      </c>
      <c r="D3" s="34"/>
      <c r="E3" s="32"/>
      <c r="F3" s="32"/>
      <c r="G3" s="32" t="s">
        <v>479</v>
      </c>
      <c r="H3" s="32" t="s">
        <v>480</v>
      </c>
      <c r="I3" s="32" t="s">
        <v>481</v>
      </c>
      <c r="J3" s="54" t="s">
        <v>482</v>
      </c>
      <c r="K3" s="54"/>
      <c r="L3" s="29" t="s">
        <v>483</v>
      </c>
      <c r="N3" s="29" t="s">
        <v>484</v>
      </c>
      <c r="P3" s="32" t="s">
        <v>483</v>
      </c>
      <c r="R3" s="29" t="s">
        <v>484</v>
      </c>
      <c r="T3" s="32" t="s">
        <v>485</v>
      </c>
      <c r="U3" s="32" t="s">
        <v>486</v>
      </c>
      <c r="V3" s="32" t="s">
        <v>487</v>
      </c>
    </row>
    <row r="4" spans="1:24" s="29" customFormat="1">
      <c r="C4" s="32"/>
      <c r="D4" s="34"/>
      <c r="E4" s="32"/>
      <c r="F4" s="32"/>
      <c r="G4" s="32"/>
      <c r="H4" s="32"/>
      <c r="I4" s="32"/>
      <c r="J4" s="54"/>
      <c r="K4" s="54"/>
      <c r="P4" s="32"/>
      <c r="T4" s="32"/>
      <c r="U4" s="32"/>
      <c r="V4" s="32"/>
    </row>
    <row r="5" spans="1:24" s="55" customFormat="1" ht="13.5" thickBot="1">
      <c r="B5" s="55" t="s">
        <v>422</v>
      </c>
      <c r="C5" s="56" t="s">
        <v>423</v>
      </c>
      <c r="D5" s="57" t="s">
        <v>425</v>
      </c>
      <c r="E5" s="56" t="s">
        <v>300</v>
      </c>
      <c r="F5" s="56" t="s">
        <v>428</v>
      </c>
      <c r="G5" s="56" t="s">
        <v>430</v>
      </c>
      <c r="H5" s="56" t="s">
        <v>433</v>
      </c>
      <c r="I5" s="56"/>
      <c r="J5" s="56" t="s">
        <v>488</v>
      </c>
      <c r="K5" s="56" t="s">
        <v>489</v>
      </c>
      <c r="L5" s="55" t="s">
        <v>490</v>
      </c>
      <c r="M5" s="55" t="s">
        <v>491</v>
      </c>
      <c r="N5" s="55" t="s">
        <v>492</v>
      </c>
      <c r="O5" s="55" t="s">
        <v>493</v>
      </c>
      <c r="P5" s="56" t="s">
        <v>490</v>
      </c>
      <c r="Q5" s="55" t="s">
        <v>491</v>
      </c>
      <c r="R5" s="55" t="s">
        <v>492</v>
      </c>
      <c r="S5" s="55" t="s">
        <v>493</v>
      </c>
      <c r="T5" s="56" t="s">
        <v>494</v>
      </c>
      <c r="U5" s="56" t="s">
        <v>465</v>
      </c>
      <c r="V5" s="56" t="s">
        <v>467</v>
      </c>
      <c r="W5" s="416" t="s">
        <v>719</v>
      </c>
      <c r="X5" s="416" t="s">
        <v>147</v>
      </c>
    </row>
    <row r="6" spans="1:24" s="29" customFormat="1">
      <c r="A6"/>
      <c r="C6" s="32"/>
      <c r="D6" s="34"/>
      <c r="E6" s="32"/>
      <c r="F6" s="32"/>
      <c r="G6" s="32"/>
      <c r="H6" s="32"/>
      <c r="I6" s="32"/>
      <c r="J6" s="32"/>
      <c r="K6" s="32"/>
      <c r="P6" s="32"/>
      <c r="T6" s="32"/>
      <c r="U6" s="32"/>
      <c r="V6" s="32"/>
    </row>
    <row r="7" spans="1:24">
      <c r="A7" s="27">
        <v>1</v>
      </c>
      <c r="B7" s="488" t="str">
        <f>CONCATENATE(D7,"   ",E7,"   ",G7,"     ,     ", F7, ",   ",FIXED(C7,0)," pto hp")</f>
        <v>JD   1250   Manual Shift     ,     MFWD,   41 pto hp</v>
      </c>
      <c r="C7" s="489">
        <v>40.700000000000003</v>
      </c>
      <c r="D7" s="487" t="s">
        <v>720</v>
      </c>
      <c r="E7" s="487" t="s">
        <v>496</v>
      </c>
      <c r="F7" s="487" t="s">
        <v>497</v>
      </c>
      <c r="G7" s="490" t="s">
        <v>498</v>
      </c>
      <c r="H7" s="491">
        <v>1437</v>
      </c>
      <c r="I7" s="487" t="s">
        <v>499</v>
      </c>
      <c r="J7" s="492">
        <v>2189.5650000000001</v>
      </c>
      <c r="K7" s="492">
        <v>2901.78</v>
      </c>
      <c r="L7" s="491">
        <v>2</v>
      </c>
      <c r="M7" s="491">
        <v>9.5</v>
      </c>
      <c r="N7" s="487" t="s">
        <v>500</v>
      </c>
      <c r="O7" s="491">
        <v>24</v>
      </c>
      <c r="P7" s="491">
        <v>2</v>
      </c>
      <c r="Q7" s="491">
        <v>14.9</v>
      </c>
      <c r="R7" s="487" t="s">
        <v>500</v>
      </c>
      <c r="S7" s="491">
        <v>28</v>
      </c>
      <c r="T7" s="493">
        <v>16.929133858267718</v>
      </c>
      <c r="U7" s="493">
        <v>78.070866141732282</v>
      </c>
      <c r="V7" s="489">
        <v>0.90547219377532395</v>
      </c>
      <c r="W7" s="484"/>
      <c r="X7" s="437"/>
    </row>
    <row r="8" spans="1:24">
      <c r="A8" s="27">
        <v>2</v>
      </c>
      <c r="B8" s="488" t="s">
        <v>721</v>
      </c>
      <c r="C8" s="489">
        <v>109.17</v>
      </c>
      <c r="D8" s="487" t="s">
        <v>720</v>
      </c>
      <c r="E8" s="490"/>
      <c r="F8" s="490"/>
      <c r="G8" s="490"/>
      <c r="H8" s="491"/>
      <c r="I8" s="491">
        <v>109.17</v>
      </c>
      <c r="J8" s="492">
        <v>5375.79</v>
      </c>
      <c r="K8" s="492">
        <v>8581.86</v>
      </c>
      <c r="L8" s="491">
        <v>2</v>
      </c>
      <c r="M8" s="489">
        <v>18.399999999999999</v>
      </c>
      <c r="N8" s="487" t="s">
        <v>481</v>
      </c>
      <c r="O8" s="491">
        <v>38</v>
      </c>
      <c r="P8" s="491">
        <v>2</v>
      </c>
      <c r="Q8" s="491">
        <v>18.399999999999999</v>
      </c>
      <c r="R8" s="487" t="s">
        <v>481</v>
      </c>
      <c r="S8" s="491">
        <v>38</v>
      </c>
      <c r="T8" s="493">
        <v>16.929133858267701</v>
      </c>
      <c r="U8" s="493">
        <v>105.314960629921</v>
      </c>
      <c r="V8" s="489">
        <v>0.91880604348360095</v>
      </c>
      <c r="W8" s="437"/>
      <c r="X8" s="437"/>
    </row>
    <row r="9" spans="1:24">
      <c r="A9" s="27">
        <v>3</v>
      </c>
      <c r="B9" s="488" t="s">
        <v>721</v>
      </c>
      <c r="C9" s="489">
        <v>109.17</v>
      </c>
      <c r="D9" s="487" t="s">
        <v>720</v>
      </c>
      <c r="E9" s="487"/>
      <c r="F9" s="487"/>
      <c r="G9" s="490"/>
      <c r="H9" s="491"/>
      <c r="I9" s="487">
        <v>109.17</v>
      </c>
      <c r="J9" s="492">
        <v>5375.79</v>
      </c>
      <c r="K9" s="492">
        <v>8581.86</v>
      </c>
      <c r="L9" s="491">
        <v>2</v>
      </c>
      <c r="M9" s="491">
        <v>18.399999999999999</v>
      </c>
      <c r="N9" s="487" t="s">
        <v>481</v>
      </c>
      <c r="O9" s="491">
        <v>38</v>
      </c>
      <c r="P9" s="491">
        <v>2</v>
      </c>
      <c r="Q9" s="491">
        <v>18.399999999999999</v>
      </c>
      <c r="R9" s="487" t="s">
        <v>481</v>
      </c>
      <c r="S9" s="491">
        <v>38</v>
      </c>
      <c r="T9" s="493">
        <v>16.929133858267701</v>
      </c>
      <c r="U9" s="493">
        <v>105.314960629921</v>
      </c>
      <c r="V9" s="489">
        <v>0.91880604348360095</v>
      </c>
      <c r="W9" s="437"/>
      <c r="X9" s="437"/>
    </row>
    <row r="10" spans="1:24">
      <c r="A10" s="27">
        <v>4</v>
      </c>
      <c r="B10" s="488" t="s">
        <v>721</v>
      </c>
      <c r="C10" s="494">
        <v>109.17</v>
      </c>
      <c r="D10" s="495" t="s">
        <v>720</v>
      </c>
      <c r="E10" s="495"/>
      <c r="F10" s="495"/>
      <c r="G10" s="490"/>
      <c r="H10" s="496"/>
      <c r="I10" s="494">
        <v>109.17</v>
      </c>
      <c r="J10" s="494">
        <v>5375.79</v>
      </c>
      <c r="K10" s="494">
        <v>8581.86</v>
      </c>
      <c r="L10" s="494">
        <v>2</v>
      </c>
      <c r="M10" s="494">
        <v>18.399999999999999</v>
      </c>
      <c r="N10" s="495" t="s">
        <v>481</v>
      </c>
      <c r="O10" s="494">
        <v>38</v>
      </c>
      <c r="P10" s="494">
        <v>2</v>
      </c>
      <c r="Q10" s="494">
        <v>18.399999999999999</v>
      </c>
      <c r="R10" s="495" t="s">
        <v>481</v>
      </c>
      <c r="S10" s="494">
        <v>38</v>
      </c>
      <c r="T10" s="494">
        <v>16.929133858267701</v>
      </c>
      <c r="U10" s="494">
        <v>105.314960629921</v>
      </c>
      <c r="V10" s="494">
        <v>0.91880604348360095</v>
      </c>
      <c r="W10" s="437"/>
      <c r="X10" s="437"/>
    </row>
    <row r="11" spans="1:24">
      <c r="A11" s="27">
        <v>5</v>
      </c>
      <c r="B11" s="488" t="s">
        <v>722</v>
      </c>
      <c r="C11" s="489">
        <v>312.25</v>
      </c>
      <c r="D11" s="487" t="s">
        <v>720</v>
      </c>
      <c r="E11" s="487"/>
      <c r="F11" s="487"/>
      <c r="G11" s="490"/>
      <c r="H11" s="491"/>
      <c r="I11" s="491">
        <v>312.25</v>
      </c>
      <c r="J11" s="492">
        <v>20500</v>
      </c>
      <c r="K11" s="492">
        <v>16910</v>
      </c>
      <c r="L11" s="491">
        <v>4</v>
      </c>
      <c r="M11" s="489">
        <v>620</v>
      </c>
      <c r="N11" s="487" t="s">
        <v>614</v>
      </c>
      <c r="O11" s="491">
        <v>42</v>
      </c>
      <c r="P11" s="491">
        <v>4</v>
      </c>
      <c r="Q11" s="491">
        <v>620</v>
      </c>
      <c r="R11" s="487" t="s">
        <v>614</v>
      </c>
      <c r="S11" s="491">
        <v>42</v>
      </c>
      <c r="T11" s="493">
        <v>18</v>
      </c>
      <c r="U11" s="493">
        <v>138.9</v>
      </c>
      <c r="V11" s="489">
        <v>1.1990000000000001</v>
      </c>
      <c r="W11" s="437"/>
      <c r="X11" s="437"/>
    </row>
    <row r="12" spans="1:24">
      <c r="A12" s="27">
        <v>6</v>
      </c>
      <c r="B12" s="488" t="s">
        <v>721</v>
      </c>
      <c r="C12" s="489">
        <v>109.17</v>
      </c>
      <c r="D12" s="487" t="s">
        <v>720</v>
      </c>
      <c r="E12" s="487"/>
      <c r="F12" s="487"/>
      <c r="G12" s="490"/>
      <c r="H12" s="491"/>
      <c r="I12" s="491">
        <v>109.17</v>
      </c>
      <c r="J12" s="492">
        <v>5375.79</v>
      </c>
      <c r="K12" s="492">
        <v>8581.86</v>
      </c>
      <c r="L12" s="491">
        <v>2</v>
      </c>
      <c r="M12" s="489">
        <v>14.9</v>
      </c>
      <c r="N12" s="487" t="s">
        <v>481</v>
      </c>
      <c r="O12" s="491">
        <v>26</v>
      </c>
      <c r="P12" s="491">
        <v>2</v>
      </c>
      <c r="Q12" s="491">
        <v>18.399999999999999</v>
      </c>
      <c r="R12" s="487" t="s">
        <v>481</v>
      </c>
      <c r="S12" s="491">
        <v>38</v>
      </c>
      <c r="T12" s="493">
        <v>16.929133858267701</v>
      </c>
      <c r="U12" s="493">
        <v>105.314960629921</v>
      </c>
      <c r="V12" s="489">
        <v>0.91880604348360095</v>
      </c>
      <c r="W12" s="437"/>
      <c r="X12" s="437"/>
    </row>
    <row r="13" spans="1:24">
      <c r="A13" s="27">
        <v>7</v>
      </c>
      <c r="B13" s="488" t="s">
        <v>723</v>
      </c>
      <c r="C13" s="489">
        <v>354.45</v>
      </c>
      <c r="D13" s="487" t="s">
        <v>724</v>
      </c>
      <c r="E13" s="487"/>
      <c r="F13" s="487"/>
      <c r="G13" s="490"/>
      <c r="H13" s="491"/>
      <c r="I13" s="487">
        <v>354.45</v>
      </c>
      <c r="J13" s="492">
        <v>20460</v>
      </c>
      <c r="K13" s="492">
        <v>13360</v>
      </c>
      <c r="L13" s="491">
        <v>4</v>
      </c>
      <c r="M13" s="491">
        <v>20.8</v>
      </c>
      <c r="N13" s="487" t="s">
        <v>481</v>
      </c>
      <c r="O13" s="491">
        <v>42</v>
      </c>
      <c r="P13" s="491">
        <v>4</v>
      </c>
      <c r="Q13" s="491">
        <v>20.8</v>
      </c>
      <c r="R13" s="487" t="s">
        <v>481</v>
      </c>
      <c r="S13" s="491">
        <v>42</v>
      </c>
      <c r="T13" s="493">
        <v>21</v>
      </c>
      <c r="U13" s="493">
        <v>133.80000000000001</v>
      </c>
      <c r="V13" s="489">
        <v>0.95699999999999996</v>
      </c>
      <c r="W13" s="437"/>
      <c r="X13" s="437"/>
    </row>
    <row r="14" spans="1:24">
      <c r="A14" s="27">
        <v>8</v>
      </c>
      <c r="B14" s="488"/>
      <c r="C14" s="489"/>
      <c r="D14" s="487"/>
      <c r="E14" s="487"/>
      <c r="F14" s="487"/>
      <c r="G14" s="490"/>
      <c r="H14" s="491"/>
      <c r="I14" s="491"/>
      <c r="J14" s="492"/>
      <c r="K14" s="492"/>
      <c r="L14" s="491"/>
      <c r="M14" s="489"/>
      <c r="N14" s="487"/>
      <c r="O14" s="491"/>
      <c r="P14" s="491"/>
      <c r="Q14" s="491"/>
      <c r="R14" s="487"/>
      <c r="S14" s="491"/>
      <c r="T14" s="493"/>
      <c r="U14" s="493"/>
      <c r="V14" s="489"/>
      <c r="W14" s="437"/>
      <c r="X14" s="437"/>
    </row>
    <row r="15" spans="1:24">
      <c r="A15" s="27">
        <v>9</v>
      </c>
      <c r="B15" s="487"/>
      <c r="C15" s="494"/>
      <c r="D15" s="495"/>
      <c r="E15" s="495"/>
      <c r="F15" s="495"/>
      <c r="G15" s="490"/>
      <c r="H15" s="496"/>
      <c r="I15" s="494"/>
      <c r="J15" s="494"/>
      <c r="K15" s="494"/>
      <c r="L15" s="494"/>
      <c r="M15" s="494"/>
      <c r="N15" s="495"/>
      <c r="O15" s="494"/>
      <c r="P15" s="494"/>
      <c r="Q15" s="494"/>
      <c r="R15" s="495"/>
      <c r="S15" s="494"/>
      <c r="T15" s="494"/>
      <c r="U15" s="494"/>
      <c r="V15" s="494"/>
      <c r="W15" s="437"/>
      <c r="X15" s="437"/>
    </row>
    <row r="16" spans="1:24">
      <c r="A16" s="27">
        <v>10</v>
      </c>
      <c r="B16" s="487"/>
      <c r="C16" s="489"/>
      <c r="D16" s="487"/>
      <c r="E16" s="487"/>
      <c r="F16" s="487"/>
      <c r="G16" s="490"/>
      <c r="H16" s="491"/>
      <c r="I16" s="487"/>
      <c r="J16" s="492"/>
      <c r="K16" s="492"/>
      <c r="L16" s="491"/>
      <c r="M16" s="491"/>
      <c r="N16" s="487"/>
      <c r="O16" s="491"/>
      <c r="P16" s="491"/>
      <c r="Q16" s="491"/>
      <c r="R16" s="487"/>
      <c r="S16" s="491"/>
      <c r="T16" s="493"/>
      <c r="U16" s="493"/>
      <c r="V16" s="489"/>
      <c r="W16" s="437"/>
      <c r="X16" s="437"/>
    </row>
    <row r="17" spans="1:24">
      <c r="A17" s="27">
        <v>11</v>
      </c>
      <c r="B17" s="487"/>
      <c r="C17" s="489"/>
      <c r="D17" s="487"/>
      <c r="E17" s="487"/>
      <c r="F17" s="487"/>
      <c r="G17" s="490"/>
      <c r="H17" s="491"/>
      <c r="I17" s="491"/>
      <c r="J17" s="492"/>
      <c r="K17" s="492"/>
      <c r="L17" s="491"/>
      <c r="M17" s="489"/>
      <c r="N17" s="487"/>
      <c r="O17" s="491"/>
      <c r="P17" s="491"/>
      <c r="Q17" s="491"/>
      <c r="R17" s="487"/>
      <c r="S17" s="491"/>
      <c r="T17" s="493"/>
      <c r="U17" s="493"/>
      <c r="V17" s="489"/>
      <c r="W17" s="437"/>
      <c r="X17" s="437"/>
    </row>
    <row r="18" spans="1:24">
      <c r="A18" s="27">
        <v>12</v>
      </c>
      <c r="B18" s="487"/>
      <c r="C18" s="489"/>
      <c r="D18" s="487"/>
      <c r="E18" s="487"/>
      <c r="F18" s="487"/>
      <c r="G18" s="490"/>
      <c r="H18" s="491"/>
      <c r="I18" s="491"/>
      <c r="J18" s="492"/>
      <c r="K18" s="492"/>
      <c r="L18" s="491"/>
      <c r="M18" s="489"/>
      <c r="N18" s="487"/>
      <c r="O18" s="491"/>
      <c r="P18" s="491"/>
      <c r="Q18" s="491"/>
      <c r="R18" s="487"/>
      <c r="S18" s="491"/>
      <c r="T18" s="493"/>
      <c r="U18" s="493"/>
      <c r="V18" s="489"/>
      <c r="W18" s="437"/>
      <c r="X18" s="437"/>
    </row>
    <row r="19" spans="1:24">
      <c r="A19" s="27">
        <v>13</v>
      </c>
      <c r="B19" s="487"/>
      <c r="C19" s="489"/>
      <c r="D19" s="487"/>
      <c r="E19" s="487"/>
      <c r="F19" s="487"/>
      <c r="G19" s="490"/>
      <c r="H19" s="491"/>
      <c r="I19" s="491"/>
      <c r="J19" s="492"/>
      <c r="K19" s="492"/>
      <c r="L19" s="491"/>
      <c r="M19" s="489"/>
      <c r="N19" s="487"/>
      <c r="O19" s="491"/>
      <c r="P19" s="491"/>
      <c r="Q19" s="491"/>
      <c r="R19" s="487"/>
      <c r="S19" s="491"/>
      <c r="T19" s="493"/>
      <c r="U19" s="493"/>
      <c r="V19" s="489"/>
      <c r="W19" s="437"/>
      <c r="X19" s="437"/>
    </row>
    <row r="20" spans="1:24">
      <c r="A20" s="27">
        <v>14</v>
      </c>
      <c r="B20" s="487"/>
      <c r="C20" s="489"/>
      <c r="D20" s="487"/>
      <c r="E20" s="487"/>
      <c r="F20" s="487"/>
      <c r="G20" s="490"/>
      <c r="H20" s="491"/>
      <c r="I20" s="491"/>
      <c r="J20" s="492"/>
      <c r="K20" s="492"/>
      <c r="L20" s="491"/>
      <c r="M20" s="491"/>
      <c r="N20" s="487"/>
      <c r="O20" s="491"/>
      <c r="P20" s="491"/>
      <c r="Q20" s="491"/>
      <c r="R20" s="487"/>
      <c r="S20" s="491"/>
      <c r="T20" s="493"/>
      <c r="U20" s="493"/>
      <c r="V20" s="489"/>
      <c r="W20" s="437"/>
      <c r="X20" s="437"/>
    </row>
    <row r="21" spans="1:24">
      <c r="A21" s="27">
        <v>15</v>
      </c>
      <c r="B21" s="487"/>
      <c r="C21" s="494"/>
      <c r="D21" s="495"/>
      <c r="E21" s="495"/>
      <c r="F21" s="495"/>
      <c r="G21" s="490"/>
      <c r="H21" s="496"/>
      <c r="I21" s="494"/>
      <c r="J21" s="494"/>
      <c r="K21" s="494"/>
      <c r="L21" s="494"/>
      <c r="M21" s="494"/>
      <c r="N21" s="495"/>
      <c r="O21" s="494"/>
      <c r="P21" s="494"/>
      <c r="Q21" s="494"/>
      <c r="R21" s="495"/>
      <c r="S21" s="494"/>
      <c r="T21" s="494"/>
      <c r="U21" s="494"/>
      <c r="V21" s="494"/>
      <c r="W21" s="437"/>
      <c r="X21" s="437"/>
    </row>
    <row r="22" spans="1:24">
      <c r="A22" s="27">
        <v>16</v>
      </c>
      <c r="B22" s="487"/>
      <c r="C22" s="489"/>
      <c r="D22" s="487"/>
      <c r="E22" s="487"/>
      <c r="F22" s="487"/>
      <c r="G22" s="490"/>
      <c r="H22" s="491"/>
      <c r="I22" s="491"/>
      <c r="J22" s="492"/>
      <c r="K22" s="492"/>
      <c r="L22" s="491"/>
      <c r="M22" s="489"/>
      <c r="N22" s="487"/>
      <c r="O22" s="491"/>
      <c r="P22" s="491"/>
      <c r="Q22" s="491"/>
      <c r="R22" s="487"/>
      <c r="S22" s="491"/>
      <c r="T22" s="493"/>
      <c r="U22" s="493"/>
      <c r="V22" s="489"/>
      <c r="W22" s="437"/>
      <c r="X22" s="437"/>
    </row>
    <row r="23" spans="1:24">
      <c r="A23" s="27">
        <v>17</v>
      </c>
      <c r="B23" s="487"/>
      <c r="C23" s="489"/>
      <c r="D23" s="487"/>
      <c r="E23" s="487"/>
      <c r="F23" s="487"/>
      <c r="G23" s="490"/>
      <c r="H23" s="491"/>
      <c r="I23" s="491"/>
      <c r="J23" s="492"/>
      <c r="K23" s="492"/>
      <c r="L23" s="491"/>
      <c r="M23" s="491"/>
      <c r="N23" s="487"/>
      <c r="O23" s="491"/>
      <c r="P23" s="491"/>
      <c r="Q23" s="491"/>
      <c r="R23" s="487"/>
      <c r="S23" s="491"/>
      <c r="T23" s="493"/>
      <c r="U23" s="493"/>
      <c r="V23" s="489"/>
      <c r="W23" s="437"/>
      <c r="X23" s="437"/>
    </row>
    <row r="24" spans="1:24">
      <c r="A24" s="27">
        <v>18</v>
      </c>
      <c r="B24" s="487"/>
      <c r="C24" s="489"/>
      <c r="D24" s="487"/>
      <c r="E24" s="487"/>
      <c r="F24" s="487"/>
      <c r="G24" s="490"/>
      <c r="H24" s="491"/>
      <c r="I24" s="491"/>
      <c r="J24" s="492"/>
      <c r="K24" s="492"/>
      <c r="L24" s="491"/>
      <c r="M24" s="489"/>
      <c r="N24" s="487"/>
      <c r="O24" s="491"/>
      <c r="P24" s="491"/>
      <c r="Q24" s="491"/>
      <c r="R24" s="487"/>
      <c r="S24" s="491"/>
      <c r="T24" s="493"/>
      <c r="U24" s="493"/>
      <c r="V24" s="489"/>
      <c r="W24" s="437"/>
      <c r="X24" s="437"/>
    </row>
    <row r="25" spans="1:24">
      <c r="A25" s="27">
        <v>19</v>
      </c>
      <c r="B25" s="487"/>
      <c r="C25" s="489"/>
      <c r="D25" s="487"/>
      <c r="E25" s="487"/>
      <c r="F25" s="487"/>
      <c r="G25" s="490"/>
      <c r="H25" s="491"/>
      <c r="I25" s="491"/>
      <c r="J25" s="492"/>
      <c r="K25" s="492"/>
      <c r="L25" s="491"/>
      <c r="M25" s="489"/>
      <c r="N25" s="487"/>
      <c r="O25" s="491"/>
      <c r="P25" s="491"/>
      <c r="Q25" s="491"/>
      <c r="R25" s="487"/>
      <c r="S25" s="491"/>
      <c r="T25" s="493"/>
      <c r="U25" s="493"/>
      <c r="V25" s="489"/>
      <c r="W25" s="437"/>
      <c r="X25" s="437"/>
    </row>
    <row r="26" spans="1:24">
      <c r="A26" s="27">
        <v>20</v>
      </c>
      <c r="B26" s="487"/>
      <c r="C26" s="497"/>
      <c r="D26" s="495"/>
      <c r="E26" s="495"/>
      <c r="F26" s="495"/>
      <c r="G26" s="490"/>
      <c r="H26" s="494"/>
      <c r="I26" s="495"/>
      <c r="J26" s="494"/>
      <c r="K26" s="494"/>
      <c r="L26" s="494"/>
      <c r="M26" s="497"/>
      <c r="N26" s="495"/>
      <c r="O26" s="494"/>
      <c r="P26" s="494"/>
      <c r="Q26" s="494"/>
      <c r="R26" s="495"/>
      <c r="S26" s="494"/>
      <c r="T26" s="498"/>
      <c r="U26" s="494"/>
      <c r="V26" s="499"/>
      <c r="W26" s="437"/>
      <c r="X26" s="437"/>
    </row>
    <row r="27" spans="1:24">
      <c r="A27" s="27">
        <v>21</v>
      </c>
      <c r="B27" s="487"/>
      <c r="C27" s="494"/>
      <c r="D27" s="495"/>
      <c r="E27" s="495"/>
      <c r="F27" s="495"/>
      <c r="G27" s="490"/>
      <c r="H27" s="494"/>
      <c r="I27" s="494"/>
      <c r="J27" s="494"/>
      <c r="K27" s="494"/>
      <c r="L27" s="494"/>
      <c r="M27" s="494"/>
      <c r="N27" s="495"/>
      <c r="O27" s="494"/>
      <c r="P27" s="494"/>
      <c r="Q27" s="494"/>
      <c r="R27" s="495"/>
      <c r="S27" s="494"/>
      <c r="T27" s="494"/>
      <c r="U27" s="494"/>
      <c r="V27" s="494"/>
      <c r="W27" s="437"/>
      <c r="X27" s="437"/>
    </row>
    <row r="28" spans="1:24">
      <c r="A28" s="27">
        <v>22</v>
      </c>
      <c r="B28" s="487"/>
      <c r="C28" s="489"/>
      <c r="D28" s="487"/>
      <c r="E28" s="487"/>
      <c r="F28" s="487"/>
      <c r="G28" s="490"/>
      <c r="H28" s="491"/>
      <c r="I28" s="491"/>
      <c r="J28" s="492"/>
      <c r="K28" s="492"/>
      <c r="L28" s="491"/>
      <c r="M28" s="489"/>
      <c r="N28" s="487"/>
      <c r="O28" s="491"/>
      <c r="P28" s="491"/>
      <c r="Q28" s="491"/>
      <c r="R28" s="487"/>
      <c r="S28" s="491"/>
      <c r="T28" s="493"/>
      <c r="U28" s="493"/>
      <c r="V28" s="489"/>
      <c r="W28" s="437"/>
      <c r="X28" s="437"/>
    </row>
    <row r="29" spans="1:24">
      <c r="A29" s="27">
        <v>23</v>
      </c>
      <c r="B29" s="487"/>
      <c r="C29" s="497"/>
      <c r="D29" s="495"/>
      <c r="E29" s="495"/>
      <c r="F29" s="495"/>
      <c r="G29" s="490"/>
      <c r="H29" s="494"/>
      <c r="I29" s="495"/>
      <c r="J29" s="494"/>
      <c r="K29" s="494"/>
      <c r="L29" s="494"/>
      <c r="M29" s="494"/>
      <c r="N29" s="495"/>
      <c r="O29" s="494"/>
      <c r="P29" s="494"/>
      <c r="Q29" s="494"/>
      <c r="R29" s="495"/>
      <c r="S29" s="494"/>
      <c r="T29" s="498"/>
      <c r="U29" s="494"/>
      <c r="V29" s="499"/>
      <c r="W29" s="437"/>
      <c r="X29" s="437"/>
    </row>
    <row r="30" spans="1:24">
      <c r="A30" s="27">
        <v>24</v>
      </c>
      <c r="B30" s="487"/>
      <c r="C30" s="489"/>
      <c r="D30" s="487"/>
      <c r="E30" s="487"/>
      <c r="F30" s="487"/>
      <c r="G30" s="490"/>
      <c r="H30" s="491"/>
      <c r="I30" s="491"/>
      <c r="J30" s="492"/>
      <c r="K30" s="492"/>
      <c r="L30" s="491"/>
      <c r="M30" s="489"/>
      <c r="N30" s="487"/>
      <c r="O30" s="491"/>
      <c r="P30" s="491"/>
      <c r="Q30" s="491"/>
      <c r="R30" s="487"/>
      <c r="S30" s="491"/>
      <c r="T30" s="493"/>
      <c r="U30" s="493"/>
      <c r="V30" s="489"/>
      <c r="W30" s="437"/>
      <c r="X30" s="437"/>
    </row>
    <row r="31" spans="1:24">
      <c r="A31" s="27">
        <v>25</v>
      </c>
      <c r="B31" s="487"/>
      <c r="C31" s="489"/>
      <c r="D31" s="487"/>
      <c r="E31" s="487"/>
      <c r="F31" s="487"/>
      <c r="G31" s="490"/>
      <c r="H31" s="491"/>
      <c r="I31" s="487"/>
      <c r="J31" s="492"/>
      <c r="K31" s="492"/>
      <c r="L31" s="491"/>
      <c r="M31" s="491"/>
      <c r="N31" s="487"/>
      <c r="O31" s="491"/>
      <c r="P31" s="491"/>
      <c r="Q31" s="491"/>
      <c r="R31" s="487"/>
      <c r="S31" s="491"/>
      <c r="T31" s="493"/>
      <c r="U31" s="493"/>
      <c r="V31" s="489"/>
      <c r="W31" s="437"/>
      <c r="X31" s="437"/>
    </row>
    <row r="32" spans="1:24">
      <c r="A32" s="27">
        <v>26</v>
      </c>
      <c r="B32" s="487"/>
      <c r="C32" s="497"/>
      <c r="D32" s="495"/>
      <c r="E32" s="495"/>
      <c r="F32" s="495"/>
      <c r="G32" s="490"/>
      <c r="H32" s="494"/>
      <c r="I32" s="495"/>
      <c r="J32" s="494"/>
      <c r="K32" s="494"/>
      <c r="L32" s="494"/>
      <c r="M32" s="494"/>
      <c r="N32" s="495"/>
      <c r="O32" s="494"/>
      <c r="P32" s="494"/>
      <c r="Q32" s="494"/>
      <c r="R32" s="495"/>
      <c r="S32" s="494"/>
      <c r="T32" s="498"/>
      <c r="U32" s="494"/>
      <c r="V32" s="499"/>
      <c r="W32" s="437"/>
      <c r="X32" s="437"/>
    </row>
    <row r="33" spans="1:24">
      <c r="A33" s="27">
        <v>27</v>
      </c>
      <c r="B33" s="487"/>
      <c r="C33" s="489"/>
      <c r="D33" s="487"/>
      <c r="E33" s="487"/>
      <c r="F33" s="487"/>
      <c r="G33" s="490"/>
      <c r="H33" s="491"/>
      <c r="I33" s="491"/>
      <c r="J33" s="492"/>
      <c r="K33" s="492"/>
      <c r="L33" s="491"/>
      <c r="M33" s="489"/>
      <c r="N33" s="487"/>
      <c r="O33" s="491"/>
      <c r="P33" s="491"/>
      <c r="Q33" s="491"/>
      <c r="R33" s="487"/>
      <c r="S33" s="491"/>
      <c r="T33" s="493"/>
      <c r="U33" s="493"/>
      <c r="V33" s="489"/>
      <c r="W33" s="437"/>
      <c r="X33" s="437"/>
    </row>
    <row r="34" spans="1:24">
      <c r="A34" s="27">
        <v>28</v>
      </c>
      <c r="B34" s="487"/>
      <c r="C34" s="489"/>
      <c r="D34" s="487"/>
      <c r="E34" s="487"/>
      <c r="F34" s="487"/>
      <c r="G34" s="490"/>
      <c r="H34" s="491"/>
      <c r="I34" s="491"/>
      <c r="J34" s="492"/>
      <c r="K34" s="492"/>
      <c r="L34" s="491"/>
      <c r="M34" s="491"/>
      <c r="N34" s="487"/>
      <c r="O34" s="491"/>
      <c r="P34" s="491"/>
      <c r="Q34" s="491"/>
      <c r="R34" s="487"/>
      <c r="S34" s="491"/>
      <c r="T34" s="493"/>
      <c r="U34" s="493"/>
      <c r="V34" s="489"/>
      <c r="W34" s="437"/>
      <c r="X34" s="437"/>
    </row>
    <row r="35" spans="1:24">
      <c r="A35" s="27">
        <v>29</v>
      </c>
      <c r="B35" s="487"/>
      <c r="C35" s="497"/>
      <c r="D35" s="495"/>
      <c r="E35" s="495"/>
      <c r="F35" s="495"/>
      <c r="G35" s="495"/>
      <c r="H35" s="494"/>
      <c r="I35" s="495"/>
      <c r="J35" s="494"/>
      <c r="K35" s="494"/>
      <c r="L35" s="494"/>
      <c r="M35" s="494"/>
      <c r="N35" s="495"/>
      <c r="O35" s="494"/>
      <c r="P35" s="494"/>
      <c r="Q35" s="494"/>
      <c r="R35" s="495"/>
      <c r="S35" s="494"/>
      <c r="T35" s="498"/>
      <c r="U35" s="494"/>
      <c r="V35" s="499"/>
      <c r="W35" s="437"/>
      <c r="X35" s="437"/>
    </row>
    <row r="36" spans="1:24">
      <c r="A36" s="27">
        <v>30</v>
      </c>
      <c r="B36" s="487"/>
      <c r="C36" s="489"/>
      <c r="D36" s="487"/>
      <c r="E36" s="487"/>
      <c r="F36" s="487"/>
      <c r="G36" s="490"/>
      <c r="H36" s="491"/>
      <c r="I36" s="491"/>
      <c r="J36" s="492"/>
      <c r="K36" s="492"/>
      <c r="L36" s="491"/>
      <c r="M36" s="489"/>
      <c r="N36" s="487"/>
      <c r="O36" s="491"/>
      <c r="P36" s="491"/>
      <c r="Q36" s="491"/>
      <c r="R36" s="487"/>
      <c r="S36" s="491"/>
      <c r="T36" s="493"/>
      <c r="U36" s="493"/>
      <c r="V36" s="489"/>
      <c r="W36" s="437"/>
      <c r="X36" s="437"/>
    </row>
    <row r="37" spans="1:24">
      <c r="A37" s="27">
        <v>31</v>
      </c>
      <c r="B37" s="487"/>
      <c r="C37" s="489"/>
      <c r="D37" s="487"/>
      <c r="E37" s="487"/>
      <c r="F37" s="487"/>
      <c r="G37" s="487"/>
      <c r="H37" s="491"/>
      <c r="I37" s="491"/>
      <c r="J37" s="492"/>
      <c r="K37" s="492"/>
      <c r="L37" s="491"/>
      <c r="M37" s="489"/>
      <c r="N37" s="487"/>
      <c r="O37" s="491"/>
      <c r="P37" s="491"/>
      <c r="Q37" s="491"/>
      <c r="R37" s="487"/>
      <c r="S37" s="491"/>
      <c r="T37" s="493"/>
      <c r="U37" s="493"/>
      <c r="V37" s="489"/>
      <c r="W37" s="437"/>
      <c r="X37" s="437"/>
    </row>
    <row r="38" spans="1:24">
      <c r="A38" s="27">
        <v>32</v>
      </c>
      <c r="B38" s="487"/>
      <c r="C38" s="489"/>
      <c r="D38" s="487"/>
      <c r="E38" s="487"/>
      <c r="F38" s="487"/>
      <c r="G38" s="490"/>
      <c r="H38" s="491"/>
      <c r="I38" s="491"/>
      <c r="J38" s="492"/>
      <c r="K38" s="492"/>
      <c r="L38" s="491"/>
      <c r="M38" s="491"/>
      <c r="N38" s="487"/>
      <c r="O38" s="491"/>
      <c r="P38" s="491"/>
      <c r="Q38" s="491"/>
      <c r="R38" s="487"/>
      <c r="S38" s="491"/>
      <c r="T38" s="493"/>
      <c r="U38" s="493"/>
      <c r="V38" s="489"/>
      <c r="W38" s="437"/>
      <c r="X38" s="437"/>
    </row>
    <row r="39" spans="1:24">
      <c r="A39" s="27">
        <v>33</v>
      </c>
      <c r="B39" s="487"/>
      <c r="C39" s="489"/>
      <c r="D39" s="487"/>
      <c r="E39" s="487"/>
      <c r="F39" s="487"/>
      <c r="G39" s="487"/>
      <c r="H39" s="491"/>
      <c r="I39" s="491"/>
      <c r="J39" s="492"/>
      <c r="K39" s="492"/>
      <c r="L39" s="491"/>
      <c r="M39" s="489"/>
      <c r="N39" s="487"/>
      <c r="O39" s="491"/>
      <c r="P39" s="491"/>
      <c r="Q39" s="491"/>
      <c r="R39" s="487"/>
      <c r="S39" s="491"/>
      <c r="T39" s="493"/>
      <c r="U39" s="493"/>
      <c r="V39" s="489"/>
      <c r="W39" s="437"/>
      <c r="X39" s="437"/>
    </row>
    <row r="40" spans="1:24">
      <c r="A40" s="27">
        <v>34</v>
      </c>
      <c r="B40" s="487"/>
      <c r="C40" s="489"/>
      <c r="D40" s="487"/>
      <c r="E40" s="487"/>
      <c r="F40" s="487"/>
      <c r="G40" s="490"/>
      <c r="H40" s="491"/>
      <c r="I40" s="491"/>
      <c r="J40" s="492"/>
      <c r="K40" s="492"/>
      <c r="L40" s="491"/>
      <c r="M40" s="489"/>
      <c r="N40" s="487"/>
      <c r="O40" s="491"/>
      <c r="P40" s="491"/>
      <c r="Q40" s="491"/>
      <c r="R40" s="487"/>
      <c r="S40" s="491"/>
      <c r="T40" s="493"/>
      <c r="U40" s="493"/>
      <c r="V40" s="489"/>
      <c r="W40" s="437"/>
      <c r="X40" s="437"/>
    </row>
    <row r="41" spans="1:24">
      <c r="A41" s="27">
        <v>35</v>
      </c>
      <c r="B41" s="487"/>
      <c r="C41" s="489"/>
      <c r="D41" s="487"/>
      <c r="E41" s="487"/>
      <c r="F41" s="487"/>
      <c r="G41" s="487"/>
      <c r="H41" s="491"/>
      <c r="I41" s="491"/>
      <c r="J41" s="492"/>
      <c r="K41" s="492"/>
      <c r="L41" s="491"/>
      <c r="M41" s="489"/>
      <c r="N41" s="487"/>
      <c r="O41" s="491"/>
      <c r="P41" s="491"/>
      <c r="Q41" s="491"/>
      <c r="R41" s="487"/>
      <c r="S41" s="491"/>
      <c r="T41" s="493"/>
      <c r="U41" s="493"/>
      <c r="V41" s="489"/>
      <c r="W41" s="437"/>
      <c r="X41" s="437"/>
    </row>
    <row r="42" spans="1:24">
      <c r="A42" s="27">
        <v>36</v>
      </c>
      <c r="B42" s="487"/>
      <c r="C42" s="489"/>
      <c r="D42" s="487"/>
      <c r="E42" s="487"/>
      <c r="F42" s="487"/>
      <c r="G42" s="490"/>
      <c r="H42" s="491"/>
      <c r="I42" s="491"/>
      <c r="J42" s="492"/>
      <c r="K42" s="492"/>
      <c r="L42" s="491"/>
      <c r="M42" s="489"/>
      <c r="N42" s="487"/>
      <c r="O42" s="491"/>
      <c r="P42" s="491"/>
      <c r="Q42" s="491"/>
      <c r="R42" s="487"/>
      <c r="S42" s="491"/>
      <c r="T42" s="493"/>
      <c r="U42" s="493"/>
      <c r="V42" s="489"/>
      <c r="W42" s="437"/>
      <c r="X42" s="437"/>
    </row>
    <row r="43" spans="1:24">
      <c r="A43" s="27">
        <v>37</v>
      </c>
      <c r="B43" s="487"/>
      <c r="C43" s="489"/>
      <c r="D43" s="487"/>
      <c r="E43" s="487"/>
      <c r="F43" s="487"/>
      <c r="G43" s="490"/>
      <c r="H43" s="491"/>
      <c r="I43" s="491"/>
      <c r="J43" s="492"/>
      <c r="K43" s="492"/>
      <c r="L43" s="491"/>
      <c r="M43" s="489"/>
      <c r="N43" s="487"/>
      <c r="O43" s="491"/>
      <c r="P43" s="491"/>
      <c r="Q43" s="491"/>
      <c r="R43" s="487"/>
      <c r="S43" s="491"/>
      <c r="T43" s="493"/>
      <c r="U43" s="493"/>
      <c r="V43" s="489"/>
      <c r="W43" s="437"/>
      <c r="X43" s="437"/>
    </row>
    <row r="44" spans="1:24">
      <c r="A44" s="27">
        <v>38</v>
      </c>
      <c r="B44" s="487"/>
      <c r="C44" s="489"/>
      <c r="D44" s="487"/>
      <c r="E44" s="487"/>
      <c r="F44" s="487"/>
      <c r="G44" s="487"/>
      <c r="H44" s="491"/>
      <c r="I44" s="491"/>
      <c r="J44" s="492"/>
      <c r="K44" s="492"/>
      <c r="L44" s="491"/>
      <c r="M44" s="491"/>
      <c r="N44" s="487"/>
      <c r="O44" s="491"/>
      <c r="P44" s="491"/>
      <c r="Q44" s="491"/>
      <c r="R44" s="487"/>
      <c r="S44" s="491"/>
      <c r="T44" s="493"/>
      <c r="U44" s="493"/>
      <c r="V44" s="489"/>
      <c r="W44" s="437"/>
      <c r="X44" s="437"/>
    </row>
    <row r="45" spans="1:24">
      <c r="A45" s="27">
        <v>39</v>
      </c>
      <c r="B45" s="487"/>
      <c r="C45" s="489"/>
      <c r="D45" s="487"/>
      <c r="E45" s="487"/>
      <c r="F45" s="487"/>
      <c r="G45" s="490"/>
      <c r="H45" s="491"/>
      <c r="I45" s="491"/>
      <c r="J45" s="492"/>
      <c r="K45" s="492"/>
      <c r="L45" s="491"/>
      <c r="M45" s="489"/>
      <c r="N45" s="487"/>
      <c r="O45" s="491"/>
      <c r="P45" s="491"/>
      <c r="Q45" s="491"/>
      <c r="R45" s="487"/>
      <c r="S45" s="491"/>
      <c r="T45" s="493"/>
      <c r="U45" s="493"/>
      <c r="V45" s="489"/>
      <c r="W45" s="437"/>
      <c r="X45" s="437"/>
    </row>
    <row r="46" spans="1:24">
      <c r="A46" s="27">
        <v>40</v>
      </c>
      <c r="B46" s="487"/>
      <c r="C46" s="497"/>
      <c r="D46" s="495"/>
      <c r="E46" s="495"/>
      <c r="F46" s="495"/>
      <c r="G46" s="490"/>
      <c r="H46" s="495"/>
      <c r="I46" s="494"/>
      <c r="J46" s="494"/>
      <c r="K46" s="494"/>
      <c r="L46" s="494"/>
      <c r="M46" s="494"/>
      <c r="N46" s="495"/>
      <c r="O46" s="494"/>
      <c r="P46" s="494"/>
      <c r="Q46" s="494"/>
      <c r="R46" s="495"/>
      <c r="S46" s="494"/>
      <c r="T46" s="494"/>
      <c r="U46" s="494"/>
      <c r="V46" s="499"/>
      <c r="W46" s="437"/>
      <c r="X46" s="437"/>
    </row>
    <row r="47" spans="1:24">
      <c r="A47" s="27">
        <v>41</v>
      </c>
      <c r="B47" s="487"/>
      <c r="C47" s="489"/>
      <c r="D47" s="487"/>
      <c r="E47" s="487"/>
      <c r="F47" s="487"/>
      <c r="G47" s="487"/>
      <c r="H47" s="491"/>
      <c r="I47" s="491"/>
      <c r="J47" s="492"/>
      <c r="K47" s="492"/>
      <c r="L47" s="491"/>
      <c r="M47" s="489"/>
      <c r="N47" s="487"/>
      <c r="O47" s="491"/>
      <c r="P47" s="491"/>
      <c r="Q47" s="491"/>
      <c r="R47" s="487"/>
      <c r="S47" s="491"/>
      <c r="T47" s="493"/>
      <c r="U47" s="493"/>
      <c r="V47" s="489"/>
      <c r="W47" s="437"/>
      <c r="X47" s="437"/>
    </row>
    <row r="48" spans="1:24">
      <c r="A48" s="27">
        <v>42</v>
      </c>
      <c r="B48" s="487"/>
      <c r="C48" s="494"/>
      <c r="D48" s="495"/>
      <c r="E48" s="495"/>
      <c r="F48" s="495"/>
      <c r="G48" s="487"/>
      <c r="H48" s="495"/>
      <c r="I48" s="494"/>
      <c r="J48" s="494"/>
      <c r="K48" s="494"/>
      <c r="L48" s="494"/>
      <c r="M48" s="494"/>
      <c r="N48" s="495"/>
      <c r="O48" s="494"/>
      <c r="P48" s="494"/>
      <c r="Q48" s="494"/>
      <c r="R48" s="495"/>
      <c r="S48" s="494"/>
      <c r="T48" s="494"/>
      <c r="U48" s="494"/>
      <c r="V48" s="499"/>
      <c r="W48" s="437"/>
      <c r="X48" s="437"/>
    </row>
    <row r="49" spans="1:24">
      <c r="A49" s="27">
        <v>43</v>
      </c>
      <c r="B49" s="487"/>
      <c r="C49" s="494"/>
      <c r="D49" s="495"/>
      <c r="E49" s="495"/>
      <c r="F49" s="495"/>
      <c r="G49" s="490"/>
      <c r="H49" s="494"/>
      <c r="I49" s="494"/>
      <c r="J49" s="494"/>
      <c r="K49" s="494"/>
      <c r="L49" s="494"/>
      <c r="M49" s="494"/>
      <c r="N49" s="495"/>
      <c r="O49" s="494"/>
      <c r="P49" s="494"/>
      <c r="Q49" s="494"/>
      <c r="R49" s="495"/>
      <c r="S49" s="494"/>
      <c r="T49" s="498"/>
      <c r="U49" s="494"/>
      <c r="V49" s="494"/>
      <c r="W49" s="437"/>
      <c r="X49" s="437"/>
    </row>
    <row r="50" spans="1:24">
      <c r="A50" s="27">
        <v>44</v>
      </c>
      <c r="B50" s="487"/>
      <c r="C50" s="497"/>
      <c r="D50" s="495"/>
      <c r="E50" s="495"/>
      <c r="F50" s="495"/>
      <c r="G50" s="487"/>
      <c r="H50" s="494"/>
      <c r="I50" s="494"/>
      <c r="J50" s="494"/>
      <c r="K50" s="494"/>
      <c r="L50" s="494"/>
      <c r="M50" s="494"/>
      <c r="N50" s="495"/>
      <c r="O50" s="494"/>
      <c r="P50" s="494"/>
      <c r="Q50" s="494"/>
      <c r="R50" s="495"/>
      <c r="S50" s="494"/>
      <c r="T50" s="498"/>
      <c r="U50" s="494"/>
      <c r="V50" s="494"/>
      <c r="W50" s="437"/>
      <c r="X50" s="437"/>
    </row>
    <row r="51" spans="1:24">
      <c r="A51" s="27">
        <v>45</v>
      </c>
      <c r="B51" s="487"/>
      <c r="C51" s="489"/>
      <c r="D51" s="487"/>
      <c r="E51" s="487"/>
      <c r="F51" s="487"/>
      <c r="G51" s="490"/>
      <c r="H51" s="491"/>
      <c r="I51" s="491"/>
      <c r="J51" s="492"/>
      <c r="K51" s="492"/>
      <c r="L51" s="491"/>
      <c r="M51" s="489"/>
      <c r="N51" s="487"/>
      <c r="O51" s="491"/>
      <c r="P51" s="491"/>
      <c r="Q51" s="491"/>
      <c r="R51" s="487"/>
      <c r="S51" s="491"/>
      <c r="T51" s="493"/>
      <c r="U51" s="493"/>
      <c r="V51" s="489"/>
      <c r="W51" s="437"/>
      <c r="X51" s="437"/>
    </row>
    <row r="52" spans="1:24">
      <c r="A52" s="27">
        <v>46</v>
      </c>
      <c r="B52" s="487"/>
      <c r="C52" s="489"/>
      <c r="D52" s="487"/>
      <c r="E52" s="487"/>
      <c r="F52" s="487"/>
      <c r="G52" s="487"/>
      <c r="H52" s="491"/>
      <c r="I52" s="491"/>
      <c r="J52" s="492"/>
      <c r="K52" s="492"/>
      <c r="L52" s="491"/>
      <c r="M52" s="489"/>
      <c r="N52" s="487"/>
      <c r="O52" s="491"/>
      <c r="P52" s="491"/>
      <c r="Q52" s="491"/>
      <c r="R52" s="487"/>
      <c r="S52" s="491"/>
      <c r="T52" s="493"/>
      <c r="U52" s="493"/>
      <c r="V52" s="489"/>
      <c r="W52" s="437"/>
      <c r="X52" s="437"/>
    </row>
    <row r="53" spans="1:24">
      <c r="A53" s="27">
        <v>47</v>
      </c>
      <c r="B53" s="487"/>
      <c r="C53" s="489"/>
      <c r="D53" s="487"/>
      <c r="E53" s="487"/>
      <c r="F53" s="487"/>
      <c r="G53" s="487"/>
      <c r="H53" s="491"/>
      <c r="I53" s="491"/>
      <c r="J53" s="492"/>
      <c r="K53" s="492"/>
      <c r="L53" s="491"/>
      <c r="M53" s="491"/>
      <c r="N53" s="487"/>
      <c r="O53" s="491"/>
      <c r="P53" s="491"/>
      <c r="Q53" s="491"/>
      <c r="R53" s="487"/>
      <c r="S53" s="491"/>
      <c r="T53" s="493"/>
      <c r="U53" s="493"/>
      <c r="V53" s="489"/>
      <c r="W53" s="437"/>
      <c r="X53" s="437"/>
    </row>
    <row r="54" spans="1:24">
      <c r="A54" s="27">
        <v>48</v>
      </c>
      <c r="B54" s="487"/>
      <c r="C54" s="489"/>
      <c r="D54" s="487"/>
      <c r="E54" s="487"/>
      <c r="F54" s="487"/>
      <c r="G54" s="490"/>
      <c r="H54" s="491"/>
      <c r="I54" s="491"/>
      <c r="J54" s="492"/>
      <c r="K54" s="492"/>
      <c r="L54" s="491"/>
      <c r="M54" s="489"/>
      <c r="N54" s="487"/>
      <c r="O54" s="491"/>
      <c r="P54" s="491"/>
      <c r="Q54" s="491"/>
      <c r="R54" s="487"/>
      <c r="S54" s="491"/>
      <c r="T54" s="493"/>
      <c r="U54" s="493"/>
      <c r="V54" s="489"/>
      <c r="W54" s="437"/>
      <c r="X54" s="437"/>
    </row>
    <row r="55" spans="1:24">
      <c r="A55" s="27">
        <v>49</v>
      </c>
      <c r="B55" s="487"/>
      <c r="C55" s="497"/>
      <c r="D55" s="495"/>
      <c r="E55" s="495"/>
      <c r="F55" s="495"/>
      <c r="G55" s="487"/>
      <c r="H55" s="495"/>
      <c r="I55" s="494"/>
      <c r="J55" s="494"/>
      <c r="K55" s="494"/>
      <c r="L55" s="494"/>
      <c r="M55" s="494"/>
      <c r="N55" s="495"/>
      <c r="O55" s="494"/>
      <c r="P55" s="494"/>
      <c r="Q55" s="494"/>
      <c r="R55" s="495"/>
      <c r="S55" s="494"/>
      <c r="T55" s="494"/>
      <c r="U55" s="494"/>
      <c r="V55" s="499"/>
      <c r="W55" s="437"/>
      <c r="X55" s="437"/>
    </row>
    <row r="56" spans="1:24">
      <c r="A56" s="27">
        <v>50</v>
      </c>
      <c r="B56" s="487"/>
      <c r="C56" s="489"/>
      <c r="D56" s="487"/>
      <c r="E56" s="487"/>
      <c r="F56" s="487"/>
      <c r="G56" s="487"/>
      <c r="H56" s="491"/>
      <c r="I56" s="491"/>
      <c r="J56" s="492"/>
      <c r="K56" s="492"/>
      <c r="L56" s="491"/>
      <c r="M56" s="489"/>
      <c r="N56" s="487"/>
      <c r="O56" s="491"/>
      <c r="P56" s="491"/>
      <c r="Q56" s="491"/>
      <c r="R56" s="487"/>
      <c r="S56" s="491"/>
      <c r="T56" s="493"/>
      <c r="U56" s="493"/>
      <c r="V56" s="489"/>
      <c r="W56" s="437"/>
      <c r="X56" s="437"/>
    </row>
    <row r="57" spans="1:24">
      <c r="A57" s="27">
        <v>51</v>
      </c>
      <c r="B57" s="487"/>
      <c r="C57" s="497"/>
      <c r="D57" s="495"/>
      <c r="E57" s="495"/>
      <c r="F57" s="495"/>
      <c r="G57" s="490"/>
      <c r="H57" s="494"/>
      <c r="I57" s="494"/>
      <c r="J57" s="494"/>
      <c r="K57" s="494"/>
      <c r="L57" s="494"/>
      <c r="M57" s="494"/>
      <c r="N57" s="495"/>
      <c r="O57" s="494"/>
      <c r="P57" s="494"/>
      <c r="Q57" s="494"/>
      <c r="R57" s="495"/>
      <c r="S57" s="494"/>
      <c r="T57" s="498"/>
      <c r="U57" s="494"/>
      <c r="V57" s="494"/>
      <c r="W57" s="437"/>
      <c r="X57" s="437"/>
    </row>
    <row r="58" spans="1:24">
      <c r="A58" s="27">
        <v>52</v>
      </c>
      <c r="B58" s="487"/>
      <c r="C58" s="497"/>
      <c r="D58" s="495"/>
      <c r="E58" s="495"/>
      <c r="F58" s="495"/>
      <c r="G58" s="487"/>
      <c r="H58" s="494"/>
      <c r="I58" s="494"/>
      <c r="J58" s="494"/>
      <c r="K58" s="494"/>
      <c r="L58" s="494"/>
      <c r="M58" s="494"/>
      <c r="N58" s="495"/>
      <c r="O58" s="494"/>
      <c r="P58" s="494"/>
      <c r="Q58" s="494"/>
      <c r="R58" s="495"/>
      <c r="S58" s="494"/>
      <c r="T58" s="498"/>
      <c r="U58" s="494"/>
      <c r="V58" s="494"/>
      <c r="W58" s="437"/>
      <c r="X58" s="437"/>
    </row>
    <row r="59" spans="1:24">
      <c r="A59" s="27">
        <v>53</v>
      </c>
      <c r="B59" s="487"/>
      <c r="C59" s="489"/>
      <c r="D59" s="487"/>
      <c r="E59" s="487"/>
      <c r="F59" s="487"/>
      <c r="G59" s="490"/>
      <c r="H59" s="491"/>
      <c r="I59" s="491"/>
      <c r="J59" s="492"/>
      <c r="K59" s="492"/>
      <c r="L59" s="491"/>
      <c r="M59" s="489"/>
      <c r="N59" s="487"/>
      <c r="O59" s="491"/>
      <c r="P59" s="491"/>
      <c r="Q59" s="491"/>
      <c r="R59" s="487"/>
      <c r="S59" s="491"/>
      <c r="T59" s="493"/>
      <c r="U59" s="493"/>
      <c r="V59" s="489"/>
      <c r="W59" s="437"/>
      <c r="X59" s="437"/>
    </row>
    <row r="60" spans="1:24">
      <c r="A60" s="27">
        <v>54</v>
      </c>
      <c r="B60" s="487"/>
      <c r="C60" s="489"/>
      <c r="D60" s="487"/>
      <c r="E60" s="487"/>
      <c r="F60" s="487"/>
      <c r="G60" s="487"/>
      <c r="H60" s="491"/>
      <c r="I60" s="491"/>
      <c r="J60" s="492"/>
      <c r="K60" s="492"/>
      <c r="L60" s="491"/>
      <c r="M60" s="489"/>
      <c r="N60" s="487"/>
      <c r="O60" s="491"/>
      <c r="P60" s="491"/>
      <c r="Q60" s="491"/>
      <c r="R60" s="487"/>
      <c r="S60" s="491"/>
      <c r="T60" s="493"/>
      <c r="U60" s="493"/>
      <c r="V60" s="489"/>
      <c r="W60" s="437"/>
      <c r="X60" s="437"/>
    </row>
    <row r="61" spans="1:24">
      <c r="A61" s="27">
        <v>55</v>
      </c>
      <c r="B61" s="487"/>
      <c r="C61" s="489"/>
      <c r="D61" s="487"/>
      <c r="E61" s="487"/>
      <c r="F61" s="487"/>
      <c r="G61" s="487"/>
      <c r="H61" s="491"/>
      <c r="I61" s="491"/>
      <c r="J61" s="492"/>
      <c r="K61" s="492"/>
      <c r="L61" s="491"/>
      <c r="M61" s="491"/>
      <c r="N61" s="487"/>
      <c r="O61" s="491"/>
      <c r="P61" s="491"/>
      <c r="Q61" s="491"/>
      <c r="R61" s="487"/>
      <c r="S61" s="491"/>
      <c r="T61" s="493"/>
      <c r="U61" s="493"/>
      <c r="V61" s="489"/>
      <c r="W61" s="437"/>
      <c r="X61" s="437"/>
    </row>
    <row r="62" spans="1:24">
      <c r="A62" s="27">
        <v>56</v>
      </c>
      <c r="B62" s="487"/>
      <c r="C62" s="489"/>
      <c r="D62" s="487"/>
      <c r="E62" s="487"/>
      <c r="F62" s="487"/>
      <c r="G62" s="490"/>
      <c r="H62" s="491"/>
      <c r="I62" s="491"/>
      <c r="J62" s="492"/>
      <c r="K62" s="492"/>
      <c r="L62" s="491"/>
      <c r="M62" s="489"/>
      <c r="N62" s="487"/>
      <c r="O62" s="491"/>
      <c r="P62" s="491"/>
      <c r="Q62" s="491"/>
      <c r="R62" s="487"/>
      <c r="S62" s="491"/>
      <c r="T62" s="493"/>
      <c r="U62" s="493"/>
      <c r="V62" s="489"/>
      <c r="W62" s="437"/>
      <c r="X62" s="437"/>
    </row>
    <row r="63" spans="1:24">
      <c r="A63" s="27">
        <v>57</v>
      </c>
      <c r="B63" s="487"/>
      <c r="C63" s="497"/>
      <c r="D63" s="495"/>
      <c r="E63" s="495"/>
      <c r="F63" s="495"/>
      <c r="G63" s="487"/>
      <c r="H63" s="495"/>
      <c r="I63" s="494"/>
      <c r="J63" s="494"/>
      <c r="K63" s="494"/>
      <c r="L63" s="494"/>
      <c r="M63" s="494"/>
      <c r="N63" s="495"/>
      <c r="O63" s="494"/>
      <c r="P63" s="494"/>
      <c r="Q63" s="494"/>
      <c r="R63" s="495"/>
      <c r="S63" s="494"/>
      <c r="T63" s="494"/>
      <c r="U63" s="494"/>
      <c r="V63" s="499"/>
      <c r="W63" s="437"/>
      <c r="X63" s="437"/>
    </row>
    <row r="64" spans="1:24">
      <c r="A64" s="27">
        <v>58</v>
      </c>
      <c r="B64" s="487"/>
      <c r="C64" s="497"/>
      <c r="D64" s="495"/>
      <c r="E64" s="495"/>
      <c r="F64" s="495"/>
      <c r="G64" s="490"/>
      <c r="H64" s="495"/>
      <c r="I64" s="494"/>
      <c r="J64" s="494"/>
      <c r="K64" s="494"/>
      <c r="L64" s="494"/>
      <c r="M64" s="494"/>
      <c r="N64" s="495"/>
      <c r="O64" s="494"/>
      <c r="P64" s="494"/>
      <c r="Q64" s="494"/>
      <c r="R64" s="495"/>
      <c r="S64" s="494"/>
      <c r="T64" s="494"/>
      <c r="U64" s="494"/>
      <c r="V64" s="499"/>
      <c r="W64" s="437"/>
      <c r="X64" s="437"/>
    </row>
    <row r="65" spans="1:24">
      <c r="A65" s="27">
        <v>59</v>
      </c>
      <c r="B65" s="487"/>
      <c r="C65" s="497"/>
      <c r="D65" s="495"/>
      <c r="E65" s="495"/>
      <c r="F65" s="495"/>
      <c r="G65" s="487"/>
      <c r="H65" s="494"/>
      <c r="I65" s="494"/>
      <c r="J65" s="494"/>
      <c r="K65" s="494"/>
      <c r="L65" s="494"/>
      <c r="M65" s="494"/>
      <c r="N65" s="495"/>
      <c r="O65" s="494"/>
      <c r="P65" s="494"/>
      <c r="Q65" s="494"/>
      <c r="R65" s="495"/>
      <c r="S65" s="494"/>
      <c r="T65" s="498"/>
      <c r="U65" s="494"/>
      <c r="V65" s="494"/>
      <c r="W65" s="437"/>
      <c r="X65" s="437"/>
    </row>
    <row r="66" spans="1:24">
      <c r="A66" s="27">
        <v>60</v>
      </c>
      <c r="B66" s="487"/>
      <c r="C66" s="497"/>
      <c r="D66" s="495"/>
      <c r="E66" s="495"/>
      <c r="F66" s="495"/>
      <c r="G66" s="490"/>
      <c r="H66" s="494"/>
      <c r="I66" s="494"/>
      <c r="J66" s="494"/>
      <c r="K66" s="494"/>
      <c r="L66" s="494"/>
      <c r="M66" s="494"/>
      <c r="N66" s="495"/>
      <c r="O66" s="494"/>
      <c r="P66" s="494"/>
      <c r="Q66" s="494"/>
      <c r="R66" s="495"/>
      <c r="S66" s="494"/>
      <c r="T66" s="498"/>
      <c r="U66" s="494"/>
      <c r="V66" s="494"/>
      <c r="W66" s="437"/>
      <c r="X66" s="437"/>
    </row>
    <row r="67" spans="1:24">
      <c r="A67" s="27">
        <v>61</v>
      </c>
      <c r="B67" s="487"/>
      <c r="C67" s="489"/>
      <c r="D67" s="487"/>
      <c r="E67" s="487"/>
      <c r="F67" s="487"/>
      <c r="G67" s="487"/>
      <c r="H67" s="491"/>
      <c r="I67" s="491"/>
      <c r="J67" s="492"/>
      <c r="K67" s="492"/>
      <c r="L67" s="491"/>
      <c r="M67" s="489"/>
      <c r="N67" s="487"/>
      <c r="O67" s="491"/>
      <c r="P67" s="491"/>
      <c r="Q67" s="491"/>
      <c r="R67" s="487"/>
      <c r="S67" s="491"/>
      <c r="T67" s="493"/>
      <c r="U67" s="493"/>
      <c r="V67" s="489"/>
      <c r="W67" s="437"/>
      <c r="X67" s="437"/>
    </row>
    <row r="68" spans="1:24">
      <c r="A68" s="27">
        <v>62</v>
      </c>
      <c r="B68" s="487"/>
      <c r="C68" s="489"/>
      <c r="D68" s="487"/>
      <c r="E68" s="487"/>
      <c r="F68" s="487"/>
      <c r="G68" s="490"/>
      <c r="H68" s="491"/>
      <c r="I68" s="491"/>
      <c r="J68" s="492"/>
      <c r="K68" s="492"/>
      <c r="L68" s="491"/>
      <c r="M68" s="489"/>
      <c r="N68" s="487"/>
      <c r="O68" s="491"/>
      <c r="P68" s="491"/>
      <c r="Q68" s="491"/>
      <c r="R68" s="487"/>
      <c r="S68" s="491"/>
      <c r="T68" s="493"/>
      <c r="U68" s="493"/>
      <c r="V68" s="489"/>
      <c r="W68" s="437"/>
      <c r="X68" s="437"/>
    </row>
    <row r="69" spans="1:24">
      <c r="A69" s="27">
        <v>63</v>
      </c>
      <c r="B69" s="487"/>
      <c r="C69" s="489"/>
      <c r="D69" s="487"/>
      <c r="E69" s="487"/>
      <c r="F69" s="487"/>
      <c r="G69" s="487"/>
      <c r="H69" s="491"/>
      <c r="I69" s="491"/>
      <c r="J69" s="492"/>
      <c r="K69" s="492"/>
      <c r="L69" s="491"/>
      <c r="M69" s="491"/>
      <c r="N69" s="487"/>
      <c r="O69" s="491"/>
      <c r="P69" s="491"/>
      <c r="Q69" s="491"/>
      <c r="R69" s="487"/>
      <c r="S69" s="491"/>
      <c r="T69" s="493"/>
      <c r="U69" s="493"/>
      <c r="V69" s="489"/>
      <c r="W69" s="437"/>
      <c r="X69" s="437"/>
    </row>
    <row r="70" spans="1:24">
      <c r="A70" s="27">
        <v>64</v>
      </c>
      <c r="B70" s="487"/>
      <c r="C70" s="497"/>
      <c r="D70" s="495"/>
      <c r="E70" s="495"/>
      <c r="F70" s="495"/>
      <c r="G70" s="487"/>
      <c r="H70" s="494"/>
      <c r="I70" s="494"/>
      <c r="J70" s="494"/>
      <c r="K70" s="494"/>
      <c r="L70" s="494"/>
      <c r="M70" s="494"/>
      <c r="N70" s="495"/>
      <c r="O70" s="494"/>
      <c r="P70" s="494"/>
      <c r="Q70" s="494"/>
      <c r="R70" s="495"/>
      <c r="S70" s="494"/>
      <c r="T70" s="498"/>
      <c r="U70" s="494"/>
      <c r="V70" s="499"/>
      <c r="W70" s="437"/>
      <c r="X70" s="437"/>
    </row>
    <row r="71" spans="1:24">
      <c r="A71" s="27">
        <v>65</v>
      </c>
      <c r="B71" s="487"/>
      <c r="C71" s="489"/>
      <c r="D71" s="487"/>
      <c r="E71" s="487"/>
      <c r="F71" s="487"/>
      <c r="G71" s="487"/>
      <c r="H71" s="491"/>
      <c r="I71" s="491"/>
      <c r="J71" s="492"/>
      <c r="K71" s="492"/>
      <c r="L71" s="491"/>
      <c r="M71" s="489"/>
      <c r="N71" s="487"/>
      <c r="O71" s="491"/>
      <c r="P71" s="491"/>
      <c r="Q71" s="491"/>
      <c r="R71" s="487"/>
      <c r="S71" s="491"/>
      <c r="T71" s="493"/>
      <c r="U71" s="493"/>
      <c r="V71" s="489"/>
      <c r="W71" s="437"/>
      <c r="X71" s="437"/>
    </row>
    <row r="72" spans="1:24">
      <c r="A72" s="27">
        <v>66</v>
      </c>
      <c r="B72" s="487"/>
      <c r="C72" s="489"/>
      <c r="D72" s="487"/>
      <c r="E72" s="487"/>
      <c r="F72" s="487"/>
      <c r="G72" s="490"/>
      <c r="H72" s="491"/>
      <c r="I72" s="491"/>
      <c r="J72" s="492"/>
      <c r="K72" s="492"/>
      <c r="L72" s="491"/>
      <c r="M72" s="489"/>
      <c r="N72" s="487"/>
      <c r="O72" s="491"/>
      <c r="P72" s="491"/>
      <c r="Q72" s="491"/>
      <c r="R72" s="487"/>
      <c r="S72" s="491"/>
      <c r="T72" s="493"/>
      <c r="U72" s="493"/>
      <c r="V72" s="489"/>
      <c r="W72" s="437"/>
      <c r="X72" s="437"/>
    </row>
    <row r="73" spans="1:24">
      <c r="A73" s="27">
        <v>67</v>
      </c>
      <c r="B73" s="487"/>
      <c r="C73" s="489"/>
      <c r="D73" s="487"/>
      <c r="E73" s="487"/>
      <c r="F73" s="487"/>
      <c r="G73" s="487"/>
      <c r="H73" s="491"/>
      <c r="I73" s="491"/>
      <c r="J73" s="492"/>
      <c r="K73" s="492"/>
      <c r="L73" s="491"/>
      <c r="M73" s="491"/>
      <c r="N73" s="487"/>
      <c r="O73" s="491"/>
      <c r="P73" s="491"/>
      <c r="Q73" s="491"/>
      <c r="R73" s="487"/>
      <c r="S73" s="491"/>
      <c r="T73" s="493"/>
      <c r="U73" s="493"/>
      <c r="V73" s="489"/>
      <c r="W73" s="437"/>
      <c r="X73" s="437"/>
    </row>
    <row r="74" spans="1:24">
      <c r="A74" s="27">
        <v>68</v>
      </c>
      <c r="B74" s="487"/>
      <c r="C74" s="489"/>
      <c r="D74" s="487"/>
      <c r="E74" s="487"/>
      <c r="F74" s="487"/>
      <c r="G74" s="490"/>
      <c r="H74" s="491"/>
      <c r="I74" s="491"/>
      <c r="J74" s="492"/>
      <c r="K74" s="492"/>
      <c r="L74" s="491"/>
      <c r="M74" s="489"/>
      <c r="N74" s="487"/>
      <c r="O74" s="491"/>
      <c r="P74" s="491"/>
      <c r="Q74" s="491"/>
      <c r="R74" s="487"/>
      <c r="S74" s="491"/>
      <c r="T74" s="493"/>
      <c r="U74" s="493"/>
      <c r="V74" s="489"/>
      <c r="W74" s="437"/>
      <c r="X74" s="437"/>
    </row>
    <row r="75" spans="1:24">
      <c r="A75" s="27">
        <v>69</v>
      </c>
      <c r="B75" s="487"/>
      <c r="C75" s="497"/>
      <c r="D75" s="495"/>
      <c r="E75" s="495"/>
      <c r="F75" s="495"/>
      <c r="G75" s="487"/>
      <c r="H75" s="494"/>
      <c r="I75" s="494"/>
      <c r="J75" s="494"/>
      <c r="K75" s="494"/>
      <c r="L75" s="494"/>
      <c r="M75" s="494"/>
      <c r="N75" s="495"/>
      <c r="O75" s="494"/>
      <c r="P75" s="494"/>
      <c r="Q75" s="494"/>
      <c r="R75" s="495"/>
      <c r="S75" s="494"/>
      <c r="T75" s="498"/>
      <c r="U75" s="494"/>
      <c r="V75" s="499"/>
      <c r="W75" s="437"/>
      <c r="X75" s="437"/>
    </row>
    <row r="76" spans="1:24">
      <c r="A76" s="27">
        <v>70</v>
      </c>
      <c r="B76" s="487"/>
      <c r="C76" s="489"/>
      <c r="D76" s="487"/>
      <c r="E76" s="487"/>
      <c r="F76" s="487"/>
      <c r="G76" s="490"/>
      <c r="H76" s="491"/>
      <c r="I76" s="491"/>
      <c r="J76" s="492"/>
      <c r="K76" s="492"/>
      <c r="L76" s="491"/>
      <c r="M76" s="491"/>
      <c r="N76" s="487"/>
      <c r="O76" s="491"/>
      <c r="P76" s="491"/>
      <c r="Q76" s="491"/>
      <c r="R76" s="487"/>
      <c r="S76" s="491"/>
      <c r="T76" s="493"/>
      <c r="U76" s="493"/>
      <c r="V76" s="489"/>
      <c r="W76" s="437"/>
      <c r="X76" s="437"/>
    </row>
    <row r="77" spans="1:24">
      <c r="A77" s="27">
        <v>71</v>
      </c>
      <c r="B77" s="487"/>
      <c r="C77" s="489"/>
      <c r="D77" s="487"/>
      <c r="E77" s="487"/>
      <c r="F77" s="487"/>
      <c r="G77" s="487"/>
      <c r="H77" s="491"/>
      <c r="I77" s="491"/>
      <c r="J77" s="492"/>
      <c r="K77" s="492"/>
      <c r="L77" s="491"/>
      <c r="M77" s="489"/>
      <c r="N77" s="487"/>
      <c r="O77" s="491"/>
      <c r="P77" s="491"/>
      <c r="Q77" s="491"/>
      <c r="R77" s="487"/>
      <c r="S77" s="491"/>
      <c r="T77" s="493"/>
      <c r="U77" s="493"/>
      <c r="V77" s="489"/>
      <c r="W77" s="437"/>
      <c r="X77" s="437"/>
    </row>
    <row r="78" spans="1:24">
      <c r="A78" s="27">
        <v>72</v>
      </c>
      <c r="B78" s="487"/>
      <c r="C78" s="489"/>
      <c r="D78" s="487"/>
      <c r="E78" s="487"/>
      <c r="F78" s="487"/>
      <c r="G78" s="490"/>
      <c r="H78" s="491"/>
      <c r="I78" s="491"/>
      <c r="J78" s="492"/>
      <c r="K78" s="492"/>
      <c r="L78" s="491"/>
      <c r="M78" s="491"/>
      <c r="N78" s="487"/>
      <c r="O78" s="491"/>
      <c r="P78" s="491"/>
      <c r="Q78" s="491"/>
      <c r="R78" s="487"/>
      <c r="S78" s="491"/>
      <c r="T78" s="493"/>
      <c r="U78" s="493"/>
      <c r="V78" s="489"/>
      <c r="W78" s="437"/>
      <c r="X78" s="437"/>
    </row>
    <row r="79" spans="1:24">
      <c r="A79" s="27">
        <v>73</v>
      </c>
      <c r="B79" s="487"/>
      <c r="C79" s="489"/>
      <c r="D79" s="487"/>
      <c r="E79" s="487"/>
      <c r="F79" s="487"/>
      <c r="G79" s="487"/>
      <c r="H79" s="491"/>
      <c r="I79" s="491"/>
      <c r="J79" s="492"/>
      <c r="K79" s="492"/>
      <c r="L79" s="491"/>
      <c r="M79" s="491"/>
      <c r="N79" s="487"/>
      <c r="O79" s="491"/>
      <c r="P79" s="491"/>
      <c r="Q79" s="491"/>
      <c r="R79" s="487"/>
      <c r="S79" s="491"/>
      <c r="T79" s="493"/>
      <c r="U79" s="493"/>
      <c r="V79" s="489"/>
      <c r="W79" s="437"/>
      <c r="X79" s="437"/>
    </row>
    <row r="80" spans="1:24">
      <c r="A80" s="27">
        <v>74</v>
      </c>
      <c r="B80" s="487"/>
      <c r="C80" s="497"/>
      <c r="D80" s="495"/>
      <c r="E80" s="495"/>
      <c r="F80" s="495"/>
      <c r="G80" s="487"/>
      <c r="H80" s="494"/>
      <c r="I80" s="494"/>
      <c r="J80" s="494"/>
      <c r="K80" s="494"/>
      <c r="L80" s="494"/>
      <c r="M80" s="494"/>
      <c r="N80" s="495"/>
      <c r="O80" s="494"/>
      <c r="P80" s="494"/>
      <c r="Q80" s="494"/>
      <c r="R80" s="495"/>
      <c r="S80" s="494"/>
      <c r="T80" s="498"/>
      <c r="U80" s="494"/>
      <c r="V80" s="499"/>
      <c r="W80" s="437"/>
      <c r="X80" s="437"/>
    </row>
    <row r="81" spans="1:25">
      <c r="A81" s="27">
        <v>75</v>
      </c>
      <c r="B81" s="487"/>
      <c r="C81" s="494"/>
      <c r="D81" s="495"/>
      <c r="E81" s="495"/>
      <c r="F81" s="495"/>
      <c r="G81" s="490"/>
      <c r="H81" s="494"/>
      <c r="I81" s="494"/>
      <c r="J81" s="494"/>
      <c r="K81" s="494"/>
      <c r="L81" s="494"/>
      <c r="M81" s="494"/>
      <c r="N81" s="495"/>
      <c r="O81" s="494"/>
      <c r="P81" s="494"/>
      <c r="Q81" s="494"/>
      <c r="R81" s="495"/>
      <c r="S81" s="494"/>
      <c r="T81" s="494"/>
      <c r="U81" s="494"/>
      <c r="V81" s="499"/>
      <c r="W81" s="437"/>
      <c r="X81" s="437"/>
    </row>
    <row r="82" spans="1:25">
      <c r="A82" s="27">
        <v>76</v>
      </c>
      <c r="B82" s="487"/>
      <c r="C82" s="497"/>
      <c r="D82" s="495"/>
      <c r="E82" s="495"/>
      <c r="F82" s="495"/>
      <c r="G82" s="490"/>
      <c r="H82" s="494"/>
      <c r="I82" s="494"/>
      <c r="J82" s="500"/>
      <c r="K82" s="500"/>
      <c r="L82" s="494"/>
      <c r="M82" s="494"/>
      <c r="N82" s="495"/>
      <c r="O82" s="494"/>
      <c r="P82" s="494"/>
      <c r="Q82" s="494"/>
      <c r="R82" s="495"/>
      <c r="S82" s="494"/>
      <c r="T82" s="498"/>
      <c r="U82" s="494"/>
      <c r="V82" s="499"/>
      <c r="W82" s="437"/>
      <c r="X82" s="437"/>
    </row>
    <row r="83" spans="1:25">
      <c r="A83" s="27">
        <v>77</v>
      </c>
      <c r="B83" s="487"/>
      <c r="C83" s="497"/>
      <c r="D83" s="495"/>
      <c r="E83" s="495"/>
      <c r="F83" s="495"/>
      <c r="G83" s="487"/>
      <c r="H83" s="494"/>
      <c r="I83" s="494"/>
      <c r="J83" s="494"/>
      <c r="K83" s="494"/>
      <c r="L83" s="494"/>
      <c r="M83" s="494"/>
      <c r="N83" s="495"/>
      <c r="O83" s="494"/>
      <c r="P83" s="494"/>
      <c r="Q83" s="494"/>
      <c r="R83" s="495"/>
      <c r="S83" s="494"/>
      <c r="T83" s="498"/>
      <c r="U83" s="494"/>
      <c r="V83" s="499"/>
      <c r="W83" s="437"/>
      <c r="X83" s="437"/>
    </row>
    <row r="84" spans="1:25">
      <c r="A84" s="27">
        <v>78</v>
      </c>
      <c r="B84" s="487"/>
      <c r="C84" s="489"/>
      <c r="D84" s="487"/>
      <c r="E84" s="487"/>
      <c r="F84" s="487"/>
      <c r="G84" s="490"/>
      <c r="H84" s="491"/>
      <c r="I84" s="491"/>
      <c r="J84" s="492"/>
      <c r="K84" s="492"/>
      <c r="L84" s="491"/>
      <c r="M84" s="491"/>
      <c r="N84" s="487"/>
      <c r="O84" s="491"/>
      <c r="P84" s="491"/>
      <c r="Q84" s="491"/>
      <c r="R84" s="487"/>
      <c r="S84" s="491"/>
      <c r="T84" s="493"/>
      <c r="U84" s="493"/>
      <c r="V84" s="489"/>
      <c r="W84" s="437"/>
      <c r="X84" s="437"/>
    </row>
    <row r="85" spans="1:25">
      <c r="A85" s="27">
        <v>79</v>
      </c>
      <c r="B85" s="487"/>
      <c r="C85" s="489"/>
      <c r="D85" s="487"/>
      <c r="E85" s="487"/>
      <c r="F85" s="487"/>
      <c r="G85" s="490"/>
      <c r="H85" s="491"/>
      <c r="I85" s="491"/>
      <c r="J85" s="492"/>
      <c r="K85" s="492"/>
      <c r="L85" s="491"/>
      <c r="M85" s="491"/>
      <c r="N85" s="487"/>
      <c r="O85" s="491"/>
      <c r="P85" s="491"/>
      <c r="Q85" s="491"/>
      <c r="R85" s="487"/>
      <c r="S85" s="491"/>
      <c r="T85" s="493"/>
      <c r="U85" s="493"/>
      <c r="V85" s="489"/>
      <c r="W85" s="437"/>
      <c r="X85" s="437"/>
    </row>
    <row r="86" spans="1:25">
      <c r="A86" s="27">
        <v>80</v>
      </c>
      <c r="B86" s="487"/>
      <c r="C86" s="494"/>
      <c r="D86" s="495"/>
      <c r="E86" s="495"/>
      <c r="F86" s="495"/>
      <c r="G86" s="490"/>
      <c r="H86" s="494"/>
      <c r="I86" s="494"/>
      <c r="J86" s="494"/>
      <c r="K86" s="494"/>
      <c r="L86" s="494"/>
      <c r="M86" s="494"/>
      <c r="N86" s="495"/>
      <c r="O86" s="494"/>
      <c r="P86" s="494"/>
      <c r="Q86" s="494"/>
      <c r="R86" s="495"/>
      <c r="S86" s="494"/>
      <c r="T86" s="494"/>
      <c r="U86" s="494"/>
      <c r="V86" s="499"/>
      <c r="W86" s="437"/>
      <c r="X86" s="437"/>
    </row>
    <row r="87" spans="1:25">
      <c r="A87" s="27">
        <v>81</v>
      </c>
      <c r="B87" s="487"/>
      <c r="C87" s="489"/>
      <c r="D87" s="487"/>
      <c r="E87" s="487"/>
      <c r="F87" s="487"/>
      <c r="G87" s="487"/>
      <c r="H87" s="491"/>
      <c r="I87" s="491"/>
      <c r="J87" s="492"/>
      <c r="K87" s="492"/>
      <c r="L87" s="491"/>
      <c r="M87" s="491"/>
      <c r="N87" s="487"/>
      <c r="O87" s="491"/>
      <c r="P87" s="491"/>
      <c r="Q87" s="491"/>
      <c r="R87" s="487"/>
      <c r="S87" s="491"/>
      <c r="T87" s="493"/>
      <c r="U87" s="493"/>
      <c r="V87" s="489"/>
      <c r="W87" s="437"/>
      <c r="X87" s="437"/>
    </row>
    <row r="88" spans="1:25">
      <c r="A88" s="27">
        <v>82</v>
      </c>
      <c r="B88" s="487"/>
      <c r="C88" s="494"/>
      <c r="D88" s="495"/>
      <c r="E88" s="495"/>
      <c r="F88" s="495"/>
      <c r="G88" s="490"/>
      <c r="H88" s="494"/>
      <c r="I88" s="494"/>
      <c r="J88" s="494"/>
      <c r="K88" s="494"/>
      <c r="L88" s="494"/>
      <c r="M88" s="494"/>
      <c r="N88" s="495"/>
      <c r="O88" s="494"/>
      <c r="P88" s="494"/>
      <c r="Q88" s="494"/>
      <c r="R88" s="495"/>
      <c r="S88" s="494"/>
      <c r="T88" s="498"/>
      <c r="U88" s="494"/>
      <c r="V88" s="494"/>
      <c r="W88" s="437"/>
      <c r="X88" s="437"/>
    </row>
    <row r="89" spans="1:25">
      <c r="A89" s="27">
        <v>83</v>
      </c>
      <c r="B89" s="487"/>
      <c r="C89" s="494"/>
      <c r="D89" s="495"/>
      <c r="E89" s="495"/>
      <c r="F89" s="495"/>
      <c r="G89" s="490"/>
      <c r="H89" s="494"/>
      <c r="I89" s="494"/>
      <c r="J89" s="494"/>
      <c r="K89" s="494"/>
      <c r="L89" s="494"/>
      <c r="M89" s="494"/>
      <c r="N89" s="495"/>
      <c r="O89" s="494"/>
      <c r="P89" s="494"/>
      <c r="Q89" s="494"/>
      <c r="R89" s="495"/>
      <c r="S89" s="494"/>
      <c r="T89" s="494"/>
      <c r="U89" s="494"/>
      <c r="V89" s="499"/>
      <c r="W89" s="437"/>
      <c r="X89" s="437"/>
    </row>
    <row r="90" spans="1:25">
      <c r="A90" s="27">
        <v>84</v>
      </c>
      <c r="B90" s="487"/>
      <c r="C90" s="489"/>
      <c r="D90" s="487"/>
      <c r="E90" s="487"/>
      <c r="F90" s="487"/>
      <c r="G90" s="490"/>
      <c r="H90" s="491"/>
      <c r="I90" s="491"/>
      <c r="J90" s="492"/>
      <c r="K90" s="492"/>
      <c r="L90" s="491"/>
      <c r="M90" s="491"/>
      <c r="N90" s="487"/>
      <c r="O90" s="491"/>
      <c r="P90" s="491"/>
      <c r="Q90" s="491"/>
      <c r="R90" s="487"/>
      <c r="S90" s="491"/>
      <c r="T90" s="493"/>
      <c r="U90" s="493"/>
      <c r="V90" s="489"/>
      <c r="W90" s="437"/>
      <c r="X90" s="437"/>
    </row>
    <row r="91" spans="1:25">
      <c r="A91" s="27">
        <v>85</v>
      </c>
      <c r="B91" s="487"/>
      <c r="C91" s="494"/>
      <c r="D91" s="495"/>
      <c r="E91" s="495"/>
      <c r="F91" s="495"/>
      <c r="G91" s="490"/>
      <c r="H91" s="494"/>
      <c r="I91" s="494"/>
      <c r="J91" s="494"/>
      <c r="K91" s="494"/>
      <c r="L91" s="494"/>
      <c r="M91" s="494"/>
      <c r="N91" s="495"/>
      <c r="O91" s="494"/>
      <c r="P91" s="494"/>
      <c r="Q91" s="494"/>
      <c r="R91" s="495"/>
      <c r="S91" s="494"/>
      <c r="T91" s="498"/>
      <c r="U91" s="494"/>
      <c r="V91" s="494"/>
      <c r="W91" s="437"/>
      <c r="X91" s="437"/>
    </row>
    <row r="92" spans="1:25">
      <c r="A92" s="27">
        <v>86</v>
      </c>
      <c r="B92" s="487"/>
      <c r="C92" s="494"/>
      <c r="D92" s="495"/>
      <c r="E92" s="495"/>
      <c r="F92" s="495"/>
      <c r="G92" s="490"/>
      <c r="H92" s="494"/>
      <c r="I92" s="494"/>
      <c r="J92" s="494"/>
      <c r="K92" s="494"/>
      <c r="L92" s="494"/>
      <c r="M92" s="494"/>
      <c r="N92" s="495"/>
      <c r="O92" s="494"/>
      <c r="P92" s="494"/>
      <c r="Q92" s="494"/>
      <c r="R92" s="495"/>
      <c r="S92" s="494"/>
      <c r="T92" s="498"/>
      <c r="U92" s="494"/>
      <c r="V92" s="494"/>
      <c r="W92" s="437"/>
      <c r="X92" s="437"/>
    </row>
    <row r="93" spans="1:25">
      <c r="A93" s="27">
        <v>87</v>
      </c>
      <c r="B93" s="487"/>
      <c r="C93" s="489"/>
      <c r="D93" s="487"/>
      <c r="E93" s="487"/>
      <c r="F93" s="487"/>
      <c r="G93" s="487"/>
      <c r="H93" s="491"/>
      <c r="I93" s="491"/>
      <c r="J93" s="492"/>
      <c r="K93" s="492"/>
      <c r="L93" s="491"/>
      <c r="M93" s="491"/>
      <c r="N93" s="487"/>
      <c r="O93" s="491"/>
      <c r="P93" s="491"/>
      <c r="Q93" s="491"/>
      <c r="R93" s="487"/>
      <c r="S93" s="491"/>
      <c r="T93" s="493"/>
      <c r="U93" s="493"/>
      <c r="V93" s="489"/>
      <c r="W93" s="437"/>
      <c r="X93" s="437"/>
    </row>
    <row r="94" spans="1:25">
      <c r="A94" s="27">
        <v>88</v>
      </c>
      <c r="B94" s="487"/>
      <c r="C94" s="489"/>
      <c r="D94" s="487"/>
      <c r="E94" s="487"/>
      <c r="F94" s="487"/>
      <c r="G94" s="490"/>
      <c r="H94" s="491"/>
      <c r="I94" s="491"/>
      <c r="J94" s="492"/>
      <c r="K94" s="492"/>
      <c r="L94" s="491"/>
      <c r="M94" s="491"/>
      <c r="N94" s="487"/>
      <c r="O94" s="491"/>
      <c r="P94" s="491"/>
      <c r="Q94" s="491"/>
      <c r="R94" s="487"/>
      <c r="S94" s="491"/>
      <c r="T94" s="493"/>
      <c r="U94" s="493"/>
      <c r="V94" s="489"/>
      <c r="W94" s="437"/>
      <c r="X94" s="437"/>
    </row>
    <row r="95" spans="1:25">
      <c r="A95" s="27">
        <v>89</v>
      </c>
      <c r="B95" s="487"/>
      <c r="C95" s="497"/>
      <c r="D95" s="495"/>
      <c r="E95" s="501"/>
      <c r="F95" s="495"/>
      <c r="G95" s="490"/>
      <c r="H95" s="494"/>
      <c r="I95" s="494"/>
      <c r="J95" s="494"/>
      <c r="K95" s="494"/>
      <c r="L95" s="494"/>
      <c r="M95" s="494"/>
      <c r="N95" s="495"/>
      <c r="O95" s="494"/>
      <c r="P95" s="494"/>
      <c r="Q95" s="494"/>
      <c r="R95" s="495"/>
      <c r="S95" s="494"/>
      <c r="T95" s="498"/>
      <c r="U95" s="494"/>
      <c r="V95" s="499"/>
      <c r="W95" s="447"/>
      <c r="X95" s="437"/>
    </row>
    <row r="96" spans="1:25">
      <c r="A96" s="27">
        <v>90</v>
      </c>
      <c r="B96" s="502"/>
      <c r="C96" s="502"/>
      <c r="D96" s="502"/>
      <c r="E96" s="502"/>
      <c r="F96" s="502"/>
      <c r="G96" s="502"/>
      <c r="H96" s="502"/>
      <c r="I96" s="502"/>
      <c r="J96" s="502"/>
      <c r="K96" s="502"/>
      <c r="L96" s="502"/>
      <c r="M96" s="502"/>
      <c r="N96" s="502"/>
      <c r="O96" s="502"/>
      <c r="P96" s="502"/>
      <c r="Q96" s="502"/>
      <c r="R96" s="502"/>
      <c r="S96" s="502"/>
      <c r="T96" s="502"/>
      <c r="U96" s="502"/>
      <c r="V96" s="502"/>
      <c r="W96" s="447"/>
      <c r="X96" s="447"/>
      <c r="Y96"/>
    </row>
    <row r="97" spans="1:24">
      <c r="A97" s="27">
        <v>91</v>
      </c>
      <c r="B97" s="502"/>
      <c r="C97" s="502"/>
      <c r="D97" s="502"/>
      <c r="E97" s="502"/>
      <c r="F97" s="502"/>
      <c r="G97" s="502"/>
      <c r="H97" s="502"/>
      <c r="I97" s="502"/>
      <c r="J97" s="502"/>
      <c r="K97" s="502"/>
      <c r="L97" s="502"/>
      <c r="M97" s="502"/>
      <c r="N97" s="502"/>
      <c r="O97" s="502"/>
      <c r="P97" s="502"/>
      <c r="Q97" s="502"/>
      <c r="R97" s="502"/>
      <c r="S97" s="502"/>
      <c r="T97" s="502"/>
      <c r="U97" s="502"/>
      <c r="V97" s="502"/>
      <c r="W97" s="447"/>
      <c r="X97" s="447"/>
    </row>
    <row r="98" spans="1:24">
      <c r="A98" s="27">
        <v>92</v>
      </c>
      <c r="B98" s="491"/>
      <c r="C98" s="491"/>
      <c r="D98" s="491"/>
      <c r="E98" s="491"/>
      <c r="F98" s="491"/>
      <c r="G98" s="491"/>
      <c r="H98" s="491"/>
      <c r="I98" s="491"/>
      <c r="J98" s="491"/>
      <c r="K98" s="491"/>
      <c r="L98" s="491"/>
      <c r="M98" s="491"/>
      <c r="N98" s="491"/>
      <c r="O98" s="491"/>
      <c r="P98" s="491"/>
      <c r="Q98" s="491"/>
      <c r="R98" s="491"/>
      <c r="S98" s="491"/>
      <c r="T98" s="491"/>
      <c r="U98" s="491"/>
      <c r="V98" s="491"/>
      <c r="W98" s="437"/>
      <c r="X98" s="437"/>
    </row>
    <row r="99" spans="1:24">
      <c r="A99" s="27">
        <v>93</v>
      </c>
      <c r="B99" s="491"/>
      <c r="C99" s="491"/>
      <c r="D99" s="491"/>
      <c r="E99" s="491"/>
      <c r="F99" s="491"/>
      <c r="G99" s="491"/>
      <c r="H99" s="491"/>
      <c r="I99" s="491"/>
      <c r="J99" s="491"/>
      <c r="K99" s="491"/>
      <c r="L99" s="491"/>
      <c r="M99" s="491"/>
      <c r="N99" s="491"/>
      <c r="O99" s="491"/>
      <c r="P99" s="491"/>
      <c r="Q99" s="491"/>
      <c r="R99" s="491"/>
      <c r="S99" s="491"/>
      <c r="T99" s="491"/>
      <c r="U99" s="491"/>
      <c r="V99" s="491"/>
      <c r="W99" s="437"/>
      <c r="X99" s="437"/>
    </row>
    <row r="100" spans="1:24">
      <c r="A100" s="27">
        <v>94</v>
      </c>
      <c r="B100" s="491"/>
      <c r="C100" s="491"/>
      <c r="D100" s="491"/>
      <c r="E100" s="491"/>
      <c r="F100" s="491"/>
      <c r="G100" s="491"/>
      <c r="H100" s="491"/>
      <c r="I100" s="491"/>
      <c r="J100" s="491"/>
      <c r="K100" s="491"/>
      <c r="L100" s="491"/>
      <c r="M100" s="491"/>
      <c r="N100" s="491"/>
      <c r="O100" s="491"/>
      <c r="P100" s="491"/>
      <c r="Q100" s="491"/>
      <c r="R100" s="491"/>
      <c r="S100" s="491"/>
      <c r="T100" s="491"/>
      <c r="U100" s="491"/>
      <c r="V100" s="491"/>
      <c r="W100" s="437"/>
      <c r="X100" s="437"/>
    </row>
    <row r="101" spans="1:24">
      <c r="A101" s="27">
        <v>95</v>
      </c>
      <c r="B101" s="491"/>
      <c r="C101" s="491"/>
      <c r="D101" s="491"/>
      <c r="E101" s="491"/>
      <c r="F101" s="491"/>
      <c r="G101" s="491"/>
      <c r="H101" s="491"/>
      <c r="I101" s="491"/>
      <c r="J101" s="491"/>
      <c r="K101" s="491"/>
      <c r="L101" s="491"/>
      <c r="M101" s="491"/>
      <c r="N101" s="491"/>
      <c r="O101" s="491"/>
      <c r="P101" s="491"/>
      <c r="Q101" s="491"/>
      <c r="R101" s="491"/>
      <c r="S101" s="491"/>
      <c r="T101" s="491"/>
      <c r="U101" s="491"/>
      <c r="V101" s="491"/>
      <c r="W101" s="437"/>
      <c r="X101" s="437"/>
    </row>
    <row r="102" spans="1:24">
      <c r="A102" s="27">
        <v>96</v>
      </c>
      <c r="B102" s="491"/>
      <c r="C102" s="491"/>
      <c r="D102" s="491"/>
      <c r="E102" s="491"/>
      <c r="F102" s="491"/>
      <c r="G102" s="491"/>
      <c r="H102" s="491"/>
      <c r="I102" s="491"/>
      <c r="J102" s="491"/>
      <c r="K102" s="491"/>
      <c r="L102" s="491"/>
      <c r="M102" s="491"/>
      <c r="N102" s="491"/>
      <c r="O102" s="491"/>
      <c r="P102" s="491"/>
      <c r="Q102" s="491"/>
      <c r="R102" s="491"/>
      <c r="S102" s="491"/>
      <c r="T102" s="491"/>
      <c r="U102" s="491"/>
      <c r="V102" s="491"/>
      <c r="W102" s="437"/>
      <c r="X102" s="437"/>
    </row>
    <row r="103" spans="1:24">
      <c r="A103" s="27">
        <v>97</v>
      </c>
      <c r="B103" s="491"/>
      <c r="C103" s="491"/>
      <c r="D103" s="491"/>
      <c r="E103" s="491"/>
      <c r="F103" s="491"/>
      <c r="G103" s="491"/>
      <c r="H103" s="491"/>
      <c r="I103" s="491"/>
      <c r="J103" s="491"/>
      <c r="K103" s="491"/>
      <c r="L103" s="491"/>
      <c r="M103" s="491"/>
      <c r="N103" s="491"/>
      <c r="O103" s="491"/>
      <c r="P103" s="491"/>
      <c r="Q103" s="491"/>
      <c r="R103" s="491"/>
      <c r="S103" s="491"/>
      <c r="T103" s="491"/>
      <c r="U103" s="491"/>
      <c r="V103" s="491"/>
      <c r="W103" s="437"/>
      <c r="X103" s="437"/>
    </row>
    <row r="104" spans="1:24">
      <c r="A104" s="27">
        <v>98</v>
      </c>
      <c r="B104" s="491"/>
      <c r="C104" s="491"/>
      <c r="D104" s="491"/>
      <c r="E104" s="491"/>
      <c r="F104" s="491"/>
      <c r="G104" s="491"/>
      <c r="H104" s="491"/>
      <c r="I104" s="491"/>
      <c r="J104" s="491"/>
      <c r="K104" s="491"/>
      <c r="L104" s="491"/>
      <c r="M104" s="491"/>
      <c r="N104" s="491"/>
      <c r="O104" s="491"/>
      <c r="P104" s="491"/>
      <c r="Q104" s="491"/>
      <c r="R104" s="491"/>
      <c r="S104" s="491"/>
      <c r="T104" s="491"/>
      <c r="U104" s="491"/>
      <c r="V104" s="491"/>
      <c r="W104" s="437"/>
      <c r="X104" s="437"/>
    </row>
    <row r="105" spans="1:24">
      <c r="A105" s="27">
        <v>99</v>
      </c>
      <c r="B105" s="491"/>
      <c r="C105" s="491"/>
      <c r="D105" s="491"/>
      <c r="E105" s="491"/>
      <c r="F105" s="491"/>
      <c r="G105" s="491"/>
      <c r="H105" s="491"/>
      <c r="I105" s="491"/>
      <c r="J105" s="491"/>
      <c r="K105" s="491"/>
      <c r="L105" s="491"/>
      <c r="M105" s="491"/>
      <c r="N105" s="491"/>
      <c r="O105" s="491"/>
      <c r="P105" s="491"/>
      <c r="Q105" s="491"/>
      <c r="R105" s="491"/>
      <c r="S105" s="491"/>
      <c r="T105" s="491"/>
      <c r="U105" s="491"/>
      <c r="V105" s="491"/>
      <c r="W105" s="437"/>
      <c r="X105" s="437"/>
    </row>
    <row r="106" spans="1:24">
      <c r="A106" s="27">
        <v>100</v>
      </c>
      <c r="B106" s="491"/>
      <c r="C106" s="491"/>
      <c r="D106" s="491"/>
      <c r="E106" s="491"/>
      <c r="F106" s="491"/>
      <c r="G106" s="491"/>
      <c r="H106" s="491"/>
      <c r="I106" s="491"/>
      <c r="J106" s="491"/>
      <c r="K106" s="491"/>
      <c r="L106" s="491"/>
      <c r="M106" s="491"/>
      <c r="N106" s="491"/>
      <c r="O106" s="491"/>
      <c r="P106" s="491"/>
      <c r="Q106" s="491"/>
      <c r="R106" s="491"/>
      <c r="S106" s="491"/>
      <c r="T106" s="491"/>
      <c r="U106" s="491"/>
      <c r="V106" s="491"/>
      <c r="W106" s="437"/>
      <c r="X106" s="437"/>
    </row>
    <row r="107" spans="1:24">
      <c r="A107" s="27">
        <v>101</v>
      </c>
      <c r="B107" s="491"/>
      <c r="C107" s="491"/>
      <c r="D107" s="491"/>
      <c r="E107" s="491"/>
      <c r="F107" s="491"/>
      <c r="G107" s="491"/>
      <c r="H107" s="491"/>
      <c r="I107" s="491"/>
      <c r="J107" s="491"/>
      <c r="K107" s="491"/>
      <c r="L107" s="491"/>
      <c r="M107" s="491"/>
      <c r="N107" s="491"/>
      <c r="O107" s="491"/>
      <c r="P107" s="491"/>
      <c r="Q107" s="491"/>
      <c r="R107" s="491"/>
      <c r="S107" s="491"/>
      <c r="T107" s="491"/>
      <c r="U107" s="491"/>
      <c r="V107" s="491"/>
      <c r="W107" s="437"/>
      <c r="X107" s="437"/>
    </row>
    <row r="108" spans="1:24">
      <c r="A108" s="27">
        <v>102</v>
      </c>
      <c r="B108" s="491"/>
      <c r="C108" s="491"/>
      <c r="D108" s="491"/>
      <c r="E108" s="491"/>
      <c r="F108" s="491"/>
      <c r="G108" s="491"/>
      <c r="H108" s="491"/>
      <c r="I108" s="491"/>
      <c r="J108" s="491"/>
      <c r="K108" s="491"/>
      <c r="L108" s="491"/>
      <c r="M108" s="491"/>
      <c r="N108" s="491"/>
      <c r="O108" s="491"/>
      <c r="P108" s="491"/>
      <c r="Q108" s="491"/>
      <c r="R108" s="491"/>
      <c r="S108" s="491"/>
      <c r="T108" s="491"/>
      <c r="U108" s="491"/>
      <c r="V108" s="491"/>
      <c r="W108" s="437"/>
      <c r="X108" s="437"/>
    </row>
    <row r="109" spans="1:24">
      <c r="A109" s="27">
        <v>103</v>
      </c>
      <c r="B109" s="491"/>
      <c r="C109" s="491"/>
      <c r="D109" s="491"/>
      <c r="E109" s="491"/>
      <c r="F109" s="491"/>
      <c r="G109" s="491"/>
      <c r="H109" s="491"/>
      <c r="I109" s="491"/>
      <c r="J109" s="491"/>
      <c r="K109" s="491"/>
      <c r="L109" s="491"/>
      <c r="M109" s="491"/>
      <c r="N109" s="491"/>
      <c r="O109" s="491"/>
      <c r="P109" s="491"/>
      <c r="Q109" s="491"/>
      <c r="R109" s="491"/>
      <c r="S109" s="491"/>
      <c r="T109" s="491"/>
      <c r="U109" s="491"/>
      <c r="V109" s="491"/>
      <c r="W109" s="437"/>
      <c r="X109" s="437"/>
    </row>
    <row r="110" spans="1:24">
      <c r="A110" s="27">
        <v>104</v>
      </c>
      <c r="B110" s="491"/>
      <c r="C110" s="491"/>
      <c r="D110" s="491"/>
      <c r="E110" s="491"/>
      <c r="F110" s="491"/>
      <c r="G110" s="491"/>
      <c r="H110" s="491"/>
      <c r="I110" s="491"/>
      <c r="J110" s="491"/>
      <c r="K110" s="491"/>
      <c r="L110" s="491"/>
      <c r="M110" s="491"/>
      <c r="N110" s="491"/>
      <c r="O110" s="491"/>
      <c r="P110" s="491"/>
      <c r="Q110" s="491"/>
      <c r="R110" s="491"/>
      <c r="S110" s="491"/>
      <c r="T110" s="491"/>
      <c r="U110" s="491"/>
      <c r="V110" s="491"/>
      <c r="W110" s="437"/>
      <c r="X110" s="437"/>
    </row>
    <row r="111" spans="1:24">
      <c r="A111" s="27">
        <v>105</v>
      </c>
      <c r="B111" s="491"/>
      <c r="C111" s="491"/>
      <c r="D111" s="491"/>
      <c r="E111" s="491"/>
      <c r="F111" s="491"/>
      <c r="G111" s="491"/>
      <c r="H111" s="491"/>
      <c r="I111" s="491"/>
      <c r="J111" s="491"/>
      <c r="K111" s="491"/>
      <c r="L111" s="491"/>
      <c r="M111" s="491"/>
      <c r="N111" s="491"/>
      <c r="O111" s="491"/>
      <c r="P111" s="491"/>
      <c r="Q111" s="491"/>
      <c r="R111" s="491"/>
      <c r="S111" s="491"/>
      <c r="T111" s="491"/>
      <c r="U111" s="491"/>
      <c r="V111" s="491"/>
      <c r="W111" s="437"/>
      <c r="X111" s="437"/>
    </row>
    <row r="112" spans="1:24">
      <c r="A112" s="27">
        <v>106</v>
      </c>
      <c r="B112" s="491"/>
      <c r="C112" s="491"/>
      <c r="D112" s="491"/>
      <c r="E112" s="491"/>
      <c r="F112" s="491"/>
      <c r="G112" s="491"/>
      <c r="H112" s="491"/>
      <c r="I112" s="491"/>
      <c r="J112" s="491"/>
      <c r="K112" s="491"/>
      <c r="L112" s="491"/>
      <c r="M112" s="491"/>
      <c r="N112" s="491"/>
      <c r="O112" s="491"/>
      <c r="P112" s="491"/>
      <c r="Q112" s="491"/>
      <c r="R112" s="491"/>
      <c r="S112" s="491"/>
      <c r="T112" s="491"/>
      <c r="U112" s="491"/>
      <c r="V112" s="491"/>
      <c r="W112" s="437"/>
      <c r="X112" s="437"/>
    </row>
    <row r="113" spans="1:24">
      <c r="A113" s="27">
        <v>107</v>
      </c>
      <c r="B113" s="491"/>
      <c r="C113" s="491"/>
      <c r="D113" s="491"/>
      <c r="E113" s="491"/>
      <c r="F113" s="491"/>
      <c r="G113" s="491"/>
      <c r="H113" s="491"/>
      <c r="I113" s="491"/>
      <c r="J113" s="491"/>
      <c r="K113" s="491"/>
      <c r="L113" s="491"/>
      <c r="M113" s="491"/>
      <c r="N113" s="491"/>
      <c r="O113" s="491"/>
      <c r="P113" s="491"/>
      <c r="Q113" s="491"/>
      <c r="R113" s="491"/>
      <c r="S113" s="491"/>
      <c r="T113" s="491"/>
      <c r="U113" s="491"/>
      <c r="V113" s="491"/>
      <c r="W113" s="437"/>
      <c r="X113" s="437"/>
    </row>
    <row r="114" spans="1:24">
      <c r="A114" s="27">
        <v>108</v>
      </c>
      <c r="B114" s="491"/>
      <c r="C114" s="491"/>
      <c r="D114" s="491"/>
      <c r="E114" s="491"/>
      <c r="F114" s="491"/>
      <c r="G114" s="491"/>
      <c r="H114" s="491"/>
      <c r="I114" s="491"/>
      <c r="J114" s="491"/>
      <c r="K114" s="491"/>
      <c r="L114" s="491"/>
      <c r="M114" s="491"/>
      <c r="N114" s="491"/>
      <c r="O114" s="491"/>
      <c r="P114" s="491"/>
      <c r="Q114" s="491"/>
      <c r="R114" s="491"/>
      <c r="S114" s="491"/>
      <c r="T114" s="491"/>
      <c r="U114" s="491"/>
      <c r="V114" s="491"/>
      <c r="W114" s="437"/>
      <c r="X114" s="437"/>
    </row>
    <row r="115" spans="1:24">
      <c r="A115" s="27">
        <v>109</v>
      </c>
      <c r="B115" s="491"/>
      <c r="C115" s="491"/>
      <c r="D115" s="491"/>
      <c r="E115" s="491"/>
      <c r="F115" s="491"/>
      <c r="G115" s="491"/>
      <c r="H115" s="491"/>
      <c r="I115" s="491"/>
      <c r="J115" s="491"/>
      <c r="K115" s="491"/>
      <c r="L115" s="491"/>
      <c r="M115" s="491"/>
      <c r="N115" s="491"/>
      <c r="O115" s="491"/>
      <c r="P115" s="491"/>
      <c r="Q115" s="491"/>
      <c r="R115" s="491"/>
      <c r="S115" s="491"/>
      <c r="T115" s="491"/>
      <c r="U115" s="491"/>
      <c r="V115" s="491"/>
      <c r="W115" s="437"/>
      <c r="X115" s="437"/>
    </row>
    <row r="116" spans="1:24">
      <c r="A116" s="27">
        <v>110</v>
      </c>
      <c r="B116" s="491"/>
      <c r="C116" s="491"/>
      <c r="D116" s="491"/>
      <c r="E116" s="491"/>
      <c r="F116" s="491"/>
      <c r="G116" s="491"/>
      <c r="H116" s="491"/>
      <c r="I116" s="491"/>
      <c r="J116" s="491"/>
      <c r="K116" s="491"/>
      <c r="L116" s="491"/>
      <c r="M116" s="491"/>
      <c r="N116" s="491"/>
      <c r="O116" s="491"/>
      <c r="P116" s="491"/>
      <c r="Q116" s="491"/>
      <c r="R116" s="491"/>
      <c r="S116" s="491"/>
      <c r="T116" s="491"/>
      <c r="U116" s="491"/>
      <c r="V116" s="491"/>
      <c r="W116" s="437"/>
      <c r="X116" s="437"/>
    </row>
    <row r="117" spans="1:24">
      <c r="A117" s="27">
        <v>111</v>
      </c>
      <c r="B117" s="491"/>
      <c r="C117" s="491"/>
      <c r="D117" s="491"/>
      <c r="E117" s="491"/>
      <c r="F117" s="491"/>
      <c r="G117" s="491"/>
      <c r="H117" s="491"/>
      <c r="I117" s="491"/>
      <c r="J117" s="491"/>
      <c r="K117" s="491"/>
      <c r="L117" s="491"/>
      <c r="M117" s="491"/>
      <c r="N117" s="491"/>
      <c r="O117" s="491"/>
      <c r="P117" s="491"/>
      <c r="Q117" s="491"/>
      <c r="R117" s="491"/>
      <c r="S117" s="491"/>
      <c r="T117" s="491"/>
      <c r="U117" s="491"/>
      <c r="V117" s="491"/>
      <c r="W117" s="437"/>
      <c r="X117" s="437"/>
    </row>
    <row r="118" spans="1:24">
      <c r="A118" s="27">
        <v>112</v>
      </c>
      <c r="B118" s="491"/>
      <c r="C118" s="491"/>
      <c r="D118" s="491"/>
      <c r="E118" s="491"/>
      <c r="F118" s="491"/>
      <c r="G118" s="491"/>
      <c r="H118" s="491"/>
      <c r="I118" s="491"/>
      <c r="J118" s="491"/>
      <c r="K118" s="491"/>
      <c r="L118" s="491"/>
      <c r="M118" s="491"/>
      <c r="N118" s="491"/>
      <c r="O118" s="491"/>
      <c r="P118" s="491"/>
      <c r="Q118" s="491"/>
      <c r="R118" s="491"/>
      <c r="S118" s="491"/>
      <c r="T118" s="491"/>
      <c r="U118" s="491"/>
      <c r="V118" s="491"/>
      <c r="W118" s="437"/>
      <c r="X118" s="437"/>
    </row>
    <row r="119" spans="1:24">
      <c r="A119" s="27">
        <v>113</v>
      </c>
      <c r="B119" s="491"/>
      <c r="C119" s="491"/>
      <c r="D119" s="491"/>
      <c r="E119" s="491"/>
      <c r="F119" s="491"/>
      <c r="G119" s="491"/>
      <c r="H119" s="491"/>
      <c r="I119" s="491"/>
      <c r="J119" s="491"/>
      <c r="K119" s="491"/>
      <c r="L119" s="491"/>
      <c r="M119" s="491"/>
      <c r="N119" s="491"/>
      <c r="O119" s="491"/>
      <c r="P119" s="491"/>
      <c r="Q119" s="491"/>
      <c r="R119" s="491"/>
      <c r="S119" s="491"/>
      <c r="T119" s="491"/>
      <c r="U119" s="491"/>
      <c r="V119" s="491"/>
      <c r="W119" s="437"/>
      <c r="X119" s="437"/>
    </row>
    <row r="120" spans="1:24">
      <c r="A120" s="27">
        <v>114</v>
      </c>
      <c r="B120" s="491"/>
      <c r="C120" s="491"/>
      <c r="D120" s="491"/>
      <c r="E120" s="491"/>
      <c r="F120" s="491"/>
      <c r="G120" s="491"/>
      <c r="H120" s="491"/>
      <c r="I120" s="491"/>
      <c r="J120" s="491"/>
      <c r="K120" s="491"/>
      <c r="L120" s="491"/>
      <c r="M120" s="491"/>
      <c r="N120" s="491"/>
      <c r="O120" s="491"/>
      <c r="P120" s="491"/>
      <c r="Q120" s="491"/>
      <c r="R120" s="491"/>
      <c r="S120" s="491"/>
      <c r="T120" s="491"/>
      <c r="U120" s="491"/>
      <c r="V120" s="491"/>
      <c r="W120" s="437"/>
      <c r="X120" s="437"/>
    </row>
    <row r="121" spans="1:24">
      <c r="A121" s="27">
        <v>115</v>
      </c>
      <c r="B121" s="491"/>
      <c r="C121" s="491"/>
      <c r="D121" s="491"/>
      <c r="E121" s="491"/>
      <c r="F121" s="491"/>
      <c r="G121" s="491"/>
      <c r="H121" s="491"/>
      <c r="I121" s="491"/>
      <c r="J121" s="491"/>
      <c r="K121" s="491"/>
      <c r="L121" s="491"/>
      <c r="M121" s="491"/>
      <c r="N121" s="491"/>
      <c r="O121" s="491"/>
      <c r="P121" s="491"/>
      <c r="Q121" s="491"/>
      <c r="R121" s="491"/>
      <c r="S121" s="491"/>
      <c r="T121" s="491"/>
      <c r="U121" s="491"/>
      <c r="V121" s="491"/>
      <c r="W121" s="437"/>
      <c r="X121" s="437"/>
    </row>
    <row r="122" spans="1:24">
      <c r="A122" s="27">
        <v>116</v>
      </c>
      <c r="B122" s="491"/>
      <c r="C122" s="491"/>
      <c r="D122" s="491"/>
      <c r="E122" s="491"/>
      <c r="F122" s="491"/>
      <c r="G122" s="491"/>
      <c r="H122" s="491"/>
      <c r="I122" s="491"/>
      <c r="J122" s="491"/>
      <c r="K122" s="491"/>
      <c r="L122" s="491"/>
      <c r="M122" s="491"/>
      <c r="N122" s="491"/>
      <c r="O122" s="491"/>
      <c r="P122" s="491"/>
      <c r="Q122" s="491"/>
      <c r="R122" s="491"/>
      <c r="S122" s="491"/>
      <c r="T122" s="491"/>
      <c r="U122" s="491"/>
      <c r="V122" s="491"/>
      <c r="W122" s="437"/>
      <c r="X122" s="437"/>
    </row>
    <row r="123" spans="1:24">
      <c r="A123" s="27">
        <v>117</v>
      </c>
      <c r="B123" s="491"/>
      <c r="C123" s="491"/>
      <c r="D123" s="491"/>
      <c r="E123" s="491"/>
      <c r="F123" s="491"/>
      <c r="G123" s="491"/>
      <c r="H123" s="491"/>
      <c r="I123" s="491"/>
      <c r="J123" s="491"/>
      <c r="K123" s="491"/>
      <c r="L123" s="491"/>
      <c r="M123" s="491"/>
      <c r="N123" s="491"/>
      <c r="O123" s="491"/>
      <c r="P123" s="491"/>
      <c r="Q123" s="491"/>
      <c r="R123" s="491"/>
      <c r="S123" s="491"/>
      <c r="T123" s="491"/>
      <c r="U123" s="491"/>
      <c r="V123" s="491"/>
      <c r="W123" s="437"/>
      <c r="X123" s="437"/>
    </row>
    <row r="124" spans="1:24">
      <c r="A124" s="27">
        <v>118</v>
      </c>
      <c r="B124" s="491"/>
      <c r="C124" s="491"/>
      <c r="D124" s="491"/>
      <c r="E124" s="491"/>
      <c r="F124" s="491"/>
      <c r="G124" s="491"/>
      <c r="H124" s="491"/>
      <c r="I124" s="491"/>
      <c r="J124" s="491"/>
      <c r="K124" s="491"/>
      <c r="L124" s="491"/>
      <c r="M124" s="491"/>
      <c r="N124" s="491"/>
      <c r="O124" s="491"/>
      <c r="P124" s="491"/>
      <c r="Q124" s="491"/>
      <c r="R124" s="491"/>
      <c r="S124" s="491"/>
      <c r="T124" s="491"/>
      <c r="U124" s="491"/>
      <c r="V124" s="491"/>
      <c r="W124" s="437"/>
      <c r="X124" s="437"/>
    </row>
    <row r="125" spans="1:24">
      <c r="A125" s="27">
        <v>119</v>
      </c>
      <c r="B125" s="491"/>
      <c r="C125" s="491"/>
      <c r="D125" s="491"/>
      <c r="E125" s="491"/>
      <c r="F125" s="491"/>
      <c r="G125" s="491"/>
      <c r="H125" s="491"/>
      <c r="I125" s="491"/>
      <c r="J125" s="491"/>
      <c r="K125" s="491"/>
      <c r="L125" s="491"/>
      <c r="M125" s="491"/>
      <c r="N125" s="491"/>
      <c r="O125" s="491"/>
      <c r="P125" s="491"/>
      <c r="Q125" s="491"/>
      <c r="R125" s="491"/>
      <c r="S125" s="491"/>
      <c r="T125" s="491"/>
      <c r="U125" s="491"/>
      <c r="V125" s="491"/>
      <c r="W125" s="437"/>
      <c r="X125" s="437"/>
    </row>
    <row r="126" spans="1:24">
      <c r="A126" s="27">
        <v>120</v>
      </c>
      <c r="B126" s="491"/>
      <c r="C126" s="491"/>
      <c r="D126" s="491"/>
      <c r="E126" s="491"/>
      <c r="F126" s="491"/>
      <c r="G126" s="491"/>
      <c r="H126" s="491"/>
      <c r="I126" s="491"/>
      <c r="J126" s="491"/>
      <c r="K126" s="491"/>
      <c r="L126" s="491"/>
      <c r="M126" s="491"/>
      <c r="N126" s="491"/>
      <c r="O126" s="491"/>
      <c r="P126" s="491"/>
      <c r="Q126" s="491"/>
      <c r="R126" s="491"/>
      <c r="S126" s="491"/>
      <c r="T126" s="491"/>
      <c r="U126" s="491"/>
      <c r="V126" s="491"/>
      <c r="W126" s="437"/>
      <c r="X126" s="437"/>
    </row>
    <row r="127" spans="1:24">
      <c r="A127" s="27">
        <v>121</v>
      </c>
      <c r="B127" s="491"/>
      <c r="C127" s="491"/>
      <c r="D127" s="491"/>
      <c r="E127" s="491"/>
      <c r="F127" s="491"/>
      <c r="G127" s="491"/>
      <c r="H127" s="491"/>
      <c r="I127" s="491"/>
      <c r="J127" s="491"/>
      <c r="K127" s="491"/>
      <c r="L127" s="491"/>
      <c r="M127" s="491"/>
      <c r="N127" s="491"/>
      <c r="O127" s="491"/>
      <c r="P127" s="491"/>
      <c r="Q127" s="491"/>
      <c r="R127" s="491"/>
      <c r="S127" s="491"/>
      <c r="T127" s="491"/>
      <c r="U127" s="491"/>
      <c r="V127" s="491"/>
      <c r="W127" s="437"/>
      <c r="X127" s="437"/>
    </row>
    <row r="128" spans="1:24">
      <c r="A128" s="27">
        <v>122</v>
      </c>
      <c r="B128" s="491"/>
      <c r="C128" s="491"/>
      <c r="D128" s="491"/>
      <c r="E128" s="491"/>
      <c r="F128" s="491"/>
      <c r="G128" s="491"/>
      <c r="H128" s="491"/>
      <c r="I128" s="491"/>
      <c r="J128" s="491"/>
      <c r="K128" s="491"/>
      <c r="L128" s="491"/>
      <c r="M128" s="491"/>
      <c r="N128" s="491"/>
      <c r="O128" s="491"/>
      <c r="P128" s="491"/>
      <c r="Q128" s="491"/>
      <c r="R128" s="491"/>
      <c r="S128" s="491"/>
      <c r="T128" s="491"/>
      <c r="U128" s="491"/>
      <c r="V128" s="491"/>
      <c r="W128" s="437"/>
      <c r="X128" s="437"/>
    </row>
    <row r="129" spans="1:24">
      <c r="A129" s="27">
        <v>123</v>
      </c>
      <c r="B129" s="491"/>
      <c r="C129" s="491"/>
      <c r="D129" s="491"/>
      <c r="E129" s="491"/>
      <c r="F129" s="491"/>
      <c r="G129" s="491"/>
      <c r="H129" s="491"/>
      <c r="I129" s="491"/>
      <c r="J129" s="491"/>
      <c r="K129" s="491"/>
      <c r="L129" s="491"/>
      <c r="M129" s="491"/>
      <c r="N129" s="491"/>
      <c r="O129" s="491"/>
      <c r="P129" s="491"/>
      <c r="Q129" s="491"/>
      <c r="R129" s="491"/>
      <c r="S129" s="491"/>
      <c r="T129" s="491"/>
      <c r="U129" s="491"/>
      <c r="V129" s="491"/>
      <c r="W129" s="437"/>
      <c r="X129" s="437"/>
    </row>
    <row r="130" spans="1:24">
      <c r="A130" s="27">
        <v>124</v>
      </c>
      <c r="B130" s="491"/>
      <c r="C130" s="491"/>
      <c r="D130" s="491"/>
      <c r="E130" s="491"/>
      <c r="F130" s="491"/>
      <c r="G130" s="491"/>
      <c r="H130" s="491"/>
      <c r="I130" s="491"/>
      <c r="J130" s="491"/>
      <c r="K130" s="491"/>
      <c r="L130" s="491"/>
      <c r="M130" s="491"/>
      <c r="N130" s="491"/>
      <c r="O130" s="491"/>
      <c r="P130" s="491"/>
      <c r="Q130" s="491"/>
      <c r="R130" s="491"/>
      <c r="S130" s="491"/>
      <c r="T130" s="491"/>
      <c r="U130" s="491"/>
      <c r="V130" s="491"/>
      <c r="W130" s="437"/>
      <c r="X130" s="437"/>
    </row>
    <row r="131" spans="1:24">
      <c r="A131" s="27">
        <v>125</v>
      </c>
      <c r="B131" s="491"/>
      <c r="C131" s="491"/>
      <c r="D131" s="491"/>
      <c r="E131" s="491"/>
      <c r="F131" s="491"/>
      <c r="G131" s="491"/>
      <c r="H131" s="491"/>
      <c r="I131" s="491"/>
      <c r="J131" s="491"/>
      <c r="K131" s="491"/>
      <c r="L131" s="491"/>
      <c r="M131" s="491"/>
      <c r="N131" s="491"/>
      <c r="O131" s="491"/>
      <c r="P131" s="491"/>
      <c r="Q131" s="491"/>
      <c r="R131" s="491"/>
      <c r="S131" s="491"/>
      <c r="T131" s="491"/>
      <c r="U131" s="491"/>
      <c r="V131" s="491"/>
      <c r="W131" s="437"/>
      <c r="X131" s="437"/>
    </row>
    <row r="132" spans="1:24">
      <c r="B132" s="503"/>
      <c r="C132" s="503"/>
      <c r="D132" s="503"/>
      <c r="E132" s="503"/>
      <c r="F132" s="503"/>
      <c r="G132" s="503"/>
      <c r="H132" s="503"/>
      <c r="I132" s="503"/>
      <c r="J132" s="503"/>
      <c r="K132" s="503"/>
      <c r="L132" s="503"/>
      <c r="M132" s="503"/>
      <c r="N132" s="503"/>
      <c r="O132" s="503"/>
      <c r="P132" s="503"/>
      <c r="Q132" s="503"/>
      <c r="R132" s="503"/>
      <c r="S132" s="503"/>
      <c r="T132" s="503"/>
      <c r="U132" s="503"/>
      <c r="V132" s="503"/>
      <c r="W132" s="437"/>
      <c r="X132" s="437"/>
    </row>
    <row r="133" spans="1:24">
      <c r="B133" s="503"/>
      <c r="C133" s="503"/>
      <c r="D133" s="503"/>
      <c r="E133" s="503"/>
      <c r="F133" s="503"/>
      <c r="G133" s="503"/>
      <c r="H133" s="503"/>
      <c r="I133" s="503"/>
      <c r="J133" s="503"/>
      <c r="K133" s="503"/>
      <c r="L133" s="503"/>
      <c r="M133" s="503"/>
      <c r="N133" s="503"/>
      <c r="O133" s="503"/>
      <c r="P133" s="503"/>
      <c r="Q133" s="503"/>
      <c r="R133" s="503"/>
      <c r="S133" s="503"/>
      <c r="T133" s="503"/>
      <c r="U133" s="503"/>
      <c r="V133" s="503"/>
      <c r="W133" s="437"/>
      <c r="X133" s="437"/>
    </row>
    <row r="134" spans="1:24">
      <c r="B134" s="503"/>
      <c r="C134" s="503"/>
      <c r="D134" s="503"/>
      <c r="E134" s="503"/>
      <c r="F134" s="503"/>
      <c r="G134" s="503"/>
      <c r="H134" s="503"/>
      <c r="I134" s="503"/>
      <c r="J134" s="503"/>
      <c r="K134" s="503"/>
      <c r="L134" s="503"/>
      <c r="M134" s="503"/>
      <c r="N134" s="503"/>
      <c r="O134" s="503"/>
      <c r="P134" s="503"/>
      <c r="Q134" s="503"/>
      <c r="R134" s="503"/>
      <c r="S134" s="503"/>
      <c r="T134" s="503"/>
      <c r="U134" s="503"/>
      <c r="V134" s="503"/>
      <c r="W134" s="437"/>
      <c r="X134" s="437"/>
    </row>
    <row r="135" spans="1:24">
      <c r="B135" s="503"/>
      <c r="C135" s="503"/>
      <c r="D135" s="503"/>
      <c r="E135" s="503"/>
      <c r="F135" s="503"/>
      <c r="G135" s="503"/>
      <c r="H135" s="503"/>
      <c r="I135" s="503"/>
      <c r="J135" s="503"/>
      <c r="K135" s="503"/>
      <c r="L135" s="503"/>
      <c r="M135" s="503"/>
      <c r="N135" s="503"/>
      <c r="O135" s="503"/>
      <c r="P135" s="503"/>
      <c r="Q135" s="503"/>
      <c r="R135" s="503"/>
      <c r="S135" s="503"/>
      <c r="T135" s="503"/>
      <c r="U135" s="503"/>
      <c r="V135" s="503"/>
      <c r="W135" s="437"/>
      <c r="X135" s="437"/>
    </row>
    <row r="136" spans="1:24">
      <c r="B136" s="503"/>
      <c r="C136" s="503"/>
      <c r="D136" s="503"/>
      <c r="E136" s="503"/>
      <c r="F136" s="503"/>
      <c r="G136" s="503"/>
      <c r="H136" s="503"/>
      <c r="I136" s="503"/>
      <c r="J136" s="503"/>
      <c r="K136" s="503"/>
      <c r="L136" s="503"/>
      <c r="M136" s="503"/>
      <c r="N136" s="503"/>
      <c r="O136" s="503"/>
      <c r="P136" s="503"/>
      <c r="Q136" s="503"/>
      <c r="R136" s="503"/>
      <c r="S136" s="503"/>
      <c r="T136" s="503"/>
      <c r="U136" s="503"/>
      <c r="V136" s="503"/>
      <c r="W136" s="437"/>
      <c r="X136" s="437"/>
    </row>
    <row r="137" spans="1:24">
      <c r="B137" s="503"/>
      <c r="C137" s="503"/>
      <c r="D137" s="503"/>
      <c r="E137" s="503"/>
      <c r="F137" s="503"/>
      <c r="G137" s="503"/>
      <c r="H137" s="503"/>
      <c r="I137" s="503"/>
      <c r="J137" s="503"/>
      <c r="K137" s="503"/>
      <c r="L137" s="503"/>
      <c r="M137" s="503"/>
      <c r="N137" s="503"/>
      <c r="O137" s="503"/>
      <c r="P137" s="503"/>
      <c r="Q137" s="503"/>
      <c r="R137" s="503"/>
      <c r="S137" s="503"/>
      <c r="T137" s="503"/>
      <c r="U137" s="503"/>
      <c r="V137" s="503"/>
      <c r="W137" s="437"/>
      <c r="X137" s="437"/>
    </row>
    <row r="138" spans="1:24">
      <c r="B138" s="503"/>
      <c r="C138" s="503"/>
      <c r="D138" s="503"/>
      <c r="E138" s="503"/>
      <c r="F138" s="503"/>
      <c r="G138" s="503"/>
      <c r="H138" s="503"/>
      <c r="I138" s="503"/>
      <c r="J138" s="503"/>
      <c r="K138" s="503"/>
      <c r="L138" s="503"/>
      <c r="M138" s="503"/>
      <c r="N138" s="503"/>
      <c r="O138" s="503"/>
      <c r="P138" s="503"/>
      <c r="Q138" s="503"/>
      <c r="R138" s="503"/>
      <c r="S138" s="503"/>
      <c r="T138" s="503"/>
      <c r="U138" s="503"/>
      <c r="V138" s="503"/>
      <c r="W138" s="437"/>
      <c r="X138" s="437"/>
    </row>
    <row r="139" spans="1:24">
      <c r="B139" s="503"/>
      <c r="C139" s="503"/>
      <c r="D139" s="503"/>
      <c r="E139" s="503"/>
      <c r="F139" s="503"/>
      <c r="G139" s="503"/>
      <c r="H139" s="503"/>
      <c r="I139" s="503"/>
      <c r="J139" s="503"/>
      <c r="K139" s="503"/>
      <c r="L139" s="503"/>
      <c r="M139" s="503"/>
      <c r="N139" s="503"/>
      <c r="O139" s="503"/>
      <c r="P139" s="503"/>
      <c r="Q139" s="503"/>
      <c r="R139" s="503"/>
      <c r="S139" s="503"/>
      <c r="T139" s="503"/>
      <c r="U139" s="503"/>
      <c r="V139" s="503"/>
      <c r="W139" s="437"/>
      <c r="X139" s="437"/>
    </row>
    <row r="140" spans="1:24">
      <c r="B140" s="503"/>
      <c r="C140" s="503"/>
      <c r="D140" s="503"/>
      <c r="E140" s="503"/>
      <c r="F140" s="503"/>
      <c r="G140" s="503"/>
      <c r="H140" s="503"/>
      <c r="I140" s="503"/>
      <c r="J140" s="503"/>
      <c r="K140" s="503"/>
      <c r="L140" s="503"/>
      <c r="M140" s="503"/>
      <c r="N140" s="503"/>
      <c r="O140" s="503"/>
      <c r="P140" s="503"/>
      <c r="Q140" s="503"/>
      <c r="R140" s="503"/>
      <c r="S140" s="503"/>
      <c r="T140" s="503"/>
      <c r="U140" s="503"/>
      <c r="V140" s="503"/>
      <c r="W140" s="437"/>
      <c r="X140" s="437"/>
    </row>
    <row r="141" spans="1:24">
      <c r="B141" s="503"/>
      <c r="C141" s="503"/>
      <c r="D141" s="503"/>
      <c r="E141" s="503"/>
      <c r="F141" s="503"/>
      <c r="G141" s="503"/>
      <c r="H141" s="503"/>
      <c r="I141" s="503"/>
      <c r="J141" s="503"/>
      <c r="K141" s="503"/>
      <c r="L141" s="503"/>
      <c r="M141" s="503"/>
      <c r="N141" s="503"/>
      <c r="O141" s="503"/>
      <c r="P141" s="503"/>
      <c r="Q141" s="503"/>
      <c r="R141" s="503"/>
      <c r="S141" s="503"/>
      <c r="T141" s="503"/>
      <c r="U141" s="503"/>
      <c r="V141" s="503"/>
      <c r="W141" s="437"/>
      <c r="X141" s="437"/>
    </row>
    <row r="142" spans="1:24">
      <c r="B142" s="503"/>
      <c r="C142" s="503"/>
      <c r="D142" s="503"/>
      <c r="E142" s="503"/>
      <c r="F142" s="503"/>
      <c r="G142" s="503"/>
      <c r="H142" s="503"/>
      <c r="I142" s="503"/>
      <c r="J142" s="503"/>
      <c r="K142" s="503"/>
      <c r="L142" s="503"/>
      <c r="M142" s="503"/>
      <c r="N142" s="503"/>
      <c r="O142" s="503"/>
      <c r="P142" s="503"/>
      <c r="Q142" s="503"/>
      <c r="R142" s="503"/>
      <c r="S142" s="503"/>
      <c r="T142" s="503"/>
      <c r="U142" s="503"/>
      <c r="V142" s="503"/>
      <c r="W142" s="437"/>
      <c r="X142" s="437"/>
    </row>
    <row r="143" spans="1:24">
      <c r="B143" s="503"/>
      <c r="C143" s="503"/>
      <c r="D143" s="503"/>
      <c r="E143" s="503"/>
      <c r="F143" s="503"/>
      <c r="G143" s="503"/>
      <c r="H143" s="503"/>
      <c r="I143" s="503"/>
      <c r="J143" s="503"/>
      <c r="K143" s="503"/>
      <c r="L143" s="503"/>
      <c r="M143" s="503"/>
      <c r="N143" s="503"/>
      <c r="O143" s="503"/>
      <c r="P143" s="503"/>
      <c r="Q143" s="503"/>
      <c r="R143" s="503"/>
      <c r="S143" s="503"/>
      <c r="T143" s="503"/>
      <c r="U143" s="503"/>
      <c r="V143" s="503"/>
      <c r="W143" s="437"/>
      <c r="X143" s="437"/>
    </row>
    <row r="144" spans="1:24">
      <c r="B144" s="503"/>
      <c r="C144" s="503"/>
      <c r="D144" s="503"/>
      <c r="E144" s="503"/>
      <c r="F144" s="503"/>
      <c r="G144" s="503"/>
      <c r="H144" s="503"/>
      <c r="I144" s="503"/>
      <c r="J144" s="503"/>
      <c r="K144" s="503"/>
      <c r="L144" s="503"/>
      <c r="M144" s="503"/>
      <c r="N144" s="503"/>
      <c r="O144" s="503"/>
      <c r="P144" s="503"/>
      <c r="Q144" s="503"/>
      <c r="R144" s="503"/>
      <c r="S144" s="503"/>
      <c r="T144" s="503"/>
      <c r="U144" s="503"/>
      <c r="V144" s="503"/>
      <c r="W144" s="437"/>
      <c r="X144" s="437"/>
    </row>
    <row r="145" spans="2:24">
      <c r="B145" s="503"/>
      <c r="C145" s="503"/>
      <c r="D145" s="503"/>
      <c r="E145" s="503"/>
      <c r="F145" s="503"/>
      <c r="G145" s="503"/>
      <c r="H145" s="503"/>
      <c r="I145" s="503"/>
      <c r="J145" s="503"/>
      <c r="K145" s="503"/>
      <c r="L145" s="503"/>
      <c r="M145" s="503"/>
      <c r="N145" s="503"/>
      <c r="O145" s="503"/>
      <c r="P145" s="503"/>
      <c r="Q145" s="503"/>
      <c r="R145" s="503"/>
      <c r="S145" s="503"/>
      <c r="T145" s="503"/>
      <c r="U145" s="503"/>
      <c r="V145" s="503"/>
      <c r="W145" s="437"/>
      <c r="X145" s="437"/>
    </row>
    <row r="146" spans="2:24">
      <c r="B146" s="503"/>
      <c r="C146" s="503"/>
      <c r="D146" s="503"/>
      <c r="E146" s="503"/>
      <c r="F146" s="503"/>
      <c r="G146" s="503"/>
      <c r="H146" s="503"/>
      <c r="I146" s="503"/>
      <c r="J146" s="503"/>
      <c r="K146" s="503"/>
      <c r="L146" s="503"/>
      <c r="M146" s="503"/>
      <c r="N146" s="503"/>
      <c r="O146" s="503"/>
      <c r="P146" s="503"/>
      <c r="Q146" s="503"/>
      <c r="R146" s="503"/>
      <c r="S146" s="503"/>
      <c r="T146" s="503"/>
      <c r="U146" s="503"/>
      <c r="V146" s="503"/>
      <c r="W146" s="437"/>
      <c r="X146" s="437"/>
    </row>
    <row r="147" spans="2:24">
      <c r="B147" s="503"/>
      <c r="C147" s="503"/>
      <c r="D147" s="503"/>
      <c r="E147" s="503"/>
      <c r="F147" s="503"/>
      <c r="G147" s="503"/>
      <c r="H147" s="503"/>
      <c r="I147" s="503"/>
      <c r="J147" s="503"/>
      <c r="K147" s="503"/>
      <c r="L147" s="503"/>
      <c r="M147" s="503"/>
      <c r="N147" s="503"/>
      <c r="O147" s="503"/>
      <c r="P147" s="503"/>
      <c r="Q147" s="503"/>
      <c r="R147" s="503"/>
      <c r="S147" s="503"/>
      <c r="T147" s="503"/>
      <c r="U147" s="503"/>
      <c r="V147" s="503"/>
      <c r="W147" s="437"/>
      <c r="X147" s="437"/>
    </row>
    <row r="148" spans="2:24">
      <c r="B148" s="503"/>
      <c r="C148" s="503"/>
      <c r="D148" s="503"/>
      <c r="E148" s="503"/>
      <c r="F148" s="503"/>
      <c r="G148" s="503"/>
      <c r="H148" s="503"/>
      <c r="I148" s="503"/>
      <c r="J148" s="503"/>
      <c r="K148" s="503"/>
      <c r="L148" s="503"/>
      <c r="M148" s="503"/>
      <c r="N148" s="503"/>
      <c r="O148" s="503"/>
      <c r="P148" s="503"/>
      <c r="Q148" s="503"/>
      <c r="R148" s="503"/>
      <c r="S148" s="503"/>
      <c r="T148" s="503"/>
      <c r="U148" s="503"/>
      <c r="V148" s="503"/>
      <c r="W148" s="437"/>
      <c r="X148" s="437"/>
    </row>
    <row r="149" spans="2:24">
      <c r="B149" s="503"/>
      <c r="C149" s="503"/>
      <c r="D149" s="503"/>
      <c r="E149" s="503"/>
      <c r="F149" s="503"/>
      <c r="G149" s="503"/>
      <c r="H149" s="503"/>
      <c r="I149" s="503"/>
      <c r="J149" s="503"/>
      <c r="K149" s="503"/>
      <c r="L149" s="503"/>
      <c r="M149" s="503"/>
      <c r="N149" s="503"/>
      <c r="O149" s="503"/>
      <c r="P149" s="503"/>
      <c r="Q149" s="503"/>
      <c r="R149" s="503"/>
      <c r="S149" s="503"/>
      <c r="T149" s="503"/>
      <c r="U149" s="503"/>
      <c r="V149" s="503"/>
      <c r="W149" s="437"/>
      <c r="X149" s="437"/>
    </row>
    <row r="150" spans="2:24">
      <c r="B150" s="503"/>
      <c r="C150" s="503"/>
      <c r="D150" s="503"/>
      <c r="E150" s="503"/>
      <c r="F150" s="503"/>
      <c r="G150" s="503"/>
      <c r="H150" s="503"/>
      <c r="I150" s="503"/>
      <c r="J150" s="503"/>
      <c r="K150" s="503"/>
      <c r="L150" s="503"/>
      <c r="M150" s="503"/>
      <c r="N150" s="503"/>
      <c r="O150" s="503"/>
      <c r="P150" s="503"/>
      <c r="Q150" s="503"/>
      <c r="R150" s="503"/>
      <c r="S150" s="503"/>
      <c r="T150" s="503"/>
      <c r="U150" s="503"/>
      <c r="V150" s="503"/>
      <c r="W150" s="437"/>
      <c r="X150" s="437"/>
    </row>
    <row r="151" spans="2:24">
      <c r="B151" s="503"/>
      <c r="C151" s="503"/>
      <c r="D151" s="503"/>
      <c r="E151" s="503"/>
      <c r="F151" s="503"/>
      <c r="G151" s="503"/>
      <c r="H151" s="503"/>
      <c r="I151" s="503"/>
      <c r="J151" s="503"/>
      <c r="K151" s="503"/>
      <c r="L151" s="503"/>
      <c r="M151" s="503"/>
      <c r="N151" s="503"/>
      <c r="O151" s="503"/>
      <c r="P151" s="503"/>
      <c r="Q151" s="503"/>
      <c r="R151" s="503"/>
      <c r="S151" s="503"/>
      <c r="T151" s="503"/>
      <c r="U151" s="503"/>
      <c r="V151" s="503"/>
      <c r="W151" s="437"/>
      <c r="X151" s="437"/>
    </row>
    <row r="152" spans="2:24">
      <c r="B152" s="503"/>
      <c r="C152" s="503"/>
      <c r="D152" s="503"/>
      <c r="E152" s="503"/>
      <c r="F152" s="503"/>
      <c r="G152" s="503"/>
      <c r="H152" s="503"/>
      <c r="I152" s="503"/>
      <c r="J152" s="503"/>
      <c r="K152" s="503"/>
      <c r="L152" s="503"/>
      <c r="M152" s="503"/>
      <c r="N152" s="503"/>
      <c r="O152" s="503"/>
      <c r="P152" s="503"/>
      <c r="Q152" s="503"/>
      <c r="R152" s="503"/>
      <c r="S152" s="503"/>
      <c r="T152" s="503"/>
      <c r="U152" s="503"/>
      <c r="V152" s="503"/>
      <c r="W152" s="437"/>
      <c r="X152" s="437"/>
    </row>
    <row r="153" spans="2:24">
      <c r="B153" s="503"/>
      <c r="C153" s="503"/>
      <c r="D153" s="503"/>
      <c r="E153" s="503"/>
      <c r="F153" s="503"/>
      <c r="G153" s="503"/>
      <c r="H153" s="503"/>
      <c r="I153" s="503"/>
      <c r="J153" s="503"/>
      <c r="K153" s="503"/>
      <c r="L153" s="503"/>
      <c r="M153" s="503"/>
      <c r="N153" s="503"/>
      <c r="O153" s="503"/>
      <c r="P153" s="503"/>
      <c r="Q153" s="503"/>
      <c r="R153" s="503"/>
      <c r="S153" s="503"/>
      <c r="T153" s="503"/>
      <c r="U153" s="503"/>
      <c r="V153" s="503"/>
      <c r="W153" s="437"/>
      <c r="X153" s="437"/>
    </row>
    <row r="154" spans="2:24">
      <c r="B154" s="503"/>
      <c r="C154" s="503"/>
      <c r="D154" s="503"/>
      <c r="E154" s="503"/>
      <c r="F154" s="503"/>
      <c r="G154" s="503"/>
      <c r="H154" s="503"/>
      <c r="I154" s="503"/>
      <c r="J154" s="503"/>
      <c r="K154" s="503"/>
      <c r="L154" s="503"/>
      <c r="M154" s="503"/>
      <c r="N154" s="503"/>
      <c r="O154" s="503"/>
      <c r="P154" s="503"/>
      <c r="Q154" s="503"/>
      <c r="R154" s="503"/>
      <c r="S154" s="503"/>
      <c r="T154" s="503"/>
      <c r="U154" s="503"/>
      <c r="V154" s="503"/>
      <c r="W154" s="437"/>
      <c r="X154" s="437"/>
    </row>
    <row r="155" spans="2:24">
      <c r="B155" s="504"/>
      <c r="C155" s="503"/>
      <c r="D155" s="503"/>
      <c r="E155" s="503"/>
      <c r="F155" s="503"/>
      <c r="G155" s="503"/>
      <c r="H155" s="503"/>
      <c r="I155" s="503"/>
      <c r="J155" s="503"/>
      <c r="K155" s="503"/>
      <c r="L155" s="503"/>
      <c r="M155" s="503"/>
      <c r="N155" s="503"/>
      <c r="O155" s="503"/>
      <c r="P155" s="503"/>
      <c r="Q155" s="503"/>
      <c r="R155" s="503"/>
      <c r="S155" s="503"/>
      <c r="T155" s="503"/>
      <c r="U155" s="503"/>
      <c r="V155" s="503"/>
      <c r="W155" s="437"/>
      <c r="X155" s="437"/>
    </row>
    <row r="156" spans="2:24">
      <c r="B156" s="503"/>
      <c r="C156" s="503"/>
      <c r="D156" s="503"/>
      <c r="E156" s="503"/>
      <c r="F156" s="503"/>
      <c r="G156" s="503"/>
      <c r="H156" s="503"/>
      <c r="I156" s="503"/>
      <c r="J156" s="503"/>
      <c r="K156" s="503"/>
      <c r="L156" s="503"/>
      <c r="M156" s="503"/>
      <c r="N156" s="503"/>
      <c r="O156" s="503"/>
      <c r="P156" s="503"/>
      <c r="Q156" s="503"/>
      <c r="R156" s="503"/>
      <c r="S156" s="503"/>
      <c r="T156" s="503"/>
      <c r="U156" s="503"/>
      <c r="V156" s="503"/>
      <c r="W156" s="437"/>
      <c r="X156" s="437"/>
    </row>
  </sheetData>
  <sheetProtection password="C526" sheet="1" objects="1" scenarios="1"/>
  <printOptions gridLines="1" gridLinesSet="0"/>
  <pageMargins left="0.75" right="0.75" top="1" bottom="1" header="0.5" footer="0.5"/>
  <pageSetup orientation="portrait" horizontalDpi="4294967292" verticalDpi="0"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6146" r:id="rId4" name="Button 2">
              <controlPr defaultSize="0" print="0" autoFill="0" autoLine="0" autoPict="0" macro="[0]!pickTractor">
                <anchor moveWithCells="1" sizeWithCells="1">
                  <from>
                    <xdr:col>2</xdr:col>
                    <xdr:colOff>9525</xdr:colOff>
                    <xdr:row>0</xdr:row>
                    <xdr:rowOff>0</xdr:rowOff>
                  </from>
                  <to>
                    <xdr:col>3</xdr:col>
                    <xdr:colOff>542925</xdr:colOff>
                    <xdr:row>0</xdr:row>
                    <xdr:rowOff>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16"/>
  <sheetViews>
    <sheetView workbookViewId="0">
      <pane ySplit="5" topLeftCell="A6" activePane="bottomLeft" state="frozenSplit"/>
      <selection activeCell="B41" sqref="B41:V190"/>
      <selection pane="bottomLeft" activeCell="B7" sqref="B7:V156"/>
    </sheetView>
  </sheetViews>
  <sheetFormatPr defaultRowHeight="12.75"/>
  <cols>
    <col min="1" max="1" width="9" style="27"/>
    <col min="2" max="2" width="53.375" style="27" customWidth="1"/>
    <col min="3" max="3" width="9.125" style="27" customWidth="1"/>
    <col min="4" max="5" width="9" style="27"/>
    <col min="6" max="6" width="9.125" style="27" customWidth="1"/>
    <col min="7" max="7" width="7.5" style="27" customWidth="1"/>
    <col min="8" max="9" width="9" style="27"/>
    <col min="10" max="10" width="10.125" style="27" customWidth="1"/>
    <col min="11" max="11" width="9.875" style="27" customWidth="1"/>
    <col min="12" max="12" width="8.375" style="27" customWidth="1"/>
    <col min="13" max="20" width="9" style="27"/>
    <col min="21" max="21" width="9.625" style="27" customWidth="1"/>
    <col min="22" max="22" width="9.875" style="27" customWidth="1"/>
    <col min="23" max="16384" width="9" style="27"/>
  </cols>
  <sheetData>
    <row r="1" spans="1:23" s="49" customFormat="1" ht="16.5" thickTop="1">
      <c r="B1" s="50" t="s">
        <v>472</v>
      </c>
      <c r="C1" s="51"/>
      <c r="D1" s="51"/>
      <c r="F1" s="51"/>
      <c r="G1" s="51"/>
      <c r="H1" s="51"/>
      <c r="J1" s="51"/>
      <c r="K1" s="51"/>
      <c r="L1" s="52" t="s">
        <v>473</v>
      </c>
      <c r="M1" s="53"/>
      <c r="N1" s="53"/>
      <c r="P1" s="52" t="s">
        <v>474</v>
      </c>
      <c r="Q1" s="53"/>
      <c r="R1" s="53"/>
      <c r="T1" s="51" t="s">
        <v>475</v>
      </c>
      <c r="U1" s="51" t="s">
        <v>476</v>
      </c>
      <c r="V1" s="51" t="s">
        <v>477</v>
      </c>
    </row>
    <row r="2" spans="1:23">
      <c r="A2" s="27">
        <v>1</v>
      </c>
      <c r="B2" s="382" t="s">
        <v>725</v>
      </c>
      <c r="C2" s="27">
        <v>3</v>
      </c>
      <c r="D2" s="27">
        <v>4</v>
      </c>
      <c r="E2" s="27">
        <v>5</v>
      </c>
      <c r="F2" s="27">
        <v>6</v>
      </c>
      <c r="G2" s="27">
        <v>7</v>
      </c>
      <c r="H2" s="27">
        <v>8</v>
      </c>
      <c r="I2" s="27">
        <v>9</v>
      </c>
      <c r="J2" s="27">
        <v>10</v>
      </c>
      <c r="K2" s="27">
        <v>11</v>
      </c>
      <c r="L2" s="27">
        <v>12</v>
      </c>
      <c r="M2" s="27">
        <v>13</v>
      </c>
      <c r="N2" s="27">
        <v>14</v>
      </c>
      <c r="O2" s="27">
        <v>15</v>
      </c>
      <c r="P2" s="27">
        <v>16</v>
      </c>
      <c r="Q2" s="27">
        <v>17</v>
      </c>
      <c r="R2" s="27">
        <v>18</v>
      </c>
      <c r="S2" s="27">
        <v>19</v>
      </c>
      <c r="T2" s="27">
        <v>20</v>
      </c>
      <c r="U2" s="27">
        <v>21</v>
      </c>
      <c r="V2" s="27">
        <v>22</v>
      </c>
    </row>
    <row r="3" spans="1:23" s="29" customFormat="1" ht="38.25">
      <c r="C3" s="32" t="s">
        <v>478</v>
      </c>
      <c r="D3" s="34"/>
      <c r="E3" s="32"/>
      <c r="F3" s="32"/>
      <c r="G3" s="32" t="s">
        <v>479</v>
      </c>
      <c r="H3" s="32" t="s">
        <v>480</v>
      </c>
      <c r="I3" s="32" t="s">
        <v>481</v>
      </c>
      <c r="J3" s="54" t="s">
        <v>482</v>
      </c>
      <c r="K3" s="54"/>
      <c r="L3" s="29" t="s">
        <v>483</v>
      </c>
      <c r="N3" s="29" t="s">
        <v>484</v>
      </c>
      <c r="P3" s="32" t="s">
        <v>483</v>
      </c>
      <c r="R3" s="29" t="s">
        <v>484</v>
      </c>
      <c r="T3" s="32" t="s">
        <v>485</v>
      </c>
      <c r="U3" s="32" t="s">
        <v>486</v>
      </c>
      <c r="V3" s="32" t="s">
        <v>487</v>
      </c>
    </row>
    <row r="4" spans="1:23" s="29" customFormat="1">
      <c r="C4" s="32"/>
      <c r="D4" s="34"/>
      <c r="E4" s="32"/>
      <c r="F4" s="32"/>
      <c r="G4" s="32"/>
      <c r="H4" s="32"/>
      <c r="I4" s="32"/>
      <c r="J4" s="54"/>
      <c r="K4" s="54"/>
      <c r="P4" s="32"/>
      <c r="T4" s="32"/>
      <c r="U4" s="32"/>
      <c r="V4" s="32"/>
    </row>
    <row r="5" spans="1:23" s="55" customFormat="1" ht="13.5" thickBot="1">
      <c r="B5" s="55" t="s">
        <v>422</v>
      </c>
      <c r="C5" s="56" t="s">
        <v>423</v>
      </c>
      <c r="D5" s="57" t="s">
        <v>425</v>
      </c>
      <c r="E5" s="56" t="s">
        <v>300</v>
      </c>
      <c r="F5" s="56" t="s">
        <v>428</v>
      </c>
      <c r="G5" s="56" t="s">
        <v>430</v>
      </c>
      <c r="H5" s="56" t="s">
        <v>433</v>
      </c>
      <c r="I5" s="56"/>
      <c r="J5" s="56" t="s">
        <v>488</v>
      </c>
      <c r="K5" s="56" t="s">
        <v>489</v>
      </c>
      <c r="L5" s="55" t="s">
        <v>490</v>
      </c>
      <c r="M5" s="55" t="s">
        <v>491</v>
      </c>
      <c r="N5" s="55" t="s">
        <v>492</v>
      </c>
      <c r="O5" s="55" t="s">
        <v>493</v>
      </c>
      <c r="P5" s="56" t="s">
        <v>490</v>
      </c>
      <c r="Q5" s="55" t="s">
        <v>491</v>
      </c>
      <c r="R5" s="55" t="s">
        <v>492</v>
      </c>
      <c r="S5" s="55" t="s">
        <v>493</v>
      </c>
      <c r="T5" s="56" t="s">
        <v>494</v>
      </c>
      <c r="U5" s="56" t="s">
        <v>465</v>
      </c>
      <c r="V5" s="56" t="s">
        <v>467</v>
      </c>
      <c r="W5" t="s">
        <v>420</v>
      </c>
    </row>
    <row r="6" spans="1:23" s="29" customFormat="1">
      <c r="A6"/>
      <c r="C6" s="32"/>
      <c r="D6" s="34"/>
      <c r="E6" s="32"/>
      <c r="F6" s="32"/>
      <c r="G6" s="32"/>
      <c r="H6" s="32"/>
      <c r="I6" s="32"/>
      <c r="J6" s="32"/>
      <c r="K6" s="32"/>
      <c r="P6" s="32"/>
      <c r="T6" s="32"/>
      <c r="U6" s="32"/>
      <c r="V6" s="32"/>
    </row>
    <row r="7" spans="1:23">
      <c r="A7" s="27">
        <v>1</v>
      </c>
      <c r="B7" s="42" t="str">
        <f t="shared" ref="B7:B22" si="0">CONCATENATE( LEFT(CONCATENATE(D7," ",E7," ",G7," ",F7,$W$5),40)," ",FIXED(C7,0)," pto hp")</f>
        <v>AGCO ALLIS 4650-12 SP  MFWD_____________ 40 pto hp</v>
      </c>
      <c r="C7" s="352">
        <v>40.364100000000001</v>
      </c>
      <c r="D7" s="42" t="s">
        <v>726</v>
      </c>
      <c r="E7" s="42" t="s">
        <v>727</v>
      </c>
      <c r="F7" s="42" t="s">
        <v>497</v>
      </c>
      <c r="G7" s="291"/>
      <c r="H7" s="353">
        <v>5089</v>
      </c>
      <c r="I7" s="38" t="s">
        <v>556</v>
      </c>
      <c r="J7" s="58">
        <v>2160.5080000000003</v>
      </c>
      <c r="K7" s="58">
        <v>2910.0720000000001</v>
      </c>
      <c r="L7" s="354">
        <v>2</v>
      </c>
      <c r="M7" s="352">
        <v>11.2</v>
      </c>
      <c r="N7" s="41" t="s">
        <v>481</v>
      </c>
      <c r="O7" s="41">
        <v>20</v>
      </c>
      <c r="P7" s="354">
        <v>2</v>
      </c>
      <c r="Q7" s="41">
        <v>14.9</v>
      </c>
      <c r="R7" s="41" t="s">
        <v>481</v>
      </c>
      <c r="S7" s="41">
        <v>28</v>
      </c>
      <c r="T7" s="46">
        <v>17.795275590551181</v>
      </c>
      <c r="U7" s="46">
        <v>82.086614173228355</v>
      </c>
      <c r="V7" s="47">
        <v>0.9976754162800674</v>
      </c>
    </row>
    <row r="8" spans="1:23">
      <c r="A8" s="27">
        <v>2</v>
      </c>
      <c r="B8" s="42" t="str">
        <f t="shared" si="0"/>
        <v>AGCO ALLIS 5650-12 SP  MFWD_____________ 47 pto hp</v>
      </c>
      <c r="C8" s="352">
        <v>46.935000000000002</v>
      </c>
      <c r="D8" s="42" t="s">
        <v>726</v>
      </c>
      <c r="E8" s="42" t="s">
        <v>728</v>
      </c>
      <c r="F8" s="42" t="s">
        <v>497</v>
      </c>
      <c r="G8" s="291"/>
      <c r="H8" s="353">
        <v>5298</v>
      </c>
      <c r="I8" s="38" t="s">
        <v>500</v>
      </c>
      <c r="J8" s="58">
        <v>2237.6690000000003</v>
      </c>
      <c r="K8" s="58">
        <v>2645.52</v>
      </c>
      <c r="L8" s="354">
        <v>2</v>
      </c>
      <c r="M8" s="352">
        <v>11.2</v>
      </c>
      <c r="N8" s="41" t="s">
        <v>481</v>
      </c>
      <c r="O8" s="41">
        <v>20</v>
      </c>
      <c r="P8" s="354">
        <v>2</v>
      </c>
      <c r="Q8" s="41">
        <v>14.9</v>
      </c>
      <c r="R8" s="41" t="s">
        <v>481</v>
      </c>
      <c r="S8" s="41">
        <v>28</v>
      </c>
      <c r="T8" s="46">
        <v>19.88188976377953</v>
      </c>
      <c r="U8" s="46">
        <v>75.826771653543318</v>
      </c>
      <c r="V8" s="47">
        <v>1.0088708075285255</v>
      </c>
    </row>
    <row r="9" spans="1:23">
      <c r="A9" s="27">
        <v>3</v>
      </c>
      <c r="B9" s="42" t="str">
        <f t="shared" si="0"/>
        <v>AGCO ALLIS 4660-12 SP  MFWD_____________ 52 pto hp</v>
      </c>
      <c r="C9" s="352">
        <v>52.164899999999996</v>
      </c>
      <c r="D9" s="42" t="s">
        <v>726</v>
      </c>
      <c r="E9" s="42" t="s">
        <v>729</v>
      </c>
      <c r="F9" s="42" t="s">
        <v>497</v>
      </c>
      <c r="G9" s="291"/>
      <c r="H9" s="353">
        <v>5090</v>
      </c>
      <c r="I9" s="38" t="s">
        <v>556</v>
      </c>
      <c r="J9" s="58">
        <v>2248.692</v>
      </c>
      <c r="K9" s="58">
        <v>2954.1640000000002</v>
      </c>
      <c r="L9" s="354">
        <v>2</v>
      </c>
      <c r="M9" s="352">
        <v>9.5</v>
      </c>
      <c r="N9" s="41" t="s">
        <v>481</v>
      </c>
      <c r="O9" s="41">
        <v>24</v>
      </c>
      <c r="P9" s="354">
        <v>2</v>
      </c>
      <c r="Q9" s="41">
        <v>14.9</v>
      </c>
      <c r="R9" s="41" t="s">
        <v>481</v>
      </c>
      <c r="S9" s="41">
        <v>30</v>
      </c>
      <c r="T9" s="46">
        <v>18.622047244094489</v>
      </c>
      <c r="U9" s="46">
        <v>82.086614173228355</v>
      </c>
      <c r="V9" s="47">
        <v>0.92181690152739648</v>
      </c>
    </row>
    <row r="10" spans="1:23">
      <c r="A10" s="27">
        <v>4</v>
      </c>
      <c r="B10" s="42" t="str">
        <f t="shared" si="0"/>
        <v>AGCO ALLIS 5660-12 SP  MFWD_____________ 57 pto hp</v>
      </c>
      <c r="C10" s="352">
        <v>56.9925</v>
      </c>
      <c r="D10" s="42" t="s">
        <v>726</v>
      </c>
      <c r="E10" s="42" t="s">
        <v>730</v>
      </c>
      <c r="F10" s="42" t="s">
        <v>497</v>
      </c>
      <c r="G10" s="291"/>
      <c r="H10" s="353">
        <v>5299</v>
      </c>
      <c r="I10" s="38" t="s">
        <v>500</v>
      </c>
      <c r="J10" s="58">
        <v>2292.7840000000001</v>
      </c>
      <c r="K10" s="58">
        <v>3053.3710000000001</v>
      </c>
      <c r="L10" s="354">
        <v>2</v>
      </c>
      <c r="M10" s="352">
        <v>11.2</v>
      </c>
      <c r="N10" s="41" t="s">
        <v>481</v>
      </c>
      <c r="O10" s="41">
        <v>20</v>
      </c>
      <c r="P10" s="354">
        <v>2</v>
      </c>
      <c r="Q10" s="41">
        <v>14.9</v>
      </c>
      <c r="R10" s="41" t="s">
        <v>481</v>
      </c>
      <c r="S10" s="41">
        <v>28</v>
      </c>
      <c r="T10" s="46">
        <v>22.047244094488189</v>
      </c>
      <c r="U10" s="46">
        <v>80.944881889763778</v>
      </c>
      <c r="V10" s="47">
        <v>0.92567893594344441</v>
      </c>
    </row>
    <row r="11" spans="1:23">
      <c r="A11" s="27">
        <v>5</v>
      </c>
      <c r="B11" s="42" t="str">
        <f t="shared" si="0"/>
        <v>AGCO ALLIS 5670/6670-12 SP  MFWD________ 63 pto hp</v>
      </c>
      <c r="C11" s="352">
        <v>63.120869999999996</v>
      </c>
      <c r="D11" s="42" t="s">
        <v>726</v>
      </c>
      <c r="E11" s="42" t="s">
        <v>731</v>
      </c>
      <c r="F11" s="42" t="s">
        <v>497</v>
      </c>
      <c r="G11" s="291"/>
      <c r="H11" s="353">
        <v>5091</v>
      </c>
      <c r="I11" s="38">
        <v>0</v>
      </c>
      <c r="J11" s="58">
        <v>2755.75</v>
      </c>
      <c r="K11" s="58">
        <v>3791.9120000000003</v>
      </c>
      <c r="L11" s="354">
        <v>2</v>
      </c>
      <c r="M11" s="352">
        <v>12.4</v>
      </c>
      <c r="N11" s="41" t="s">
        <v>481</v>
      </c>
      <c r="O11" s="41">
        <v>24</v>
      </c>
      <c r="P11" s="354">
        <v>2</v>
      </c>
      <c r="Q11" s="41">
        <v>16.899999999999999</v>
      </c>
      <c r="R11" s="41" t="s">
        <v>481</v>
      </c>
      <c r="S11" s="41">
        <v>30</v>
      </c>
      <c r="T11" s="46">
        <v>22.440944881889767</v>
      </c>
      <c r="U11" s="46">
        <v>89.763779527559066</v>
      </c>
      <c r="V11" s="47">
        <v>0.95312631404101622</v>
      </c>
    </row>
    <row r="12" spans="1:23">
      <c r="A12" s="27">
        <v>6</v>
      </c>
      <c r="B12" s="42" t="str">
        <f t="shared" si="0"/>
        <v>AGCO ALLIS 8745-16 SP  2WD______________ 71 pto hp</v>
      </c>
      <c r="C12" s="352">
        <v>70.536600000000007</v>
      </c>
      <c r="D12" s="42" t="s">
        <v>726</v>
      </c>
      <c r="E12" s="42" t="s">
        <v>732</v>
      </c>
      <c r="F12" s="42" t="s">
        <v>507</v>
      </c>
      <c r="G12" s="291"/>
      <c r="H12" s="353">
        <v>1767</v>
      </c>
      <c r="I12" s="38" t="s">
        <v>2</v>
      </c>
      <c r="J12" s="58">
        <v>3064.3940000000002</v>
      </c>
      <c r="K12" s="58">
        <v>4905.2350000000006</v>
      </c>
      <c r="L12" s="354">
        <v>2</v>
      </c>
      <c r="M12" s="352">
        <v>9.5</v>
      </c>
      <c r="N12" s="354" t="s">
        <v>499</v>
      </c>
      <c r="O12" s="41">
        <v>15</v>
      </c>
      <c r="P12" s="354">
        <v>2</v>
      </c>
      <c r="Q12" s="41">
        <v>18.399999999999999</v>
      </c>
      <c r="R12" s="41" t="s">
        <v>481</v>
      </c>
      <c r="S12" s="41">
        <v>30</v>
      </c>
      <c r="T12" s="46">
        <v>15.94488188976378</v>
      </c>
      <c r="U12" s="46">
        <v>98.818897637795274</v>
      </c>
      <c r="V12" s="47">
        <v>0.92</v>
      </c>
    </row>
    <row r="13" spans="1:23">
      <c r="A13" s="27">
        <v>7</v>
      </c>
      <c r="B13" s="42" t="str">
        <f t="shared" si="0"/>
        <v>AGCO ALLIS 5680/6680-12 SP  MFWD________ 73 pto hp</v>
      </c>
      <c r="C13" s="352">
        <v>72.682200000000009</v>
      </c>
      <c r="D13" s="42" t="s">
        <v>726</v>
      </c>
      <c r="E13" s="42" t="s">
        <v>733</v>
      </c>
      <c r="F13" s="42" t="s">
        <v>497</v>
      </c>
      <c r="G13" s="291"/>
      <c r="H13" s="353">
        <v>5092</v>
      </c>
      <c r="I13" s="38">
        <v>0</v>
      </c>
      <c r="J13" s="58">
        <v>3031.3250000000003</v>
      </c>
      <c r="K13" s="58">
        <v>4298.97</v>
      </c>
      <c r="L13" s="354">
        <v>2</v>
      </c>
      <c r="M13" s="352">
        <v>14.9</v>
      </c>
      <c r="N13" s="41" t="s">
        <v>481</v>
      </c>
      <c r="O13" s="41">
        <v>24</v>
      </c>
      <c r="P13" s="354">
        <v>2</v>
      </c>
      <c r="Q13" s="41">
        <v>16.899999999999999</v>
      </c>
      <c r="R13" s="41" t="s">
        <v>481</v>
      </c>
      <c r="S13" s="41">
        <v>34</v>
      </c>
      <c r="T13" s="46">
        <v>17.716535433070867</v>
      </c>
      <c r="U13" s="46">
        <v>91.338582677165363</v>
      </c>
      <c r="V13" s="47">
        <v>0.92353181830385311</v>
      </c>
    </row>
    <row r="14" spans="1:23">
      <c r="A14" s="27">
        <v>8</v>
      </c>
      <c r="B14" s="42" t="str">
        <f t="shared" si="0"/>
        <v>AGCO ALLIS 6690-12 SP  MFWD_____________ 81 pto hp</v>
      </c>
      <c r="C14" s="352">
        <v>80.848889999999997</v>
      </c>
      <c r="D14" s="42" t="s">
        <v>726</v>
      </c>
      <c r="E14" s="42" t="s">
        <v>734</v>
      </c>
      <c r="F14" s="42" t="s">
        <v>497</v>
      </c>
      <c r="G14" s="291"/>
      <c r="H14" s="353">
        <v>5093</v>
      </c>
      <c r="I14" s="38">
        <v>0</v>
      </c>
      <c r="J14" s="58">
        <v>3031.3250000000003</v>
      </c>
      <c r="K14" s="58">
        <v>4298.97</v>
      </c>
      <c r="L14" s="354">
        <v>2</v>
      </c>
      <c r="M14" s="352">
        <v>13.6</v>
      </c>
      <c r="N14" s="41" t="s">
        <v>481</v>
      </c>
      <c r="O14" s="41">
        <v>28</v>
      </c>
      <c r="P14" s="354">
        <v>2</v>
      </c>
      <c r="Q14" s="41">
        <v>18.399999999999999</v>
      </c>
      <c r="R14" s="41" t="s">
        <v>481</v>
      </c>
      <c r="S14" s="41">
        <v>34</v>
      </c>
      <c r="T14" s="46">
        <v>20.669291338582678</v>
      </c>
      <c r="U14" s="46">
        <v>91.338582677165363</v>
      </c>
      <c r="V14" s="47">
        <v>0.91635749713430181</v>
      </c>
    </row>
    <row r="15" spans="1:23">
      <c r="A15" s="27">
        <v>9</v>
      </c>
      <c r="B15" s="42" t="str">
        <f t="shared" si="0"/>
        <v>AGCO ALLIS 8765-16 SP  MFWD_____________ 85 pto hp</v>
      </c>
      <c r="C15" s="352">
        <v>85.394880000000001</v>
      </c>
      <c r="D15" s="42" t="s">
        <v>726</v>
      </c>
      <c r="E15" s="42" t="s">
        <v>735</v>
      </c>
      <c r="F15" s="42" t="s">
        <v>497</v>
      </c>
      <c r="G15" s="291"/>
      <c r="H15" s="353">
        <v>1768</v>
      </c>
      <c r="I15" s="38" t="s">
        <v>2</v>
      </c>
      <c r="J15" s="58">
        <v>3699.3188</v>
      </c>
      <c r="K15" s="58">
        <v>5119.0812000000005</v>
      </c>
      <c r="L15" s="354">
        <v>2</v>
      </c>
      <c r="M15" s="352">
        <v>14.9</v>
      </c>
      <c r="N15" s="41" t="s">
        <v>481</v>
      </c>
      <c r="O15" s="41">
        <v>24</v>
      </c>
      <c r="P15" s="354">
        <v>2</v>
      </c>
      <c r="Q15" s="41">
        <v>18.399999999999999</v>
      </c>
      <c r="R15" s="41" t="s">
        <v>481</v>
      </c>
      <c r="S15" s="41">
        <v>34</v>
      </c>
      <c r="T15" s="46">
        <v>15.94488188976378</v>
      </c>
      <c r="U15" s="46">
        <v>98.937007874015748</v>
      </c>
      <c r="V15" s="47">
        <v>0.92</v>
      </c>
    </row>
    <row r="16" spans="1:23">
      <c r="A16" s="27">
        <v>10</v>
      </c>
      <c r="B16" s="42" t="str">
        <f t="shared" si="0"/>
        <v>AGCO ALLIS 7600(A,C,CA)-24 SP  MFWD_____ 89 pto hp</v>
      </c>
      <c r="C16" s="352">
        <v>89.230140000000006</v>
      </c>
      <c r="D16" s="42" t="s">
        <v>726</v>
      </c>
      <c r="E16" s="42" t="s">
        <v>736</v>
      </c>
      <c r="F16" s="42" t="s">
        <v>497</v>
      </c>
      <c r="G16" s="291"/>
      <c r="H16" s="353">
        <v>5112</v>
      </c>
      <c r="I16" s="38" t="s">
        <v>556</v>
      </c>
      <c r="J16" s="58">
        <v>4100.5560000000005</v>
      </c>
      <c r="K16" s="58">
        <v>5599.6840000000002</v>
      </c>
      <c r="L16" s="354">
        <v>2</v>
      </c>
      <c r="M16" s="352">
        <v>14.9</v>
      </c>
      <c r="N16" s="41" t="s">
        <v>481</v>
      </c>
      <c r="O16" s="41">
        <v>28</v>
      </c>
      <c r="P16" s="354">
        <v>2</v>
      </c>
      <c r="Q16" s="41">
        <v>16.899999999999999</v>
      </c>
      <c r="R16" s="41" t="s">
        <v>481</v>
      </c>
      <c r="S16" s="41">
        <v>38</v>
      </c>
      <c r="T16" s="46">
        <v>27.952755905511811</v>
      </c>
      <c r="U16" s="46">
        <v>102.36220472440945</v>
      </c>
      <c r="V16" s="47">
        <v>0.94901880778267378</v>
      </c>
    </row>
    <row r="17" spans="1:22">
      <c r="A17" s="27">
        <v>11</v>
      </c>
      <c r="B17" s="42" t="str">
        <f t="shared" si="0"/>
        <v>AGCO ALLIS 8775-32 SP, PPS  MFWD________ 97 pto hp</v>
      </c>
      <c r="C17" s="352">
        <v>96.592230000000001</v>
      </c>
      <c r="D17" s="42" t="s">
        <v>726</v>
      </c>
      <c r="E17" s="42" t="s">
        <v>737</v>
      </c>
      <c r="F17" s="42" t="s">
        <v>497</v>
      </c>
      <c r="G17" s="291"/>
      <c r="H17" s="353">
        <v>1779</v>
      </c>
      <c r="I17" s="38" t="s">
        <v>2</v>
      </c>
      <c r="J17" s="58">
        <v>4409.2</v>
      </c>
      <c r="K17" s="58">
        <v>6735.0530000000008</v>
      </c>
      <c r="L17" s="354">
        <v>2</v>
      </c>
      <c r="M17" s="352">
        <v>13.6</v>
      </c>
      <c r="N17" s="41" t="s">
        <v>481</v>
      </c>
      <c r="O17" s="41">
        <v>28</v>
      </c>
      <c r="P17" s="354">
        <v>2</v>
      </c>
      <c r="Q17" s="41">
        <v>18.399999999999999</v>
      </c>
      <c r="R17" s="41" t="s">
        <v>481</v>
      </c>
      <c r="S17" s="41">
        <v>38</v>
      </c>
      <c r="T17" s="46">
        <v>15.94488188976378</v>
      </c>
      <c r="U17" s="46">
        <v>112.5984251968504</v>
      </c>
      <c r="V17" s="47">
        <v>0.92</v>
      </c>
    </row>
    <row r="18" spans="1:22">
      <c r="A18" s="27">
        <v>12</v>
      </c>
      <c r="B18" s="42" t="str">
        <f t="shared" si="0"/>
        <v>AGCO ALLIS 8610-24 SP  MFWD_____________ 103 pto hp</v>
      </c>
      <c r="C18" s="352">
        <v>103.1229</v>
      </c>
      <c r="D18" s="42" t="s">
        <v>726</v>
      </c>
      <c r="E18" s="42" t="s">
        <v>738</v>
      </c>
      <c r="F18" s="42" t="s">
        <v>497</v>
      </c>
      <c r="G18" s="291"/>
      <c r="H18" s="353">
        <v>5094</v>
      </c>
      <c r="I18" s="38" t="s">
        <v>556</v>
      </c>
      <c r="J18" s="58">
        <v>4464.3150000000005</v>
      </c>
      <c r="K18" s="58">
        <v>6404.3630000000003</v>
      </c>
      <c r="L18" s="354">
        <v>2</v>
      </c>
      <c r="M18" s="352">
        <v>14.9</v>
      </c>
      <c r="N18" s="41" t="s">
        <v>481</v>
      </c>
      <c r="O18" s="41">
        <v>30</v>
      </c>
      <c r="P18" s="354">
        <v>2</v>
      </c>
      <c r="Q18" s="41">
        <v>18.399999999999999</v>
      </c>
      <c r="R18" s="41" t="s">
        <v>481</v>
      </c>
      <c r="S18" s="41">
        <v>38</v>
      </c>
      <c r="T18" s="46">
        <v>22.362204724409452</v>
      </c>
      <c r="U18" s="46">
        <v>108.26771653543308</v>
      </c>
      <c r="V18" s="47">
        <v>0.87368855314675298</v>
      </c>
    </row>
    <row r="19" spans="1:22">
      <c r="A19" s="27">
        <v>13</v>
      </c>
      <c r="B19" s="42" t="str">
        <f t="shared" si="0"/>
        <v>AGCO ALLIS 8785-32 SP, PPS  MFWD________ 112 pto hp</v>
      </c>
      <c r="C19" s="352">
        <v>112.33556999999999</v>
      </c>
      <c r="D19" s="42" t="s">
        <v>726</v>
      </c>
      <c r="E19" s="42" t="s">
        <v>739</v>
      </c>
      <c r="F19" s="42" t="s">
        <v>497</v>
      </c>
      <c r="G19" s="291"/>
      <c r="H19" s="353">
        <v>1780</v>
      </c>
      <c r="I19" s="38" t="s">
        <v>2</v>
      </c>
      <c r="J19" s="58">
        <v>4506.2024000000001</v>
      </c>
      <c r="K19" s="58">
        <v>8119.5418000000009</v>
      </c>
      <c r="L19" s="354">
        <v>2</v>
      </c>
      <c r="M19" s="352">
        <v>14.9</v>
      </c>
      <c r="N19" s="41" t="s">
        <v>481</v>
      </c>
      <c r="O19" s="41">
        <v>28</v>
      </c>
      <c r="P19" s="354">
        <v>2</v>
      </c>
      <c r="Q19" s="41">
        <v>18.399999999999999</v>
      </c>
      <c r="R19" s="41" t="s">
        <v>481</v>
      </c>
      <c r="S19" s="41">
        <v>38</v>
      </c>
      <c r="T19" s="46">
        <v>15.94488188976378</v>
      </c>
      <c r="U19" s="46">
        <v>112.5984251968504</v>
      </c>
      <c r="V19" s="47">
        <v>0.92</v>
      </c>
    </row>
    <row r="20" spans="1:22">
      <c r="A20" s="27">
        <v>14</v>
      </c>
      <c r="B20" s="42" t="str">
        <f t="shared" si="0"/>
        <v>AGCO ALLIS 8630CA-48 SP  MFWD___________ 120 pto hp</v>
      </c>
      <c r="C20" s="352">
        <v>119.6172</v>
      </c>
      <c r="D20" s="42" t="s">
        <v>726</v>
      </c>
      <c r="E20" s="42" t="s">
        <v>740</v>
      </c>
      <c r="F20" s="42" t="s">
        <v>497</v>
      </c>
      <c r="G20" s="291"/>
      <c r="H20" s="353">
        <v>5095</v>
      </c>
      <c r="I20" s="38" t="s">
        <v>556</v>
      </c>
      <c r="J20" s="58">
        <v>4806.0280000000002</v>
      </c>
      <c r="K20" s="58">
        <v>6294.1330000000007</v>
      </c>
      <c r="L20" s="354">
        <v>2</v>
      </c>
      <c r="M20" s="352">
        <v>16.899999999999999</v>
      </c>
      <c r="N20" s="41" t="s">
        <v>481</v>
      </c>
      <c r="O20" s="41">
        <v>30</v>
      </c>
      <c r="P20" s="354">
        <v>2</v>
      </c>
      <c r="Q20" s="41">
        <v>20.8</v>
      </c>
      <c r="R20" s="41" t="s">
        <v>481</v>
      </c>
      <c r="S20" s="41">
        <v>38</v>
      </c>
      <c r="T20" s="46">
        <v>26.377952755905515</v>
      </c>
      <c r="U20" s="46">
        <v>108.26771653543308</v>
      </c>
      <c r="V20" s="47">
        <v>0.88281618362576619</v>
      </c>
    </row>
    <row r="21" spans="1:22">
      <c r="A21" s="27">
        <v>15</v>
      </c>
      <c r="B21" s="42" t="str">
        <f t="shared" si="0"/>
        <v>AGCO ALLIS 9735-32-SP, PPS  MFWD________ 126 pto hp</v>
      </c>
      <c r="C21" s="352">
        <v>125.58465000000001</v>
      </c>
      <c r="D21" s="42" t="s">
        <v>726</v>
      </c>
      <c r="E21" s="42" t="s">
        <v>741</v>
      </c>
      <c r="F21" s="42" t="s">
        <v>497</v>
      </c>
      <c r="G21" s="291"/>
      <c r="H21" s="353">
        <v>5272</v>
      </c>
      <c r="I21" s="38" t="s">
        <v>583</v>
      </c>
      <c r="J21" s="58">
        <v>5599.6840000000002</v>
      </c>
      <c r="K21" s="58">
        <v>10630.581200000001</v>
      </c>
      <c r="L21" s="354">
        <v>2</v>
      </c>
      <c r="M21" s="352">
        <v>14.9</v>
      </c>
      <c r="N21" s="41" t="s">
        <v>481</v>
      </c>
      <c r="O21" s="41">
        <v>30</v>
      </c>
      <c r="P21" s="354">
        <v>4</v>
      </c>
      <c r="Q21" s="41">
        <v>18.399999999999999</v>
      </c>
      <c r="R21" s="41" t="s">
        <v>481</v>
      </c>
      <c r="S21" s="41">
        <v>42</v>
      </c>
      <c r="T21" s="46">
        <v>20.078740157480315</v>
      </c>
      <c r="U21" s="46">
        <v>117.51968503937009</v>
      </c>
      <c r="V21" s="47">
        <v>0.98247503802243152</v>
      </c>
    </row>
    <row r="22" spans="1:22">
      <c r="A22" s="27">
        <v>16</v>
      </c>
      <c r="B22" s="42" t="str">
        <f t="shared" si="0"/>
        <v>AGCO ALLIS 7650CA-12 SP  MFWD___________ 128 pto hp</v>
      </c>
      <c r="C22" s="352">
        <v>128.37393</v>
      </c>
      <c r="D22" s="42" t="s">
        <v>726</v>
      </c>
      <c r="E22" s="42" t="s">
        <v>742</v>
      </c>
      <c r="F22" s="42" t="s">
        <v>497</v>
      </c>
      <c r="G22" s="291"/>
      <c r="H22" s="353">
        <v>5113</v>
      </c>
      <c r="I22" s="38" t="s">
        <v>556</v>
      </c>
      <c r="J22" s="58">
        <v>5026.4880000000003</v>
      </c>
      <c r="K22" s="58">
        <v>7297.2260000000006</v>
      </c>
      <c r="L22" s="354">
        <v>2</v>
      </c>
      <c r="M22" s="352">
        <v>16.899999999999999</v>
      </c>
      <c r="N22" s="41" t="s">
        <v>481</v>
      </c>
      <c r="O22" s="41">
        <v>30</v>
      </c>
      <c r="P22" s="354">
        <v>2</v>
      </c>
      <c r="Q22" s="41">
        <v>20.8</v>
      </c>
      <c r="R22" s="41" t="s">
        <v>481</v>
      </c>
      <c r="S22" s="41">
        <v>38</v>
      </c>
      <c r="T22" s="46">
        <v>31.102362204724411</v>
      </c>
      <c r="U22" s="46">
        <v>112.5984251968504</v>
      </c>
      <c r="V22" s="47">
        <v>0.93081120046641774</v>
      </c>
    </row>
    <row r="23" spans="1:22">
      <c r="A23" s="27">
        <v>17</v>
      </c>
      <c r="B23" s="42" t="str">
        <f t="shared" ref="B23:B31" si="1">CONCATENATE( LEFT(CONCATENATE(D23," ",E23," ",G23," ",F23,$W$5),40)," ",FIXED(C23,0)," pto hp")</f>
        <v>AGCO ALLIS 9635-18 SP  MFWD_____________ 135 pto hp</v>
      </c>
      <c r="C23" s="352">
        <v>135.49464</v>
      </c>
      <c r="D23" s="42" t="s">
        <v>726</v>
      </c>
      <c r="E23" s="42" t="s">
        <v>743</v>
      </c>
      <c r="F23" s="42" t="s">
        <v>497</v>
      </c>
      <c r="G23" s="291"/>
      <c r="H23" s="353">
        <v>5185</v>
      </c>
      <c r="I23" s="38" t="s">
        <v>583</v>
      </c>
      <c r="J23" s="58">
        <v>6100.1282000000001</v>
      </c>
      <c r="K23" s="58">
        <v>11543.285600000001</v>
      </c>
      <c r="L23" s="354">
        <v>2</v>
      </c>
      <c r="M23" s="352">
        <v>16.899999999999999</v>
      </c>
      <c r="N23" s="41" t="s">
        <v>481</v>
      </c>
      <c r="O23" s="41">
        <v>28</v>
      </c>
      <c r="P23" s="354">
        <v>4</v>
      </c>
      <c r="Q23" s="41">
        <v>18.399999999999999</v>
      </c>
      <c r="R23" s="41" t="s">
        <v>481</v>
      </c>
      <c r="S23" s="41">
        <v>42</v>
      </c>
      <c r="T23" s="46">
        <v>23.425196850393704</v>
      </c>
      <c r="U23" s="46">
        <v>115.98425196850394</v>
      </c>
      <c r="V23" s="47">
        <v>0.90750572983670907</v>
      </c>
    </row>
    <row r="24" spans="1:22">
      <c r="A24" s="27">
        <v>18</v>
      </c>
      <c r="B24" s="42" t="str">
        <f t="shared" si="1"/>
        <v>AGCO ALLIS 9435-PPS 32 SP  MFWD_________ 136 pto hp</v>
      </c>
      <c r="C24" s="352">
        <v>135.69578999999999</v>
      </c>
      <c r="D24" s="42" t="s">
        <v>726</v>
      </c>
      <c r="E24" s="42" t="s">
        <v>744</v>
      </c>
      <c r="F24" s="42" t="s">
        <v>497</v>
      </c>
      <c r="G24" s="291"/>
      <c r="H24" s="353">
        <v>5178</v>
      </c>
      <c r="I24" s="38" t="s">
        <v>583</v>
      </c>
      <c r="J24" s="58">
        <v>5628.3438000000006</v>
      </c>
      <c r="K24" s="58">
        <v>10086.045</v>
      </c>
      <c r="L24" s="354">
        <v>2</v>
      </c>
      <c r="M24" s="352">
        <v>14.9</v>
      </c>
      <c r="N24" s="41" t="s">
        <v>481</v>
      </c>
      <c r="O24" s="41">
        <v>30</v>
      </c>
      <c r="P24" s="354">
        <v>4</v>
      </c>
      <c r="Q24" s="41">
        <v>18.399999999999999</v>
      </c>
      <c r="R24" s="41" t="s">
        <v>481</v>
      </c>
      <c r="S24" s="41">
        <v>42</v>
      </c>
      <c r="T24" s="46">
        <v>25</v>
      </c>
      <c r="U24" s="46">
        <v>116.49606299212599</v>
      </c>
      <c r="V24" s="47">
        <v>0.95770662270919948</v>
      </c>
    </row>
    <row r="25" spans="1:22">
      <c r="A25" s="27">
        <v>19</v>
      </c>
      <c r="B25" s="42" t="str">
        <f t="shared" si="1"/>
        <v>AGCO ALLIS 9630-18 SP  MFWD_____________ 136 pto hp</v>
      </c>
      <c r="C25" s="352">
        <v>135.74942999999999</v>
      </c>
      <c r="D25" s="42" t="s">
        <v>726</v>
      </c>
      <c r="E25" s="42" t="s">
        <v>745</v>
      </c>
      <c r="F25" s="42" t="s">
        <v>497</v>
      </c>
      <c r="G25" s="291"/>
      <c r="H25" s="353">
        <v>5146</v>
      </c>
      <c r="I25" s="38" t="s">
        <v>499</v>
      </c>
      <c r="J25" s="58">
        <v>5762.8244000000004</v>
      </c>
      <c r="K25" s="58">
        <v>11433.055600000002</v>
      </c>
      <c r="L25" s="354">
        <v>2</v>
      </c>
      <c r="M25" s="352">
        <v>16.899999999999999</v>
      </c>
      <c r="N25" s="41" t="s">
        <v>481</v>
      </c>
      <c r="O25" s="41">
        <v>28</v>
      </c>
      <c r="P25" s="354">
        <v>2</v>
      </c>
      <c r="Q25" s="41">
        <v>18.399999999999999</v>
      </c>
      <c r="R25" s="41" t="s">
        <v>481</v>
      </c>
      <c r="S25" s="41">
        <v>42</v>
      </c>
      <c r="T25" s="46">
        <v>20.472440944881892</v>
      </c>
      <c r="U25" s="46">
        <v>116.92913385826772</v>
      </c>
      <c r="V25" s="47">
        <v>0.95573543506253056</v>
      </c>
    </row>
    <row r="26" spans="1:22">
      <c r="A26" s="27">
        <v>20</v>
      </c>
      <c r="B26" s="42" t="str">
        <f t="shared" si="1"/>
        <v>AGCO ALLIS 9745-18-SP, PPS  MFWD________ 146 pto hp</v>
      </c>
      <c r="C26" s="352">
        <v>145.99467000000001</v>
      </c>
      <c r="D26" s="42" t="s">
        <v>726</v>
      </c>
      <c r="E26" s="42" t="s">
        <v>746</v>
      </c>
      <c r="F26" s="42" t="s">
        <v>497</v>
      </c>
      <c r="G26" s="291"/>
      <c r="H26" s="353">
        <v>5270</v>
      </c>
      <c r="I26" s="38" t="s">
        <v>500</v>
      </c>
      <c r="J26" s="58">
        <v>5919.3510000000006</v>
      </c>
      <c r="K26" s="58">
        <v>11014.1816</v>
      </c>
      <c r="L26" s="354">
        <v>2</v>
      </c>
      <c r="M26" s="352">
        <v>14.9</v>
      </c>
      <c r="N26" s="41" t="s">
        <v>481</v>
      </c>
      <c r="O26" s="41">
        <v>28</v>
      </c>
      <c r="P26" s="354">
        <v>4</v>
      </c>
      <c r="Q26" s="41">
        <v>18.399999999999999</v>
      </c>
      <c r="R26" s="41" t="s">
        <v>481</v>
      </c>
      <c r="S26" s="41">
        <v>42</v>
      </c>
      <c r="T26" s="46">
        <v>20.078740157480315</v>
      </c>
      <c r="U26" s="46">
        <v>117.51968503937009</v>
      </c>
      <c r="V26" s="47">
        <v>0.95856887067141505</v>
      </c>
    </row>
    <row r="27" spans="1:22">
      <c r="A27" s="27">
        <v>21</v>
      </c>
      <c r="B27" s="42" t="str">
        <f t="shared" si="1"/>
        <v>AGCO ALLIS 9455-PPS 32 SP  MFWD_________ 156 pto hp</v>
      </c>
      <c r="C27" s="352">
        <v>155.55599999999998</v>
      </c>
      <c r="D27" s="42" t="s">
        <v>726</v>
      </c>
      <c r="E27" s="42" t="s">
        <v>747</v>
      </c>
      <c r="F27" s="42" t="s">
        <v>497</v>
      </c>
      <c r="G27" s="291"/>
      <c r="H27" s="353">
        <v>5179</v>
      </c>
      <c r="I27" s="38" t="s">
        <v>583</v>
      </c>
      <c r="J27" s="58">
        <v>5626.1392000000005</v>
      </c>
      <c r="K27" s="58">
        <v>10319.732600000001</v>
      </c>
      <c r="L27" s="354">
        <v>2</v>
      </c>
      <c r="M27" s="352">
        <v>14.9</v>
      </c>
      <c r="N27" s="41" t="s">
        <v>481</v>
      </c>
      <c r="O27" s="41">
        <v>30</v>
      </c>
      <c r="P27" s="354">
        <v>4</v>
      </c>
      <c r="Q27" s="41">
        <v>18.399999999999999</v>
      </c>
      <c r="R27" s="41" t="s">
        <v>481</v>
      </c>
      <c r="S27" s="41">
        <v>42</v>
      </c>
      <c r="T27" s="46">
        <v>25</v>
      </c>
      <c r="U27" s="46">
        <v>116.49606299212599</v>
      </c>
      <c r="V27" s="47">
        <v>0.94447606597571898</v>
      </c>
    </row>
    <row r="28" spans="1:22">
      <c r="A28" s="27">
        <v>22</v>
      </c>
      <c r="B28" s="42" t="str">
        <f t="shared" si="1"/>
        <v>AGCO ALLIS 9655-18 SP  MFWD_____________ 156 pto hp</v>
      </c>
      <c r="C28" s="352">
        <v>155.66327999999999</v>
      </c>
      <c r="D28" s="42" t="s">
        <v>726</v>
      </c>
      <c r="E28" s="42" t="s">
        <v>748</v>
      </c>
      <c r="F28" s="42" t="s">
        <v>497</v>
      </c>
      <c r="G28" s="291"/>
      <c r="H28" s="353">
        <v>5186</v>
      </c>
      <c r="I28" s="38" t="s">
        <v>583</v>
      </c>
      <c r="J28" s="58">
        <v>6080.2868000000008</v>
      </c>
      <c r="K28" s="58">
        <v>11589.582200000001</v>
      </c>
      <c r="L28" s="354">
        <v>2</v>
      </c>
      <c r="M28" s="352">
        <v>16.899999999999999</v>
      </c>
      <c r="N28" s="41" t="s">
        <v>481</v>
      </c>
      <c r="O28" s="41">
        <v>28</v>
      </c>
      <c r="P28" s="354">
        <v>4</v>
      </c>
      <c r="Q28" s="41">
        <v>18.399999999999999</v>
      </c>
      <c r="R28" s="41" t="s">
        <v>481</v>
      </c>
      <c r="S28" s="41">
        <v>42</v>
      </c>
      <c r="T28" s="46">
        <v>24.015748031496063</v>
      </c>
      <c r="U28" s="46">
        <v>115.98425196850394</v>
      </c>
      <c r="V28" s="47">
        <v>0.9088223649808117</v>
      </c>
    </row>
    <row r="29" spans="1:22">
      <c r="A29" s="27">
        <v>23</v>
      </c>
      <c r="B29" s="42" t="str">
        <f t="shared" si="1"/>
        <v>AGCO ALLIS 9650-18 SP  MFWD_____________ 156 pto hp</v>
      </c>
      <c r="C29" s="352">
        <v>155.93147999999999</v>
      </c>
      <c r="D29" s="42" t="s">
        <v>726</v>
      </c>
      <c r="E29" s="42" t="s">
        <v>749</v>
      </c>
      <c r="F29" s="42" t="s">
        <v>497</v>
      </c>
      <c r="G29" s="291"/>
      <c r="H29" s="353">
        <v>5147</v>
      </c>
      <c r="I29" s="38" t="s">
        <v>499</v>
      </c>
      <c r="J29" s="58">
        <v>5809.1210000000001</v>
      </c>
      <c r="K29" s="58">
        <v>11413.2142</v>
      </c>
      <c r="L29" s="354">
        <v>2</v>
      </c>
      <c r="M29" s="352">
        <v>16.899999999999999</v>
      </c>
      <c r="N29" s="41" t="s">
        <v>481</v>
      </c>
      <c r="O29" s="41">
        <v>28</v>
      </c>
      <c r="P29" s="354">
        <v>2</v>
      </c>
      <c r="Q29" s="41">
        <v>18.399999999999999</v>
      </c>
      <c r="R29" s="41" t="s">
        <v>481</v>
      </c>
      <c r="S29" s="41">
        <v>42</v>
      </c>
      <c r="T29" s="46">
        <v>20.472440944881892</v>
      </c>
      <c r="U29" s="46">
        <v>117.00787401574804</v>
      </c>
      <c r="V29" s="47">
        <v>0.95696918686093158</v>
      </c>
    </row>
    <row r="30" spans="1:22">
      <c r="A30" s="27">
        <v>24</v>
      </c>
      <c r="B30" s="42" t="str">
        <f t="shared" si="1"/>
        <v>AGCO ALLIS 9755-18-SP, PPS  MFWD________ 163 pto hp</v>
      </c>
      <c r="C30" s="352">
        <v>163.45448999999999</v>
      </c>
      <c r="D30" s="42" t="s">
        <v>726</v>
      </c>
      <c r="E30" s="42" t="s">
        <v>750</v>
      </c>
      <c r="F30" s="42" t="s">
        <v>497</v>
      </c>
      <c r="G30" s="291"/>
      <c r="H30" s="353" t="s">
        <v>751</v>
      </c>
      <c r="I30" s="38" t="s">
        <v>2</v>
      </c>
      <c r="J30" s="58">
        <v>7299.4306000000006</v>
      </c>
      <c r="K30" s="58">
        <v>12054.7528</v>
      </c>
      <c r="L30" s="354">
        <v>2</v>
      </c>
      <c r="M30" s="352">
        <v>14.9</v>
      </c>
      <c r="N30" s="41" t="s">
        <v>481</v>
      </c>
      <c r="O30" s="41">
        <v>30</v>
      </c>
      <c r="P30" s="354">
        <v>2</v>
      </c>
      <c r="Q30" s="41">
        <v>18.399999999999999</v>
      </c>
      <c r="R30" s="41" t="s">
        <v>481</v>
      </c>
      <c r="S30" s="41">
        <v>42</v>
      </c>
      <c r="T30" s="46">
        <v>17.913385826771655</v>
      </c>
      <c r="U30" s="46">
        <v>112.51968503937009</v>
      </c>
      <c r="V30" s="47">
        <v>0.92</v>
      </c>
    </row>
    <row r="31" spans="1:22">
      <c r="A31" s="27">
        <v>25</v>
      </c>
      <c r="B31" s="42" t="str">
        <f t="shared" si="1"/>
        <v>AGCO ALLIS 9670-18 SP  MFWD_____________ 175 pto hp</v>
      </c>
      <c r="C31" s="352">
        <v>175.18823999999998</v>
      </c>
      <c r="D31" s="42" t="s">
        <v>726</v>
      </c>
      <c r="E31" s="42" t="s">
        <v>752</v>
      </c>
      <c r="F31" s="42" t="s">
        <v>497</v>
      </c>
      <c r="G31" s="291"/>
      <c r="H31" s="353">
        <v>5167</v>
      </c>
      <c r="I31" s="38" t="s">
        <v>499</v>
      </c>
      <c r="J31" s="58">
        <v>7588.2332000000006</v>
      </c>
      <c r="K31" s="58">
        <v>11975.387200000001</v>
      </c>
      <c r="L31" s="354">
        <v>2</v>
      </c>
      <c r="M31" s="352">
        <v>16.899999999999999</v>
      </c>
      <c r="N31" s="41" t="s">
        <v>481</v>
      </c>
      <c r="O31" s="41">
        <v>30</v>
      </c>
      <c r="P31" s="354">
        <v>2</v>
      </c>
      <c r="Q31" s="41">
        <v>18.399999999999999</v>
      </c>
      <c r="R31" s="41" t="s">
        <v>481</v>
      </c>
      <c r="S31" s="41">
        <v>46</v>
      </c>
      <c r="T31" s="46">
        <v>16.929133858267718</v>
      </c>
      <c r="U31" s="46">
        <v>115</v>
      </c>
      <c r="V31" s="47">
        <v>0.93940650909543333</v>
      </c>
    </row>
    <row r="32" spans="1:22">
      <c r="A32" s="27">
        <v>26</v>
      </c>
      <c r="B32" s="42" t="str">
        <f>CONCATENATE( LEFT(CONCATENATE(D32," ",E32," ",G32," ",F32,$W$5),40)," ",FIXED(C32,0)," pto hp")</f>
        <v>AGCO ALLIS 9675-18 SP  MFWD_____________ 176 pto hp</v>
      </c>
      <c r="C32" s="352">
        <v>176.43536999999998</v>
      </c>
      <c r="D32" s="42" t="s">
        <v>726</v>
      </c>
      <c r="E32" s="42" t="s">
        <v>753</v>
      </c>
      <c r="F32" s="42" t="s">
        <v>497</v>
      </c>
      <c r="G32" s="291"/>
      <c r="H32" s="353">
        <v>5187</v>
      </c>
      <c r="I32" s="38" t="s">
        <v>583</v>
      </c>
      <c r="J32" s="58">
        <v>6735.0530000000008</v>
      </c>
      <c r="K32" s="58">
        <v>12193.642600000001</v>
      </c>
      <c r="L32" s="354">
        <v>2</v>
      </c>
      <c r="M32" s="352">
        <v>14.9</v>
      </c>
      <c r="N32" s="41" t="s">
        <v>481</v>
      </c>
      <c r="O32" s="41">
        <v>34</v>
      </c>
      <c r="P32" s="354">
        <v>4</v>
      </c>
      <c r="Q32" s="41">
        <v>18.399999999999999</v>
      </c>
      <c r="R32" s="41" t="s">
        <v>481</v>
      </c>
      <c r="S32" s="41">
        <v>46</v>
      </c>
      <c r="T32" s="46">
        <v>25.984251968503937</v>
      </c>
      <c r="U32" s="46">
        <v>115.98425196850394</v>
      </c>
      <c r="V32" s="47">
        <v>0.9018844935928908</v>
      </c>
    </row>
    <row r="33" spans="1:22">
      <c r="A33" s="27">
        <v>27</v>
      </c>
      <c r="B33" s="42" t="str">
        <f>CONCATENATE( LEFT(CONCATENATE(D33," ",E33," ",G33," ",F33,$W$5),40)," ",FIXED(C33,0)," pto hp")</f>
        <v>AGCO ALLIS 9765-18-SP, PPS  MFWD________ 183 pto hp</v>
      </c>
      <c r="C33" s="352">
        <v>183.19401000000002</v>
      </c>
      <c r="D33" s="42" t="s">
        <v>726</v>
      </c>
      <c r="E33" s="42" t="s">
        <v>754</v>
      </c>
      <c r="F33" s="42" t="s">
        <v>497</v>
      </c>
      <c r="G33" s="291"/>
      <c r="H33" s="353" t="s">
        <v>755</v>
      </c>
      <c r="I33" s="38" t="s">
        <v>2</v>
      </c>
      <c r="J33" s="58">
        <v>7299.4306000000006</v>
      </c>
      <c r="K33" s="58">
        <v>12054.7528</v>
      </c>
      <c r="L33" s="354">
        <v>2</v>
      </c>
      <c r="M33" s="352">
        <v>14.9</v>
      </c>
      <c r="N33" s="41" t="s">
        <v>481</v>
      </c>
      <c r="O33" s="41">
        <v>30</v>
      </c>
      <c r="P33" s="354">
        <v>2</v>
      </c>
      <c r="Q33" s="41">
        <v>18.399999999999999</v>
      </c>
      <c r="R33" s="41" t="s">
        <v>481</v>
      </c>
      <c r="S33" s="41">
        <v>42</v>
      </c>
      <c r="T33" s="46">
        <v>17.913385826771655</v>
      </c>
      <c r="U33" s="46">
        <v>112.51968503937009</v>
      </c>
      <c r="V33" s="47">
        <v>0.92</v>
      </c>
    </row>
    <row r="34" spans="1:22">
      <c r="A34" s="27">
        <v>28</v>
      </c>
      <c r="B34" s="42" t="str">
        <f>CONCATENATE( LEFT(CONCATENATE(D34," ",E34," ",G34," ",F34,$W$5),40)," ",FIXED(C34,0)," pto hp")</f>
        <v>AGCO ALLIS 9690-18 SP  MFWD_____________ 196 pto hp</v>
      </c>
      <c r="C34" s="352">
        <v>195.62508</v>
      </c>
      <c r="D34" s="42" t="s">
        <v>726</v>
      </c>
      <c r="E34" s="42" t="s">
        <v>756</v>
      </c>
      <c r="F34" s="42" t="s">
        <v>497</v>
      </c>
      <c r="G34" s="291"/>
      <c r="H34" s="353">
        <v>5168</v>
      </c>
      <c r="I34" s="38">
        <v>0</v>
      </c>
      <c r="J34" s="58">
        <v>7555.1642000000002</v>
      </c>
      <c r="K34" s="58">
        <v>12012.865400000001</v>
      </c>
      <c r="L34" s="354">
        <v>2</v>
      </c>
      <c r="M34" s="352">
        <v>16.899999999999999</v>
      </c>
      <c r="N34" s="41" t="s">
        <v>481</v>
      </c>
      <c r="O34" s="41">
        <v>30</v>
      </c>
      <c r="P34" s="354">
        <v>2</v>
      </c>
      <c r="Q34" s="41">
        <v>18.399999999999999</v>
      </c>
      <c r="R34" s="41" t="s">
        <v>481</v>
      </c>
      <c r="S34" s="41">
        <v>46</v>
      </c>
      <c r="T34" s="46">
        <v>16.535433070866144</v>
      </c>
      <c r="U34" s="46">
        <v>115</v>
      </c>
      <c r="V34" s="47">
        <v>0.94256415991849907</v>
      </c>
    </row>
    <row r="35" spans="1:22">
      <c r="A35" s="27">
        <v>29</v>
      </c>
      <c r="B35" s="42" t="str">
        <f>CONCATENATE( LEFT(CONCATENATE(D35," ",E35," ",G35," ",F35,$W$5),40)," ",FIXED(C35,0)," pto hp")</f>
        <v>AGCO ALLIS 9695-18 SP  MFWD_____________ 211 pto hp</v>
      </c>
      <c r="C35" s="352">
        <v>211.44888</v>
      </c>
      <c r="D35" s="42" t="s">
        <v>726</v>
      </c>
      <c r="E35" s="42" t="s">
        <v>757</v>
      </c>
      <c r="F35" s="42" t="s">
        <v>497</v>
      </c>
      <c r="G35" s="291"/>
      <c r="H35" s="353">
        <v>5188</v>
      </c>
      <c r="I35" s="38" t="s">
        <v>758</v>
      </c>
      <c r="J35" s="58">
        <v>6730.6438000000007</v>
      </c>
      <c r="K35" s="58">
        <v>12028.2976</v>
      </c>
      <c r="L35" s="354">
        <v>2</v>
      </c>
      <c r="M35" s="352">
        <v>14.9</v>
      </c>
      <c r="N35" s="41" t="s">
        <v>481</v>
      </c>
      <c r="O35" s="41">
        <v>34</v>
      </c>
      <c r="P35" s="354">
        <v>4</v>
      </c>
      <c r="Q35" s="41">
        <v>18.399999999999999</v>
      </c>
      <c r="R35" s="41" t="s">
        <v>481</v>
      </c>
      <c r="S35" s="41">
        <v>46</v>
      </c>
      <c r="T35" s="46">
        <v>25.590551181102363</v>
      </c>
      <c r="U35" s="46">
        <v>115.98425196850394</v>
      </c>
      <c r="V35" s="47">
        <v>0.94836033054291757</v>
      </c>
    </row>
    <row r="36" spans="1:22">
      <c r="A36" s="27">
        <v>30</v>
      </c>
      <c r="B36" s="42" t="str">
        <f>CONCATENATE( LEFT(CONCATENATE(D36," ",E36," ",G36," ",F36,$W$5),40)," ",FIXED(C36,0)," estimated pto hp")</f>
        <v>AGCOSTAR (AGCO) 8360-18 SP  4WD_________ 256 estimated pto hp</v>
      </c>
      <c r="C36" s="526">
        <v>255.69280000000001</v>
      </c>
      <c r="D36" s="42" t="s">
        <v>759</v>
      </c>
      <c r="E36" s="42" t="s">
        <v>760</v>
      </c>
      <c r="F36" s="42" t="s">
        <v>606</v>
      </c>
      <c r="G36" s="291"/>
      <c r="H36" s="353">
        <v>5215</v>
      </c>
      <c r="I36" s="38" t="s">
        <v>761</v>
      </c>
      <c r="J36" s="58">
        <v>19354.183400000002</v>
      </c>
      <c r="K36" s="58">
        <v>10092.658800000001</v>
      </c>
      <c r="L36" s="354">
        <v>4</v>
      </c>
      <c r="M36" s="352">
        <v>20.8</v>
      </c>
      <c r="N36" s="41" t="s">
        <v>481</v>
      </c>
      <c r="O36" s="41">
        <v>42</v>
      </c>
      <c r="P36" s="354">
        <v>4</v>
      </c>
      <c r="Q36" s="41">
        <v>20.8</v>
      </c>
      <c r="R36" s="41" t="s">
        <v>481</v>
      </c>
      <c r="S36" s="41">
        <v>42</v>
      </c>
      <c r="T36" s="46">
        <v>24.409448818897641</v>
      </c>
      <c r="U36" s="46">
        <v>137.08661417322836</v>
      </c>
      <c r="V36" s="47">
        <v>0.92</v>
      </c>
    </row>
    <row r="37" spans="1:22">
      <c r="A37" s="27">
        <v>31</v>
      </c>
      <c r="B37" s="42" t="str">
        <f>CONCATENATE( LEFT(CONCATENATE(D37," ",E37," ",G37," ",F37,$W$5),40)," ",FIXED(C37,0)," estimated pto hp")</f>
        <v>AGCOSTAR (AGCO) 8425-18 SP  4WD_________ 305 estimated pto hp</v>
      </c>
      <c r="C37" s="526">
        <v>305.01679999999999</v>
      </c>
      <c r="D37" s="42" t="s">
        <v>759</v>
      </c>
      <c r="E37" s="42" t="s">
        <v>762</v>
      </c>
      <c r="F37" s="42" t="s">
        <v>606</v>
      </c>
      <c r="G37" s="291"/>
      <c r="H37" s="353">
        <v>5216</v>
      </c>
      <c r="I37" s="38" t="s">
        <v>761</v>
      </c>
      <c r="J37" s="58">
        <v>19369.615600000001</v>
      </c>
      <c r="K37" s="58">
        <v>10280.049800000001</v>
      </c>
      <c r="L37" s="354">
        <v>4</v>
      </c>
      <c r="M37" s="352">
        <v>20.8</v>
      </c>
      <c r="N37" s="41" t="s">
        <v>481</v>
      </c>
      <c r="O37" s="41">
        <v>42</v>
      </c>
      <c r="P37" s="354">
        <v>4</v>
      </c>
      <c r="Q37" s="41">
        <v>20.8</v>
      </c>
      <c r="R37" s="41" t="s">
        <v>481</v>
      </c>
      <c r="S37" s="41">
        <v>42</v>
      </c>
      <c r="T37" s="46">
        <v>24.606299212598426</v>
      </c>
      <c r="U37" s="46">
        <v>137.08661417322836</v>
      </c>
      <c r="V37" s="47">
        <v>0.92</v>
      </c>
    </row>
    <row r="38" spans="1:22">
      <c r="A38" s="27">
        <v>32</v>
      </c>
      <c r="B38" s="42" t="str">
        <f>CONCATENATE( LEFT(CONCATENATE(D38," ",E38," ",G38," ",F38,$W$5),40)," ",FIXED(C38,0)," pto hp")</f>
        <v>ALLIS CHALMERS 6140  2WD________________ 41 pto hp</v>
      </c>
      <c r="C38" s="352">
        <v>41.074829999999999</v>
      </c>
      <c r="D38" s="42" t="s">
        <v>763</v>
      </c>
      <c r="E38" s="42" t="s">
        <v>764</v>
      </c>
      <c r="F38" s="42" t="s">
        <v>507</v>
      </c>
      <c r="G38" s="291"/>
      <c r="H38" s="353">
        <v>1445</v>
      </c>
      <c r="I38" s="38">
        <v>0</v>
      </c>
      <c r="J38" s="58">
        <v>1525.5832</v>
      </c>
      <c r="K38" s="58">
        <v>2934.3226</v>
      </c>
      <c r="L38" s="354">
        <v>2</v>
      </c>
      <c r="M38" s="352">
        <v>7.5</v>
      </c>
      <c r="N38" s="354" t="s">
        <v>499</v>
      </c>
      <c r="O38" s="41">
        <v>16</v>
      </c>
      <c r="P38" s="354">
        <v>2</v>
      </c>
      <c r="Q38" s="41">
        <v>14.9</v>
      </c>
      <c r="R38" s="354" t="s">
        <v>500</v>
      </c>
      <c r="S38" s="41">
        <v>28</v>
      </c>
      <c r="T38" s="46">
        <v>20.078740157480315</v>
      </c>
      <c r="U38" s="46">
        <v>77.952755905511822</v>
      </c>
      <c r="V38" s="47">
        <v>0.87671235184201157</v>
      </c>
    </row>
    <row r="39" spans="1:22">
      <c r="A39" s="27">
        <v>33</v>
      </c>
      <c r="B39" s="42" t="str">
        <f>CONCATENATE( LEFT(CONCATENATE(D39," ",E39," ",G39," ",F39,$W$5),40)," ",FIXED(C39,0)," pto hp")</f>
        <v>ALLIS CHALMERS 7010  2WD________________ 107 pto hp</v>
      </c>
      <c r="C39" s="352">
        <v>106.52903999999999</v>
      </c>
      <c r="D39" s="42" t="s">
        <v>763</v>
      </c>
      <c r="E39" s="42" t="s">
        <v>765</v>
      </c>
      <c r="F39" s="42" t="s">
        <v>507</v>
      </c>
      <c r="G39" s="291"/>
      <c r="H39" s="353">
        <v>1345</v>
      </c>
      <c r="I39" s="38">
        <v>0</v>
      </c>
      <c r="J39" s="58">
        <v>3276.0356000000002</v>
      </c>
      <c r="K39" s="58">
        <v>7985.0612000000001</v>
      </c>
      <c r="L39" s="354">
        <v>2</v>
      </c>
      <c r="M39" s="352">
        <v>10</v>
      </c>
      <c r="N39" s="354" t="s">
        <v>499</v>
      </c>
      <c r="O39" s="41">
        <v>16</v>
      </c>
      <c r="P39" s="354">
        <v>2</v>
      </c>
      <c r="Q39" s="41">
        <v>18.399999999999999</v>
      </c>
      <c r="R39" s="354" t="s">
        <v>500</v>
      </c>
      <c r="S39" s="41">
        <v>38</v>
      </c>
      <c r="T39" s="46">
        <v>20.078740157480315</v>
      </c>
      <c r="U39" s="46">
        <v>105.98425196850394</v>
      </c>
      <c r="V39" s="47">
        <v>0.89131894318536387</v>
      </c>
    </row>
    <row r="40" spans="1:22">
      <c r="A40" s="27">
        <v>34</v>
      </c>
      <c r="B40" s="42" t="str">
        <f t="shared" ref="B40:B55" si="2">CONCATENATE( LEFT(CONCATENATE(D40," ",E40," ",G40," ",F40,$W$5),40)," ",FIXED(C40,0)," pto hp")</f>
        <v>ALLIS CHALMERS 7010  2WD________________ 107 pto hp</v>
      </c>
      <c r="C40" s="352">
        <v>106.71678</v>
      </c>
      <c r="D40" s="42" t="s">
        <v>763</v>
      </c>
      <c r="E40" s="42" t="s">
        <v>765</v>
      </c>
      <c r="F40" s="42" t="s">
        <v>507</v>
      </c>
      <c r="G40" s="291"/>
      <c r="H40" s="353">
        <v>1346</v>
      </c>
      <c r="I40" s="38" t="s">
        <v>2</v>
      </c>
      <c r="J40" s="58">
        <v>3253.9896000000003</v>
      </c>
      <c r="K40" s="58">
        <v>8119.5418000000009</v>
      </c>
      <c r="L40" s="354">
        <v>2</v>
      </c>
      <c r="M40" s="352">
        <v>10</v>
      </c>
      <c r="N40" s="354" t="s">
        <v>499</v>
      </c>
      <c r="O40" s="41">
        <v>16</v>
      </c>
      <c r="P40" s="354">
        <v>2</v>
      </c>
      <c r="Q40" s="41">
        <v>18.399999999999999</v>
      </c>
      <c r="R40" s="354" t="s">
        <v>500</v>
      </c>
      <c r="S40" s="41">
        <v>38</v>
      </c>
      <c r="T40" s="46">
        <v>20.472440944881892</v>
      </c>
      <c r="U40" s="46">
        <v>105.98425196850394</v>
      </c>
      <c r="V40" s="47">
        <v>0.90261648003551376</v>
      </c>
    </row>
    <row r="41" spans="1:22">
      <c r="A41" s="27">
        <v>35</v>
      </c>
      <c r="B41" s="42" t="str">
        <f t="shared" si="2"/>
        <v>ALLIS CHALMERS 7045-PS  2WD_____________ 147 pto hp</v>
      </c>
      <c r="C41" s="352">
        <v>146.87973</v>
      </c>
      <c r="D41" s="42" t="s">
        <v>763</v>
      </c>
      <c r="E41" s="42" t="s">
        <v>766</v>
      </c>
      <c r="F41" s="42" t="s">
        <v>507</v>
      </c>
      <c r="G41" s="291"/>
      <c r="H41" s="353">
        <v>1308</v>
      </c>
      <c r="I41" s="38">
        <v>0</v>
      </c>
      <c r="J41" s="58">
        <v>3829.3902000000003</v>
      </c>
      <c r="K41" s="58">
        <v>10769.471000000001</v>
      </c>
      <c r="L41" s="354">
        <v>2</v>
      </c>
      <c r="M41" s="352">
        <v>11</v>
      </c>
      <c r="N41" s="354" t="s">
        <v>499</v>
      </c>
      <c r="O41" s="41">
        <v>16</v>
      </c>
      <c r="P41" s="354">
        <v>4</v>
      </c>
      <c r="Q41" s="41">
        <v>20.8</v>
      </c>
      <c r="R41" s="354" t="s">
        <v>500</v>
      </c>
      <c r="S41" s="41">
        <v>38</v>
      </c>
      <c r="T41" s="46">
        <v>19.094488188976378</v>
      </c>
      <c r="U41" s="46">
        <v>105.98425196850394</v>
      </c>
      <c r="V41" s="47">
        <v>0.90789485622931998</v>
      </c>
    </row>
    <row r="42" spans="1:22">
      <c r="A42" s="27">
        <v>36</v>
      </c>
      <c r="B42" s="42" t="str">
        <f t="shared" si="2"/>
        <v>DEUTZ D4507  2WD________________________ 43 pto hp</v>
      </c>
      <c r="C42" s="352">
        <v>43.153379999999999</v>
      </c>
      <c r="D42" s="42" t="s">
        <v>767</v>
      </c>
      <c r="E42" s="42" t="s">
        <v>768</v>
      </c>
      <c r="F42" s="42" t="s">
        <v>507</v>
      </c>
      <c r="G42" s="291"/>
      <c r="H42" s="353">
        <v>1131</v>
      </c>
      <c r="I42" s="38">
        <v>0</v>
      </c>
      <c r="J42" s="58">
        <v>1649.0408</v>
      </c>
      <c r="K42" s="58">
        <v>2859.3661999999999</v>
      </c>
      <c r="L42" s="354">
        <v>2</v>
      </c>
      <c r="M42" s="352">
        <v>6</v>
      </c>
      <c r="N42" s="354" t="s">
        <v>499</v>
      </c>
      <c r="O42" s="41">
        <v>16</v>
      </c>
      <c r="P42" s="354">
        <v>2</v>
      </c>
      <c r="Q42" s="41">
        <v>14.9</v>
      </c>
      <c r="R42" s="354" t="s">
        <v>500</v>
      </c>
      <c r="S42" s="41">
        <v>28</v>
      </c>
      <c r="T42" s="46">
        <v>17.99212598425197</v>
      </c>
      <c r="U42" s="46">
        <v>78.503937007874015</v>
      </c>
      <c r="V42" s="47">
        <v>0.88859658144845077</v>
      </c>
    </row>
    <row r="43" spans="1:22">
      <c r="A43" s="27">
        <v>37</v>
      </c>
      <c r="B43" s="42" t="str">
        <f t="shared" si="2"/>
        <v>DEUTZ 6206/07  2WD______________________ 60 pto hp</v>
      </c>
      <c r="C43" s="352">
        <v>60.224309999999996</v>
      </c>
      <c r="D43" s="42" t="s">
        <v>767</v>
      </c>
      <c r="E43" s="42" t="s">
        <v>769</v>
      </c>
      <c r="F43" s="42" t="s">
        <v>507</v>
      </c>
      <c r="G43" s="291"/>
      <c r="H43" s="353">
        <v>1219</v>
      </c>
      <c r="I43" s="38">
        <v>0</v>
      </c>
      <c r="J43" s="58">
        <v>1759.2708</v>
      </c>
      <c r="K43" s="58">
        <v>3608.9302000000002</v>
      </c>
      <c r="L43" s="354">
        <v>2</v>
      </c>
      <c r="M43" s="352">
        <v>7.5</v>
      </c>
      <c r="N43" s="354" t="s">
        <v>499</v>
      </c>
      <c r="O43" s="41">
        <v>16</v>
      </c>
      <c r="P43" s="354">
        <v>2</v>
      </c>
      <c r="Q43" s="41">
        <v>16.899999999999999</v>
      </c>
      <c r="R43" s="354" t="s">
        <v>500</v>
      </c>
      <c r="S43" s="41">
        <v>30</v>
      </c>
      <c r="T43" s="46">
        <v>18.110236220472441</v>
      </c>
      <c r="U43" s="46">
        <v>84.251968503937007</v>
      </c>
      <c r="V43" s="47">
        <v>0.9110086087306748</v>
      </c>
    </row>
    <row r="44" spans="1:22">
      <c r="A44" s="27">
        <v>38</v>
      </c>
      <c r="B44" s="42" t="str">
        <f t="shared" si="2"/>
        <v>DEUTZ 6806/07  2WD______________________ 68 pto hp</v>
      </c>
      <c r="C44" s="352">
        <v>68.189850000000007</v>
      </c>
      <c r="D44" s="42" t="s">
        <v>767</v>
      </c>
      <c r="E44" s="42" t="s">
        <v>770</v>
      </c>
      <c r="F44" s="42" t="s">
        <v>507</v>
      </c>
      <c r="G44" s="291"/>
      <c r="H44" s="353">
        <v>1220</v>
      </c>
      <c r="I44" s="38">
        <v>0</v>
      </c>
      <c r="J44" s="58">
        <v>1975.3216000000002</v>
      </c>
      <c r="K44" s="58">
        <v>4420.223</v>
      </c>
      <c r="L44" s="354">
        <v>2</v>
      </c>
      <c r="M44" s="352">
        <v>7.5</v>
      </c>
      <c r="N44" s="354" t="s">
        <v>499</v>
      </c>
      <c r="O44" s="41">
        <v>16</v>
      </c>
      <c r="P44" s="354">
        <v>2</v>
      </c>
      <c r="Q44" s="41">
        <v>18.399999999999999</v>
      </c>
      <c r="R44" s="354" t="s">
        <v>500</v>
      </c>
      <c r="S44" s="41">
        <v>30</v>
      </c>
      <c r="T44" s="46">
        <v>16.535433070866144</v>
      </c>
      <c r="U44" s="46">
        <v>85.393700787401585</v>
      </c>
      <c r="V44" s="47">
        <v>0.92888517192134212</v>
      </c>
    </row>
    <row r="45" spans="1:22">
      <c r="A45" s="27">
        <v>39</v>
      </c>
      <c r="B45" s="42" t="str">
        <f t="shared" si="2"/>
        <v>DEUTZ DX-90  2WD________________________ 84 pto hp</v>
      </c>
      <c r="C45" s="352">
        <v>84.469589999999997</v>
      </c>
      <c r="D45" s="42" t="s">
        <v>767</v>
      </c>
      <c r="E45" s="42" t="s">
        <v>771</v>
      </c>
      <c r="F45" s="42" t="s">
        <v>507</v>
      </c>
      <c r="G45" s="291"/>
      <c r="H45" s="353">
        <v>1305</v>
      </c>
      <c r="I45" s="38">
        <v>0</v>
      </c>
      <c r="J45" s="58">
        <v>3311.3092000000001</v>
      </c>
      <c r="K45" s="58">
        <v>6629.2322000000004</v>
      </c>
      <c r="L45" s="354">
        <v>2</v>
      </c>
      <c r="M45" s="352">
        <v>10</v>
      </c>
      <c r="N45" s="354" t="s">
        <v>499</v>
      </c>
      <c r="O45" s="41">
        <v>16</v>
      </c>
      <c r="P45" s="354">
        <v>2</v>
      </c>
      <c r="Q45" s="41">
        <v>18.399999999999999</v>
      </c>
      <c r="R45" s="354" t="s">
        <v>500</v>
      </c>
      <c r="S45" s="41">
        <v>34</v>
      </c>
      <c r="T45" s="46">
        <v>24.409448818897641</v>
      </c>
      <c r="U45" s="46">
        <v>100.70866141732284</v>
      </c>
      <c r="V45" s="47">
        <v>0.895252618387536</v>
      </c>
    </row>
    <row r="46" spans="1:22">
      <c r="A46" s="27">
        <v>40</v>
      </c>
      <c r="B46" s="42" t="str">
        <f t="shared" si="2"/>
        <v>DEUTZ DX-110  2WD_______________________ 100 pto hp</v>
      </c>
      <c r="C46" s="352">
        <v>99.877679999999998</v>
      </c>
      <c r="D46" s="42" t="s">
        <v>767</v>
      </c>
      <c r="E46" s="42" t="s">
        <v>772</v>
      </c>
      <c r="F46" s="42" t="s">
        <v>507</v>
      </c>
      <c r="G46" s="291"/>
      <c r="H46" s="353">
        <v>1306</v>
      </c>
      <c r="I46" s="38">
        <v>0</v>
      </c>
      <c r="J46" s="58">
        <v>3399.4932000000003</v>
      </c>
      <c r="K46" s="58">
        <v>9179.9544000000005</v>
      </c>
      <c r="L46" s="354">
        <v>2</v>
      </c>
      <c r="M46" s="352">
        <v>11</v>
      </c>
      <c r="N46" s="354" t="s">
        <v>499</v>
      </c>
      <c r="O46" s="41">
        <v>16</v>
      </c>
      <c r="P46" s="354">
        <v>4</v>
      </c>
      <c r="Q46" s="41">
        <v>18.399999999999999</v>
      </c>
      <c r="R46" s="354" t="s">
        <v>500</v>
      </c>
      <c r="S46" s="41">
        <v>38</v>
      </c>
      <c r="T46" s="46">
        <v>26.968503937007874</v>
      </c>
      <c r="U46" s="46">
        <v>105.82677165354332</v>
      </c>
      <c r="V46" s="47">
        <v>0.94374898835715304</v>
      </c>
    </row>
    <row r="47" spans="1:22">
      <c r="A47" s="27">
        <v>41</v>
      </c>
      <c r="B47" s="42" t="str">
        <f t="shared" si="2"/>
        <v>DEUTZ DX120  2WD________________________ 111 pto hp</v>
      </c>
      <c r="C47" s="352">
        <v>111.28958999999999</v>
      </c>
      <c r="D47" s="42" t="s">
        <v>767</v>
      </c>
      <c r="E47" s="42" t="s">
        <v>773</v>
      </c>
      <c r="F47" s="42" t="s">
        <v>507</v>
      </c>
      <c r="G47" s="291"/>
      <c r="H47" s="353">
        <v>1405</v>
      </c>
      <c r="I47" s="38">
        <v>0</v>
      </c>
      <c r="J47" s="58">
        <v>3549.4060000000004</v>
      </c>
      <c r="K47" s="58">
        <v>9420.2558000000008</v>
      </c>
      <c r="L47" s="354">
        <v>2</v>
      </c>
      <c r="M47" s="352">
        <v>11</v>
      </c>
      <c r="N47" s="354" t="s">
        <v>499</v>
      </c>
      <c r="O47" s="41">
        <v>16</v>
      </c>
      <c r="P47" s="354">
        <v>4</v>
      </c>
      <c r="Q47" s="41">
        <v>18.399999999999999</v>
      </c>
      <c r="R47" s="354" t="s">
        <v>500</v>
      </c>
      <c r="S47" s="41">
        <v>38</v>
      </c>
      <c r="T47" s="46">
        <v>24.409448818897641</v>
      </c>
      <c r="U47" s="46">
        <v>105.82677165354332</v>
      </c>
      <c r="V47" s="47">
        <v>0.90205372478404477</v>
      </c>
    </row>
    <row r="48" spans="1:22">
      <c r="A48" s="27">
        <v>42</v>
      </c>
      <c r="B48" s="42" t="str">
        <f t="shared" si="2"/>
        <v>DEUTZ DX130  2WD________________________ 121 pto hp</v>
      </c>
      <c r="C48" s="352">
        <v>121.26663000000001</v>
      </c>
      <c r="D48" s="42" t="s">
        <v>767</v>
      </c>
      <c r="E48" s="42" t="s">
        <v>774</v>
      </c>
      <c r="F48" s="42" t="s">
        <v>507</v>
      </c>
      <c r="G48" s="291"/>
      <c r="H48" s="353">
        <v>1404</v>
      </c>
      <c r="I48" s="38">
        <v>0</v>
      </c>
      <c r="J48" s="58">
        <v>3939.6202000000003</v>
      </c>
      <c r="K48" s="58">
        <v>10000.0656</v>
      </c>
      <c r="L48" s="354">
        <v>2</v>
      </c>
      <c r="M48" s="352">
        <v>11</v>
      </c>
      <c r="N48" s="354" t="s">
        <v>499</v>
      </c>
      <c r="O48" s="41">
        <v>16</v>
      </c>
      <c r="P48" s="354">
        <v>4</v>
      </c>
      <c r="Q48" s="41">
        <v>18.399999999999999</v>
      </c>
      <c r="R48" s="354" t="s">
        <v>500</v>
      </c>
      <c r="S48" s="41">
        <v>38</v>
      </c>
      <c r="T48" s="46">
        <v>25.393700787401578</v>
      </c>
      <c r="U48" s="46">
        <v>105.82677165354332</v>
      </c>
      <c r="V48" s="47">
        <v>0.91493720367549869</v>
      </c>
    </row>
    <row r="49" spans="1:22">
      <c r="A49" s="27">
        <v>43</v>
      </c>
      <c r="B49" s="42" t="str">
        <f t="shared" si="2"/>
        <v>DEUTZ DX-160  2WD_______________________ 145 pto hp</v>
      </c>
      <c r="C49" s="352">
        <v>145.40463</v>
      </c>
      <c r="D49" s="42" t="s">
        <v>767</v>
      </c>
      <c r="E49" s="42" t="s">
        <v>775</v>
      </c>
      <c r="F49" s="42" t="s">
        <v>507</v>
      </c>
      <c r="G49" s="291"/>
      <c r="H49" s="353">
        <v>1307</v>
      </c>
      <c r="I49" s="38">
        <v>0</v>
      </c>
      <c r="J49" s="58">
        <v>4298.97</v>
      </c>
      <c r="K49" s="58">
        <v>10540.1926</v>
      </c>
      <c r="L49" s="354">
        <v>2</v>
      </c>
      <c r="M49" s="352">
        <v>11</v>
      </c>
      <c r="N49" s="354" t="s">
        <v>499</v>
      </c>
      <c r="O49" s="41">
        <v>16</v>
      </c>
      <c r="P49" s="354">
        <v>4</v>
      </c>
      <c r="Q49" s="41">
        <v>20.8</v>
      </c>
      <c r="R49" s="354" t="s">
        <v>500</v>
      </c>
      <c r="S49" s="41">
        <v>38</v>
      </c>
      <c r="T49" s="46">
        <v>24.409448818897641</v>
      </c>
      <c r="U49" s="46">
        <v>111.45669291338584</v>
      </c>
      <c r="V49" s="47">
        <v>0.90439143996104321</v>
      </c>
    </row>
    <row r="50" spans="1:22">
      <c r="A50" s="27">
        <v>44</v>
      </c>
      <c r="B50" s="42" t="str">
        <f t="shared" si="2"/>
        <v>DEUTZ-ALLIS 6240-16 SP  MFWD____________ 44 pto hp</v>
      </c>
      <c r="C50" s="352">
        <v>43.984799999999993</v>
      </c>
      <c r="D50" s="42" t="s">
        <v>776</v>
      </c>
      <c r="E50" s="42" t="s">
        <v>777</v>
      </c>
      <c r="F50" s="42" t="s">
        <v>497</v>
      </c>
      <c r="G50" s="291"/>
      <c r="H50" s="353">
        <v>5003</v>
      </c>
      <c r="I50" s="38" t="s">
        <v>556</v>
      </c>
      <c r="J50" s="58">
        <v>2821.8879999999999</v>
      </c>
      <c r="K50" s="58">
        <v>4012.3720000000003</v>
      </c>
      <c r="L50" s="354">
        <v>2</v>
      </c>
      <c r="M50" s="352">
        <v>11.2</v>
      </c>
      <c r="N50" s="354" t="s">
        <v>500</v>
      </c>
      <c r="O50" s="41">
        <v>24</v>
      </c>
      <c r="P50" s="354">
        <v>2</v>
      </c>
      <c r="Q50" s="41">
        <v>14.9</v>
      </c>
      <c r="R50" s="41" t="s">
        <v>481</v>
      </c>
      <c r="S50" s="41">
        <v>30</v>
      </c>
      <c r="T50" s="46">
        <v>18.30708661417323</v>
      </c>
      <c r="U50" s="46">
        <v>81.850393700787407</v>
      </c>
      <c r="V50" s="47">
        <v>0.91186291873802117</v>
      </c>
    </row>
    <row r="51" spans="1:22">
      <c r="A51" s="27">
        <v>45</v>
      </c>
      <c r="B51" s="42" t="str">
        <f t="shared" si="2"/>
        <v>DEUTZ-ALLIS 6250-16 SP  MFWD____________ 51 pto hp</v>
      </c>
      <c r="C51" s="352">
        <v>50.689799999999998</v>
      </c>
      <c r="D51" s="42" t="s">
        <v>776</v>
      </c>
      <c r="E51" s="42" t="s">
        <v>778</v>
      </c>
      <c r="F51" s="42" t="s">
        <v>497</v>
      </c>
      <c r="G51" s="291"/>
      <c r="H51" s="353">
        <v>5004</v>
      </c>
      <c r="I51" s="38" t="s">
        <v>556</v>
      </c>
      <c r="J51" s="58">
        <v>2998.2560000000003</v>
      </c>
      <c r="K51" s="58">
        <v>4332.0390000000007</v>
      </c>
      <c r="L51" s="354">
        <v>2</v>
      </c>
      <c r="M51" s="352">
        <v>11.2</v>
      </c>
      <c r="N51" s="354" t="s">
        <v>500</v>
      </c>
      <c r="O51" s="41">
        <v>24</v>
      </c>
      <c r="P51" s="354">
        <v>2</v>
      </c>
      <c r="Q51" s="41">
        <v>16.899999999999999</v>
      </c>
      <c r="R51" s="41" t="s">
        <v>481</v>
      </c>
      <c r="S51" s="41">
        <v>30</v>
      </c>
      <c r="T51" s="46">
        <v>20.078740157480315</v>
      </c>
      <c r="U51" s="46">
        <v>81.850393700787407</v>
      </c>
      <c r="V51" s="47">
        <v>0.94906880887492373</v>
      </c>
    </row>
    <row r="52" spans="1:22">
      <c r="A52" s="27">
        <v>46</v>
      </c>
      <c r="B52" s="42" t="str">
        <f t="shared" si="2"/>
        <v>DEUTZ-ALLIS 6260/DX-3.50-8 SP  MFWD_____ 57 pto hp</v>
      </c>
      <c r="C52" s="352">
        <v>57.086370000000002</v>
      </c>
      <c r="D52" s="42" t="s">
        <v>776</v>
      </c>
      <c r="E52" s="42" t="s">
        <v>779</v>
      </c>
      <c r="F52" s="42" t="s">
        <v>497</v>
      </c>
      <c r="G52" s="291"/>
      <c r="H52" s="353">
        <v>1574</v>
      </c>
      <c r="I52" s="38" t="s">
        <v>499</v>
      </c>
      <c r="J52" s="58">
        <v>3099.6676000000002</v>
      </c>
      <c r="K52" s="58">
        <v>4160.0802000000003</v>
      </c>
      <c r="L52" s="354">
        <v>2</v>
      </c>
      <c r="M52" s="352">
        <v>11.2</v>
      </c>
      <c r="N52" s="354" t="s">
        <v>500</v>
      </c>
      <c r="O52" s="41">
        <v>24</v>
      </c>
      <c r="P52" s="354">
        <v>2</v>
      </c>
      <c r="Q52" s="41">
        <v>16.899999999999999</v>
      </c>
      <c r="R52" s="354" t="s">
        <v>500</v>
      </c>
      <c r="S52" s="41">
        <v>30</v>
      </c>
      <c r="T52" s="46">
        <v>17.519685039370081</v>
      </c>
      <c r="U52" s="46">
        <v>81.850393700787407</v>
      </c>
      <c r="V52" s="47">
        <v>0.95104824307259139</v>
      </c>
    </row>
    <row r="53" spans="1:22">
      <c r="A53" s="27">
        <v>47</v>
      </c>
      <c r="B53" s="42" t="str">
        <f t="shared" si="2"/>
        <v>DEUTZ-ALLIS 6060  2WD___________________ 64 pto hp</v>
      </c>
      <c r="C53" s="352">
        <v>63.831600000000002</v>
      </c>
      <c r="D53" s="42" t="s">
        <v>776</v>
      </c>
      <c r="E53" s="42" t="s">
        <v>780</v>
      </c>
      <c r="F53" s="42" t="s">
        <v>507</v>
      </c>
      <c r="G53" s="291"/>
      <c r="H53" s="353">
        <v>1397</v>
      </c>
      <c r="I53" s="38">
        <v>0</v>
      </c>
      <c r="J53" s="58">
        <v>2140.6666</v>
      </c>
      <c r="K53" s="58">
        <v>4325.4252000000006</v>
      </c>
      <c r="L53" s="354">
        <v>2</v>
      </c>
      <c r="M53" s="352">
        <v>7.5</v>
      </c>
      <c r="N53" s="354" t="s">
        <v>499</v>
      </c>
      <c r="O53" s="41">
        <v>16</v>
      </c>
      <c r="P53" s="354">
        <v>2</v>
      </c>
      <c r="Q53" s="41">
        <v>15.5</v>
      </c>
      <c r="R53" s="354" t="s">
        <v>500</v>
      </c>
      <c r="S53" s="41">
        <v>38</v>
      </c>
      <c r="T53" s="46">
        <v>20.472440944881892</v>
      </c>
      <c r="U53" s="46">
        <v>92.5984251968504</v>
      </c>
      <c r="V53" s="47">
        <v>0.86155751374859146</v>
      </c>
    </row>
    <row r="54" spans="1:22">
      <c r="A54" s="27">
        <v>48</v>
      </c>
      <c r="B54" s="42" t="str">
        <f t="shared" si="2"/>
        <v>DEUTZ-ALLIS 6265-12 SP  MFWD____________ 66 pto hp</v>
      </c>
      <c r="C54" s="352">
        <v>65.843100000000007</v>
      </c>
      <c r="D54" s="42" t="s">
        <v>776</v>
      </c>
      <c r="E54" s="42" t="s">
        <v>781</v>
      </c>
      <c r="F54" s="42" t="s">
        <v>497</v>
      </c>
      <c r="G54" s="291"/>
      <c r="H54" s="353">
        <v>5005</v>
      </c>
      <c r="I54" s="38" t="s">
        <v>556</v>
      </c>
      <c r="J54" s="58">
        <v>3053.3710000000001</v>
      </c>
      <c r="K54" s="58">
        <v>4828.0740000000005</v>
      </c>
      <c r="L54" s="354">
        <v>2</v>
      </c>
      <c r="M54" s="352">
        <v>12.4</v>
      </c>
      <c r="N54" s="41" t="s">
        <v>481</v>
      </c>
      <c r="O54" s="41">
        <v>24</v>
      </c>
      <c r="P54" s="354">
        <v>2</v>
      </c>
      <c r="Q54" s="41">
        <v>16.899999999999999</v>
      </c>
      <c r="R54" s="41" t="s">
        <v>481</v>
      </c>
      <c r="S54" s="41">
        <v>34</v>
      </c>
      <c r="T54" s="46">
        <v>21.653543307086615</v>
      </c>
      <c r="U54" s="46">
        <v>94.251968503937007</v>
      </c>
      <c r="V54" s="47">
        <v>0.92767626495534183</v>
      </c>
    </row>
    <row r="55" spans="1:22">
      <c r="A55" s="27">
        <v>49</v>
      </c>
      <c r="B55" s="42" t="str">
        <f t="shared" si="2"/>
        <v>DEUTZ-ALLIS 6070-12 SP  2WD_____________ 71 pto hp</v>
      </c>
      <c r="C55" s="352">
        <v>70.777979999999999</v>
      </c>
      <c r="D55" s="42" t="s">
        <v>776</v>
      </c>
      <c r="E55" s="42" t="s">
        <v>782</v>
      </c>
      <c r="F55" s="42" t="s">
        <v>507</v>
      </c>
      <c r="G55" s="291"/>
      <c r="H55" s="353">
        <v>1545</v>
      </c>
      <c r="I55" s="38">
        <v>0</v>
      </c>
      <c r="J55" s="58">
        <v>2279.5563999999999</v>
      </c>
      <c r="K55" s="58">
        <v>5180.8100000000004</v>
      </c>
      <c r="L55" s="354">
        <v>2</v>
      </c>
      <c r="M55" s="352">
        <v>7.5</v>
      </c>
      <c r="N55" s="354" t="s">
        <v>499</v>
      </c>
      <c r="O55" s="41">
        <v>16</v>
      </c>
      <c r="P55" s="354">
        <v>2</v>
      </c>
      <c r="Q55" s="41">
        <v>16.899999999999999</v>
      </c>
      <c r="R55" s="354" t="s">
        <v>500</v>
      </c>
      <c r="S55" s="41">
        <v>34</v>
      </c>
      <c r="T55" s="46">
        <v>19.488188976377955</v>
      </c>
      <c r="U55" s="46">
        <v>92.5984251968504</v>
      </c>
      <c r="V55" s="47">
        <v>0.89125291624713054</v>
      </c>
    </row>
    <row r="56" spans="1:22">
      <c r="A56" s="27">
        <v>50</v>
      </c>
      <c r="B56" s="42" t="str">
        <f t="shared" ref="B56:B71" si="3">CONCATENATE( LEFT(CONCATENATE(D56," ",E56," ",G56," ",F56,$W$5),40)," ",FIXED(C56,0)," pto hp")</f>
        <v>DEUTZ-ALLIS 6275-12 SP  MFWD____________ 71 pto hp</v>
      </c>
      <c r="C56" s="352">
        <v>70.93889999999999</v>
      </c>
      <c r="D56" s="42" t="s">
        <v>776</v>
      </c>
      <c r="E56" s="42" t="s">
        <v>783</v>
      </c>
      <c r="F56" s="42" t="s">
        <v>497</v>
      </c>
      <c r="G56" s="291"/>
      <c r="H56" s="353">
        <v>5006</v>
      </c>
      <c r="I56" s="38" t="s">
        <v>556</v>
      </c>
      <c r="J56" s="58">
        <v>3141.5550000000003</v>
      </c>
      <c r="K56" s="58">
        <v>4894.2120000000004</v>
      </c>
      <c r="L56" s="354">
        <v>2</v>
      </c>
      <c r="M56" s="352">
        <v>13.6</v>
      </c>
      <c r="N56" s="41" t="s">
        <v>481</v>
      </c>
      <c r="O56" s="41">
        <v>24</v>
      </c>
      <c r="P56" s="354">
        <v>2</v>
      </c>
      <c r="Q56" s="41">
        <v>16.899999999999999</v>
      </c>
      <c r="R56" s="41" t="s">
        <v>481</v>
      </c>
      <c r="S56" s="41">
        <v>34</v>
      </c>
      <c r="T56" s="46">
        <v>27.559055118110237</v>
      </c>
      <c r="U56" s="46">
        <v>94.251968503937007</v>
      </c>
      <c r="V56" s="47">
        <v>0.92809217281121981</v>
      </c>
    </row>
    <row r="57" spans="1:22">
      <c r="A57" s="27">
        <v>51</v>
      </c>
      <c r="B57" s="42" t="str">
        <f t="shared" si="3"/>
        <v>DEUTZ-ALLIS 6080  2WD___________________ 84 pto hp</v>
      </c>
      <c r="C57" s="352">
        <v>83.664990000000003</v>
      </c>
      <c r="D57" s="42" t="s">
        <v>776</v>
      </c>
      <c r="E57" s="42" t="s">
        <v>784</v>
      </c>
      <c r="F57" s="42" t="s">
        <v>507</v>
      </c>
      <c r="G57" s="291"/>
      <c r="H57" s="353">
        <v>1398</v>
      </c>
      <c r="I57" s="38">
        <v>0</v>
      </c>
      <c r="J57" s="58">
        <v>2319.2392</v>
      </c>
      <c r="K57" s="58">
        <v>5271.1986000000006</v>
      </c>
      <c r="L57" s="354">
        <v>2</v>
      </c>
      <c r="M57" s="352">
        <v>7.5</v>
      </c>
      <c r="N57" s="354" t="s">
        <v>500</v>
      </c>
      <c r="O57" s="41">
        <v>16</v>
      </c>
      <c r="P57" s="354">
        <v>2</v>
      </c>
      <c r="Q57" s="41">
        <v>18.399999999999999</v>
      </c>
      <c r="R57" s="354" t="s">
        <v>500</v>
      </c>
      <c r="S57" s="41">
        <v>34</v>
      </c>
      <c r="T57" s="46">
        <v>19.488188976377955</v>
      </c>
      <c r="U57" s="46">
        <v>95.984251968503941</v>
      </c>
      <c r="V57" s="47">
        <v>0.91096904710340865</v>
      </c>
    </row>
    <row r="58" spans="1:22">
      <c r="A58" s="27">
        <v>52</v>
      </c>
      <c r="B58" s="42" t="str">
        <f t="shared" si="3"/>
        <v>DEUTZ-ALLIS 7085/DX-4.70-15 SP  MFWD____ 85 pto hp</v>
      </c>
      <c r="C58" s="352">
        <v>85.180320000000009</v>
      </c>
      <c r="D58" s="42" t="s">
        <v>776</v>
      </c>
      <c r="E58" s="42" t="s">
        <v>785</v>
      </c>
      <c r="F58" s="42" t="s">
        <v>497</v>
      </c>
      <c r="G58" s="291"/>
      <c r="H58" s="353">
        <v>1575</v>
      </c>
      <c r="I58" s="38" t="s">
        <v>499</v>
      </c>
      <c r="J58" s="58">
        <v>3399.4932000000003</v>
      </c>
      <c r="K58" s="58">
        <v>6679.9380000000001</v>
      </c>
      <c r="L58" s="354">
        <v>2</v>
      </c>
      <c r="M58" s="352">
        <v>13.6</v>
      </c>
      <c r="N58" s="354" t="s">
        <v>500</v>
      </c>
      <c r="O58" s="41">
        <v>28</v>
      </c>
      <c r="P58" s="354">
        <v>2</v>
      </c>
      <c r="Q58" s="41">
        <v>18.399999999999999</v>
      </c>
      <c r="R58" s="354" t="s">
        <v>500</v>
      </c>
      <c r="S58" s="41">
        <v>38</v>
      </c>
      <c r="T58" s="46">
        <v>20.472440944881892</v>
      </c>
      <c r="U58" s="46">
        <v>94.488188976377955</v>
      </c>
      <c r="V58" s="47">
        <v>0.92941148339860147</v>
      </c>
    </row>
    <row r="59" spans="1:22">
      <c r="A59" s="27">
        <v>53</v>
      </c>
      <c r="B59" s="42" t="str">
        <f t="shared" si="3"/>
        <v>DEUTZ-ALLIS 8010  2WD___________________ 107 pto hp</v>
      </c>
      <c r="C59" s="352">
        <v>107.37386999999998</v>
      </c>
      <c r="D59" s="42" t="s">
        <v>776</v>
      </c>
      <c r="E59" s="42" t="s">
        <v>786</v>
      </c>
      <c r="F59" s="42" t="s">
        <v>507</v>
      </c>
      <c r="G59" s="291"/>
      <c r="H59" s="353">
        <v>1446</v>
      </c>
      <c r="I59" s="38">
        <v>0</v>
      </c>
      <c r="J59" s="58">
        <v>3650.8176000000003</v>
      </c>
      <c r="K59" s="58">
        <v>8979.3358000000007</v>
      </c>
      <c r="L59" s="354">
        <v>2</v>
      </c>
      <c r="M59" s="352">
        <v>10</v>
      </c>
      <c r="N59" s="354" t="s">
        <v>499</v>
      </c>
      <c r="O59" s="41">
        <v>16</v>
      </c>
      <c r="P59" s="354">
        <v>2</v>
      </c>
      <c r="Q59" s="41">
        <v>18.399999999999999</v>
      </c>
      <c r="R59" s="354" t="s">
        <v>500</v>
      </c>
      <c r="S59" s="41">
        <v>38</v>
      </c>
      <c r="T59" s="46">
        <v>20.472440944881892</v>
      </c>
      <c r="U59" s="46">
        <v>105.98425196850394</v>
      </c>
      <c r="V59" s="47">
        <v>0.92085416755189775</v>
      </c>
    </row>
    <row r="60" spans="1:22">
      <c r="A60" s="27">
        <v>54</v>
      </c>
      <c r="B60" s="42" t="str">
        <f t="shared" si="3"/>
        <v>DEUTZ-ALLIS 7120/DX-6.50-24 SP  MFWD____ 122 pto hp</v>
      </c>
      <c r="C60" s="352">
        <v>122.05781999999999</v>
      </c>
      <c r="D60" s="42" t="s">
        <v>776</v>
      </c>
      <c r="E60" s="42" t="s">
        <v>787</v>
      </c>
      <c r="F60" s="42" t="s">
        <v>497</v>
      </c>
      <c r="G60" s="291"/>
      <c r="H60" s="353">
        <v>1576</v>
      </c>
      <c r="I60" s="38" t="s">
        <v>499</v>
      </c>
      <c r="J60" s="58">
        <v>4168.8986000000004</v>
      </c>
      <c r="K60" s="58">
        <v>7960.8106000000007</v>
      </c>
      <c r="L60" s="354">
        <v>2</v>
      </c>
      <c r="M60" s="352">
        <v>16.899999999999999</v>
      </c>
      <c r="N60" s="354" t="s">
        <v>500</v>
      </c>
      <c r="O60" s="41">
        <v>28</v>
      </c>
      <c r="P60" s="354">
        <v>2</v>
      </c>
      <c r="Q60" s="41">
        <v>20.8</v>
      </c>
      <c r="R60" s="354" t="s">
        <v>500</v>
      </c>
      <c r="S60" s="41">
        <v>38</v>
      </c>
      <c r="T60" s="46">
        <v>25.984251968503937</v>
      </c>
      <c r="U60" s="46">
        <v>106.41732283464567</v>
      </c>
      <c r="V60" s="47">
        <v>0.92158361083694995</v>
      </c>
    </row>
    <row r="61" spans="1:22">
      <c r="A61" s="27">
        <v>55</v>
      </c>
      <c r="B61" s="42" t="str">
        <f t="shared" si="3"/>
        <v>DEUTZ-ALLIS 8030  2WD___________________ 134 pto hp</v>
      </c>
      <c r="C61" s="352">
        <v>133.75134</v>
      </c>
      <c r="D61" s="42" t="s">
        <v>776</v>
      </c>
      <c r="E61" s="42" t="s">
        <v>788</v>
      </c>
      <c r="F61" s="42" t="s">
        <v>507</v>
      </c>
      <c r="G61" s="291"/>
      <c r="H61" s="353">
        <v>1447</v>
      </c>
      <c r="I61" s="38">
        <v>0</v>
      </c>
      <c r="J61" s="58">
        <v>4014.5766000000003</v>
      </c>
      <c r="K61" s="58">
        <v>11000.954</v>
      </c>
      <c r="L61" s="354">
        <v>2</v>
      </c>
      <c r="M61" s="352">
        <v>11</v>
      </c>
      <c r="N61" s="354" t="s">
        <v>499</v>
      </c>
      <c r="O61" s="41">
        <v>16</v>
      </c>
      <c r="P61" s="354">
        <v>4</v>
      </c>
      <c r="Q61" s="41">
        <v>18.399999999999999</v>
      </c>
      <c r="R61" s="354" t="s">
        <v>500</v>
      </c>
      <c r="S61" s="41">
        <v>38</v>
      </c>
      <c r="T61" s="46">
        <v>20.472440944881892</v>
      </c>
      <c r="U61" s="46">
        <v>105.98425196850394</v>
      </c>
      <c r="V61" s="47">
        <v>0.93129655495161512</v>
      </c>
    </row>
    <row r="62" spans="1:22">
      <c r="A62" s="27">
        <v>56</v>
      </c>
      <c r="B62" s="42" t="str">
        <f t="shared" si="3"/>
        <v>DEUTZ-ALLIS 7145-36 SP  MFWD____________ 145 pto hp</v>
      </c>
      <c r="C62" s="352">
        <v>144.5598</v>
      </c>
      <c r="D62" s="42" t="s">
        <v>776</v>
      </c>
      <c r="E62" s="42" t="s">
        <v>789</v>
      </c>
      <c r="F62" s="42" t="s">
        <v>497</v>
      </c>
      <c r="G62" s="291"/>
      <c r="H62" s="353">
        <v>5002</v>
      </c>
      <c r="I62" s="38" t="s">
        <v>556</v>
      </c>
      <c r="J62" s="58">
        <v>5235.9250000000002</v>
      </c>
      <c r="K62" s="58">
        <v>8157.02</v>
      </c>
      <c r="L62" s="354">
        <v>2</v>
      </c>
      <c r="M62" s="352">
        <v>18.399999999999999</v>
      </c>
      <c r="N62" s="354" t="s">
        <v>500</v>
      </c>
      <c r="O62" s="41">
        <v>26</v>
      </c>
      <c r="P62" s="354">
        <v>2</v>
      </c>
      <c r="Q62" s="41">
        <v>20.8</v>
      </c>
      <c r="R62" s="41" t="s">
        <v>481</v>
      </c>
      <c r="S62" s="41">
        <v>38</v>
      </c>
      <c r="T62" s="46">
        <v>20.275590551181104</v>
      </c>
      <c r="U62" s="46">
        <v>111.25984251968505</v>
      </c>
      <c r="V62" s="47">
        <v>0.94676988253210681</v>
      </c>
    </row>
    <row r="63" spans="1:22">
      <c r="A63" s="27">
        <v>57</v>
      </c>
      <c r="B63" s="42" t="str">
        <f t="shared" si="3"/>
        <v>DEUTZ-ALLIS 9150-18 SP  2WD_____________ 151 pto hp</v>
      </c>
      <c r="C63" s="352">
        <v>151.06365</v>
      </c>
      <c r="D63" s="42" t="s">
        <v>776</v>
      </c>
      <c r="E63" s="42" t="s">
        <v>790</v>
      </c>
      <c r="F63" s="42" t="s">
        <v>507</v>
      </c>
      <c r="G63" s="291"/>
      <c r="H63" s="353">
        <v>1633</v>
      </c>
      <c r="I63" s="38">
        <v>0</v>
      </c>
      <c r="J63" s="58">
        <v>3990.326</v>
      </c>
      <c r="K63" s="58">
        <v>11924.681400000001</v>
      </c>
      <c r="L63" s="354">
        <v>2</v>
      </c>
      <c r="M63" s="352">
        <v>14</v>
      </c>
      <c r="N63" s="354" t="s">
        <v>499</v>
      </c>
      <c r="O63" s="41">
        <v>16.100000000000001</v>
      </c>
      <c r="P63" s="354">
        <v>4</v>
      </c>
      <c r="Q63" s="41">
        <v>20.8</v>
      </c>
      <c r="R63" s="41" t="s">
        <v>481</v>
      </c>
      <c r="S63" s="41">
        <v>38</v>
      </c>
      <c r="T63" s="46">
        <v>22.047244094488189</v>
      </c>
      <c r="U63" s="46">
        <v>120</v>
      </c>
      <c r="V63" s="47">
        <v>0.94973390534566238</v>
      </c>
    </row>
    <row r="64" spans="1:22">
      <c r="A64" s="27">
        <v>58</v>
      </c>
      <c r="B64" s="42" t="str">
        <f t="shared" si="3"/>
        <v>DEUTZ-ALLIS 8050  2WD___________________ 152 pto hp</v>
      </c>
      <c r="C64" s="352">
        <v>152.39124000000001</v>
      </c>
      <c r="D64" s="42" t="s">
        <v>776</v>
      </c>
      <c r="E64" s="42" t="s">
        <v>791</v>
      </c>
      <c r="F64" s="42" t="s">
        <v>507</v>
      </c>
      <c r="G64" s="291"/>
      <c r="H64" s="353">
        <v>1448</v>
      </c>
      <c r="I64" s="38">
        <v>0</v>
      </c>
      <c r="J64" s="58">
        <v>3999.1444000000001</v>
      </c>
      <c r="K64" s="58">
        <v>11305.1888</v>
      </c>
      <c r="L64" s="354">
        <v>2</v>
      </c>
      <c r="M64" s="352">
        <v>14</v>
      </c>
      <c r="N64" s="354" t="s">
        <v>499</v>
      </c>
      <c r="O64" s="41">
        <v>16</v>
      </c>
      <c r="P64" s="354">
        <v>4</v>
      </c>
      <c r="Q64" s="41">
        <v>20.8</v>
      </c>
      <c r="R64" s="354" t="s">
        <v>500</v>
      </c>
      <c r="S64" s="41">
        <v>38</v>
      </c>
      <c r="T64" s="46">
        <v>22.047244094488189</v>
      </c>
      <c r="U64" s="46">
        <v>105.98425196850394</v>
      </c>
      <c r="V64" s="47">
        <v>0.93245056144498373</v>
      </c>
    </row>
    <row r="65" spans="1:22">
      <c r="A65" s="27">
        <v>59</v>
      </c>
      <c r="B65" s="42" t="str">
        <f t="shared" si="3"/>
        <v>DEUTZ-ALLIS 8070  2WD___________________ 171 pto hp</v>
      </c>
      <c r="C65" s="352">
        <v>170.72271000000001</v>
      </c>
      <c r="D65" s="42" t="s">
        <v>776</v>
      </c>
      <c r="E65" s="42" t="s">
        <v>792</v>
      </c>
      <c r="F65" s="42" t="s">
        <v>507</v>
      </c>
      <c r="G65" s="291"/>
      <c r="H65" s="353">
        <v>1449</v>
      </c>
      <c r="I65" s="38">
        <v>0</v>
      </c>
      <c r="J65" s="58">
        <v>4309.9930000000004</v>
      </c>
      <c r="K65" s="58">
        <v>12539.764800000001</v>
      </c>
      <c r="L65" s="354">
        <v>2</v>
      </c>
      <c r="M65" s="352">
        <v>18.399999999999999</v>
      </c>
      <c r="N65" s="354" t="s">
        <v>499</v>
      </c>
      <c r="O65" s="41">
        <v>16.100000000000001</v>
      </c>
      <c r="P65" s="354">
        <v>4</v>
      </c>
      <c r="Q65" s="41">
        <v>20.8</v>
      </c>
      <c r="R65" s="354" t="s">
        <v>500</v>
      </c>
      <c r="S65" s="41">
        <v>38</v>
      </c>
      <c r="T65" s="46">
        <v>20.472440944881892</v>
      </c>
      <c r="U65" s="46">
        <v>105.98425196850394</v>
      </c>
      <c r="V65" s="47">
        <v>0.92047476253127625</v>
      </c>
    </row>
    <row r="66" spans="1:22">
      <c r="A66" s="27">
        <v>60</v>
      </c>
      <c r="B66" s="42" t="str">
        <f t="shared" si="3"/>
        <v>DEUTZ-ALLIS 9170-18 SP  2WD_____________ 173 pto hp</v>
      </c>
      <c r="C66" s="352">
        <v>173.36447999999999</v>
      </c>
      <c r="D66" s="42" t="s">
        <v>776</v>
      </c>
      <c r="E66" s="42" t="s">
        <v>793</v>
      </c>
      <c r="F66" s="42" t="s">
        <v>507</v>
      </c>
      <c r="G66" s="291"/>
      <c r="H66" s="353">
        <v>1634</v>
      </c>
      <c r="I66" s="38">
        <v>0</v>
      </c>
      <c r="J66" s="58">
        <v>5454.1804000000002</v>
      </c>
      <c r="K66" s="58">
        <v>12010.660800000001</v>
      </c>
      <c r="L66" s="354">
        <v>2</v>
      </c>
      <c r="M66" s="352">
        <v>16.5</v>
      </c>
      <c r="N66" s="354" t="s">
        <v>499</v>
      </c>
      <c r="O66" s="41">
        <v>16.100000000000001</v>
      </c>
      <c r="P66" s="354">
        <v>4</v>
      </c>
      <c r="Q66" s="41">
        <v>20.8</v>
      </c>
      <c r="R66" s="41" t="s">
        <v>481</v>
      </c>
      <c r="S66" s="41">
        <v>38</v>
      </c>
      <c r="T66" s="46">
        <v>22.047244094488189</v>
      </c>
      <c r="U66" s="46">
        <v>119.01574803149607</v>
      </c>
      <c r="V66" s="47">
        <v>0.97192514462764978</v>
      </c>
    </row>
    <row r="67" spans="1:22">
      <c r="A67" s="27">
        <v>61</v>
      </c>
      <c r="B67" s="42" t="str">
        <f t="shared" si="3"/>
        <v>DEUTZ-ALLIS 9190-18 SP  MFWD____________ 194 pto hp</v>
      </c>
      <c r="C67" s="352">
        <v>193.54653000000002</v>
      </c>
      <c r="D67" s="42" t="s">
        <v>776</v>
      </c>
      <c r="E67" s="42" t="s">
        <v>794</v>
      </c>
      <c r="F67" s="42" t="s">
        <v>497</v>
      </c>
      <c r="G67" s="291"/>
      <c r="H67" s="353">
        <v>1635</v>
      </c>
      <c r="I67" s="38">
        <v>0</v>
      </c>
      <c r="J67" s="58">
        <v>6668.915</v>
      </c>
      <c r="K67" s="58">
        <v>12030.502200000001</v>
      </c>
      <c r="L67" s="354">
        <v>2</v>
      </c>
      <c r="M67" s="352">
        <v>18.399999999999999</v>
      </c>
      <c r="N67" s="41" t="s">
        <v>481</v>
      </c>
      <c r="O67" s="41">
        <v>26</v>
      </c>
      <c r="P67" s="354">
        <v>4</v>
      </c>
      <c r="Q67" s="41">
        <v>20.8</v>
      </c>
      <c r="R67" s="41" t="s">
        <v>481</v>
      </c>
      <c r="S67" s="41">
        <v>38</v>
      </c>
      <c r="T67" s="46">
        <v>22.047244094488189</v>
      </c>
      <c r="U67" s="46">
        <v>115</v>
      </c>
      <c r="V67" s="47">
        <v>0.95123435231883569</v>
      </c>
    </row>
    <row r="68" spans="1:22">
      <c r="A68" s="27">
        <v>62</v>
      </c>
      <c r="B68" s="42" t="str">
        <f t="shared" si="3"/>
        <v>WHITE 2-30  2WD_________________________ 28 pto hp</v>
      </c>
      <c r="C68" s="352">
        <v>28.335329999999999</v>
      </c>
      <c r="D68" s="42" t="s">
        <v>795</v>
      </c>
      <c r="E68" s="42" t="s">
        <v>796</v>
      </c>
      <c r="F68" s="42" t="s">
        <v>507</v>
      </c>
      <c r="G68" s="291"/>
      <c r="H68" s="353">
        <v>1373</v>
      </c>
      <c r="I68" s="38">
        <v>0</v>
      </c>
      <c r="J68" s="58">
        <v>1089.0724</v>
      </c>
      <c r="K68" s="58">
        <v>1915.7974000000002</v>
      </c>
      <c r="L68" s="354">
        <v>2</v>
      </c>
      <c r="M68" s="352">
        <v>5</v>
      </c>
      <c r="N68" s="354" t="s">
        <v>499</v>
      </c>
      <c r="O68" s="41">
        <v>15</v>
      </c>
      <c r="P68" s="354">
        <v>2</v>
      </c>
      <c r="Q68" s="41">
        <v>12.4</v>
      </c>
      <c r="R68" s="354" t="s">
        <v>500</v>
      </c>
      <c r="S68" s="41">
        <v>24</v>
      </c>
      <c r="T68" s="46">
        <v>12.401574803149607</v>
      </c>
      <c r="U68" s="46">
        <v>68.8976377952756</v>
      </c>
      <c r="V68" s="47">
        <v>0.94924948102941786</v>
      </c>
    </row>
    <row r="69" spans="1:22">
      <c r="A69" s="27">
        <v>63</v>
      </c>
      <c r="B69" s="42" t="str">
        <f t="shared" si="3"/>
        <v>WHITE 2-35  2WD_________________________ 33 pto hp</v>
      </c>
      <c r="C69" s="352">
        <v>32.841089999999994</v>
      </c>
      <c r="D69" s="42" t="s">
        <v>795</v>
      </c>
      <c r="E69" s="42" t="s">
        <v>797</v>
      </c>
      <c r="F69" s="42" t="s">
        <v>507</v>
      </c>
      <c r="G69" s="291"/>
      <c r="H69" s="353">
        <v>1374</v>
      </c>
      <c r="I69" s="38">
        <v>0</v>
      </c>
      <c r="J69" s="58">
        <v>1150.8012000000001</v>
      </c>
      <c r="K69" s="58">
        <v>2019.4136000000001</v>
      </c>
      <c r="L69" s="354">
        <v>2</v>
      </c>
      <c r="M69" s="352">
        <v>5</v>
      </c>
      <c r="N69" s="354" t="s">
        <v>499</v>
      </c>
      <c r="O69" s="41">
        <v>15</v>
      </c>
      <c r="P69" s="354">
        <v>2</v>
      </c>
      <c r="Q69" s="354">
        <v>13.6</v>
      </c>
      <c r="R69" s="354" t="s">
        <v>500</v>
      </c>
      <c r="S69" s="41">
        <v>24</v>
      </c>
      <c r="T69" s="46">
        <v>13.582677165354331</v>
      </c>
      <c r="U69" s="46">
        <v>68.8976377952756</v>
      </c>
      <c r="V69" s="47">
        <v>0.9398246180277473</v>
      </c>
    </row>
    <row r="70" spans="1:22">
      <c r="A70" s="27">
        <v>64</v>
      </c>
      <c r="B70" s="42" t="str">
        <f t="shared" si="3"/>
        <v>WHITE 2-45  MFWD________________________ 44 pto hp</v>
      </c>
      <c r="C70" s="352">
        <v>43.73001</v>
      </c>
      <c r="D70" s="42" t="s">
        <v>795</v>
      </c>
      <c r="E70" s="42" t="s">
        <v>798</v>
      </c>
      <c r="F70" s="42" t="s">
        <v>497</v>
      </c>
      <c r="G70" s="291"/>
      <c r="H70" s="353">
        <v>1395</v>
      </c>
      <c r="I70" s="38" t="s">
        <v>499</v>
      </c>
      <c r="J70" s="58">
        <v>2455.9244000000003</v>
      </c>
      <c r="K70" s="58">
        <v>3514.1324</v>
      </c>
      <c r="L70" s="354">
        <v>2</v>
      </c>
      <c r="M70" s="352">
        <v>8.3000000000000007</v>
      </c>
      <c r="N70" s="354" t="s">
        <v>500</v>
      </c>
      <c r="O70" s="41">
        <v>24</v>
      </c>
      <c r="P70" s="354">
        <v>2</v>
      </c>
      <c r="Q70" s="41">
        <v>14.9</v>
      </c>
      <c r="R70" s="354" t="s">
        <v>500</v>
      </c>
      <c r="S70" s="41">
        <v>28</v>
      </c>
      <c r="T70" s="46">
        <v>17.519685039370081</v>
      </c>
      <c r="U70" s="46">
        <v>79.921259842519689</v>
      </c>
      <c r="V70" s="47">
        <v>0.87762107482660934</v>
      </c>
    </row>
    <row r="71" spans="1:22">
      <c r="A71" s="27">
        <v>65</v>
      </c>
      <c r="B71" s="42" t="str">
        <f t="shared" si="3"/>
        <v>WHITE 6045-16 SP  MFWD__________________ 46 pto hp</v>
      </c>
      <c r="C71" s="352">
        <v>45.728099999999998</v>
      </c>
      <c r="D71" s="42" t="s">
        <v>795</v>
      </c>
      <c r="E71" s="42" t="s">
        <v>799</v>
      </c>
      <c r="F71" s="42" t="s">
        <v>497</v>
      </c>
      <c r="G71" s="291"/>
      <c r="H71" s="353">
        <v>5217</v>
      </c>
      <c r="I71" s="38" t="s">
        <v>556</v>
      </c>
      <c r="J71" s="58">
        <v>2204.6</v>
      </c>
      <c r="K71" s="58">
        <v>2843.9340000000002</v>
      </c>
      <c r="L71" s="354">
        <v>2</v>
      </c>
      <c r="M71" s="352">
        <v>11.2</v>
      </c>
      <c r="N71" s="41" t="s">
        <v>481</v>
      </c>
      <c r="O71" s="41">
        <v>20</v>
      </c>
      <c r="P71" s="354">
        <v>2</v>
      </c>
      <c r="Q71" s="41">
        <v>14.9</v>
      </c>
      <c r="R71" s="41" t="s">
        <v>481</v>
      </c>
      <c r="S71" s="41">
        <v>28</v>
      </c>
      <c r="T71" s="46">
        <v>17.755905511811026</v>
      </c>
      <c r="U71" s="46">
        <v>75.826771653543318</v>
      </c>
      <c r="V71" s="47">
        <v>0.92201867477901256</v>
      </c>
    </row>
    <row r="72" spans="1:22">
      <c r="A72" s="27">
        <v>66</v>
      </c>
      <c r="B72" s="42" t="str">
        <f t="shared" ref="B72:B87" si="4">CONCATENATE( LEFT(CONCATENATE(D72," ",E72," ",G72," ",F72,$W$5),40)," ",FIXED(C72,0)," pto hp")</f>
        <v>WHITE 2-55  MFWD________________________ 53 pto hp</v>
      </c>
      <c r="C72" s="352">
        <v>53.318159999999999</v>
      </c>
      <c r="D72" s="42" t="s">
        <v>795</v>
      </c>
      <c r="E72" s="42" t="s">
        <v>800</v>
      </c>
      <c r="F72" s="42" t="s">
        <v>497</v>
      </c>
      <c r="G72" s="291"/>
      <c r="H72" s="353">
        <v>1466</v>
      </c>
      <c r="I72" s="38" t="s">
        <v>499</v>
      </c>
      <c r="J72" s="58">
        <v>2539.6992</v>
      </c>
      <c r="K72" s="58">
        <v>3655.2268000000004</v>
      </c>
      <c r="L72" s="354">
        <v>2</v>
      </c>
      <c r="M72" s="352">
        <v>9.5</v>
      </c>
      <c r="N72" s="354" t="s">
        <v>500</v>
      </c>
      <c r="O72" s="41">
        <v>24</v>
      </c>
      <c r="P72" s="354">
        <v>2</v>
      </c>
      <c r="Q72" s="41">
        <v>16.899999999999999</v>
      </c>
      <c r="R72" s="354" t="s">
        <v>500</v>
      </c>
      <c r="S72" s="41">
        <v>30</v>
      </c>
      <c r="T72" s="46">
        <v>16.929133858267718</v>
      </c>
      <c r="U72" s="46">
        <v>80.314960629921259</v>
      </c>
      <c r="V72" s="47">
        <v>0.96574772820164634</v>
      </c>
    </row>
    <row r="73" spans="1:22">
      <c r="A73" s="27">
        <v>67</v>
      </c>
      <c r="B73" s="42" t="str">
        <f t="shared" si="4"/>
        <v>WHITE 60-18 SP  MFWD____________________ 61 pto hp</v>
      </c>
      <c r="C73" s="352">
        <v>61.069139999999997</v>
      </c>
      <c r="D73" s="42" t="s">
        <v>795</v>
      </c>
      <c r="E73" s="42" t="s">
        <v>801</v>
      </c>
      <c r="F73" s="42" t="s">
        <v>497</v>
      </c>
      <c r="G73" s="291"/>
      <c r="H73" s="353">
        <v>1636</v>
      </c>
      <c r="I73" s="38" t="s">
        <v>499</v>
      </c>
      <c r="J73" s="58">
        <v>3139.3504000000003</v>
      </c>
      <c r="K73" s="58">
        <v>5401.27</v>
      </c>
      <c r="L73" s="354">
        <v>2</v>
      </c>
      <c r="M73" s="352">
        <v>13.6</v>
      </c>
      <c r="N73" s="354" t="s">
        <v>500</v>
      </c>
      <c r="O73" s="41">
        <v>24</v>
      </c>
      <c r="P73" s="354">
        <v>2</v>
      </c>
      <c r="Q73" s="41">
        <v>18.399999999999999</v>
      </c>
      <c r="R73" s="41" t="s">
        <v>481</v>
      </c>
      <c r="S73" s="41">
        <v>34</v>
      </c>
      <c r="T73" s="46">
        <v>19.488188976377955</v>
      </c>
      <c r="U73" s="46">
        <v>95</v>
      </c>
      <c r="V73" s="47">
        <v>0.90831916529805845</v>
      </c>
    </row>
    <row r="74" spans="1:22">
      <c r="A74" s="27">
        <v>68</v>
      </c>
      <c r="B74" s="42" t="str">
        <f t="shared" si="4"/>
        <v>WHITE 2-62  MFWD________________________ 61 pto hp</v>
      </c>
      <c r="C74" s="352">
        <v>61.458029999999994</v>
      </c>
      <c r="D74" s="42" t="s">
        <v>795</v>
      </c>
      <c r="E74" s="42" t="s">
        <v>802</v>
      </c>
      <c r="F74" s="42" t="s">
        <v>497</v>
      </c>
      <c r="G74" s="291"/>
      <c r="H74" s="353">
        <v>1396</v>
      </c>
      <c r="I74" s="38" t="s">
        <v>499</v>
      </c>
      <c r="J74" s="58">
        <v>2599.2234000000003</v>
      </c>
      <c r="K74" s="58">
        <v>3639.7946000000002</v>
      </c>
      <c r="L74" s="354">
        <v>2</v>
      </c>
      <c r="M74" s="352">
        <v>9.5</v>
      </c>
      <c r="N74" s="354" t="s">
        <v>500</v>
      </c>
      <c r="O74" s="41">
        <v>24</v>
      </c>
      <c r="P74" s="354">
        <v>2</v>
      </c>
      <c r="Q74" s="41">
        <v>16.899999999999999</v>
      </c>
      <c r="R74" s="354" t="s">
        <v>500</v>
      </c>
      <c r="S74" s="41">
        <v>30</v>
      </c>
      <c r="T74" s="46">
        <v>20.078740157480315</v>
      </c>
      <c r="U74" s="46">
        <v>84.448818897637807</v>
      </c>
      <c r="V74" s="47">
        <v>0.89571124633589227</v>
      </c>
    </row>
    <row r="75" spans="1:22">
      <c r="A75" s="27">
        <v>69</v>
      </c>
      <c r="B75" s="42" t="str">
        <f t="shared" si="4"/>
        <v>WHITE 2-65  MFWD________________________ 63 pto hp</v>
      </c>
      <c r="C75" s="352">
        <v>62.504010000000001</v>
      </c>
      <c r="D75" s="42" t="s">
        <v>795</v>
      </c>
      <c r="E75" s="42" t="s">
        <v>803</v>
      </c>
      <c r="F75" s="42" t="s">
        <v>497</v>
      </c>
      <c r="G75" s="291"/>
      <c r="H75" s="353">
        <v>1467</v>
      </c>
      <c r="I75" s="38" t="s">
        <v>499</v>
      </c>
      <c r="J75" s="58">
        <v>2669.7706000000003</v>
      </c>
      <c r="K75" s="58">
        <v>3650.8176000000003</v>
      </c>
      <c r="L75" s="354">
        <v>2</v>
      </c>
      <c r="M75" s="352">
        <v>9.5</v>
      </c>
      <c r="N75" s="354" t="s">
        <v>500</v>
      </c>
      <c r="O75" s="41">
        <v>24</v>
      </c>
      <c r="P75" s="354">
        <v>2</v>
      </c>
      <c r="Q75" s="41">
        <v>16.899999999999999</v>
      </c>
      <c r="R75" s="354" t="s">
        <v>500</v>
      </c>
      <c r="S75" s="41">
        <v>30</v>
      </c>
      <c r="T75" s="46">
        <v>17.519685039370081</v>
      </c>
      <c r="U75" s="46">
        <v>84.645669291338592</v>
      </c>
      <c r="V75" s="47">
        <v>0.96651096162967476</v>
      </c>
    </row>
    <row r="76" spans="1:22">
      <c r="A76" s="27">
        <v>70</v>
      </c>
      <c r="B76" s="42" t="str">
        <f t="shared" si="4"/>
        <v>WHITE 6065C(A)-24 SP  MFWD______________ 63 pto hp</v>
      </c>
      <c r="C76" s="352">
        <v>62.772210000000001</v>
      </c>
      <c r="D76" s="42" t="s">
        <v>795</v>
      </c>
      <c r="E76" s="42" t="s">
        <v>804</v>
      </c>
      <c r="F76" s="42" t="s">
        <v>497</v>
      </c>
      <c r="G76" s="291"/>
      <c r="H76" s="353">
        <v>5109</v>
      </c>
      <c r="I76" s="38" t="s">
        <v>556</v>
      </c>
      <c r="J76" s="58">
        <v>2910.0720000000001</v>
      </c>
      <c r="K76" s="58">
        <v>3880.096</v>
      </c>
      <c r="L76" s="354">
        <v>2</v>
      </c>
      <c r="M76" s="352">
        <v>12.4</v>
      </c>
      <c r="N76" s="41" t="s">
        <v>481</v>
      </c>
      <c r="O76" s="41">
        <v>24</v>
      </c>
      <c r="P76" s="354">
        <v>2</v>
      </c>
      <c r="Q76" s="41">
        <v>16.899999999999999</v>
      </c>
      <c r="R76" s="41" t="s">
        <v>481</v>
      </c>
      <c r="S76" s="41">
        <v>30</v>
      </c>
      <c r="T76" s="46">
        <v>18.30708661417323</v>
      </c>
      <c r="U76" s="46">
        <v>89.763779527559066</v>
      </c>
      <c r="V76" s="47">
        <v>0.93052022241706644</v>
      </c>
    </row>
    <row r="77" spans="1:22">
      <c r="A77" s="27">
        <v>71</v>
      </c>
      <c r="B77" s="42" t="str">
        <f t="shared" si="4"/>
        <v>WHITE 6065(A)-12 SP  MFWD_______________ 63 pto hp</v>
      </c>
      <c r="C77" s="352">
        <v>62.772210000000001</v>
      </c>
      <c r="D77" s="42" t="s">
        <v>795</v>
      </c>
      <c r="E77" s="42" t="s">
        <v>805</v>
      </c>
      <c r="F77" s="42" t="s">
        <v>497</v>
      </c>
      <c r="G77" s="291"/>
      <c r="H77" s="353">
        <v>5108</v>
      </c>
      <c r="I77" s="38" t="s">
        <v>556</v>
      </c>
      <c r="J77" s="58">
        <v>2623.4740000000002</v>
      </c>
      <c r="K77" s="58">
        <v>3593.498</v>
      </c>
      <c r="L77" s="354">
        <v>2</v>
      </c>
      <c r="M77" s="352">
        <v>12.4</v>
      </c>
      <c r="N77" s="41" t="s">
        <v>481</v>
      </c>
      <c r="O77" s="41">
        <v>24</v>
      </c>
      <c r="P77" s="354">
        <v>2</v>
      </c>
      <c r="Q77" s="41">
        <v>16.899999999999999</v>
      </c>
      <c r="R77" s="41" t="s">
        <v>481</v>
      </c>
      <c r="S77" s="41">
        <v>30</v>
      </c>
      <c r="T77" s="46">
        <v>18.30708661417323</v>
      </c>
      <c r="U77" s="46">
        <v>89.763779527559066</v>
      </c>
      <c r="V77" s="47">
        <v>0.93913136643351169</v>
      </c>
    </row>
    <row r="78" spans="1:22">
      <c r="A78" s="27">
        <v>72</v>
      </c>
      <c r="B78" s="42" t="str">
        <f t="shared" si="4"/>
        <v>WHITE 6410-12 SP  2WD___________________ 70 pto hp</v>
      </c>
      <c r="C78" s="352">
        <v>70.402500000000003</v>
      </c>
      <c r="D78" s="42" t="s">
        <v>795</v>
      </c>
      <c r="E78" s="42" t="s">
        <v>806</v>
      </c>
      <c r="F78" s="42" t="s">
        <v>507</v>
      </c>
      <c r="G78" s="291"/>
      <c r="H78" s="353">
        <v>1769</v>
      </c>
      <c r="I78" s="38" t="s">
        <v>2</v>
      </c>
      <c r="J78" s="58">
        <v>3064.3940000000002</v>
      </c>
      <c r="K78" s="58">
        <v>5086.0122000000001</v>
      </c>
      <c r="L78" s="354">
        <v>2</v>
      </c>
      <c r="M78" s="352">
        <v>11</v>
      </c>
      <c r="N78" s="354" t="s">
        <v>499</v>
      </c>
      <c r="O78" s="41">
        <v>16</v>
      </c>
      <c r="P78" s="354">
        <v>2</v>
      </c>
      <c r="Q78" s="41">
        <v>16.899999999999999</v>
      </c>
      <c r="R78" s="41" t="s">
        <v>481</v>
      </c>
      <c r="S78" s="41">
        <v>34</v>
      </c>
      <c r="T78" s="46">
        <v>16.929133858267718</v>
      </c>
      <c r="U78" s="46">
        <v>95.984251968503941</v>
      </c>
      <c r="V78" s="47">
        <v>0.92</v>
      </c>
    </row>
    <row r="79" spans="1:22">
      <c r="A79" s="27">
        <v>73</v>
      </c>
      <c r="B79" s="42" t="str">
        <f t="shared" si="4"/>
        <v>WHITE 2-75  MFWD________________________ 75 pto hp</v>
      </c>
      <c r="C79" s="352">
        <v>75.391019999999997</v>
      </c>
      <c r="D79" s="42" t="s">
        <v>795</v>
      </c>
      <c r="E79" s="42" t="s">
        <v>807</v>
      </c>
      <c r="F79" s="42" t="s">
        <v>497</v>
      </c>
      <c r="G79" s="291"/>
      <c r="H79" s="353">
        <v>1486</v>
      </c>
      <c r="I79" s="38" t="s">
        <v>499</v>
      </c>
      <c r="J79" s="58">
        <v>2940.9364</v>
      </c>
      <c r="K79" s="58">
        <v>4980.1914000000006</v>
      </c>
      <c r="L79" s="354">
        <v>2</v>
      </c>
      <c r="M79" s="352">
        <v>11.2</v>
      </c>
      <c r="N79" s="354" t="s">
        <v>500</v>
      </c>
      <c r="O79" s="41">
        <v>24</v>
      </c>
      <c r="P79" s="354">
        <v>2</v>
      </c>
      <c r="Q79" s="41">
        <v>16.899999999999999</v>
      </c>
      <c r="R79" s="354" t="s">
        <v>500</v>
      </c>
      <c r="S79" s="41">
        <v>34</v>
      </c>
      <c r="T79" s="46">
        <v>19.094488188976378</v>
      </c>
      <c r="U79" s="46">
        <v>92.125984251968504</v>
      </c>
      <c r="V79" s="47">
        <v>0.91874158042781306</v>
      </c>
    </row>
    <row r="80" spans="1:22">
      <c r="A80" s="27">
        <v>74</v>
      </c>
      <c r="B80" s="42" t="str">
        <f t="shared" si="4"/>
        <v>WHITE 6085(A,C,CA)-24 SP  MFWD__________ 80 pto hp</v>
      </c>
      <c r="C80" s="352">
        <v>80.151570000000007</v>
      </c>
      <c r="D80" s="42" t="s">
        <v>795</v>
      </c>
      <c r="E80" s="42" t="s">
        <v>808</v>
      </c>
      <c r="F80" s="42" t="s">
        <v>497</v>
      </c>
      <c r="G80" s="291"/>
      <c r="H80" s="353">
        <v>5110</v>
      </c>
      <c r="I80" s="38" t="s">
        <v>556</v>
      </c>
      <c r="J80" s="58">
        <v>3119.509</v>
      </c>
      <c r="K80" s="58">
        <v>4365.1080000000002</v>
      </c>
      <c r="L80" s="354">
        <v>2</v>
      </c>
      <c r="M80" s="352">
        <v>14.9</v>
      </c>
      <c r="N80" s="41" t="s">
        <v>481</v>
      </c>
      <c r="O80" s="41">
        <v>24</v>
      </c>
      <c r="P80" s="354">
        <v>2</v>
      </c>
      <c r="Q80" s="41">
        <v>16.899999999999999</v>
      </c>
      <c r="R80" s="41" t="s">
        <v>481</v>
      </c>
      <c r="S80" s="41">
        <v>34</v>
      </c>
      <c r="T80" s="46">
        <v>19.488188976377955</v>
      </c>
      <c r="U80" s="46">
        <v>91.338582677165363</v>
      </c>
      <c r="V80" s="47">
        <v>0.92554373899081177</v>
      </c>
    </row>
    <row r="81" spans="1:22">
      <c r="A81" s="27">
        <v>75</v>
      </c>
      <c r="B81" s="42" t="str">
        <f t="shared" si="4"/>
        <v>WHITE 80-18 SP  MFWD____________________ 81 pto hp</v>
      </c>
      <c r="C81" s="352">
        <v>81.479159999999993</v>
      </c>
      <c r="D81" s="42" t="s">
        <v>795</v>
      </c>
      <c r="E81" s="42" t="s">
        <v>809</v>
      </c>
      <c r="F81" s="42" t="s">
        <v>497</v>
      </c>
      <c r="G81" s="291"/>
      <c r="H81" s="353">
        <v>1637</v>
      </c>
      <c r="I81" s="38" t="s">
        <v>499</v>
      </c>
      <c r="J81" s="58">
        <v>3115.0998</v>
      </c>
      <c r="K81" s="58">
        <v>6234.6088</v>
      </c>
      <c r="L81" s="354">
        <v>2</v>
      </c>
      <c r="M81" s="352">
        <v>13.6</v>
      </c>
      <c r="N81" s="354" t="s">
        <v>500</v>
      </c>
      <c r="O81" s="41">
        <v>24</v>
      </c>
      <c r="P81" s="354">
        <v>2</v>
      </c>
      <c r="Q81" s="41">
        <v>18.399999999999999</v>
      </c>
      <c r="R81" s="41" t="s">
        <v>481</v>
      </c>
      <c r="S81" s="41">
        <v>34</v>
      </c>
      <c r="T81" s="46">
        <v>19.094488188976378</v>
      </c>
      <c r="U81" s="46">
        <v>95</v>
      </c>
      <c r="V81" s="47">
        <v>0.90435991837037211</v>
      </c>
    </row>
    <row r="82" spans="1:22">
      <c r="A82" s="27">
        <v>76</v>
      </c>
      <c r="B82" s="42" t="str">
        <f t="shared" si="4"/>
        <v>WHITE 6510-12 SP  2WD___________________ 85 pto hp</v>
      </c>
      <c r="C82" s="352">
        <v>85.394880000000001</v>
      </c>
      <c r="D82" s="42" t="s">
        <v>795</v>
      </c>
      <c r="E82" s="42" t="s">
        <v>810</v>
      </c>
      <c r="F82" s="42" t="s">
        <v>507</v>
      </c>
      <c r="G82" s="291"/>
      <c r="H82" s="353">
        <v>1762</v>
      </c>
      <c r="I82" s="38" t="s">
        <v>2</v>
      </c>
      <c r="J82" s="58">
        <v>3205.4884000000002</v>
      </c>
      <c r="K82" s="58">
        <v>5410.0884000000005</v>
      </c>
      <c r="L82" s="354">
        <v>2</v>
      </c>
      <c r="M82" s="352">
        <v>11</v>
      </c>
      <c r="N82" s="354" t="s">
        <v>499</v>
      </c>
      <c r="O82" s="41">
        <v>16</v>
      </c>
      <c r="P82" s="354">
        <v>2</v>
      </c>
      <c r="Q82" s="41">
        <v>16.899999999999999</v>
      </c>
      <c r="R82" s="41" t="s">
        <v>481</v>
      </c>
      <c r="S82" s="41">
        <v>38</v>
      </c>
      <c r="T82" s="46">
        <v>15.94488188976378</v>
      </c>
      <c r="U82" s="46">
        <v>95.984251968503941</v>
      </c>
      <c r="V82" s="47">
        <v>0.92</v>
      </c>
    </row>
    <row r="83" spans="1:22">
      <c r="A83" s="27">
        <v>77</v>
      </c>
      <c r="B83" s="42" t="str">
        <f t="shared" si="4"/>
        <v>WHITE 2-88  MFWD________________________ 87 pto hp</v>
      </c>
      <c r="C83" s="352">
        <v>86.776109999999989</v>
      </c>
      <c r="D83" s="42" t="s">
        <v>795</v>
      </c>
      <c r="E83" s="42" t="s">
        <v>811</v>
      </c>
      <c r="F83" s="42" t="s">
        <v>497</v>
      </c>
      <c r="G83" s="291"/>
      <c r="H83" s="353">
        <v>1487</v>
      </c>
      <c r="I83" s="38" t="s">
        <v>499</v>
      </c>
      <c r="J83" s="58">
        <v>5500.4769999999999</v>
      </c>
      <c r="K83" s="58">
        <v>8115.1326000000008</v>
      </c>
      <c r="L83" s="354">
        <v>2</v>
      </c>
      <c r="M83" s="352">
        <v>16.899999999999999</v>
      </c>
      <c r="N83" s="354" t="s">
        <v>500</v>
      </c>
      <c r="O83" s="41">
        <v>26</v>
      </c>
      <c r="P83" s="354">
        <v>2</v>
      </c>
      <c r="Q83" s="41">
        <v>20.8</v>
      </c>
      <c r="R83" s="354" t="s">
        <v>500</v>
      </c>
      <c r="S83" s="41">
        <v>38</v>
      </c>
      <c r="T83" s="46">
        <v>21.062992125984252</v>
      </c>
      <c r="U83" s="46">
        <v>86.259842519685037</v>
      </c>
      <c r="V83" s="47">
        <v>0.91418859095815341</v>
      </c>
    </row>
    <row r="84" spans="1:22">
      <c r="A84" s="27">
        <v>78</v>
      </c>
      <c r="B84" s="42" t="str">
        <f t="shared" si="4"/>
        <v>WHITE 100-18 SP  2WD____________________ 94 pto hp</v>
      </c>
      <c r="C84" s="352">
        <v>94.366170000000011</v>
      </c>
      <c r="D84" s="42" t="s">
        <v>795</v>
      </c>
      <c r="E84" s="42" t="s">
        <v>812</v>
      </c>
      <c r="F84" s="42" t="s">
        <v>507</v>
      </c>
      <c r="G84" s="291"/>
      <c r="H84" s="353">
        <v>1614</v>
      </c>
      <c r="I84" s="38">
        <v>0</v>
      </c>
      <c r="J84" s="58">
        <v>2934.3226</v>
      </c>
      <c r="K84" s="58">
        <v>11005.3632</v>
      </c>
      <c r="L84" s="354">
        <v>2</v>
      </c>
      <c r="M84" s="352">
        <v>9.5</v>
      </c>
      <c r="N84" s="354" t="s">
        <v>499</v>
      </c>
      <c r="O84" s="41">
        <v>15</v>
      </c>
      <c r="P84" s="354">
        <v>4</v>
      </c>
      <c r="Q84" s="41">
        <v>18.399999999999999</v>
      </c>
      <c r="R84" s="41" t="s">
        <v>481</v>
      </c>
      <c r="S84" s="41">
        <v>38</v>
      </c>
      <c r="T84" s="46">
        <v>21.45669291338583</v>
      </c>
      <c r="U84" s="46">
        <v>111.41732283464567</v>
      </c>
      <c r="V84" s="47">
        <v>0.90939598604262739</v>
      </c>
    </row>
    <row r="85" spans="1:22">
      <c r="A85" s="27">
        <v>79</v>
      </c>
      <c r="B85" s="42" t="str">
        <f t="shared" si="4"/>
        <v>WHITE 6710-32 SP  MFWD__________________ 96 pto hp</v>
      </c>
      <c r="C85" s="352">
        <v>95.613299999999995</v>
      </c>
      <c r="D85" s="42" t="s">
        <v>795</v>
      </c>
      <c r="E85" s="42" t="s">
        <v>813</v>
      </c>
      <c r="F85" s="42" t="s">
        <v>497</v>
      </c>
      <c r="G85" s="291"/>
      <c r="H85" s="353">
        <v>1763</v>
      </c>
      <c r="I85" s="38" t="s">
        <v>2</v>
      </c>
      <c r="J85" s="58">
        <v>4550.2944000000007</v>
      </c>
      <c r="K85" s="58">
        <v>6730.6438000000007</v>
      </c>
      <c r="L85" s="354">
        <v>2</v>
      </c>
      <c r="M85" s="352">
        <v>13.6</v>
      </c>
      <c r="N85" s="41" t="s">
        <v>481</v>
      </c>
      <c r="O85" s="41">
        <v>28</v>
      </c>
      <c r="P85" s="354">
        <v>2</v>
      </c>
      <c r="Q85" s="41">
        <v>18.399999999999999</v>
      </c>
      <c r="R85" s="41" t="s">
        <v>481</v>
      </c>
      <c r="S85" s="41">
        <v>38</v>
      </c>
      <c r="T85" s="46">
        <v>16.929133858267718</v>
      </c>
      <c r="U85" s="46">
        <v>107.83464566929135</v>
      </c>
      <c r="V85" s="47">
        <v>0.92</v>
      </c>
    </row>
    <row r="86" spans="1:22">
      <c r="A86" s="27">
        <v>80</v>
      </c>
      <c r="B86" s="42" t="str">
        <f t="shared" si="4"/>
        <v>WHITE 6105C(A)-24 SP  MFWD______________ 106 pto hp</v>
      </c>
      <c r="C86" s="352">
        <v>105.93899999999999</v>
      </c>
      <c r="D86" s="42" t="s">
        <v>795</v>
      </c>
      <c r="E86" s="42" t="s">
        <v>814</v>
      </c>
      <c r="F86" s="42" t="s">
        <v>497</v>
      </c>
      <c r="G86" s="291"/>
      <c r="H86" s="353">
        <v>5111</v>
      </c>
      <c r="I86" s="38" t="s">
        <v>556</v>
      </c>
      <c r="J86" s="58">
        <v>4618.6370000000006</v>
      </c>
      <c r="K86" s="58">
        <v>6305.1559999999999</v>
      </c>
      <c r="L86" s="354">
        <v>2</v>
      </c>
      <c r="M86" s="352">
        <v>14.9</v>
      </c>
      <c r="N86" s="41" t="s">
        <v>481</v>
      </c>
      <c r="O86" s="41">
        <v>24</v>
      </c>
      <c r="P86" s="354">
        <v>2</v>
      </c>
      <c r="Q86" s="41">
        <v>18.399999999999999</v>
      </c>
      <c r="R86" s="41" t="s">
        <v>481</v>
      </c>
      <c r="S86" s="41">
        <v>38</v>
      </c>
      <c r="T86" s="46">
        <v>22.362204724409452</v>
      </c>
      <c r="U86" s="46">
        <v>108.26771653543308</v>
      </c>
      <c r="V86" s="47">
        <v>0.90087538902422937</v>
      </c>
    </row>
    <row r="87" spans="1:22">
      <c r="A87" s="27">
        <v>81</v>
      </c>
      <c r="B87" s="42" t="str">
        <f t="shared" si="4"/>
        <v>WHITE 2-110  MFWD_______________________ 111 pto hp</v>
      </c>
      <c r="C87" s="352">
        <v>110.51181</v>
      </c>
      <c r="D87" s="42" t="s">
        <v>795</v>
      </c>
      <c r="E87" s="42" t="s">
        <v>815</v>
      </c>
      <c r="F87" s="42" t="s">
        <v>497</v>
      </c>
      <c r="G87" s="291"/>
      <c r="H87" s="353">
        <v>1468</v>
      </c>
      <c r="I87" s="38" t="s">
        <v>499</v>
      </c>
      <c r="J87" s="58">
        <v>5524.7276000000002</v>
      </c>
      <c r="K87" s="58">
        <v>8430.3904000000002</v>
      </c>
      <c r="L87" s="354">
        <v>2</v>
      </c>
      <c r="M87" s="352">
        <v>16.899999999999999</v>
      </c>
      <c r="N87" s="354" t="s">
        <v>500</v>
      </c>
      <c r="O87" s="41">
        <v>26</v>
      </c>
      <c r="P87" s="354">
        <v>2</v>
      </c>
      <c r="Q87" s="41">
        <v>20.8</v>
      </c>
      <c r="R87" s="354" t="s">
        <v>500</v>
      </c>
      <c r="S87" s="41">
        <v>38</v>
      </c>
      <c r="T87" s="46">
        <v>17.913385826771655</v>
      </c>
      <c r="U87" s="46">
        <v>86.2992125984252</v>
      </c>
      <c r="V87" s="47">
        <v>0.93002167260113078</v>
      </c>
    </row>
    <row r="88" spans="1:22">
      <c r="A88" s="27">
        <v>82</v>
      </c>
      <c r="B88" s="42" t="str">
        <f t="shared" ref="B88:B103" si="5">CONCATENATE( LEFT(CONCATENATE(D88," ",E88," ",G88," ",F88,$W$5),40)," ",FIXED(C88,0)," pto hp")</f>
        <v>WHITE 6810-32-SP, PPS  MFWD_____________ 111 pto hp</v>
      </c>
      <c r="C88" s="352">
        <v>111.11525999999999</v>
      </c>
      <c r="D88" s="42" t="s">
        <v>795</v>
      </c>
      <c r="E88" s="42" t="s">
        <v>816</v>
      </c>
      <c r="F88" s="42" t="s">
        <v>497</v>
      </c>
      <c r="G88" s="291"/>
      <c r="H88" s="353">
        <v>5314</v>
      </c>
      <c r="I88" s="38" t="s">
        <v>817</v>
      </c>
      <c r="J88" s="58">
        <v>4669.3428000000004</v>
      </c>
      <c r="K88" s="58">
        <v>8229.7718000000004</v>
      </c>
      <c r="L88" s="354">
        <v>2</v>
      </c>
      <c r="M88" s="352">
        <v>14.9</v>
      </c>
      <c r="N88" s="41" t="s">
        <v>481</v>
      </c>
      <c r="O88" s="41">
        <v>28</v>
      </c>
      <c r="P88" s="354">
        <v>4</v>
      </c>
      <c r="Q88" s="41">
        <v>18.399999999999999</v>
      </c>
      <c r="R88" s="41" t="s">
        <v>481</v>
      </c>
      <c r="S88" s="41">
        <v>38</v>
      </c>
      <c r="T88" s="46">
        <v>19.094488188976378</v>
      </c>
      <c r="U88" s="46">
        <v>112.5984251968504</v>
      </c>
      <c r="V88" s="47">
        <v>0.93333812212749279</v>
      </c>
    </row>
    <row r="89" spans="1:22">
      <c r="A89" s="27">
        <v>83</v>
      </c>
      <c r="B89" s="42" t="str">
        <f t="shared" si="5"/>
        <v>WHITE 120/125-18 SP  2WD________________ 119 pto hp</v>
      </c>
      <c r="C89" s="352">
        <v>119.12102999999999</v>
      </c>
      <c r="D89" s="42" t="s">
        <v>795</v>
      </c>
      <c r="E89" s="42" t="s">
        <v>818</v>
      </c>
      <c r="F89" s="42" t="s">
        <v>507</v>
      </c>
      <c r="G89" s="291"/>
      <c r="H89" s="353">
        <v>1615</v>
      </c>
      <c r="I89" s="38">
        <v>0</v>
      </c>
      <c r="J89" s="58">
        <v>3179.0332000000003</v>
      </c>
      <c r="K89" s="58">
        <v>11285.347400000001</v>
      </c>
      <c r="L89" s="354">
        <v>2</v>
      </c>
      <c r="M89" s="352">
        <v>11</v>
      </c>
      <c r="N89" s="354" t="s">
        <v>499</v>
      </c>
      <c r="O89" s="41">
        <v>16</v>
      </c>
      <c r="P89" s="354">
        <v>4</v>
      </c>
      <c r="Q89" s="41">
        <v>20.8</v>
      </c>
      <c r="R89" s="41" t="s">
        <v>481</v>
      </c>
      <c r="S89" s="41">
        <v>38</v>
      </c>
      <c r="T89" s="46">
        <v>23.425196850393704</v>
      </c>
      <c r="U89" s="46">
        <v>111.41732283464567</v>
      </c>
      <c r="V89" s="47">
        <v>0.93504718506701789</v>
      </c>
    </row>
    <row r="90" spans="1:22">
      <c r="A90" s="27">
        <v>84</v>
      </c>
      <c r="B90" s="42" t="str">
        <f t="shared" si="5"/>
        <v>WHITE 6125-18 SP  MFWD__________________ 125 pto hp</v>
      </c>
      <c r="C90" s="352">
        <v>124.94096999999999</v>
      </c>
      <c r="D90" s="42" t="s">
        <v>795</v>
      </c>
      <c r="E90" s="42" t="s">
        <v>819</v>
      </c>
      <c r="F90" s="42" t="s">
        <v>497</v>
      </c>
      <c r="G90" s="291"/>
      <c r="H90" s="353">
        <v>5148</v>
      </c>
      <c r="I90" s="38" t="s">
        <v>499</v>
      </c>
      <c r="J90" s="58">
        <v>5804.7118</v>
      </c>
      <c r="K90" s="58">
        <v>11194.9588</v>
      </c>
      <c r="L90" s="354">
        <v>2</v>
      </c>
      <c r="M90" s="352">
        <v>16.899999999999999</v>
      </c>
      <c r="N90" s="41" t="s">
        <v>481</v>
      </c>
      <c r="O90" s="41">
        <v>28</v>
      </c>
      <c r="P90" s="354">
        <v>2</v>
      </c>
      <c r="Q90" s="41">
        <v>18.399999999999999</v>
      </c>
      <c r="R90" s="41" t="s">
        <v>481</v>
      </c>
      <c r="S90" s="41">
        <v>42</v>
      </c>
      <c r="T90" s="46">
        <v>20.472440944881892</v>
      </c>
      <c r="U90" s="46">
        <v>107.00787401574804</v>
      </c>
      <c r="V90" s="47">
        <v>0.95716552536121013</v>
      </c>
    </row>
    <row r="91" spans="1:22">
      <c r="A91" s="27">
        <v>85</v>
      </c>
      <c r="B91" s="42" t="str">
        <f t="shared" si="5"/>
        <v>WHITE 8310-32-SP, PPS  MFWD_____________ 126 pto hp</v>
      </c>
      <c r="C91" s="352">
        <v>125.78579999999999</v>
      </c>
      <c r="D91" s="42" t="s">
        <v>795</v>
      </c>
      <c r="E91" s="42" t="s">
        <v>820</v>
      </c>
      <c r="F91" s="42" t="s">
        <v>497</v>
      </c>
      <c r="G91" s="291"/>
      <c r="H91" s="353">
        <v>5273</v>
      </c>
      <c r="I91" s="38" t="s">
        <v>583</v>
      </c>
      <c r="J91" s="58">
        <v>5780.4612000000006</v>
      </c>
      <c r="K91" s="58">
        <v>10564.4432</v>
      </c>
      <c r="L91" s="354">
        <v>2</v>
      </c>
      <c r="M91" s="352">
        <v>14.9</v>
      </c>
      <c r="N91" s="41" t="s">
        <v>481</v>
      </c>
      <c r="O91" s="41">
        <v>30</v>
      </c>
      <c r="P91" s="354">
        <v>4</v>
      </c>
      <c r="Q91" s="41">
        <v>18.399999999999999</v>
      </c>
      <c r="R91" s="41" t="s">
        <v>481</v>
      </c>
      <c r="S91" s="41">
        <v>42</v>
      </c>
      <c r="T91" s="46">
        <v>20.078740157480315</v>
      </c>
      <c r="U91" s="46">
        <v>108.26771653543308</v>
      </c>
      <c r="V91" s="47">
        <v>0.95494816520560277</v>
      </c>
    </row>
    <row r="92" spans="1:22">
      <c r="A92" s="27">
        <v>86</v>
      </c>
      <c r="B92" s="42" t="str">
        <f t="shared" si="5"/>
        <v>WHITE 140/145-18 SP  2WD________________ 139 pto hp</v>
      </c>
      <c r="C92" s="352">
        <v>138.52529999999999</v>
      </c>
      <c r="D92" s="42" t="s">
        <v>795</v>
      </c>
      <c r="E92" s="42" t="s">
        <v>821</v>
      </c>
      <c r="F92" s="42" t="s">
        <v>507</v>
      </c>
      <c r="G92" s="291"/>
      <c r="H92" s="353">
        <v>1616</v>
      </c>
      <c r="I92" s="38">
        <v>0</v>
      </c>
      <c r="J92" s="58">
        <v>3225.3298</v>
      </c>
      <c r="K92" s="58">
        <v>11439.669400000001</v>
      </c>
      <c r="L92" s="354">
        <v>2</v>
      </c>
      <c r="M92" s="352">
        <v>11</v>
      </c>
      <c r="N92" s="354" t="s">
        <v>499</v>
      </c>
      <c r="O92" s="41">
        <v>16</v>
      </c>
      <c r="P92" s="354">
        <v>4</v>
      </c>
      <c r="Q92" s="41">
        <v>20.8</v>
      </c>
      <c r="R92" s="41" t="s">
        <v>481</v>
      </c>
      <c r="S92" s="41">
        <v>38</v>
      </c>
      <c r="T92" s="46">
        <v>24.015748031496063</v>
      </c>
      <c r="U92" s="46">
        <v>111.41732283464567</v>
      </c>
      <c r="V92" s="47">
        <v>0.9587476858798416</v>
      </c>
    </row>
    <row r="93" spans="1:22">
      <c r="A93" s="27">
        <v>87</v>
      </c>
      <c r="B93" s="42" t="str">
        <f t="shared" si="5"/>
        <v>WHITE 6145-18 SP  MFWD__________________ 143 pto hp</v>
      </c>
      <c r="C93" s="352">
        <v>142.69580999999999</v>
      </c>
      <c r="D93" s="42" t="s">
        <v>795</v>
      </c>
      <c r="E93" s="42" t="s">
        <v>822</v>
      </c>
      <c r="F93" s="42" t="s">
        <v>497</v>
      </c>
      <c r="G93" s="291"/>
      <c r="H93" s="353">
        <v>5149</v>
      </c>
      <c r="I93" s="38" t="s">
        <v>499</v>
      </c>
      <c r="J93" s="58">
        <v>5833.3716000000004</v>
      </c>
      <c r="K93" s="58">
        <v>11214.8002</v>
      </c>
      <c r="L93" s="354">
        <v>2</v>
      </c>
      <c r="M93" s="352">
        <v>16.899999999999999</v>
      </c>
      <c r="N93" s="41" t="s">
        <v>481</v>
      </c>
      <c r="O93" s="41">
        <v>28</v>
      </c>
      <c r="P93" s="354">
        <v>2</v>
      </c>
      <c r="Q93" s="41">
        <v>18.399999999999999</v>
      </c>
      <c r="R93" s="41" t="s">
        <v>481</v>
      </c>
      <c r="S93" s="41">
        <v>42</v>
      </c>
      <c r="T93" s="46">
        <v>20.472440944881892</v>
      </c>
      <c r="U93" s="46">
        <v>107.00787401574804</v>
      </c>
      <c r="V93" s="47">
        <v>0.94951555965022294</v>
      </c>
    </row>
    <row r="94" spans="1:22">
      <c r="A94" s="27">
        <v>88</v>
      </c>
      <c r="B94" s="42" t="str">
        <f t="shared" si="5"/>
        <v>WHITE 8410-18-SP, PPS  MFWD_____________ 146 pto hp</v>
      </c>
      <c r="C94" s="352">
        <v>146.20922999999999</v>
      </c>
      <c r="D94" s="42" t="s">
        <v>795</v>
      </c>
      <c r="E94" s="42" t="s">
        <v>823</v>
      </c>
      <c r="F94" s="42" t="s">
        <v>497</v>
      </c>
      <c r="G94" s="291"/>
      <c r="H94" s="353">
        <v>5271</v>
      </c>
      <c r="I94" s="38" t="s">
        <v>500</v>
      </c>
      <c r="J94" s="58">
        <v>6080.2868000000008</v>
      </c>
      <c r="K94" s="58">
        <v>10809.1538</v>
      </c>
      <c r="L94" s="354">
        <v>2</v>
      </c>
      <c r="M94" s="352">
        <v>14.9</v>
      </c>
      <c r="N94" s="41" t="s">
        <v>481</v>
      </c>
      <c r="O94" s="41">
        <v>30</v>
      </c>
      <c r="P94" s="354">
        <v>4</v>
      </c>
      <c r="Q94" s="41">
        <v>18.399999999999999</v>
      </c>
      <c r="R94" s="41" t="s">
        <v>481</v>
      </c>
      <c r="S94" s="41">
        <v>42</v>
      </c>
      <c r="T94" s="46">
        <v>20.078740157480315</v>
      </c>
      <c r="U94" s="46">
        <v>108.26771653543308</v>
      </c>
      <c r="V94" s="47">
        <v>0.94119099601858791</v>
      </c>
    </row>
    <row r="95" spans="1:22">
      <c r="A95" s="27">
        <v>89</v>
      </c>
      <c r="B95" s="42" t="str">
        <f t="shared" si="5"/>
        <v>WHITE 4-175  4WD________________________ 152 pto hp</v>
      </c>
      <c r="C95" s="352">
        <v>151.69391999999999</v>
      </c>
      <c r="D95" s="42" t="s">
        <v>795</v>
      </c>
      <c r="E95" s="42" t="s">
        <v>824</v>
      </c>
      <c r="F95" s="42" t="s">
        <v>606</v>
      </c>
      <c r="G95" s="291"/>
      <c r="H95" s="353">
        <v>1375</v>
      </c>
      <c r="I95" s="38">
        <v>0</v>
      </c>
      <c r="J95" s="58">
        <v>12830.772000000001</v>
      </c>
      <c r="K95" s="58">
        <v>7590.4378000000006</v>
      </c>
      <c r="L95" s="354">
        <v>4</v>
      </c>
      <c r="M95" s="352">
        <v>18.399999999999999</v>
      </c>
      <c r="N95" s="354" t="s">
        <v>500</v>
      </c>
      <c r="O95" s="41">
        <v>38</v>
      </c>
      <c r="P95" s="354">
        <v>4</v>
      </c>
      <c r="Q95" s="41">
        <v>18.399999999999999</v>
      </c>
      <c r="R95" s="354" t="s">
        <v>500</v>
      </c>
      <c r="S95" s="41">
        <v>38</v>
      </c>
      <c r="T95" s="46">
        <v>20.472440944881892</v>
      </c>
      <c r="U95" s="46">
        <v>118.38582677165356</v>
      </c>
      <c r="V95" s="47">
        <v>0.90616327575593969</v>
      </c>
    </row>
    <row r="96" spans="1:22">
      <c r="A96" s="27">
        <v>90</v>
      </c>
      <c r="B96" s="42" t="str">
        <f t="shared" si="5"/>
        <v>WHITE 160/170-18 SP  MFWD_______________ 162 pto hp</v>
      </c>
      <c r="C96" s="352">
        <v>162.46215000000001</v>
      </c>
      <c r="D96" s="42" t="s">
        <v>795</v>
      </c>
      <c r="E96" s="42" t="s">
        <v>825</v>
      </c>
      <c r="F96" s="42" t="s">
        <v>497</v>
      </c>
      <c r="G96" s="291"/>
      <c r="H96" s="353">
        <v>1607</v>
      </c>
      <c r="I96" s="38" t="s">
        <v>499</v>
      </c>
      <c r="J96" s="58">
        <v>5879.6682000000001</v>
      </c>
      <c r="K96" s="58">
        <v>11411.009600000001</v>
      </c>
      <c r="L96" s="354">
        <v>2</v>
      </c>
      <c r="M96" s="352">
        <v>18.399999999999999</v>
      </c>
      <c r="N96" s="354" t="s">
        <v>500</v>
      </c>
      <c r="O96" s="41">
        <v>26</v>
      </c>
      <c r="P96" s="354">
        <v>2</v>
      </c>
      <c r="Q96" s="41">
        <v>20.8</v>
      </c>
      <c r="R96" s="41" t="s">
        <v>481</v>
      </c>
      <c r="S96" s="41">
        <v>38</v>
      </c>
      <c r="T96" s="46">
        <v>22.440944881889767</v>
      </c>
      <c r="U96" s="46">
        <v>90.984251968503941</v>
      </c>
      <c r="V96" s="47">
        <v>0.93407203678734607</v>
      </c>
    </row>
    <row r="97" spans="1:23">
      <c r="A97" s="27">
        <v>91</v>
      </c>
      <c r="B97" s="42" t="str">
        <f t="shared" si="5"/>
        <v>WHITE 8510-18-SP, PPS  MFWD_____________ 164 pto hp</v>
      </c>
      <c r="C97" s="352">
        <v>164.37977999999998</v>
      </c>
      <c r="D97" s="42" t="s">
        <v>795</v>
      </c>
      <c r="E97" s="42" t="s">
        <v>826</v>
      </c>
      <c r="F97" s="42" t="s">
        <v>497</v>
      </c>
      <c r="G97" s="291"/>
      <c r="H97" s="353">
        <v>5333</v>
      </c>
      <c r="I97" s="38" t="s">
        <v>532</v>
      </c>
      <c r="J97" s="58">
        <v>6924.6486000000004</v>
      </c>
      <c r="K97" s="58">
        <v>12259.7806</v>
      </c>
      <c r="L97" s="354">
        <v>2</v>
      </c>
      <c r="M97" s="352">
        <v>14.9</v>
      </c>
      <c r="N97" s="41" t="s">
        <v>481</v>
      </c>
      <c r="O97" s="41">
        <v>30</v>
      </c>
      <c r="P97" s="354">
        <v>4</v>
      </c>
      <c r="Q97" s="41">
        <v>18.399999999999999</v>
      </c>
      <c r="R97" s="41" t="s">
        <v>481</v>
      </c>
      <c r="S97" s="41">
        <v>42</v>
      </c>
      <c r="T97" s="46">
        <v>16.535433070866144</v>
      </c>
      <c r="U97" s="46">
        <v>120.98425196850394</v>
      </c>
      <c r="V97" s="47">
        <v>0.97973515141977108</v>
      </c>
      <c r="W97"/>
    </row>
    <row r="98" spans="1:23">
      <c r="A98" s="27">
        <v>92</v>
      </c>
      <c r="B98" s="42" t="str">
        <f t="shared" si="5"/>
        <v>WHITE 4-210  4WD________________________ 183 pto hp</v>
      </c>
      <c r="C98" s="352">
        <v>182.96603999999999</v>
      </c>
      <c r="D98" s="42" t="s">
        <v>795</v>
      </c>
      <c r="E98" s="42" t="s">
        <v>827</v>
      </c>
      <c r="F98" s="42" t="s">
        <v>606</v>
      </c>
      <c r="G98" s="291"/>
      <c r="H98" s="353">
        <v>1318</v>
      </c>
      <c r="I98" s="38">
        <v>0</v>
      </c>
      <c r="J98" s="58">
        <v>14074.1664</v>
      </c>
      <c r="K98" s="58">
        <v>9660.5572000000011</v>
      </c>
      <c r="L98" s="354">
        <v>4</v>
      </c>
      <c r="M98" s="352">
        <v>18.399999999999999</v>
      </c>
      <c r="N98" s="354" t="s">
        <v>500</v>
      </c>
      <c r="O98" s="41">
        <v>38</v>
      </c>
      <c r="P98" s="354">
        <v>4</v>
      </c>
      <c r="Q98" s="41">
        <v>18.399999999999999</v>
      </c>
      <c r="R98" s="354" t="s">
        <v>500</v>
      </c>
      <c r="S98" s="41">
        <v>38</v>
      </c>
      <c r="T98" s="46">
        <v>22.047244094488189</v>
      </c>
      <c r="U98" s="46">
        <v>117.75590551181104</v>
      </c>
      <c r="V98" s="47">
        <v>0.93811530950357369</v>
      </c>
    </row>
    <row r="99" spans="1:23">
      <c r="A99" s="27">
        <v>93</v>
      </c>
      <c r="B99" s="42" t="str">
        <f t="shared" si="5"/>
        <v>WHITE 8610-18-SP, PPS  MFWD_____________ 184 pto hp</v>
      </c>
      <c r="C99" s="352">
        <v>184.29363000000001</v>
      </c>
      <c r="D99" s="42" t="s">
        <v>795</v>
      </c>
      <c r="E99" s="42" t="s">
        <v>828</v>
      </c>
      <c r="F99" s="42" t="s">
        <v>497</v>
      </c>
      <c r="G99" s="291"/>
      <c r="H99" s="353">
        <v>5334</v>
      </c>
      <c r="I99" s="38" t="s">
        <v>532</v>
      </c>
      <c r="J99" s="58">
        <v>7039.2878000000001</v>
      </c>
      <c r="K99" s="58">
        <v>12610.312</v>
      </c>
      <c r="L99" s="354">
        <v>2</v>
      </c>
      <c r="M99" s="352">
        <v>14.9</v>
      </c>
      <c r="N99" s="41" t="s">
        <v>481</v>
      </c>
      <c r="O99" s="41">
        <v>34</v>
      </c>
      <c r="P99" s="354">
        <v>2</v>
      </c>
      <c r="Q99" s="41">
        <v>18.399999999999999</v>
      </c>
      <c r="R99" s="41" t="s">
        <v>481</v>
      </c>
      <c r="S99" s="41">
        <v>46</v>
      </c>
      <c r="T99" s="46">
        <v>17.519685039370081</v>
      </c>
      <c r="U99" s="46">
        <v>120.98425196850394</v>
      </c>
      <c r="V99" s="47">
        <v>1.0124853181013069</v>
      </c>
    </row>
    <row r="100" spans="1:23">
      <c r="A100" s="27">
        <v>94</v>
      </c>
      <c r="B100" s="42" t="str">
        <f t="shared" si="5"/>
        <v>WHITE 185/195-18 SP  MFWD_______________ 188 pto hp</v>
      </c>
      <c r="C100" s="352">
        <v>187.53885</v>
      </c>
      <c r="D100" s="42" t="s">
        <v>795</v>
      </c>
      <c r="E100" s="42" t="s">
        <v>829</v>
      </c>
      <c r="F100" s="42" t="s">
        <v>497</v>
      </c>
      <c r="G100" s="291"/>
      <c r="H100" s="353">
        <v>1608</v>
      </c>
      <c r="I100" s="38" t="s">
        <v>499</v>
      </c>
      <c r="J100" s="58">
        <v>5899.5096000000003</v>
      </c>
      <c r="K100" s="58">
        <v>11250.0738</v>
      </c>
      <c r="L100" s="354">
        <v>2</v>
      </c>
      <c r="M100" s="352">
        <v>18.399999999999999</v>
      </c>
      <c r="N100" s="354" t="s">
        <v>500</v>
      </c>
      <c r="O100" s="41">
        <v>26</v>
      </c>
      <c r="P100" s="354">
        <v>4</v>
      </c>
      <c r="Q100" s="41">
        <v>20.8</v>
      </c>
      <c r="R100" s="41" t="s">
        <v>481</v>
      </c>
      <c r="S100" s="41">
        <v>38</v>
      </c>
      <c r="T100" s="46">
        <v>22.047244094488189</v>
      </c>
      <c r="U100" s="46">
        <v>90.984251968503941</v>
      </c>
      <c r="V100" s="47">
        <v>0.94285328944707525</v>
      </c>
    </row>
    <row r="101" spans="1:23">
      <c r="A101" s="27">
        <v>95</v>
      </c>
      <c r="B101" s="42" t="str">
        <f t="shared" si="5"/>
        <v>WHITE 4-225-18 SP  4WD__________________ 196 pto hp</v>
      </c>
      <c r="C101" s="352">
        <v>195.65190000000001</v>
      </c>
      <c r="D101" s="42" t="s">
        <v>795</v>
      </c>
      <c r="E101" s="42" t="s">
        <v>830</v>
      </c>
      <c r="F101" s="42" t="s">
        <v>606</v>
      </c>
      <c r="G101" s="291"/>
      <c r="H101" s="353">
        <v>1558</v>
      </c>
      <c r="I101" s="38">
        <v>0</v>
      </c>
      <c r="J101" s="58">
        <v>14475.403600000001</v>
      </c>
      <c r="K101" s="58">
        <v>9664.9664000000012</v>
      </c>
      <c r="L101" s="354">
        <v>4</v>
      </c>
      <c r="M101" s="352">
        <v>18.399999999999999</v>
      </c>
      <c r="N101" s="354" t="s">
        <v>500</v>
      </c>
      <c r="O101" s="41">
        <v>38</v>
      </c>
      <c r="P101" s="354">
        <v>4</v>
      </c>
      <c r="Q101" s="41">
        <v>18.399999999999999</v>
      </c>
      <c r="R101" s="354" t="s">
        <v>500</v>
      </c>
      <c r="S101" s="41">
        <v>38</v>
      </c>
      <c r="T101" s="46">
        <v>13.976377952755906</v>
      </c>
      <c r="U101" s="46">
        <v>117.71653543307087</v>
      </c>
      <c r="V101" s="47">
        <v>0.93259950383750345</v>
      </c>
    </row>
    <row r="102" spans="1:23">
      <c r="A102" s="27">
        <v>96</v>
      </c>
      <c r="B102" s="42" t="str">
        <f t="shared" si="5"/>
        <v>WHITE 4-270-16 SP  4WD__________________ 239 pto hp</v>
      </c>
      <c r="C102" s="352">
        <v>239.24780999999999</v>
      </c>
      <c r="D102" s="42" t="s">
        <v>795</v>
      </c>
      <c r="E102" s="42" t="s">
        <v>831</v>
      </c>
      <c r="F102" s="42" t="s">
        <v>606</v>
      </c>
      <c r="G102" s="291"/>
      <c r="H102" s="353">
        <v>1559</v>
      </c>
      <c r="I102" s="38">
        <v>0</v>
      </c>
      <c r="J102" s="58">
        <v>17235.5628</v>
      </c>
      <c r="K102" s="58">
        <v>13414.991</v>
      </c>
      <c r="L102" s="354">
        <v>4</v>
      </c>
      <c r="M102" s="352">
        <v>20.8</v>
      </c>
      <c r="N102" s="354" t="s">
        <v>500</v>
      </c>
      <c r="O102" s="41">
        <v>38</v>
      </c>
      <c r="P102" s="354">
        <v>4</v>
      </c>
      <c r="Q102" s="41">
        <v>20.8</v>
      </c>
      <c r="R102" s="354" t="s">
        <v>500</v>
      </c>
      <c r="S102" s="41">
        <v>38</v>
      </c>
      <c r="T102" s="46">
        <v>13.976377952755906</v>
      </c>
      <c r="U102" s="46">
        <v>129.48818897637796</v>
      </c>
      <c r="V102" s="47">
        <v>0.93979227330542014</v>
      </c>
    </row>
    <row r="103" spans="1:23">
      <c r="A103" s="27">
        <v>97</v>
      </c>
      <c r="B103" s="42" t="str">
        <f t="shared" si="5"/>
        <v>White (AGCO) 6215-18 SP  4WD____________ 215 pto hp</v>
      </c>
      <c r="C103" s="352">
        <v>215.44505999999998</v>
      </c>
      <c r="D103" s="42" t="s">
        <v>832</v>
      </c>
      <c r="E103" s="42" t="s">
        <v>833</v>
      </c>
      <c r="F103" s="42" t="s">
        <v>606</v>
      </c>
      <c r="G103" s="291"/>
      <c r="H103" s="353">
        <v>5214</v>
      </c>
      <c r="I103" s="38" t="s">
        <v>817</v>
      </c>
      <c r="J103" s="58">
        <v>6717.4162000000006</v>
      </c>
      <c r="K103" s="58">
        <v>12758.020200000001</v>
      </c>
      <c r="L103" s="354">
        <v>2</v>
      </c>
      <c r="M103" s="352">
        <v>16.899999999999999</v>
      </c>
      <c r="N103" s="41" t="s">
        <v>481</v>
      </c>
      <c r="O103" s="41">
        <v>30</v>
      </c>
      <c r="P103" s="354">
        <v>2</v>
      </c>
      <c r="Q103" s="41">
        <v>20.8</v>
      </c>
      <c r="R103" s="41" t="s">
        <v>481</v>
      </c>
      <c r="S103" s="41">
        <v>42</v>
      </c>
      <c r="T103" s="46">
        <v>21.062992125984252</v>
      </c>
      <c r="U103" s="46">
        <v>115</v>
      </c>
      <c r="V103" s="47">
        <v>0.93132164946668383</v>
      </c>
    </row>
    <row r="104" spans="1:23">
      <c r="A104" s="27">
        <v>98</v>
      </c>
      <c r="B104" s="42" t="str">
        <f>CONCATENATE( LEFT(CONCATENATE(D104," ",E104," ",G104," ",F104,$W$5),40)," ",FIXED(C104,0)," pto hp")</f>
        <v>WHITE, AGCO-ALLIS 6124-PPS 32 SP  MFWD__ 125 pto hp</v>
      </c>
      <c r="C104" s="352">
        <v>124.94096999999999</v>
      </c>
      <c r="D104" s="42" t="s">
        <v>834</v>
      </c>
      <c r="E104" s="42" t="s">
        <v>835</v>
      </c>
      <c r="F104" s="42" t="s">
        <v>497</v>
      </c>
      <c r="G104" s="291"/>
      <c r="H104" s="353">
        <v>5180</v>
      </c>
      <c r="I104" s="38" t="s">
        <v>532</v>
      </c>
      <c r="J104" s="58">
        <v>5284.4261999999999</v>
      </c>
      <c r="K104" s="58">
        <v>9638.5112000000008</v>
      </c>
      <c r="L104" s="354">
        <v>2</v>
      </c>
      <c r="M104" s="352">
        <v>14.9</v>
      </c>
      <c r="N104" s="41" t="s">
        <v>481</v>
      </c>
      <c r="O104" s="41">
        <v>30</v>
      </c>
      <c r="P104" s="354">
        <v>4</v>
      </c>
      <c r="Q104" s="41">
        <v>18.399999999999999</v>
      </c>
      <c r="R104" s="41" t="s">
        <v>481</v>
      </c>
      <c r="S104" s="41">
        <v>42</v>
      </c>
      <c r="T104" s="46">
        <v>25</v>
      </c>
      <c r="U104" s="46">
        <v>105.98425196850394</v>
      </c>
      <c r="V104" s="47">
        <v>0.96694311570344638</v>
      </c>
    </row>
    <row r="105" spans="1:23">
      <c r="A105" s="27">
        <v>99</v>
      </c>
      <c r="B105" s="42" t="str">
        <f>CONCATENATE( LEFT(CONCATENATE(D105," ",E105," ",G105," ",F105,$W$5),40)," ",FIXED(C105,0)," pto hp")</f>
        <v>WHITE, AGCO-ALLIS 6144-PPS 32 SP  MFWD__ 143 pto hp</v>
      </c>
      <c r="C105" s="352">
        <v>142.56171000000001</v>
      </c>
      <c r="D105" s="42" t="s">
        <v>834</v>
      </c>
      <c r="E105" s="42" t="s">
        <v>836</v>
      </c>
      <c r="F105" s="42" t="s">
        <v>497</v>
      </c>
      <c r="G105" s="291"/>
      <c r="H105" s="353">
        <v>5181</v>
      </c>
      <c r="I105" s="38" t="s">
        <v>532</v>
      </c>
      <c r="J105" s="58">
        <v>5255.7664000000004</v>
      </c>
      <c r="K105" s="58">
        <v>9770.7872000000007</v>
      </c>
      <c r="L105" s="354">
        <v>2</v>
      </c>
      <c r="M105" s="352">
        <v>14.9</v>
      </c>
      <c r="N105" s="41" t="s">
        <v>481</v>
      </c>
      <c r="O105" s="41">
        <v>30</v>
      </c>
      <c r="P105" s="354">
        <v>4</v>
      </c>
      <c r="Q105" s="41">
        <v>18.399999999999999</v>
      </c>
      <c r="R105" s="41" t="s">
        <v>481</v>
      </c>
      <c r="S105" s="41">
        <v>42</v>
      </c>
      <c r="T105" s="46">
        <v>25</v>
      </c>
      <c r="U105" s="46">
        <v>105.98425196850394</v>
      </c>
      <c r="V105" s="47">
        <v>0.95586865695052525</v>
      </c>
    </row>
    <row r="106" spans="1:23">
      <c r="A106" s="27">
        <v>100</v>
      </c>
      <c r="B106" s="42" t="str">
        <f>CONCATENATE( LEFT(CONCATENATE(D106," ",E106," ",G106," ",F106,$W$5),40)," ",FIXED(C106,0)," pto hp")</f>
        <v>WHITE, AGCO-ALLIS 6175-18 SP  MFWD______ 175 pto hp</v>
      </c>
      <c r="C106" s="352">
        <v>175.46984999999998</v>
      </c>
      <c r="D106" s="42" t="s">
        <v>834</v>
      </c>
      <c r="E106" s="42" t="s">
        <v>837</v>
      </c>
      <c r="F106" s="42" t="s">
        <v>497</v>
      </c>
      <c r="G106" s="291"/>
      <c r="H106" s="353">
        <v>5169</v>
      </c>
      <c r="I106" s="38" t="s">
        <v>499</v>
      </c>
      <c r="J106" s="58">
        <v>6695.3702000000003</v>
      </c>
      <c r="K106" s="58">
        <v>12026.093000000001</v>
      </c>
      <c r="L106" s="354">
        <v>2</v>
      </c>
      <c r="M106" s="352">
        <v>16.899999999999999</v>
      </c>
      <c r="N106" s="41" t="s">
        <v>481</v>
      </c>
      <c r="O106" s="41">
        <v>30</v>
      </c>
      <c r="P106" s="354">
        <v>2</v>
      </c>
      <c r="Q106" s="41">
        <v>18.399999999999999</v>
      </c>
      <c r="R106" s="41" t="s">
        <v>481</v>
      </c>
      <c r="S106" s="41">
        <v>46</v>
      </c>
      <c r="T106" s="46">
        <v>15.551181102362206</v>
      </c>
      <c r="U106" s="46">
        <v>115</v>
      </c>
      <c r="V106" s="47">
        <v>0.95323991480510684</v>
      </c>
    </row>
    <row r="107" spans="1:23">
      <c r="A107" s="27">
        <v>101</v>
      </c>
      <c r="B107" s="42" t="str">
        <f>CONCATENATE( LEFT(CONCATENATE(D107," ",E107," ",G107," ",F107,$W$5),40)," ",FIXED(C107,0)," pto hp")</f>
        <v>WHITE, AGCO-ALLIS 6195-18 SP  MFWD______ 200 pto hp</v>
      </c>
      <c r="C107" s="352">
        <v>200.45267999999999</v>
      </c>
      <c r="D107" s="42" t="s">
        <v>834</v>
      </c>
      <c r="E107" s="42" t="s">
        <v>838</v>
      </c>
      <c r="F107" s="42" t="s">
        <v>497</v>
      </c>
      <c r="G107" s="291"/>
      <c r="H107" s="353">
        <v>5170</v>
      </c>
      <c r="I107" s="38">
        <v>0</v>
      </c>
      <c r="J107" s="58">
        <v>6790.1680000000006</v>
      </c>
      <c r="K107" s="58">
        <v>12052.548200000001</v>
      </c>
      <c r="L107" s="354">
        <v>2</v>
      </c>
      <c r="M107" s="352">
        <v>16.899999999999999</v>
      </c>
      <c r="N107" s="41" t="s">
        <v>481</v>
      </c>
      <c r="O107" s="41">
        <v>30</v>
      </c>
      <c r="P107" s="354">
        <v>2</v>
      </c>
      <c r="Q107" s="41">
        <v>18.399999999999999</v>
      </c>
      <c r="R107" s="41" t="s">
        <v>481</v>
      </c>
      <c r="S107" s="41">
        <v>46</v>
      </c>
      <c r="T107" s="46">
        <v>15.94488188976378</v>
      </c>
      <c r="U107" s="46">
        <v>115</v>
      </c>
      <c r="V107" s="47">
        <v>0.94219176747781497</v>
      </c>
    </row>
    <row r="108" spans="1:23">
      <c r="A108" s="27">
        <v>102</v>
      </c>
    </row>
    <row r="109" spans="1:23">
      <c r="A109" s="27">
        <v>103</v>
      </c>
    </row>
    <row r="110" spans="1:23">
      <c r="A110" s="27">
        <v>104</v>
      </c>
    </row>
    <row r="111" spans="1:23">
      <c r="A111" s="27">
        <v>105</v>
      </c>
    </row>
    <row r="112" spans="1:23">
      <c r="A112" s="27">
        <v>106</v>
      </c>
    </row>
    <row r="113" spans="1:1">
      <c r="A113" s="27">
        <v>107</v>
      </c>
    </row>
    <row r="114" spans="1:1">
      <c r="A114" s="27">
        <v>108</v>
      </c>
    </row>
    <row r="115" spans="1:1">
      <c r="A115" s="27">
        <v>109</v>
      </c>
    </row>
    <row r="116" spans="1:1">
      <c r="A116" s="27">
        <v>110</v>
      </c>
    </row>
  </sheetData>
  <printOptions gridLines="1" gridLinesSet="0"/>
  <pageMargins left="0.75" right="0.75" top="1" bottom="1" header="0.5" footer="0.5"/>
  <pageSetup orientation="portrait" horizontalDpi="4294967292" verticalDpi="0"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0" r:id="rId4" name="Button 2">
              <controlPr defaultSize="0" print="0" autoFill="0" autoLine="0" autoPict="0" macro="[0]!pickTractor">
                <anchor moveWithCells="1" sizeWithCells="1">
                  <from>
                    <xdr:col>2</xdr:col>
                    <xdr:colOff>9525</xdr:colOff>
                    <xdr:row>0</xdr:row>
                    <xdr:rowOff>0</xdr:rowOff>
                  </from>
                  <to>
                    <xdr:col>3</xdr:col>
                    <xdr:colOff>542925</xdr:colOff>
                    <xdr:row>0</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153"/>
  <sheetViews>
    <sheetView workbookViewId="0">
      <selection activeCell="B7" sqref="B7:V156"/>
    </sheetView>
  </sheetViews>
  <sheetFormatPr defaultRowHeight="12.75"/>
  <cols>
    <col min="1" max="1" width="9" style="27"/>
    <col min="2" max="2" width="54.875" style="27" customWidth="1"/>
    <col min="3" max="3" width="9.125" style="27" customWidth="1"/>
    <col min="4" max="4" width="11.25" style="27" customWidth="1"/>
    <col min="5" max="5" width="18.125" style="27" customWidth="1"/>
    <col min="6" max="6" width="9.125" style="27" customWidth="1"/>
    <col min="7" max="7" width="18.875" style="27" customWidth="1"/>
    <col min="8" max="9" width="9" style="27"/>
    <col min="10" max="11" width="6.875" style="27" customWidth="1"/>
    <col min="12" max="12" width="8.375" style="27" customWidth="1"/>
    <col min="13" max="20" width="9" style="27"/>
    <col min="21" max="21" width="9.625" style="27" customWidth="1"/>
    <col min="22" max="22" width="9.875" style="27" customWidth="1"/>
    <col min="23" max="16384" width="9" style="27"/>
  </cols>
  <sheetData>
    <row r="1" spans="1:23" s="49" customFormat="1" ht="16.5" thickTop="1">
      <c r="B1" s="50" t="s">
        <v>472</v>
      </c>
      <c r="C1" s="51"/>
      <c r="D1" s="51"/>
      <c r="F1" s="51"/>
      <c r="G1" s="51"/>
      <c r="H1" s="51"/>
      <c r="J1" s="51"/>
      <c r="K1" s="51"/>
      <c r="L1" s="52" t="s">
        <v>473</v>
      </c>
      <c r="M1" s="53"/>
      <c r="N1" s="53"/>
      <c r="P1" s="52" t="s">
        <v>474</v>
      </c>
      <c r="Q1" s="53"/>
      <c r="R1" s="53"/>
      <c r="T1" s="51" t="s">
        <v>475</v>
      </c>
      <c r="U1" s="51" t="s">
        <v>476</v>
      </c>
      <c r="V1" s="51" t="s">
        <v>477</v>
      </c>
    </row>
    <row r="2" spans="1:23">
      <c r="A2" s="27">
        <v>1</v>
      </c>
      <c r="B2" s="382" t="s">
        <v>0</v>
      </c>
      <c r="C2" s="27">
        <v>3</v>
      </c>
      <c r="D2" s="27">
        <v>4</v>
      </c>
      <c r="E2" s="27">
        <v>5</v>
      </c>
      <c r="F2" s="27">
        <v>6</v>
      </c>
      <c r="G2" s="27">
        <v>7</v>
      </c>
      <c r="H2" s="27">
        <v>8</v>
      </c>
      <c r="I2" s="27">
        <v>9</v>
      </c>
      <c r="J2" s="27">
        <v>10</v>
      </c>
      <c r="K2" s="27">
        <v>11</v>
      </c>
      <c r="L2" s="27">
        <v>12</v>
      </c>
      <c r="M2" s="27">
        <v>13</v>
      </c>
      <c r="N2" s="27">
        <v>14</v>
      </c>
      <c r="O2" s="27">
        <v>15</v>
      </c>
      <c r="P2" s="27">
        <v>16</v>
      </c>
      <c r="Q2" s="27">
        <v>17</v>
      </c>
      <c r="R2" s="27">
        <v>18</v>
      </c>
      <c r="S2" s="27">
        <v>19</v>
      </c>
      <c r="T2" s="27">
        <v>20</v>
      </c>
      <c r="U2" s="27">
        <v>21</v>
      </c>
      <c r="V2" s="27">
        <v>22</v>
      </c>
    </row>
    <row r="3" spans="1:23" s="29" customFormat="1" ht="38.25">
      <c r="C3" s="32" t="s">
        <v>478</v>
      </c>
      <c r="D3" s="34"/>
      <c r="E3" s="32"/>
      <c r="F3" s="32"/>
      <c r="G3" s="32" t="s">
        <v>479</v>
      </c>
      <c r="H3" s="32" t="s">
        <v>480</v>
      </c>
      <c r="I3" s="32" t="s">
        <v>481</v>
      </c>
      <c r="J3" s="54" t="s">
        <v>482</v>
      </c>
      <c r="K3" s="54"/>
      <c r="L3" s="29" t="s">
        <v>483</v>
      </c>
      <c r="N3" s="29" t="s">
        <v>484</v>
      </c>
      <c r="P3" s="32" t="s">
        <v>483</v>
      </c>
      <c r="R3" s="29" t="s">
        <v>484</v>
      </c>
      <c r="T3" s="32" t="s">
        <v>485</v>
      </c>
      <c r="U3" s="32" t="s">
        <v>486</v>
      </c>
      <c r="V3" s="32" t="s">
        <v>487</v>
      </c>
    </row>
    <row r="4" spans="1:23" s="29" customFormat="1">
      <c r="C4" s="32"/>
      <c r="D4" s="34"/>
      <c r="E4" s="32"/>
      <c r="F4" s="32"/>
      <c r="G4" s="32"/>
      <c r="H4" s="32"/>
      <c r="I4" s="32"/>
      <c r="J4" s="54"/>
      <c r="K4" s="54"/>
      <c r="P4" s="32"/>
      <c r="T4" s="32"/>
      <c r="U4" s="32"/>
      <c r="V4" s="32"/>
    </row>
    <row r="5" spans="1:23" s="55" customFormat="1" ht="13.5" thickBot="1">
      <c r="B5" s="55" t="s">
        <v>422</v>
      </c>
      <c r="C5" s="56" t="s">
        <v>423</v>
      </c>
      <c r="D5" s="57" t="s">
        <v>425</v>
      </c>
      <c r="E5" s="56" t="s">
        <v>300</v>
      </c>
      <c r="F5" s="56" t="s">
        <v>428</v>
      </c>
      <c r="G5" s="56" t="s">
        <v>430</v>
      </c>
      <c r="H5" s="56" t="s">
        <v>433</v>
      </c>
      <c r="I5" s="56"/>
      <c r="J5" s="56" t="s">
        <v>488</v>
      </c>
      <c r="K5" s="56" t="s">
        <v>489</v>
      </c>
      <c r="L5" s="55" t="s">
        <v>490</v>
      </c>
      <c r="M5" s="55" t="s">
        <v>491</v>
      </c>
      <c r="N5" s="55" t="s">
        <v>492</v>
      </c>
      <c r="O5" s="55" t="s">
        <v>493</v>
      </c>
      <c r="P5" s="56" t="s">
        <v>490</v>
      </c>
      <c r="Q5" s="55" t="s">
        <v>491</v>
      </c>
      <c r="R5" s="55" t="s">
        <v>492</v>
      </c>
      <c r="S5" s="55" t="s">
        <v>493</v>
      </c>
      <c r="T5" s="56" t="s">
        <v>494</v>
      </c>
      <c r="U5" s="56" t="s">
        <v>465</v>
      </c>
      <c r="V5" s="56" t="s">
        <v>467</v>
      </c>
      <c r="W5" t="s">
        <v>420</v>
      </c>
    </row>
    <row r="6" spans="1:23" s="29" customFormat="1">
      <c r="A6"/>
      <c r="C6" s="32"/>
      <c r="D6" s="34"/>
      <c r="E6" s="32"/>
      <c r="F6" s="32"/>
      <c r="G6" s="32"/>
      <c r="H6" s="32"/>
      <c r="I6" s="32"/>
      <c r="J6" s="32"/>
      <c r="K6" s="32"/>
      <c r="P6" s="32"/>
      <c r="T6" s="32"/>
      <c r="U6" s="32"/>
      <c r="V6" s="32"/>
    </row>
    <row r="7" spans="1:23">
      <c r="A7" s="437">
        <v>1</v>
      </c>
      <c r="B7" s="525" t="str">
        <f t="shared" ref="B7:B22" si="0">CONCATENATE( LEFT(CONCATENATE(D7," ",E7," ",G7," ",F7,$W$5),40)," ",FIXED(C7,0)," pto hp")</f>
        <v>JOHN DEERE 1250 Manual Shift MFWD_______ 41 pto hp</v>
      </c>
      <c r="C7" s="432">
        <v>40.700000000000003</v>
      </c>
      <c r="D7" s="434" t="s">
        <v>495</v>
      </c>
      <c r="E7" s="431" t="s">
        <v>496</v>
      </c>
      <c r="F7" s="431" t="s">
        <v>497</v>
      </c>
      <c r="G7" s="433" t="s">
        <v>498</v>
      </c>
      <c r="H7" s="434">
        <v>1437</v>
      </c>
      <c r="I7" s="431" t="s">
        <v>499</v>
      </c>
      <c r="J7" s="435">
        <v>2189.5650000000001</v>
      </c>
      <c r="K7" s="435">
        <v>2901.78</v>
      </c>
      <c r="L7" s="434">
        <v>2</v>
      </c>
      <c r="M7" s="434">
        <v>9.5</v>
      </c>
      <c r="N7" s="431" t="s">
        <v>500</v>
      </c>
      <c r="O7" s="434">
        <v>24</v>
      </c>
      <c r="P7" s="434">
        <v>2</v>
      </c>
      <c r="Q7" s="434">
        <v>14.9</v>
      </c>
      <c r="R7" s="431" t="s">
        <v>500</v>
      </c>
      <c r="S7" s="434">
        <v>28</v>
      </c>
      <c r="T7" s="436">
        <v>16.929133858267718</v>
      </c>
      <c r="U7" s="385">
        <v>78.070866141732282</v>
      </c>
      <c r="V7" s="384">
        <v>0.90547219377532395</v>
      </c>
    </row>
    <row r="8" spans="1:23">
      <c r="A8" s="437">
        <v>2</v>
      </c>
      <c r="B8" s="525" t="str">
        <f t="shared" si="0"/>
        <v>JOHN DEERE 750  Manual Shift 2WD _______ 19 pto hp</v>
      </c>
      <c r="C8" s="432">
        <v>18.55</v>
      </c>
      <c r="D8" s="434" t="s">
        <v>495</v>
      </c>
      <c r="E8" s="433" t="s">
        <v>501</v>
      </c>
      <c r="F8" s="433" t="s">
        <v>502</v>
      </c>
      <c r="G8" s="433" t="s">
        <v>498</v>
      </c>
      <c r="H8" s="434">
        <v>1504</v>
      </c>
      <c r="I8" s="434"/>
      <c r="J8" s="435">
        <v>729.85500000000002</v>
      </c>
      <c r="K8" s="435">
        <v>1265.67</v>
      </c>
      <c r="L8" s="434">
        <v>2</v>
      </c>
      <c r="M8" s="432">
        <v>4</v>
      </c>
      <c r="N8" s="431" t="s">
        <v>499</v>
      </c>
      <c r="O8" s="434">
        <v>15</v>
      </c>
      <c r="P8" s="434">
        <v>2</v>
      </c>
      <c r="Q8" s="434">
        <v>9.5</v>
      </c>
      <c r="R8" s="431" t="s">
        <v>500</v>
      </c>
      <c r="S8" s="434">
        <v>24</v>
      </c>
      <c r="T8" s="436">
        <v>12.992125984251969</v>
      </c>
      <c r="U8" s="385">
        <v>61.023622047244096</v>
      </c>
      <c r="V8" s="384">
        <v>0.91692560239197984</v>
      </c>
    </row>
    <row r="9" spans="1:23">
      <c r="A9" s="437">
        <v>3</v>
      </c>
      <c r="B9" s="525" t="str">
        <f t="shared" si="0"/>
        <v>JOHN DEERE 2040 Manual Shift MFWD_______ 40 pto hp</v>
      </c>
      <c r="C9" s="432">
        <v>40.450000000000003</v>
      </c>
      <c r="D9" s="434" t="s">
        <v>495</v>
      </c>
      <c r="E9" s="431" t="s">
        <v>503</v>
      </c>
      <c r="F9" s="431" t="s">
        <v>497</v>
      </c>
      <c r="G9" s="433" t="s">
        <v>498</v>
      </c>
      <c r="H9" s="434">
        <v>1393</v>
      </c>
      <c r="I9" s="431" t="s">
        <v>499</v>
      </c>
      <c r="J9" s="435">
        <v>2299.8150000000001</v>
      </c>
      <c r="K9" s="435">
        <v>3475.08</v>
      </c>
      <c r="L9" s="434">
        <v>2</v>
      </c>
      <c r="M9" s="434">
        <v>9.5</v>
      </c>
      <c r="N9" s="431" t="s">
        <v>500</v>
      </c>
      <c r="O9" s="434">
        <v>24</v>
      </c>
      <c r="P9" s="434">
        <v>2</v>
      </c>
      <c r="Q9" s="434">
        <v>16.899999999999999</v>
      </c>
      <c r="R9" s="431" t="s">
        <v>500</v>
      </c>
      <c r="S9" s="434">
        <v>28</v>
      </c>
      <c r="T9" s="436">
        <v>16.535433070866144</v>
      </c>
      <c r="U9" s="385">
        <v>81.102362204724415</v>
      </c>
      <c r="V9" s="384">
        <v>0.88751881855330128</v>
      </c>
    </row>
    <row r="10" spans="1:23">
      <c r="A10" s="437">
        <v>4</v>
      </c>
      <c r="B10" s="525" t="str">
        <f t="shared" si="0"/>
        <v>JOHN DEERE 5200 Manual Shift MFWD_______ 41 pto hp</v>
      </c>
      <c r="C10" s="438">
        <v>41.12</v>
      </c>
      <c r="D10" s="434" t="s">
        <v>495</v>
      </c>
      <c r="E10" s="439" t="s">
        <v>505</v>
      </c>
      <c r="F10" s="439" t="s">
        <v>497</v>
      </c>
      <c r="G10" s="433" t="s">
        <v>498</v>
      </c>
      <c r="H10" s="440" t="s">
        <v>506</v>
      </c>
      <c r="I10" s="438"/>
      <c r="J10" s="438">
        <v>2065</v>
      </c>
      <c r="K10" s="438">
        <v>3030</v>
      </c>
      <c r="L10" s="438">
        <v>2</v>
      </c>
      <c r="M10" s="438">
        <v>9.5</v>
      </c>
      <c r="N10" s="439" t="s">
        <v>500</v>
      </c>
      <c r="O10" s="438">
        <v>24</v>
      </c>
      <c r="P10" s="438">
        <v>2</v>
      </c>
      <c r="Q10" s="438">
        <v>16.899999999999999</v>
      </c>
      <c r="R10" s="439" t="s">
        <v>500</v>
      </c>
      <c r="S10" s="438">
        <v>28</v>
      </c>
      <c r="T10" s="438">
        <v>16.5</v>
      </c>
      <c r="U10" s="386">
        <v>80.7</v>
      </c>
      <c r="V10" s="386">
        <v>0.94699999999999995</v>
      </c>
    </row>
    <row r="11" spans="1:23">
      <c r="A11" s="437">
        <v>5</v>
      </c>
      <c r="B11" s="525" t="str">
        <f t="shared" si="0"/>
        <v>JOHN DEERE 2040 Manual Shift 2WD________ 41 pto hp</v>
      </c>
      <c r="C11" s="432">
        <v>41.25</v>
      </c>
      <c r="D11" s="434" t="s">
        <v>495</v>
      </c>
      <c r="E11" s="431" t="s">
        <v>503</v>
      </c>
      <c r="F11" s="431" t="s">
        <v>507</v>
      </c>
      <c r="G11" s="433" t="s">
        <v>498</v>
      </c>
      <c r="H11" s="434">
        <v>1350</v>
      </c>
      <c r="I11" s="434"/>
      <c r="J11" s="435">
        <v>1999.9349999999999</v>
      </c>
      <c r="K11" s="435">
        <v>3036.2850000000003</v>
      </c>
      <c r="L11" s="434">
        <v>2</v>
      </c>
      <c r="M11" s="432">
        <v>7.5</v>
      </c>
      <c r="N11" s="431" t="s">
        <v>499</v>
      </c>
      <c r="O11" s="434">
        <v>16</v>
      </c>
      <c r="P11" s="434">
        <v>2</v>
      </c>
      <c r="Q11" s="434">
        <v>14.9</v>
      </c>
      <c r="R11" s="431" t="s">
        <v>500</v>
      </c>
      <c r="S11" s="434">
        <v>28</v>
      </c>
      <c r="T11" s="436">
        <v>16.535433070866144</v>
      </c>
      <c r="U11" s="385">
        <v>74.409448818897644</v>
      </c>
      <c r="V11" s="384">
        <v>0.87301866235546322</v>
      </c>
    </row>
    <row r="12" spans="1:23">
      <c r="A12" s="437">
        <v>6</v>
      </c>
      <c r="B12" s="525" t="str">
        <f t="shared" si="0"/>
        <v>JOHN DEERE 2155 Manual Shift 2WD________ 46 pto hp</v>
      </c>
      <c r="C12" s="432">
        <v>45.59</v>
      </c>
      <c r="D12" s="434" t="s">
        <v>495</v>
      </c>
      <c r="E12" s="431" t="s">
        <v>508</v>
      </c>
      <c r="F12" s="431" t="s">
        <v>507</v>
      </c>
      <c r="G12" s="433" t="s">
        <v>498</v>
      </c>
      <c r="H12" s="434">
        <v>5024</v>
      </c>
      <c r="I12" s="434"/>
      <c r="J12" s="435">
        <v>1984.5</v>
      </c>
      <c r="K12" s="435">
        <v>3318.5250000000001</v>
      </c>
      <c r="L12" s="434">
        <v>2</v>
      </c>
      <c r="M12" s="432">
        <v>7.5</v>
      </c>
      <c r="N12" s="431" t="s">
        <v>499</v>
      </c>
      <c r="O12" s="434">
        <v>16</v>
      </c>
      <c r="P12" s="434">
        <v>2</v>
      </c>
      <c r="Q12" s="434">
        <v>16.899999999999999</v>
      </c>
      <c r="R12" s="431" t="s">
        <v>500</v>
      </c>
      <c r="S12" s="434">
        <v>28</v>
      </c>
      <c r="T12" s="436">
        <v>16.929133858267718</v>
      </c>
      <c r="U12" s="385">
        <v>74.370078740157481</v>
      </c>
      <c r="V12" s="384">
        <v>0.88712241653418111</v>
      </c>
    </row>
    <row r="13" spans="1:23">
      <c r="A13" s="437">
        <v>7</v>
      </c>
      <c r="B13" s="525" t="str">
        <f t="shared" si="0"/>
        <v>JOHN DEERE 2155 Partial PowerShift MFWD_ 46 pto hp</v>
      </c>
      <c r="C13" s="432">
        <v>46.13</v>
      </c>
      <c r="D13" s="434" t="s">
        <v>495</v>
      </c>
      <c r="E13" s="431" t="s">
        <v>508</v>
      </c>
      <c r="F13" s="431" t="s">
        <v>497</v>
      </c>
      <c r="G13" s="433" t="s">
        <v>509</v>
      </c>
      <c r="H13" s="434">
        <v>5048</v>
      </c>
      <c r="I13" s="431" t="s">
        <v>510</v>
      </c>
      <c r="J13" s="435">
        <v>2304.2249999999999</v>
      </c>
      <c r="K13" s="435">
        <v>3671.3250000000003</v>
      </c>
      <c r="L13" s="434">
        <v>2</v>
      </c>
      <c r="M13" s="434">
        <v>9.5</v>
      </c>
      <c r="N13" s="431" t="s">
        <v>500</v>
      </c>
      <c r="O13" s="434">
        <v>24</v>
      </c>
      <c r="P13" s="434">
        <v>2</v>
      </c>
      <c r="Q13" s="434">
        <v>16.899999999999999</v>
      </c>
      <c r="R13" s="431" t="s">
        <v>500</v>
      </c>
      <c r="S13" s="434">
        <v>28</v>
      </c>
      <c r="T13" s="436">
        <v>16.929133858267718</v>
      </c>
      <c r="U13" s="385">
        <v>80.984251968503941</v>
      </c>
      <c r="V13" s="384">
        <v>0.84538026398491517</v>
      </c>
    </row>
    <row r="14" spans="1:23">
      <c r="A14" s="437">
        <v>8</v>
      </c>
      <c r="B14" s="525" t="str">
        <f t="shared" si="0"/>
        <v>JOHN DEERE 2150 Partial PowerShift 2WD__ 46 pto hp</v>
      </c>
      <c r="C14" s="432">
        <v>46.47</v>
      </c>
      <c r="D14" s="434" t="s">
        <v>495</v>
      </c>
      <c r="E14" s="431" t="s">
        <v>511</v>
      </c>
      <c r="F14" s="431" t="s">
        <v>507</v>
      </c>
      <c r="G14" s="433" t="s">
        <v>509</v>
      </c>
      <c r="H14" s="434">
        <v>1469</v>
      </c>
      <c r="I14" s="434"/>
      <c r="J14" s="435">
        <v>2039.625</v>
      </c>
      <c r="K14" s="435">
        <v>3071.5650000000001</v>
      </c>
      <c r="L14" s="434">
        <v>2</v>
      </c>
      <c r="M14" s="432">
        <v>7.5</v>
      </c>
      <c r="N14" s="431" t="s">
        <v>499</v>
      </c>
      <c r="O14" s="434">
        <v>16</v>
      </c>
      <c r="P14" s="434">
        <v>2</v>
      </c>
      <c r="Q14" s="434">
        <v>16.899999999999999</v>
      </c>
      <c r="R14" s="431" t="s">
        <v>500</v>
      </c>
      <c r="S14" s="434">
        <v>28</v>
      </c>
      <c r="T14" s="436">
        <v>19.488188976377955</v>
      </c>
      <c r="U14" s="385">
        <v>74.409448818897644</v>
      </c>
      <c r="V14" s="384">
        <v>0.90012090012090018</v>
      </c>
    </row>
    <row r="15" spans="1:23">
      <c r="A15" s="437">
        <v>9</v>
      </c>
      <c r="B15" s="525" t="str">
        <f t="shared" si="0"/>
        <v>JOHN DEERE 5300 Manual Shift MFWD_______ 51 pto hp</v>
      </c>
      <c r="C15" s="438">
        <v>50.67</v>
      </c>
      <c r="D15" s="434" t="s">
        <v>495</v>
      </c>
      <c r="E15" s="439" t="s">
        <v>512</v>
      </c>
      <c r="F15" s="439" t="s">
        <v>497</v>
      </c>
      <c r="G15" s="433" t="s">
        <v>498</v>
      </c>
      <c r="H15" s="440" t="s">
        <v>513</v>
      </c>
      <c r="I15" s="438"/>
      <c r="J15" s="438">
        <v>2120</v>
      </c>
      <c r="K15" s="438">
        <v>3055</v>
      </c>
      <c r="L15" s="438">
        <v>2</v>
      </c>
      <c r="M15" s="438">
        <v>9.5</v>
      </c>
      <c r="N15" s="439" t="s">
        <v>500</v>
      </c>
      <c r="O15" s="438">
        <v>24</v>
      </c>
      <c r="P15" s="438">
        <v>2</v>
      </c>
      <c r="Q15" s="438">
        <v>16.899999999999999</v>
      </c>
      <c r="R15" s="439" t="s">
        <v>500</v>
      </c>
      <c r="S15" s="438">
        <v>28</v>
      </c>
      <c r="T15" s="438">
        <v>16.5</v>
      </c>
      <c r="U15" s="386">
        <v>80.7</v>
      </c>
      <c r="V15" s="386">
        <v>0.92500000000000004</v>
      </c>
    </row>
    <row r="16" spans="1:23">
      <c r="A16" s="437">
        <v>10</v>
      </c>
      <c r="B16" s="525" t="str">
        <f t="shared" si="0"/>
        <v>JOHN DEERE 2240 Manual Shift MFWD_______ 51 pto hp</v>
      </c>
      <c r="C16" s="432">
        <v>50.91</v>
      </c>
      <c r="D16" s="434" t="s">
        <v>495</v>
      </c>
      <c r="E16" s="431" t="s">
        <v>515</v>
      </c>
      <c r="F16" s="431" t="s">
        <v>497</v>
      </c>
      <c r="G16" s="433" t="s">
        <v>498</v>
      </c>
      <c r="H16" s="434">
        <v>1394</v>
      </c>
      <c r="I16" s="431" t="s">
        <v>499</v>
      </c>
      <c r="J16" s="435">
        <v>2299.8150000000001</v>
      </c>
      <c r="K16" s="435">
        <v>3596.355</v>
      </c>
      <c r="L16" s="434">
        <v>2</v>
      </c>
      <c r="M16" s="434">
        <v>9.5</v>
      </c>
      <c r="N16" s="431" t="s">
        <v>500</v>
      </c>
      <c r="O16" s="434">
        <v>24</v>
      </c>
      <c r="P16" s="434">
        <v>2</v>
      </c>
      <c r="Q16" s="434">
        <v>16.899999999999999</v>
      </c>
      <c r="R16" s="431" t="s">
        <v>500</v>
      </c>
      <c r="S16" s="434">
        <v>28</v>
      </c>
      <c r="T16" s="436">
        <v>16.535433070866144</v>
      </c>
      <c r="U16" s="385">
        <v>81.102362204724415</v>
      </c>
      <c r="V16" s="384">
        <v>0.89482527838692216</v>
      </c>
    </row>
    <row r="17" spans="1:22">
      <c r="A17" s="437">
        <v>11</v>
      </c>
      <c r="B17" s="525" t="str">
        <f t="shared" si="0"/>
        <v>JOHN DEERE 1450 Manual Shift 2WD________ 51 pto hp</v>
      </c>
      <c r="C17" s="432">
        <v>51.39</v>
      </c>
      <c r="D17" s="434" t="s">
        <v>495</v>
      </c>
      <c r="E17" s="431" t="s">
        <v>516</v>
      </c>
      <c r="F17" s="431" t="s">
        <v>507</v>
      </c>
      <c r="G17" s="433" t="s">
        <v>498</v>
      </c>
      <c r="H17" s="434">
        <v>1505</v>
      </c>
      <c r="I17" s="434"/>
      <c r="J17" s="435">
        <v>1869.84</v>
      </c>
      <c r="K17" s="435">
        <v>3360.42</v>
      </c>
      <c r="L17" s="434">
        <v>2</v>
      </c>
      <c r="M17" s="432">
        <v>7.5</v>
      </c>
      <c r="N17" s="431" t="s">
        <v>499</v>
      </c>
      <c r="O17" s="434">
        <v>16</v>
      </c>
      <c r="P17" s="434">
        <v>2</v>
      </c>
      <c r="Q17" s="434">
        <v>16.899999999999999</v>
      </c>
      <c r="R17" s="431" t="s">
        <v>500</v>
      </c>
      <c r="S17" s="434">
        <v>28</v>
      </c>
      <c r="T17" s="436">
        <v>18.503937007874018</v>
      </c>
      <c r="U17" s="385">
        <v>82.755905511811022</v>
      </c>
      <c r="V17" s="384">
        <v>0.92140156858319677</v>
      </c>
    </row>
    <row r="18" spans="1:22">
      <c r="A18" s="437">
        <v>12</v>
      </c>
      <c r="B18" s="525" t="str">
        <f t="shared" si="0"/>
        <v>JOHN DEERE 2355 Manual Shift 2WD________ 56 pto hp</v>
      </c>
      <c r="C18" s="432">
        <v>55.92</v>
      </c>
      <c r="D18" s="434" t="s">
        <v>495</v>
      </c>
      <c r="E18" s="431" t="s">
        <v>517</v>
      </c>
      <c r="F18" s="431" t="s">
        <v>507</v>
      </c>
      <c r="G18" s="433" t="s">
        <v>498</v>
      </c>
      <c r="H18" s="434">
        <v>5025</v>
      </c>
      <c r="I18" s="434"/>
      <c r="J18" s="435">
        <v>2193.9749999999999</v>
      </c>
      <c r="K18" s="435">
        <v>4773.8249999999998</v>
      </c>
      <c r="L18" s="434">
        <v>2</v>
      </c>
      <c r="M18" s="432">
        <v>7.5</v>
      </c>
      <c r="N18" s="431" t="s">
        <v>499</v>
      </c>
      <c r="O18" s="434">
        <v>16</v>
      </c>
      <c r="P18" s="434">
        <v>2</v>
      </c>
      <c r="Q18" s="434">
        <v>16.899999999999999</v>
      </c>
      <c r="R18" s="431" t="s">
        <v>500</v>
      </c>
      <c r="S18" s="434">
        <v>30</v>
      </c>
      <c r="T18" s="436">
        <v>19.685039370078741</v>
      </c>
      <c r="U18" s="385">
        <v>89.724409448818903</v>
      </c>
      <c r="V18" s="384">
        <v>0.90219716118996673</v>
      </c>
    </row>
    <row r="19" spans="1:22">
      <c r="A19" s="437">
        <v>13</v>
      </c>
      <c r="B19" s="525" t="str">
        <f t="shared" si="0"/>
        <v>JOHN DEERE 2350 Partial PowerShift 2WD__ 56 pto hp</v>
      </c>
      <c r="C19" s="432">
        <v>56.18</v>
      </c>
      <c r="D19" s="434" t="s">
        <v>495</v>
      </c>
      <c r="E19" s="431" t="s">
        <v>518</v>
      </c>
      <c r="F19" s="431" t="s">
        <v>507</v>
      </c>
      <c r="G19" s="433" t="s">
        <v>509</v>
      </c>
      <c r="H19" s="434">
        <v>1470</v>
      </c>
      <c r="I19" s="434"/>
      <c r="J19" s="435">
        <v>2169.7199999999998</v>
      </c>
      <c r="K19" s="435">
        <v>4641.5250000000005</v>
      </c>
      <c r="L19" s="434">
        <v>2</v>
      </c>
      <c r="M19" s="432">
        <v>7.5</v>
      </c>
      <c r="N19" s="431" t="s">
        <v>499</v>
      </c>
      <c r="O19" s="434">
        <v>16</v>
      </c>
      <c r="P19" s="434">
        <v>2</v>
      </c>
      <c r="Q19" s="434">
        <v>16.899999999999999</v>
      </c>
      <c r="R19" s="431" t="s">
        <v>500</v>
      </c>
      <c r="S19" s="434">
        <v>30</v>
      </c>
      <c r="T19" s="436">
        <v>19.094488188976378</v>
      </c>
      <c r="U19" s="385">
        <v>89.212598425196859</v>
      </c>
      <c r="V19" s="384">
        <v>0.91462195066873964</v>
      </c>
    </row>
    <row r="20" spans="1:22">
      <c r="A20" s="437">
        <v>14</v>
      </c>
      <c r="B20" s="525" t="str">
        <f t="shared" si="0"/>
        <v>JOHN DEERE 2355 Partial PowerShift MFWD_ 57 pto hp</v>
      </c>
      <c r="C20" s="432">
        <v>56.59</v>
      </c>
      <c r="D20" s="434" t="s">
        <v>495</v>
      </c>
      <c r="E20" s="431" t="s">
        <v>517</v>
      </c>
      <c r="F20" s="431" t="s">
        <v>497</v>
      </c>
      <c r="G20" s="433" t="s">
        <v>509</v>
      </c>
      <c r="H20" s="434">
        <v>5026</v>
      </c>
      <c r="I20" s="434"/>
      <c r="J20" s="435">
        <v>2668.05</v>
      </c>
      <c r="K20" s="435">
        <v>5027.3999999999996</v>
      </c>
      <c r="L20" s="434">
        <v>2</v>
      </c>
      <c r="M20" s="434">
        <v>11.2</v>
      </c>
      <c r="N20" s="431" t="s">
        <v>500</v>
      </c>
      <c r="O20" s="434">
        <v>24</v>
      </c>
      <c r="P20" s="434">
        <v>2</v>
      </c>
      <c r="Q20" s="434">
        <v>16.899999999999999</v>
      </c>
      <c r="R20" s="431" t="s">
        <v>500</v>
      </c>
      <c r="S20" s="434">
        <v>30</v>
      </c>
      <c r="T20" s="436">
        <v>19.291338582677167</v>
      </c>
      <c r="U20" s="385">
        <v>90.039370078740163</v>
      </c>
      <c r="V20" s="384">
        <v>0.92737287050083261</v>
      </c>
    </row>
    <row r="21" spans="1:22">
      <c r="A21" s="437">
        <v>15</v>
      </c>
      <c r="B21" s="525" t="str">
        <f t="shared" si="0"/>
        <v>JOHN DEERE 5400 Manual Shift MFWD_______ 61 pto hp</v>
      </c>
      <c r="C21" s="438">
        <v>60.67</v>
      </c>
      <c r="D21" s="434" t="s">
        <v>495</v>
      </c>
      <c r="E21" s="439" t="s">
        <v>520</v>
      </c>
      <c r="F21" s="439" t="s">
        <v>497</v>
      </c>
      <c r="G21" s="433" t="s">
        <v>498</v>
      </c>
      <c r="H21" s="440" t="s">
        <v>521</v>
      </c>
      <c r="I21" s="438"/>
      <c r="J21" s="438">
        <v>2174</v>
      </c>
      <c r="K21" s="438">
        <v>3110</v>
      </c>
      <c r="L21" s="438">
        <v>2</v>
      </c>
      <c r="M21" s="438">
        <v>11.2</v>
      </c>
      <c r="N21" s="439" t="s">
        <v>500</v>
      </c>
      <c r="O21" s="438">
        <v>24</v>
      </c>
      <c r="P21" s="438">
        <v>2</v>
      </c>
      <c r="Q21" s="438">
        <v>16.899999999999999</v>
      </c>
      <c r="R21" s="439" t="s">
        <v>500</v>
      </c>
      <c r="S21" s="438">
        <v>30</v>
      </c>
      <c r="T21" s="438">
        <v>16.5</v>
      </c>
      <c r="U21" s="386">
        <v>80.7</v>
      </c>
      <c r="V21" s="386">
        <v>0.94699999999999995</v>
      </c>
    </row>
    <row r="22" spans="1:22">
      <c r="A22" s="437">
        <v>16</v>
      </c>
      <c r="B22" s="525" t="str">
        <f t="shared" si="0"/>
        <v>JOHN DEERE 1650 Manual Shift 2WD________ 62 pto hp</v>
      </c>
      <c r="C22" s="432">
        <v>62.22</v>
      </c>
      <c r="D22" s="434" t="s">
        <v>495</v>
      </c>
      <c r="E22" s="431" t="s">
        <v>522</v>
      </c>
      <c r="F22" s="431" t="s">
        <v>507</v>
      </c>
      <c r="G22" s="433" t="s">
        <v>498</v>
      </c>
      <c r="H22" s="434">
        <v>1506</v>
      </c>
      <c r="I22" s="434"/>
      <c r="J22" s="435">
        <v>1900.71</v>
      </c>
      <c r="K22" s="435">
        <v>3450.8250000000003</v>
      </c>
      <c r="L22" s="434">
        <v>2</v>
      </c>
      <c r="M22" s="432">
        <v>7.5</v>
      </c>
      <c r="N22" s="431" t="s">
        <v>499</v>
      </c>
      <c r="O22" s="434">
        <v>16</v>
      </c>
      <c r="P22" s="434">
        <v>2</v>
      </c>
      <c r="Q22" s="434">
        <v>18.399999999999999</v>
      </c>
      <c r="R22" s="431" t="s">
        <v>500</v>
      </c>
      <c r="S22" s="434">
        <v>30</v>
      </c>
      <c r="T22" s="436">
        <v>19.488188976377955</v>
      </c>
      <c r="U22" s="385">
        <v>82.755905511811022</v>
      </c>
      <c r="V22" s="384">
        <v>0.93918918918918914</v>
      </c>
    </row>
    <row r="23" spans="1:22">
      <c r="A23" s="437">
        <v>17</v>
      </c>
      <c r="B23" s="525" t="str">
        <f t="shared" ref="B23:B38" si="1">CONCATENATE( LEFT(CONCATENATE(D23," ",E23," ",G23," ",F23,$W$5),40)," ",FIXED(C23,0)," pto hp")</f>
        <v>JOHN DEERE 2555 Partial PowerShift MFWD_ 66 pto hp</v>
      </c>
      <c r="C23" s="432">
        <v>65.58</v>
      </c>
      <c r="D23" s="434" t="s">
        <v>495</v>
      </c>
      <c r="E23" s="431" t="s">
        <v>523</v>
      </c>
      <c r="F23" s="431" t="s">
        <v>497</v>
      </c>
      <c r="G23" s="433" t="s">
        <v>509</v>
      </c>
      <c r="H23" s="434">
        <v>5028</v>
      </c>
      <c r="I23" s="434"/>
      <c r="J23" s="435">
        <v>2712.15</v>
      </c>
      <c r="K23" s="435">
        <v>5369.1750000000002</v>
      </c>
      <c r="L23" s="434">
        <v>2</v>
      </c>
      <c r="M23" s="434">
        <v>12.4</v>
      </c>
      <c r="N23" s="431" t="s">
        <v>500</v>
      </c>
      <c r="O23" s="434">
        <v>24</v>
      </c>
      <c r="P23" s="434">
        <v>2</v>
      </c>
      <c r="Q23" s="434">
        <v>18.399999999999999</v>
      </c>
      <c r="R23" s="431" t="s">
        <v>500</v>
      </c>
      <c r="S23" s="434">
        <v>30</v>
      </c>
      <c r="T23" s="436">
        <v>15.157480314960631</v>
      </c>
      <c r="U23" s="385">
        <v>90.039370078740163</v>
      </c>
      <c r="V23" s="384">
        <v>0.93074669761786322</v>
      </c>
    </row>
    <row r="24" spans="1:22">
      <c r="A24" s="437">
        <v>18</v>
      </c>
      <c r="B24" s="525" t="str">
        <f t="shared" si="1"/>
        <v>JOHN DEERE 2550 Partial PowerShift 2WD__ 66 pto hp</v>
      </c>
      <c r="C24" s="432">
        <v>65.94</v>
      </c>
      <c r="D24" s="434" t="s">
        <v>495</v>
      </c>
      <c r="E24" s="431" t="s">
        <v>524</v>
      </c>
      <c r="F24" s="431" t="s">
        <v>507</v>
      </c>
      <c r="G24" s="433" t="s">
        <v>509</v>
      </c>
      <c r="H24" s="434">
        <v>1471</v>
      </c>
      <c r="I24" s="434"/>
      <c r="J24" s="435">
        <v>2268.9450000000002</v>
      </c>
      <c r="K24" s="435">
        <v>4641.5250000000005</v>
      </c>
      <c r="L24" s="434">
        <v>2</v>
      </c>
      <c r="M24" s="432">
        <v>10</v>
      </c>
      <c r="N24" s="431" t="s">
        <v>499</v>
      </c>
      <c r="O24" s="434">
        <v>16</v>
      </c>
      <c r="P24" s="441">
        <v>2</v>
      </c>
      <c r="Q24" s="441">
        <v>18.399999999999999</v>
      </c>
      <c r="R24" s="442" t="s">
        <v>500</v>
      </c>
      <c r="S24" s="434">
        <v>30</v>
      </c>
      <c r="T24" s="436">
        <v>19.488188976377955</v>
      </c>
      <c r="U24" s="385">
        <v>89.212598425196859</v>
      </c>
      <c r="V24" s="384">
        <v>0.92211796909783472</v>
      </c>
    </row>
    <row r="25" spans="1:22">
      <c r="A25" s="437">
        <v>19</v>
      </c>
      <c r="B25" s="525" t="str">
        <f t="shared" si="1"/>
        <v>JOHN DEERE 2555 Manual Shift 2WD________ 66 pto hp</v>
      </c>
      <c r="C25" s="432">
        <v>65.98</v>
      </c>
      <c r="D25" s="434" t="s">
        <v>495</v>
      </c>
      <c r="E25" s="431" t="s">
        <v>523</v>
      </c>
      <c r="F25" s="431" t="s">
        <v>507</v>
      </c>
      <c r="G25" s="433" t="s">
        <v>498</v>
      </c>
      <c r="H25" s="434">
        <v>5027</v>
      </c>
      <c r="I25" s="434"/>
      <c r="J25" s="435">
        <v>2260.125</v>
      </c>
      <c r="K25" s="435">
        <v>5038.4250000000002</v>
      </c>
      <c r="L25" s="434">
        <v>2</v>
      </c>
      <c r="M25" s="432">
        <v>11</v>
      </c>
      <c r="N25" s="431" t="s">
        <v>499</v>
      </c>
      <c r="O25" s="441">
        <v>15</v>
      </c>
      <c r="P25" s="441">
        <v>2</v>
      </c>
      <c r="Q25" s="441">
        <v>18.399999999999999</v>
      </c>
      <c r="R25" s="442" t="s">
        <v>500</v>
      </c>
      <c r="S25" s="441">
        <v>30</v>
      </c>
      <c r="T25" s="436">
        <v>21.653543307086615</v>
      </c>
      <c r="U25" s="385">
        <v>89.724409448818903</v>
      </c>
      <c r="V25" s="384">
        <v>0.92507141287629091</v>
      </c>
    </row>
    <row r="26" spans="1:22">
      <c r="A26" s="437">
        <v>20</v>
      </c>
      <c r="B26" s="525" t="str">
        <f t="shared" si="1"/>
        <v>JOHN DEERE 6200 Partial PowerShift 2WD__ 67 pto hp</v>
      </c>
      <c r="C26" s="443">
        <v>66.8</v>
      </c>
      <c r="D26" s="434" t="s">
        <v>495</v>
      </c>
      <c r="E26" s="439" t="s">
        <v>526</v>
      </c>
      <c r="F26" s="439" t="s">
        <v>507</v>
      </c>
      <c r="G26" s="433" t="s">
        <v>509</v>
      </c>
      <c r="H26" s="438">
        <v>1540</v>
      </c>
      <c r="I26" s="439" t="s">
        <v>527</v>
      </c>
      <c r="J26" s="438">
        <v>3140</v>
      </c>
      <c r="K26" s="438">
        <v>5875</v>
      </c>
      <c r="L26" s="438">
        <v>2</v>
      </c>
      <c r="M26" s="443">
        <v>10</v>
      </c>
      <c r="N26" s="439" t="s">
        <v>499</v>
      </c>
      <c r="O26" s="438">
        <v>16</v>
      </c>
      <c r="P26" s="438">
        <v>2</v>
      </c>
      <c r="Q26" s="438">
        <v>16.899999999999999</v>
      </c>
      <c r="R26" s="439" t="s">
        <v>500</v>
      </c>
      <c r="S26" s="438">
        <v>34</v>
      </c>
      <c r="T26" s="444">
        <v>30.7</v>
      </c>
      <c r="U26" s="386">
        <v>94.5</v>
      </c>
      <c r="V26" s="387">
        <v>0.86</v>
      </c>
    </row>
    <row r="27" spans="1:22">
      <c r="A27" s="437">
        <v>21</v>
      </c>
      <c r="B27" s="525" t="str">
        <f t="shared" si="1"/>
        <v>JOHN DEERE 5500 Manual Shift MFWD_______ 74 pto hp</v>
      </c>
      <c r="C27" s="438">
        <v>74.040000000000006</v>
      </c>
      <c r="D27" s="434" t="s">
        <v>495</v>
      </c>
      <c r="E27" s="439" t="s">
        <v>533</v>
      </c>
      <c r="F27" s="439" t="s">
        <v>497</v>
      </c>
      <c r="G27" s="433" t="s">
        <v>498</v>
      </c>
      <c r="H27" s="438">
        <v>1717</v>
      </c>
      <c r="I27" s="438"/>
      <c r="J27" s="438">
        <v>2400</v>
      </c>
      <c r="K27" s="438">
        <v>3545</v>
      </c>
      <c r="L27" s="438">
        <v>2</v>
      </c>
      <c r="M27" s="438">
        <v>12.4</v>
      </c>
      <c r="N27" s="439" t="s">
        <v>500</v>
      </c>
      <c r="O27" s="438">
        <v>24</v>
      </c>
      <c r="P27" s="438">
        <v>2</v>
      </c>
      <c r="Q27" s="438">
        <v>18.399999999999999</v>
      </c>
      <c r="R27" s="439" t="s">
        <v>500</v>
      </c>
      <c r="S27" s="438">
        <v>30</v>
      </c>
      <c r="T27" s="438">
        <v>19.5</v>
      </c>
      <c r="U27" s="386">
        <v>85.7</v>
      </c>
      <c r="V27" s="386">
        <v>0.92600000000000005</v>
      </c>
    </row>
    <row r="28" spans="1:22">
      <c r="A28" s="437">
        <v>22</v>
      </c>
      <c r="B28" s="525" t="str">
        <f t="shared" si="1"/>
        <v>JOHN DEERE 2750 Partial PowerShift 2WD__ 75 pto hp</v>
      </c>
      <c r="C28" s="432">
        <v>75.349999999999994</v>
      </c>
      <c r="D28" s="434" t="s">
        <v>495</v>
      </c>
      <c r="E28" s="431" t="s">
        <v>535</v>
      </c>
      <c r="F28" s="431" t="s">
        <v>507</v>
      </c>
      <c r="G28" s="433" t="s">
        <v>509</v>
      </c>
      <c r="H28" s="434">
        <v>1472</v>
      </c>
      <c r="I28" s="434"/>
      <c r="J28" s="435">
        <v>2390.2199999999998</v>
      </c>
      <c r="K28" s="435">
        <v>5111.1899999999996</v>
      </c>
      <c r="L28" s="434">
        <v>2</v>
      </c>
      <c r="M28" s="432">
        <v>10</v>
      </c>
      <c r="N28" s="431" t="s">
        <v>499</v>
      </c>
      <c r="O28" s="434">
        <v>16</v>
      </c>
      <c r="P28" s="434">
        <v>2</v>
      </c>
      <c r="Q28" s="434">
        <v>18.399999999999999</v>
      </c>
      <c r="R28" s="431" t="s">
        <v>500</v>
      </c>
      <c r="S28" s="434">
        <v>30</v>
      </c>
      <c r="T28" s="436">
        <v>19.488188976377955</v>
      </c>
      <c r="U28" s="385">
        <v>89.212598425196859</v>
      </c>
      <c r="V28" s="384">
        <v>0.91792807222599004</v>
      </c>
    </row>
    <row r="29" spans="1:22">
      <c r="A29" s="437">
        <v>23</v>
      </c>
      <c r="B29" s="525" t="str">
        <f t="shared" si="1"/>
        <v>JOHN DEERE 6300 Partial PowerShift MFWD_ 76 pto hp</v>
      </c>
      <c r="C29" s="443">
        <v>76</v>
      </c>
      <c r="D29" s="434" t="s">
        <v>495</v>
      </c>
      <c r="E29" s="439" t="s">
        <v>536</v>
      </c>
      <c r="F29" s="439" t="s">
        <v>497</v>
      </c>
      <c r="G29" s="433" t="s">
        <v>509</v>
      </c>
      <c r="H29" s="438">
        <v>1524</v>
      </c>
      <c r="I29" s="439" t="s">
        <v>527</v>
      </c>
      <c r="J29" s="438">
        <v>3485</v>
      </c>
      <c r="K29" s="438">
        <v>6160</v>
      </c>
      <c r="L29" s="438">
        <v>2</v>
      </c>
      <c r="M29" s="438">
        <v>14.9</v>
      </c>
      <c r="N29" s="439" t="s">
        <v>500</v>
      </c>
      <c r="O29" s="438">
        <v>24</v>
      </c>
      <c r="P29" s="438">
        <v>2</v>
      </c>
      <c r="Q29" s="438">
        <v>16.899999999999999</v>
      </c>
      <c r="R29" s="439" t="s">
        <v>500</v>
      </c>
      <c r="S29" s="438">
        <v>38</v>
      </c>
      <c r="T29" s="444">
        <v>18.100000000000001</v>
      </c>
      <c r="U29" s="386">
        <v>94.5</v>
      </c>
      <c r="V29" s="387">
        <v>0.88400000000000001</v>
      </c>
    </row>
    <row r="30" spans="1:22">
      <c r="A30" s="437">
        <v>24</v>
      </c>
      <c r="B30" s="525" t="str">
        <f t="shared" si="1"/>
        <v>JOHN DEERE 2755 Partial PowerShift 2WD__ 77 pto hp</v>
      </c>
      <c r="C30" s="432">
        <v>76.569999999999993</v>
      </c>
      <c r="D30" s="434" t="s">
        <v>495</v>
      </c>
      <c r="E30" s="431" t="s">
        <v>538</v>
      </c>
      <c r="F30" s="431" t="s">
        <v>507</v>
      </c>
      <c r="G30" s="433" t="s">
        <v>509</v>
      </c>
      <c r="H30" s="434">
        <v>1605</v>
      </c>
      <c r="I30" s="434"/>
      <c r="J30" s="435">
        <v>2690.1</v>
      </c>
      <c r="K30" s="435">
        <v>5856.48</v>
      </c>
      <c r="L30" s="434">
        <v>2</v>
      </c>
      <c r="M30" s="432">
        <v>11</v>
      </c>
      <c r="N30" s="431" t="s">
        <v>499</v>
      </c>
      <c r="O30" s="434">
        <v>15</v>
      </c>
      <c r="P30" s="434">
        <v>2</v>
      </c>
      <c r="Q30" s="434">
        <v>18.399999999999999</v>
      </c>
      <c r="R30" s="431" t="s">
        <v>500</v>
      </c>
      <c r="S30" s="434">
        <v>30</v>
      </c>
      <c r="T30" s="436">
        <v>20.472440944881892</v>
      </c>
      <c r="U30" s="385">
        <v>89.212598425196859</v>
      </c>
      <c r="V30" s="384">
        <v>0.93245609883087988</v>
      </c>
    </row>
    <row r="31" spans="1:22">
      <c r="A31" s="437">
        <v>25</v>
      </c>
      <c r="B31" s="525" t="str">
        <f t="shared" si="1"/>
        <v>JOHN DEERE 2940 Partial PowerShift MFWD_ 81 pto hp</v>
      </c>
      <c r="C31" s="432">
        <v>81.17</v>
      </c>
      <c r="D31" s="434" t="s">
        <v>495</v>
      </c>
      <c r="E31" s="431" t="s">
        <v>540</v>
      </c>
      <c r="F31" s="431" t="s">
        <v>497</v>
      </c>
      <c r="G31" s="433" t="s">
        <v>509</v>
      </c>
      <c r="H31" s="434">
        <v>1351</v>
      </c>
      <c r="I31" s="431" t="s">
        <v>499</v>
      </c>
      <c r="J31" s="435">
        <v>2950.29</v>
      </c>
      <c r="K31" s="435">
        <v>6487.11</v>
      </c>
      <c r="L31" s="434">
        <v>2</v>
      </c>
      <c r="M31" s="434">
        <v>13.6</v>
      </c>
      <c r="N31" s="431" t="s">
        <v>500</v>
      </c>
      <c r="O31" s="434">
        <v>24</v>
      </c>
      <c r="P31" s="434">
        <v>2</v>
      </c>
      <c r="Q31" s="434">
        <v>18.399999999999999</v>
      </c>
      <c r="R31" s="431" t="s">
        <v>500</v>
      </c>
      <c r="S31" s="434">
        <v>34</v>
      </c>
      <c r="T31" s="436">
        <v>19.488188976377955</v>
      </c>
      <c r="U31" s="385">
        <v>101.57480314960631</v>
      </c>
      <c r="V31" s="384">
        <v>0.92176762918543831</v>
      </c>
    </row>
    <row r="32" spans="1:22">
      <c r="A32" s="437">
        <v>26</v>
      </c>
      <c r="B32" s="525" t="str">
        <f t="shared" si="1"/>
        <v>JOHN DEERE 6400 Partial PowerShift MFWD_ 85 pto hp</v>
      </c>
      <c r="C32" s="443">
        <v>85.2</v>
      </c>
      <c r="D32" s="434" t="s">
        <v>495</v>
      </c>
      <c r="E32" s="439" t="s">
        <v>544</v>
      </c>
      <c r="F32" s="439" t="s">
        <v>497</v>
      </c>
      <c r="G32" s="433" t="s">
        <v>509</v>
      </c>
      <c r="H32" s="438">
        <v>1520</v>
      </c>
      <c r="I32" s="439" t="s">
        <v>527</v>
      </c>
      <c r="J32" s="438">
        <v>3880</v>
      </c>
      <c r="K32" s="438">
        <v>6405</v>
      </c>
      <c r="L32" s="438">
        <v>2</v>
      </c>
      <c r="M32" s="438">
        <v>16.899999999999999</v>
      </c>
      <c r="N32" s="439" t="s">
        <v>481</v>
      </c>
      <c r="O32" s="438">
        <v>24</v>
      </c>
      <c r="P32" s="438">
        <v>2</v>
      </c>
      <c r="Q32" s="438">
        <v>18.399999999999999</v>
      </c>
      <c r="R32" s="439" t="s">
        <v>481</v>
      </c>
      <c r="S32" s="438">
        <v>38</v>
      </c>
      <c r="T32" s="444">
        <v>17.5</v>
      </c>
      <c r="U32" s="386">
        <v>94.5</v>
      </c>
      <c r="V32" s="387">
        <v>0.94399999999999995</v>
      </c>
    </row>
    <row r="33" spans="1:22">
      <c r="A33" s="437">
        <v>27</v>
      </c>
      <c r="B33" s="525" t="str">
        <f t="shared" si="1"/>
        <v>JOHN DEERE 2950 Partial PowerShift 2WD__ 85 pto hp</v>
      </c>
      <c r="C33" s="432">
        <v>85.37</v>
      </c>
      <c r="D33" s="434" t="s">
        <v>495</v>
      </c>
      <c r="E33" s="431" t="s">
        <v>545</v>
      </c>
      <c r="F33" s="431" t="s">
        <v>507</v>
      </c>
      <c r="G33" s="433" t="s">
        <v>509</v>
      </c>
      <c r="H33" s="434">
        <v>1473</v>
      </c>
      <c r="I33" s="434"/>
      <c r="J33" s="435">
        <v>3020.85</v>
      </c>
      <c r="K33" s="435">
        <v>7080.2550000000001</v>
      </c>
      <c r="L33" s="434">
        <v>2</v>
      </c>
      <c r="M33" s="432">
        <v>10</v>
      </c>
      <c r="N33" s="431" t="s">
        <v>499</v>
      </c>
      <c r="O33" s="434">
        <v>16</v>
      </c>
      <c r="P33" s="434">
        <v>2</v>
      </c>
      <c r="Q33" s="434">
        <v>18.399999999999999</v>
      </c>
      <c r="R33" s="431" t="s">
        <v>500</v>
      </c>
      <c r="S33" s="434">
        <v>38</v>
      </c>
      <c r="T33" s="436">
        <v>23.425196850393704</v>
      </c>
      <c r="U33" s="385">
        <v>100.43307086614173</v>
      </c>
      <c r="V33" s="384">
        <v>0.92824209695086213</v>
      </c>
    </row>
    <row r="34" spans="1:22">
      <c r="A34" s="437">
        <v>28</v>
      </c>
      <c r="B34" s="525" t="str">
        <f t="shared" si="1"/>
        <v>JOHN DEERE 2955 Partial PowerShift MFWD_ 86 pto hp</v>
      </c>
      <c r="C34" s="432">
        <v>86.21</v>
      </c>
      <c r="D34" s="434" t="s">
        <v>495</v>
      </c>
      <c r="E34" s="431" t="s">
        <v>546</v>
      </c>
      <c r="F34" s="431" t="s">
        <v>497</v>
      </c>
      <c r="G34" s="433" t="s">
        <v>509</v>
      </c>
      <c r="H34" s="434">
        <v>1606</v>
      </c>
      <c r="I34" s="434"/>
      <c r="J34" s="435">
        <v>3735.27</v>
      </c>
      <c r="K34" s="435">
        <v>7287.5250000000005</v>
      </c>
      <c r="L34" s="434">
        <v>2</v>
      </c>
      <c r="M34" s="434">
        <v>13.6</v>
      </c>
      <c r="N34" s="431" t="s">
        <v>500</v>
      </c>
      <c r="O34" s="434">
        <v>28</v>
      </c>
      <c r="P34" s="434">
        <v>2</v>
      </c>
      <c r="Q34" s="434">
        <v>18.399999999999999</v>
      </c>
      <c r="R34" s="431" t="s">
        <v>500</v>
      </c>
      <c r="S34" s="434">
        <v>38</v>
      </c>
      <c r="T34" s="436">
        <v>22.440944881889767</v>
      </c>
      <c r="U34" s="385">
        <v>101.65354330708662</v>
      </c>
      <c r="V34" s="384">
        <v>0.93041244697800907</v>
      </c>
    </row>
    <row r="35" spans="1:22">
      <c r="A35" s="437">
        <v>29</v>
      </c>
      <c r="B35" s="525" t="str">
        <f t="shared" si="1"/>
        <v>JOHN DEERE 6400 Synchronized Shift MFWD_ 87 pto hp</v>
      </c>
      <c r="C35" s="443">
        <v>86.8</v>
      </c>
      <c r="D35" s="434" t="s">
        <v>495</v>
      </c>
      <c r="E35" s="439" t="s">
        <v>544</v>
      </c>
      <c r="F35" s="439" t="s">
        <v>497</v>
      </c>
      <c r="G35" s="439" t="s">
        <v>548</v>
      </c>
      <c r="H35" s="438">
        <v>1520</v>
      </c>
      <c r="I35" s="439" t="s">
        <v>549</v>
      </c>
      <c r="J35" s="438">
        <v>3835</v>
      </c>
      <c r="K35" s="438">
        <v>6315</v>
      </c>
      <c r="L35" s="438">
        <v>2</v>
      </c>
      <c r="M35" s="438">
        <v>16.899999999999999</v>
      </c>
      <c r="N35" s="439" t="s">
        <v>481</v>
      </c>
      <c r="O35" s="438">
        <v>24</v>
      </c>
      <c r="P35" s="438">
        <v>2</v>
      </c>
      <c r="Q35" s="438">
        <v>18.399999999999999</v>
      </c>
      <c r="R35" s="439" t="s">
        <v>481</v>
      </c>
      <c r="S35" s="438">
        <v>38</v>
      </c>
      <c r="T35" s="444">
        <v>17.3</v>
      </c>
      <c r="U35" s="386">
        <v>94.5</v>
      </c>
      <c r="V35" s="387">
        <v>0.91100000000000003</v>
      </c>
    </row>
    <row r="36" spans="1:22">
      <c r="A36" s="437">
        <v>30</v>
      </c>
      <c r="B36" s="525" t="str">
        <f t="shared" si="1"/>
        <v>JOHN DEERE 4040 Manual Shift 2WD________ 90 pto hp</v>
      </c>
      <c r="C36" s="432">
        <v>90.3</v>
      </c>
      <c r="D36" s="434" t="s">
        <v>495</v>
      </c>
      <c r="E36" s="431" t="s">
        <v>550</v>
      </c>
      <c r="F36" s="431" t="s">
        <v>507</v>
      </c>
      <c r="G36" s="433" t="s">
        <v>498</v>
      </c>
      <c r="H36" s="434">
        <v>1359</v>
      </c>
      <c r="I36" s="434"/>
      <c r="J36" s="435">
        <v>3100.23</v>
      </c>
      <c r="K36" s="435">
        <v>7391.16</v>
      </c>
      <c r="L36" s="434">
        <v>2</v>
      </c>
      <c r="M36" s="432">
        <v>10</v>
      </c>
      <c r="N36" s="431" t="s">
        <v>499</v>
      </c>
      <c r="O36" s="434">
        <v>16</v>
      </c>
      <c r="P36" s="434">
        <v>2</v>
      </c>
      <c r="Q36" s="434">
        <v>18.399999999999999</v>
      </c>
      <c r="R36" s="431" t="s">
        <v>500</v>
      </c>
      <c r="S36" s="434">
        <v>34</v>
      </c>
      <c r="T36" s="436">
        <v>18.503937007874018</v>
      </c>
      <c r="U36" s="385">
        <v>103.97637795275591</v>
      </c>
      <c r="V36" s="384">
        <v>0.92230632771173315</v>
      </c>
    </row>
    <row r="37" spans="1:22">
      <c r="A37" s="437">
        <v>31</v>
      </c>
      <c r="B37" s="525" t="str">
        <f t="shared" si="1"/>
        <v>JOHN DEERE 4040 PowerShift 2WD__________ 91 pto hp</v>
      </c>
      <c r="C37" s="432">
        <v>90.79</v>
      </c>
      <c r="D37" s="434" t="s">
        <v>495</v>
      </c>
      <c r="E37" s="431" t="s">
        <v>550</v>
      </c>
      <c r="F37" s="431" t="s">
        <v>507</v>
      </c>
      <c r="G37" s="431" t="s">
        <v>552</v>
      </c>
      <c r="H37" s="434">
        <v>1360</v>
      </c>
      <c r="I37" s="434"/>
      <c r="J37" s="435">
        <v>3060.54</v>
      </c>
      <c r="K37" s="435">
        <v>7430.85</v>
      </c>
      <c r="L37" s="434">
        <v>2</v>
      </c>
      <c r="M37" s="432">
        <v>10</v>
      </c>
      <c r="N37" s="431" t="s">
        <v>499</v>
      </c>
      <c r="O37" s="434">
        <v>16</v>
      </c>
      <c r="P37" s="434">
        <v>2</v>
      </c>
      <c r="Q37" s="434">
        <v>18.399999999999999</v>
      </c>
      <c r="R37" s="431" t="s">
        <v>500</v>
      </c>
      <c r="S37" s="434">
        <v>34</v>
      </c>
      <c r="T37" s="436">
        <v>18.503937007874018</v>
      </c>
      <c r="U37" s="385">
        <v>104.01574803149607</v>
      </c>
      <c r="V37" s="384">
        <v>0.93528683779791599</v>
      </c>
    </row>
    <row r="38" spans="1:22">
      <c r="A38" s="437">
        <v>32</v>
      </c>
      <c r="B38" s="525" t="str">
        <f t="shared" si="1"/>
        <v>JOHN DEERE 3155 Partial PowerShift MFWD_ 96 pto hp</v>
      </c>
      <c r="C38" s="432">
        <v>96.06</v>
      </c>
      <c r="D38" s="434" t="s">
        <v>495</v>
      </c>
      <c r="E38" s="431" t="s">
        <v>559</v>
      </c>
      <c r="F38" s="431" t="s">
        <v>497</v>
      </c>
      <c r="G38" s="433" t="s">
        <v>509</v>
      </c>
      <c r="H38" s="434">
        <v>1589</v>
      </c>
      <c r="I38" s="434"/>
      <c r="J38" s="435">
        <v>4200.5250000000005</v>
      </c>
      <c r="K38" s="435">
        <v>7746.165</v>
      </c>
      <c r="L38" s="434">
        <v>2</v>
      </c>
      <c r="M38" s="434">
        <v>16.899999999999999</v>
      </c>
      <c r="N38" s="431" t="s">
        <v>500</v>
      </c>
      <c r="O38" s="434">
        <v>24</v>
      </c>
      <c r="P38" s="434">
        <v>2</v>
      </c>
      <c r="Q38" s="434">
        <v>18.399999999999999</v>
      </c>
      <c r="R38" s="431" t="s">
        <v>500</v>
      </c>
      <c r="S38" s="434">
        <v>38</v>
      </c>
      <c r="T38" s="436">
        <v>20.078740157480315</v>
      </c>
      <c r="U38" s="385">
        <v>101.65354330708662</v>
      </c>
      <c r="V38" s="384">
        <v>0.93453218680078931</v>
      </c>
    </row>
    <row r="39" spans="1:22">
      <c r="A39" s="437">
        <v>33</v>
      </c>
      <c r="B39" s="525" t="str">
        <f t="shared" ref="B39:B54" si="2">CONCATENATE( LEFT(CONCATENATE(D39," ",E39," ",G39," ",F39,$W$5),40)," ",FIXED(C39,0)," pto hp")</f>
        <v>JOHN DEERE 4050 PowerShift 2WD__________ 101 pto hp</v>
      </c>
      <c r="C39" s="432">
        <v>100.95</v>
      </c>
      <c r="D39" s="434" t="s">
        <v>495</v>
      </c>
      <c r="E39" s="431" t="s">
        <v>560</v>
      </c>
      <c r="F39" s="431" t="s">
        <v>507</v>
      </c>
      <c r="G39" s="431" t="s">
        <v>552</v>
      </c>
      <c r="H39" s="434">
        <v>1457</v>
      </c>
      <c r="I39" s="434"/>
      <c r="J39" s="435">
        <v>3550.05</v>
      </c>
      <c r="K39" s="435">
        <v>9172.7999999999993</v>
      </c>
      <c r="L39" s="434">
        <v>2</v>
      </c>
      <c r="M39" s="432">
        <v>10</v>
      </c>
      <c r="N39" s="431" t="s">
        <v>499</v>
      </c>
      <c r="O39" s="434">
        <v>16</v>
      </c>
      <c r="P39" s="434">
        <v>4</v>
      </c>
      <c r="Q39" s="434">
        <v>18.399999999999999</v>
      </c>
      <c r="R39" s="431" t="s">
        <v>500</v>
      </c>
      <c r="S39" s="434">
        <v>34</v>
      </c>
      <c r="T39" s="436">
        <v>22.440944881889767</v>
      </c>
      <c r="U39" s="385">
        <v>106.69291338582678</v>
      </c>
      <c r="V39" s="384">
        <v>0.95039779418100356</v>
      </c>
    </row>
    <row r="40" spans="1:22">
      <c r="A40" s="437">
        <v>34</v>
      </c>
      <c r="B40" s="525" t="str">
        <f t="shared" si="2"/>
        <v>JOHN DEERE 4050 Partial PowerShift 2WD__ 101 pto hp</v>
      </c>
      <c r="C40" s="432">
        <v>101.49</v>
      </c>
      <c r="D40" s="434" t="s">
        <v>495</v>
      </c>
      <c r="E40" s="431" t="s">
        <v>560</v>
      </c>
      <c r="F40" s="431" t="s">
        <v>507</v>
      </c>
      <c r="G40" s="433" t="s">
        <v>509</v>
      </c>
      <c r="H40" s="434">
        <v>1474</v>
      </c>
      <c r="I40" s="434"/>
      <c r="J40" s="435">
        <v>3525.7950000000001</v>
      </c>
      <c r="K40" s="435">
        <v>8645.8050000000003</v>
      </c>
      <c r="L40" s="434">
        <v>2</v>
      </c>
      <c r="M40" s="432">
        <v>10</v>
      </c>
      <c r="N40" s="431" t="s">
        <v>499</v>
      </c>
      <c r="O40" s="434">
        <v>16</v>
      </c>
      <c r="P40" s="434">
        <v>4</v>
      </c>
      <c r="Q40" s="434">
        <v>18.399999999999999</v>
      </c>
      <c r="R40" s="431" t="s">
        <v>500</v>
      </c>
      <c r="S40" s="434">
        <v>34</v>
      </c>
      <c r="T40" s="436">
        <v>22.440944881889767</v>
      </c>
      <c r="U40" s="385">
        <v>106.69291338582678</v>
      </c>
      <c r="V40" s="384">
        <v>0.98051539912005015</v>
      </c>
    </row>
    <row r="41" spans="1:22">
      <c r="A41" s="437">
        <v>35</v>
      </c>
      <c r="B41" s="525" t="str">
        <f t="shared" si="2"/>
        <v>JOHN DEERE 4050 PowerShift 2WD__________ 106 pto hp</v>
      </c>
      <c r="C41" s="432">
        <v>105.69</v>
      </c>
      <c r="D41" s="434" t="s">
        <v>495</v>
      </c>
      <c r="E41" s="431" t="s">
        <v>560</v>
      </c>
      <c r="F41" s="431" t="s">
        <v>507</v>
      </c>
      <c r="G41" s="431" t="s">
        <v>552</v>
      </c>
      <c r="H41" s="434">
        <v>1591</v>
      </c>
      <c r="I41" s="434"/>
      <c r="J41" s="435">
        <v>3600.7650000000003</v>
      </c>
      <c r="K41" s="435">
        <v>9086.8050000000003</v>
      </c>
      <c r="L41" s="434">
        <v>2</v>
      </c>
      <c r="M41" s="432">
        <v>11</v>
      </c>
      <c r="N41" s="431" t="s">
        <v>499</v>
      </c>
      <c r="O41" s="434">
        <v>16</v>
      </c>
      <c r="P41" s="434">
        <v>4</v>
      </c>
      <c r="Q41" s="434">
        <v>18.399999999999999</v>
      </c>
      <c r="R41" s="431" t="s">
        <v>500</v>
      </c>
      <c r="S41" s="434">
        <v>38</v>
      </c>
      <c r="T41" s="436">
        <v>23.031496062992126</v>
      </c>
      <c r="U41" s="385">
        <v>106.69291338582678</v>
      </c>
      <c r="V41" s="384">
        <v>0.93745820430251336</v>
      </c>
    </row>
    <row r="42" spans="1:22">
      <c r="A42" s="437">
        <v>36</v>
      </c>
      <c r="B42" s="525" t="str">
        <f t="shared" si="2"/>
        <v>JOHN DEERE 4050 Partial PowerShift 2WD__ 106 pto hp</v>
      </c>
      <c r="C42" s="432">
        <v>105.89</v>
      </c>
      <c r="D42" s="434" t="s">
        <v>495</v>
      </c>
      <c r="E42" s="431" t="s">
        <v>560</v>
      </c>
      <c r="F42" s="431" t="s">
        <v>507</v>
      </c>
      <c r="G42" s="433" t="s">
        <v>509</v>
      </c>
      <c r="H42" s="434">
        <v>1590</v>
      </c>
      <c r="I42" s="434"/>
      <c r="J42" s="435">
        <v>3525.7950000000001</v>
      </c>
      <c r="K42" s="435">
        <v>8866.3050000000003</v>
      </c>
      <c r="L42" s="434">
        <v>2</v>
      </c>
      <c r="M42" s="432">
        <v>11</v>
      </c>
      <c r="N42" s="431" t="s">
        <v>499</v>
      </c>
      <c r="O42" s="434">
        <v>16</v>
      </c>
      <c r="P42" s="434">
        <v>4</v>
      </c>
      <c r="Q42" s="434">
        <v>18.399999999999999</v>
      </c>
      <c r="R42" s="431" t="s">
        <v>500</v>
      </c>
      <c r="S42" s="434">
        <v>38</v>
      </c>
      <c r="T42" s="436">
        <v>23.031496062992126</v>
      </c>
      <c r="U42" s="385">
        <v>106.69291338582678</v>
      </c>
      <c r="V42" s="384">
        <v>0.98373449437279215</v>
      </c>
    </row>
    <row r="43" spans="1:22">
      <c r="A43" s="437">
        <v>37</v>
      </c>
      <c r="B43" s="525" t="str">
        <f t="shared" si="2"/>
        <v>JOHN DEERE 4055 Partial PowerShift 2WD__ 109 pto hp</v>
      </c>
      <c r="C43" s="432">
        <v>108.7</v>
      </c>
      <c r="D43" s="434" t="s">
        <v>495</v>
      </c>
      <c r="E43" s="431" t="s">
        <v>566</v>
      </c>
      <c r="F43" s="431" t="s">
        <v>507</v>
      </c>
      <c r="G43" s="433" t="s">
        <v>509</v>
      </c>
      <c r="H43" s="434">
        <v>5064</v>
      </c>
      <c r="I43" s="434"/>
      <c r="J43" s="435">
        <v>3814.65</v>
      </c>
      <c r="K43" s="435">
        <v>8317.26</v>
      </c>
      <c r="L43" s="434">
        <v>2</v>
      </c>
      <c r="M43" s="432">
        <v>11</v>
      </c>
      <c r="N43" s="431" t="s">
        <v>499</v>
      </c>
      <c r="O43" s="434">
        <v>16</v>
      </c>
      <c r="P43" s="434">
        <v>2</v>
      </c>
      <c r="Q43" s="434">
        <v>18.399999999999999</v>
      </c>
      <c r="R43" s="431" t="s">
        <v>481</v>
      </c>
      <c r="S43" s="434">
        <v>38</v>
      </c>
      <c r="T43" s="436">
        <v>22.440944881889767</v>
      </c>
      <c r="U43" s="385">
        <v>106.69291338582678</v>
      </c>
      <c r="V43" s="384">
        <v>0.99519208327498476</v>
      </c>
    </row>
    <row r="44" spans="1:22">
      <c r="A44" s="437">
        <v>38</v>
      </c>
      <c r="B44" s="525" t="str">
        <f t="shared" si="2"/>
        <v>JOHN DEERE 4055 PowerShift MFWD_________ 109 pto hp</v>
      </c>
      <c r="C44" s="432">
        <v>109.17</v>
      </c>
      <c r="D44" s="434" t="s">
        <v>495</v>
      </c>
      <c r="E44" s="431" t="s">
        <v>566</v>
      </c>
      <c r="F44" s="431" t="s">
        <v>497</v>
      </c>
      <c r="G44" s="431" t="s">
        <v>552</v>
      </c>
      <c r="H44" s="434">
        <v>5055</v>
      </c>
      <c r="I44" s="434"/>
      <c r="J44" s="435">
        <v>5375.79</v>
      </c>
      <c r="K44" s="435">
        <v>8581.86</v>
      </c>
      <c r="L44" s="434">
        <v>2</v>
      </c>
      <c r="M44" s="434">
        <v>14.9</v>
      </c>
      <c r="N44" s="431" t="s">
        <v>481</v>
      </c>
      <c r="O44" s="434">
        <v>26</v>
      </c>
      <c r="P44" s="434">
        <v>2</v>
      </c>
      <c r="Q44" s="434">
        <v>18.399999999999999</v>
      </c>
      <c r="R44" s="431" t="s">
        <v>481</v>
      </c>
      <c r="S44" s="434">
        <v>38</v>
      </c>
      <c r="T44" s="436">
        <v>16.929133858267718</v>
      </c>
      <c r="U44" s="385">
        <v>105.31496062992126</v>
      </c>
      <c r="V44" s="384">
        <v>0.9188060434836014</v>
      </c>
    </row>
    <row r="45" spans="1:22">
      <c r="A45" s="437">
        <v>39</v>
      </c>
      <c r="B45" s="525" t="str">
        <f t="shared" si="2"/>
        <v>JOHN DEERE 4240 Manual Shift 2WD________ 111 pto hp</v>
      </c>
      <c r="C45" s="432">
        <v>110.81</v>
      </c>
      <c r="D45" s="434" t="s">
        <v>495</v>
      </c>
      <c r="E45" s="431" t="s">
        <v>567</v>
      </c>
      <c r="F45" s="431" t="s">
        <v>507</v>
      </c>
      <c r="G45" s="433" t="s">
        <v>498</v>
      </c>
      <c r="H45" s="434">
        <v>1361</v>
      </c>
      <c r="I45" s="434"/>
      <c r="J45" s="435">
        <v>3411.1350000000002</v>
      </c>
      <c r="K45" s="435">
        <v>8401.0499999999993</v>
      </c>
      <c r="L45" s="434">
        <v>2</v>
      </c>
      <c r="M45" s="432">
        <v>10</v>
      </c>
      <c r="N45" s="431" t="s">
        <v>499</v>
      </c>
      <c r="O45" s="434">
        <v>16</v>
      </c>
      <c r="P45" s="434">
        <v>2</v>
      </c>
      <c r="Q45" s="434">
        <v>18.399999999999999</v>
      </c>
      <c r="R45" s="431" t="s">
        <v>500</v>
      </c>
      <c r="S45" s="434">
        <v>34</v>
      </c>
      <c r="T45" s="436">
        <v>21.062992125984252</v>
      </c>
      <c r="U45" s="385">
        <v>106.65354330708662</v>
      </c>
      <c r="V45" s="384">
        <v>0.93075285136279928</v>
      </c>
    </row>
    <row r="46" spans="1:22">
      <c r="A46" s="437">
        <v>40</v>
      </c>
      <c r="B46" s="525" t="str">
        <f t="shared" si="2"/>
        <v>JOHN DEERE 7600 Partial PowerShift MFWD_ 111 pto hp</v>
      </c>
      <c r="C46" s="443">
        <v>110.9</v>
      </c>
      <c r="D46" s="434" t="s">
        <v>495</v>
      </c>
      <c r="E46" s="439" t="s">
        <v>568</v>
      </c>
      <c r="F46" s="439" t="s">
        <v>497</v>
      </c>
      <c r="G46" s="433" t="s">
        <v>509</v>
      </c>
      <c r="H46" s="434">
        <v>1664</v>
      </c>
      <c r="I46" s="438"/>
      <c r="J46" s="438">
        <v>5026</v>
      </c>
      <c r="K46" s="438">
        <v>9784</v>
      </c>
      <c r="L46" s="438">
        <v>2</v>
      </c>
      <c r="M46" s="438">
        <v>13.6</v>
      </c>
      <c r="N46" s="439" t="s">
        <v>481</v>
      </c>
      <c r="O46" s="438">
        <v>28</v>
      </c>
      <c r="P46" s="438">
        <v>2</v>
      </c>
      <c r="Q46" s="438">
        <v>18.399999999999999</v>
      </c>
      <c r="R46" s="439" t="s">
        <v>481</v>
      </c>
      <c r="S46" s="438">
        <v>38</v>
      </c>
      <c r="T46" s="438">
        <v>19.5</v>
      </c>
      <c r="U46" s="386">
        <v>110.2</v>
      </c>
      <c r="V46" s="387">
        <v>0.97299999999999998</v>
      </c>
    </row>
    <row r="47" spans="1:22">
      <c r="A47" s="437">
        <v>41</v>
      </c>
      <c r="B47" s="525" t="str">
        <f t="shared" si="2"/>
        <v>JOHN DEERE 4240 PowerShift 2WD__________ 111 pto hp</v>
      </c>
      <c r="C47" s="432">
        <v>111.06</v>
      </c>
      <c r="D47" s="434" t="s">
        <v>495</v>
      </c>
      <c r="E47" s="431" t="s">
        <v>567</v>
      </c>
      <c r="F47" s="431" t="s">
        <v>507</v>
      </c>
      <c r="G47" s="431" t="s">
        <v>552</v>
      </c>
      <c r="H47" s="434">
        <v>1362</v>
      </c>
      <c r="I47" s="434"/>
      <c r="J47" s="435">
        <v>3380.2650000000003</v>
      </c>
      <c r="K47" s="435">
        <v>8440.74</v>
      </c>
      <c r="L47" s="434">
        <v>2</v>
      </c>
      <c r="M47" s="432">
        <v>10</v>
      </c>
      <c r="N47" s="431" t="s">
        <v>499</v>
      </c>
      <c r="O47" s="434">
        <v>16</v>
      </c>
      <c r="P47" s="434">
        <v>4</v>
      </c>
      <c r="Q47" s="434">
        <v>18.399999999999999</v>
      </c>
      <c r="R47" s="431" t="s">
        <v>500</v>
      </c>
      <c r="S47" s="434">
        <v>34</v>
      </c>
      <c r="T47" s="436">
        <v>21.062992125984252</v>
      </c>
      <c r="U47" s="385">
        <v>106.65354330708662</v>
      </c>
      <c r="V47" s="384">
        <v>0.93109772414288239</v>
      </c>
    </row>
    <row r="48" spans="1:22">
      <c r="A48" s="437">
        <v>42</v>
      </c>
      <c r="B48" s="525" t="str">
        <f t="shared" si="2"/>
        <v>JOHN DEERE 7600 PowerShift MFWD_________ 112 pto hp</v>
      </c>
      <c r="C48" s="438">
        <v>111.59</v>
      </c>
      <c r="D48" s="434" t="s">
        <v>495</v>
      </c>
      <c r="E48" s="439" t="s">
        <v>568</v>
      </c>
      <c r="F48" s="439" t="s">
        <v>497</v>
      </c>
      <c r="G48" s="431" t="s">
        <v>552</v>
      </c>
      <c r="H48" s="434">
        <v>1665</v>
      </c>
      <c r="I48" s="438"/>
      <c r="J48" s="438">
        <v>5112</v>
      </c>
      <c r="K48" s="438">
        <v>10002</v>
      </c>
      <c r="L48" s="438">
        <v>2</v>
      </c>
      <c r="M48" s="438">
        <v>13.6</v>
      </c>
      <c r="N48" s="439" t="s">
        <v>481</v>
      </c>
      <c r="O48" s="438">
        <v>28</v>
      </c>
      <c r="P48" s="438">
        <v>2</v>
      </c>
      <c r="Q48" s="438">
        <v>18.399999999999999</v>
      </c>
      <c r="R48" s="439" t="s">
        <v>481</v>
      </c>
      <c r="S48" s="438">
        <v>38</v>
      </c>
      <c r="T48" s="438">
        <v>19.5</v>
      </c>
      <c r="U48" s="386">
        <v>110.2</v>
      </c>
      <c r="V48" s="387">
        <v>0.90100000000000002</v>
      </c>
    </row>
    <row r="49" spans="1:22">
      <c r="A49" s="437">
        <v>43</v>
      </c>
      <c r="B49" s="525" t="str">
        <f t="shared" si="2"/>
        <v>JOHN DEERE 7610 Partial PowerShift MFWD_ 116 pto hp</v>
      </c>
      <c r="C49" s="438">
        <v>115.94</v>
      </c>
      <c r="D49" s="434" t="s">
        <v>495</v>
      </c>
      <c r="E49" s="439" t="s">
        <v>572</v>
      </c>
      <c r="F49" s="439" t="s">
        <v>497</v>
      </c>
      <c r="G49" s="433" t="s">
        <v>509</v>
      </c>
      <c r="H49" s="438">
        <v>1724</v>
      </c>
      <c r="I49" s="438"/>
      <c r="J49" s="438">
        <v>5070</v>
      </c>
      <c r="K49" s="438">
        <v>9575</v>
      </c>
      <c r="L49" s="438">
        <v>2</v>
      </c>
      <c r="M49" s="438">
        <v>13.6</v>
      </c>
      <c r="N49" s="439" t="s">
        <v>481</v>
      </c>
      <c r="O49" s="438">
        <v>28</v>
      </c>
      <c r="P49" s="438">
        <v>2</v>
      </c>
      <c r="Q49" s="438">
        <v>18.399999999999999</v>
      </c>
      <c r="R49" s="439" t="s">
        <v>481</v>
      </c>
      <c r="S49" s="438">
        <v>38</v>
      </c>
      <c r="T49" s="444">
        <v>21</v>
      </c>
      <c r="U49" s="386">
        <v>110.2</v>
      </c>
      <c r="V49" s="386">
        <v>0.96699999999999997</v>
      </c>
    </row>
    <row r="50" spans="1:22">
      <c r="A50" s="437">
        <v>44</v>
      </c>
      <c r="B50" s="525" t="str">
        <f t="shared" si="2"/>
        <v>JOHN DEERE 7610 PowerShift MFWD_________ 116 pto hp</v>
      </c>
      <c r="C50" s="443">
        <v>115.96</v>
      </c>
      <c r="D50" s="434" t="s">
        <v>495</v>
      </c>
      <c r="E50" s="439" t="s">
        <v>572</v>
      </c>
      <c r="F50" s="439" t="s">
        <v>497</v>
      </c>
      <c r="G50" s="431" t="s">
        <v>552</v>
      </c>
      <c r="H50" s="438">
        <v>1725</v>
      </c>
      <c r="I50" s="438"/>
      <c r="J50" s="438">
        <v>5150</v>
      </c>
      <c r="K50" s="438">
        <v>9815</v>
      </c>
      <c r="L50" s="438">
        <v>2</v>
      </c>
      <c r="M50" s="438">
        <v>13.6</v>
      </c>
      <c r="N50" s="439" t="s">
        <v>481</v>
      </c>
      <c r="O50" s="438">
        <v>28</v>
      </c>
      <c r="P50" s="438">
        <v>2</v>
      </c>
      <c r="Q50" s="438">
        <v>18.399999999999999</v>
      </c>
      <c r="R50" s="439" t="s">
        <v>481</v>
      </c>
      <c r="S50" s="438">
        <v>38</v>
      </c>
      <c r="T50" s="444">
        <v>21</v>
      </c>
      <c r="U50" s="386">
        <v>110.2</v>
      </c>
      <c r="V50" s="386">
        <v>0.89900000000000002</v>
      </c>
    </row>
    <row r="51" spans="1:22">
      <c r="A51" s="437">
        <v>45</v>
      </c>
      <c r="B51" s="525" t="str">
        <f t="shared" si="2"/>
        <v>JOHN DEERE 4250 Partial PowerShift 2WD__ 120 pto hp</v>
      </c>
      <c r="C51" s="432">
        <v>120.21</v>
      </c>
      <c r="D51" s="434" t="s">
        <v>495</v>
      </c>
      <c r="E51" s="431" t="s">
        <v>575</v>
      </c>
      <c r="F51" s="431" t="s">
        <v>507</v>
      </c>
      <c r="G51" s="433" t="s">
        <v>509</v>
      </c>
      <c r="H51" s="434">
        <v>1475</v>
      </c>
      <c r="I51" s="434"/>
      <c r="J51" s="435">
        <v>3699.99</v>
      </c>
      <c r="K51" s="435">
        <v>9671.1299999999992</v>
      </c>
      <c r="L51" s="434">
        <v>2</v>
      </c>
      <c r="M51" s="432">
        <v>11</v>
      </c>
      <c r="N51" s="431" t="s">
        <v>499</v>
      </c>
      <c r="O51" s="434">
        <v>16</v>
      </c>
      <c r="P51" s="434">
        <v>4</v>
      </c>
      <c r="Q51" s="434">
        <v>18.399999999999999</v>
      </c>
      <c r="R51" s="431" t="s">
        <v>500</v>
      </c>
      <c r="S51" s="434">
        <v>38</v>
      </c>
      <c r="T51" s="436">
        <v>24.015748031496063</v>
      </c>
      <c r="U51" s="385">
        <v>106.69291338582678</v>
      </c>
      <c r="V51" s="384">
        <v>0.97820712278543609</v>
      </c>
    </row>
    <row r="52" spans="1:22">
      <c r="A52" s="437">
        <v>46</v>
      </c>
      <c r="B52" s="525" t="str">
        <f t="shared" si="2"/>
        <v>JOHN DEERE 4250 PowerShift 2WD__________ 121 pto hp</v>
      </c>
      <c r="C52" s="432">
        <v>120.87</v>
      </c>
      <c r="D52" s="434" t="s">
        <v>495</v>
      </c>
      <c r="E52" s="431" t="s">
        <v>575</v>
      </c>
      <c r="F52" s="431" t="s">
        <v>507</v>
      </c>
      <c r="G52" s="431" t="s">
        <v>552</v>
      </c>
      <c r="H52" s="434">
        <v>1458</v>
      </c>
      <c r="I52" s="434"/>
      <c r="J52" s="435">
        <v>3790.395</v>
      </c>
      <c r="K52" s="435">
        <v>10068.030000000001</v>
      </c>
      <c r="L52" s="434">
        <v>2</v>
      </c>
      <c r="M52" s="432">
        <v>11</v>
      </c>
      <c r="N52" s="431" t="s">
        <v>499</v>
      </c>
      <c r="O52" s="434">
        <v>16</v>
      </c>
      <c r="P52" s="434">
        <v>4</v>
      </c>
      <c r="Q52" s="434">
        <v>18.399999999999999</v>
      </c>
      <c r="R52" s="431" t="s">
        <v>500</v>
      </c>
      <c r="S52" s="434">
        <v>38</v>
      </c>
      <c r="T52" s="436">
        <v>24.606299212598426</v>
      </c>
      <c r="U52" s="385">
        <v>106.69291338582678</v>
      </c>
      <c r="V52" s="384">
        <v>0.94014351642222493</v>
      </c>
    </row>
    <row r="53" spans="1:22">
      <c r="A53" s="437">
        <v>47</v>
      </c>
      <c r="B53" s="525" t="str">
        <f t="shared" si="2"/>
        <v>JOHN DEERE 4255 PowerShift MFWD_________ 123 pto hp</v>
      </c>
      <c r="C53" s="432">
        <v>123.36</v>
      </c>
      <c r="D53" s="434" t="s">
        <v>495</v>
      </c>
      <c r="E53" s="431" t="s">
        <v>577</v>
      </c>
      <c r="F53" s="431" t="s">
        <v>497</v>
      </c>
      <c r="G53" s="431" t="s">
        <v>552</v>
      </c>
      <c r="H53" s="434">
        <v>5056</v>
      </c>
      <c r="I53" s="434"/>
      <c r="J53" s="435">
        <v>5355.9450000000006</v>
      </c>
      <c r="K53" s="435">
        <v>8696.52</v>
      </c>
      <c r="L53" s="434">
        <v>2</v>
      </c>
      <c r="M53" s="434">
        <v>14.9</v>
      </c>
      <c r="N53" s="431" t="s">
        <v>481</v>
      </c>
      <c r="O53" s="434">
        <v>26</v>
      </c>
      <c r="P53" s="434">
        <v>2</v>
      </c>
      <c r="Q53" s="434">
        <v>18.399999999999999</v>
      </c>
      <c r="R53" s="431" t="s">
        <v>481</v>
      </c>
      <c r="S53" s="434">
        <v>38</v>
      </c>
      <c r="T53" s="436">
        <v>16.929133858267718</v>
      </c>
      <c r="U53" s="385">
        <v>105.31496062992126</v>
      </c>
      <c r="V53" s="384">
        <v>0.91384786242923</v>
      </c>
    </row>
    <row r="54" spans="1:22">
      <c r="A54" s="437">
        <v>48</v>
      </c>
      <c r="B54" s="525" t="str">
        <f t="shared" si="2"/>
        <v>JOHN DEERE 4255 Partial PowerShift 2WD__ 124 pto hp</v>
      </c>
      <c r="C54" s="432">
        <v>123.68</v>
      </c>
      <c r="D54" s="434" t="s">
        <v>495</v>
      </c>
      <c r="E54" s="431" t="s">
        <v>577</v>
      </c>
      <c r="F54" s="431" t="s">
        <v>507</v>
      </c>
      <c r="G54" s="433" t="s">
        <v>509</v>
      </c>
      <c r="H54" s="434">
        <v>5065</v>
      </c>
      <c r="I54" s="434"/>
      <c r="J54" s="435">
        <v>3794.8050000000003</v>
      </c>
      <c r="K54" s="435">
        <v>8434.125</v>
      </c>
      <c r="L54" s="434">
        <v>2</v>
      </c>
      <c r="M54" s="432">
        <v>11</v>
      </c>
      <c r="N54" s="431" t="s">
        <v>499</v>
      </c>
      <c r="O54" s="434">
        <v>16</v>
      </c>
      <c r="P54" s="434">
        <v>2</v>
      </c>
      <c r="Q54" s="434">
        <v>18.399999999999999</v>
      </c>
      <c r="R54" s="431" t="s">
        <v>481</v>
      </c>
      <c r="S54" s="434">
        <v>38</v>
      </c>
      <c r="T54" s="436">
        <v>22.047244094488189</v>
      </c>
      <c r="U54" s="385">
        <v>106.69291338582678</v>
      </c>
      <c r="V54" s="384">
        <v>0.98121324186595771</v>
      </c>
    </row>
    <row r="55" spans="1:22">
      <c r="A55" s="437">
        <v>49</v>
      </c>
      <c r="B55" s="525" t="str">
        <f t="shared" ref="B55:B70" si="3">CONCATENATE( LEFT(CONCATENATE(D55," ",E55," ",G55," ",F55,$W$5),40)," ",FIXED(C55,0)," pto hp")</f>
        <v>JOHN DEERE 7700 PowerShift MFWD_________ 126 pto hp</v>
      </c>
      <c r="C55" s="443">
        <v>126.08</v>
      </c>
      <c r="D55" s="434" t="s">
        <v>495</v>
      </c>
      <c r="E55" s="439" t="s">
        <v>578</v>
      </c>
      <c r="F55" s="439" t="s">
        <v>497</v>
      </c>
      <c r="G55" s="431" t="s">
        <v>552</v>
      </c>
      <c r="H55" s="434">
        <v>1667</v>
      </c>
      <c r="I55" s="438"/>
      <c r="J55" s="438">
        <v>5360</v>
      </c>
      <c r="K55" s="438">
        <v>10145</v>
      </c>
      <c r="L55" s="438">
        <v>2</v>
      </c>
      <c r="M55" s="438">
        <v>14.9</v>
      </c>
      <c r="N55" s="439" t="s">
        <v>481</v>
      </c>
      <c r="O55" s="438">
        <v>30</v>
      </c>
      <c r="P55" s="438">
        <v>2</v>
      </c>
      <c r="Q55" s="438">
        <v>18.399999999999999</v>
      </c>
      <c r="R55" s="439" t="s">
        <v>481</v>
      </c>
      <c r="S55" s="438">
        <v>42</v>
      </c>
      <c r="T55" s="438">
        <v>21.5</v>
      </c>
      <c r="U55" s="386">
        <v>110.2</v>
      </c>
      <c r="V55" s="387">
        <v>0.95299999999999996</v>
      </c>
    </row>
    <row r="56" spans="1:22">
      <c r="A56" s="437">
        <v>50</v>
      </c>
      <c r="B56" s="525" t="str">
        <f t="shared" si="3"/>
        <v>JOHN DEERE 4440 PowerShift 2WD__________ 130 pto hp</v>
      </c>
      <c r="C56" s="432">
        <v>130.41</v>
      </c>
      <c r="D56" s="434" t="s">
        <v>495</v>
      </c>
      <c r="E56" s="431" t="s">
        <v>581</v>
      </c>
      <c r="F56" s="431" t="s">
        <v>507</v>
      </c>
      <c r="G56" s="431" t="s">
        <v>552</v>
      </c>
      <c r="H56" s="434">
        <v>1357</v>
      </c>
      <c r="I56" s="434"/>
      <c r="J56" s="435">
        <v>3651.48</v>
      </c>
      <c r="K56" s="435">
        <v>9472.68</v>
      </c>
      <c r="L56" s="434">
        <v>2</v>
      </c>
      <c r="M56" s="432">
        <v>11</v>
      </c>
      <c r="N56" s="431" t="s">
        <v>499</v>
      </c>
      <c r="O56" s="434">
        <v>16</v>
      </c>
      <c r="P56" s="434">
        <v>4</v>
      </c>
      <c r="Q56" s="434">
        <v>18.399999999999999</v>
      </c>
      <c r="R56" s="431" t="s">
        <v>500</v>
      </c>
      <c r="S56" s="434">
        <v>38</v>
      </c>
      <c r="T56" s="436">
        <v>22.440944881889767</v>
      </c>
      <c r="U56" s="385">
        <v>106.65354330708662</v>
      </c>
      <c r="V56" s="384">
        <v>0.94634891961370105</v>
      </c>
    </row>
    <row r="57" spans="1:22">
      <c r="A57" s="437">
        <v>51</v>
      </c>
      <c r="B57" s="525" t="str">
        <f t="shared" si="3"/>
        <v>JOHN DEERE 7710 Partial PowerShift MFWD_ 131 pto hp</v>
      </c>
      <c r="C57" s="443">
        <v>130.79</v>
      </c>
      <c r="D57" s="434" t="s">
        <v>495</v>
      </c>
      <c r="E57" s="439" t="s">
        <v>584</v>
      </c>
      <c r="F57" s="439" t="s">
        <v>497</v>
      </c>
      <c r="G57" s="433" t="s">
        <v>509</v>
      </c>
      <c r="H57" s="438">
        <v>1726</v>
      </c>
      <c r="I57" s="438"/>
      <c r="J57" s="438">
        <v>5400</v>
      </c>
      <c r="K57" s="438">
        <v>9870</v>
      </c>
      <c r="L57" s="438">
        <v>2</v>
      </c>
      <c r="M57" s="438">
        <v>14.9</v>
      </c>
      <c r="N57" s="439" t="s">
        <v>481</v>
      </c>
      <c r="O57" s="438">
        <v>30</v>
      </c>
      <c r="P57" s="438">
        <v>2</v>
      </c>
      <c r="Q57" s="438">
        <v>18.399999999999999</v>
      </c>
      <c r="R57" s="439" t="s">
        <v>481</v>
      </c>
      <c r="S57" s="438">
        <v>42</v>
      </c>
      <c r="T57" s="444">
        <v>21</v>
      </c>
      <c r="U57" s="386">
        <v>110.2</v>
      </c>
      <c r="V57" s="386">
        <v>0.97399999999999998</v>
      </c>
    </row>
    <row r="58" spans="1:22">
      <c r="A58" s="437">
        <v>52</v>
      </c>
      <c r="B58" s="525" t="str">
        <f t="shared" si="3"/>
        <v>JOHN DEERE 7710 PowerShift MFWD_________ 131 pto hp</v>
      </c>
      <c r="C58" s="443">
        <v>130.91</v>
      </c>
      <c r="D58" s="434" t="s">
        <v>495</v>
      </c>
      <c r="E58" s="439" t="s">
        <v>584</v>
      </c>
      <c r="F58" s="439" t="s">
        <v>497</v>
      </c>
      <c r="G58" s="431" t="s">
        <v>552</v>
      </c>
      <c r="H58" s="438">
        <v>1727</v>
      </c>
      <c r="I58" s="438"/>
      <c r="J58" s="438">
        <v>5510</v>
      </c>
      <c r="K58" s="438">
        <v>10104</v>
      </c>
      <c r="L58" s="438">
        <v>2</v>
      </c>
      <c r="M58" s="438">
        <v>14.9</v>
      </c>
      <c r="N58" s="439" t="s">
        <v>481</v>
      </c>
      <c r="O58" s="438">
        <v>30</v>
      </c>
      <c r="P58" s="438">
        <v>2</v>
      </c>
      <c r="Q58" s="438">
        <v>18.399999999999999</v>
      </c>
      <c r="R58" s="439" t="s">
        <v>481</v>
      </c>
      <c r="S58" s="438">
        <v>42</v>
      </c>
      <c r="T58" s="444">
        <v>21</v>
      </c>
      <c r="U58" s="386">
        <v>110.2</v>
      </c>
      <c r="V58" s="386">
        <v>0.95199999999999996</v>
      </c>
    </row>
    <row r="59" spans="1:22">
      <c r="A59" s="437">
        <v>53</v>
      </c>
      <c r="B59" s="525" t="str">
        <f t="shared" si="3"/>
        <v>JOHN DEERE 4450 Partial PowerShift 2WD__ 140 pto hp</v>
      </c>
      <c r="C59" s="432">
        <v>140.32</v>
      </c>
      <c r="D59" s="434" t="s">
        <v>495</v>
      </c>
      <c r="E59" s="431" t="s">
        <v>587</v>
      </c>
      <c r="F59" s="431" t="s">
        <v>507</v>
      </c>
      <c r="G59" s="433" t="s">
        <v>509</v>
      </c>
      <c r="H59" s="434">
        <v>1476</v>
      </c>
      <c r="I59" s="434"/>
      <c r="J59" s="435">
        <v>3699.99</v>
      </c>
      <c r="K59" s="435">
        <v>10601.64</v>
      </c>
      <c r="L59" s="434">
        <v>2</v>
      </c>
      <c r="M59" s="432">
        <v>11</v>
      </c>
      <c r="N59" s="431" t="s">
        <v>499</v>
      </c>
      <c r="O59" s="434">
        <v>16</v>
      </c>
      <c r="P59" s="434">
        <v>4</v>
      </c>
      <c r="Q59" s="434">
        <v>18.399999999999999</v>
      </c>
      <c r="R59" s="431" t="s">
        <v>500</v>
      </c>
      <c r="S59" s="434">
        <v>38</v>
      </c>
      <c r="T59" s="436">
        <v>21.45669291338583</v>
      </c>
      <c r="U59" s="385">
        <v>106.69291338582678</v>
      </c>
      <c r="V59" s="384">
        <v>0.96443920985205378</v>
      </c>
    </row>
    <row r="60" spans="1:22">
      <c r="A60" s="437">
        <v>54</v>
      </c>
      <c r="B60" s="525" t="str">
        <f t="shared" si="3"/>
        <v>JOHN DEERE 4450 PowerShift 2WD__________ 140 pto hp</v>
      </c>
      <c r="C60" s="432">
        <v>140.43</v>
      </c>
      <c r="D60" s="434" t="s">
        <v>495</v>
      </c>
      <c r="E60" s="431" t="s">
        <v>587</v>
      </c>
      <c r="F60" s="431" t="s">
        <v>507</v>
      </c>
      <c r="G60" s="431" t="s">
        <v>552</v>
      </c>
      <c r="H60" s="434">
        <v>1459</v>
      </c>
      <c r="I60" s="434"/>
      <c r="J60" s="435">
        <v>3790.395</v>
      </c>
      <c r="K60" s="435">
        <v>11161.71</v>
      </c>
      <c r="L60" s="434">
        <v>2</v>
      </c>
      <c r="M60" s="432">
        <v>11</v>
      </c>
      <c r="N60" s="431" t="s">
        <v>499</v>
      </c>
      <c r="O60" s="434">
        <v>16</v>
      </c>
      <c r="P60" s="434">
        <v>4</v>
      </c>
      <c r="Q60" s="434">
        <v>18.399999999999999</v>
      </c>
      <c r="R60" s="431" t="s">
        <v>500</v>
      </c>
      <c r="S60" s="434">
        <v>38</v>
      </c>
      <c r="T60" s="436">
        <v>22.047244094488189</v>
      </c>
      <c r="U60" s="385">
        <v>106.69291338582678</v>
      </c>
      <c r="V60" s="384">
        <v>0.93871946813123275</v>
      </c>
    </row>
    <row r="61" spans="1:22">
      <c r="A61" s="437">
        <v>55</v>
      </c>
      <c r="B61" s="525" t="str">
        <f t="shared" si="3"/>
        <v>JOHN DEERE 4455 PowerShift MFWD_________ 142 pto hp</v>
      </c>
      <c r="C61" s="432">
        <v>141.6</v>
      </c>
      <c r="D61" s="434" t="s">
        <v>495</v>
      </c>
      <c r="E61" s="431" t="s">
        <v>588</v>
      </c>
      <c r="F61" s="431" t="s">
        <v>497</v>
      </c>
      <c r="G61" s="431" t="s">
        <v>552</v>
      </c>
      <c r="H61" s="434">
        <v>5057</v>
      </c>
      <c r="I61" s="434"/>
      <c r="J61" s="435">
        <v>5450.76</v>
      </c>
      <c r="K61" s="435">
        <v>9825.48</v>
      </c>
      <c r="L61" s="434">
        <v>2</v>
      </c>
      <c r="M61" s="434">
        <v>14.9</v>
      </c>
      <c r="N61" s="431" t="s">
        <v>481</v>
      </c>
      <c r="O61" s="434">
        <v>30</v>
      </c>
      <c r="P61" s="434">
        <v>2</v>
      </c>
      <c r="Q61" s="434">
        <v>18.399999999999999</v>
      </c>
      <c r="R61" s="431" t="s">
        <v>481</v>
      </c>
      <c r="S61" s="434">
        <v>42</v>
      </c>
      <c r="T61" s="436">
        <v>18.503937007874018</v>
      </c>
      <c r="U61" s="385">
        <v>105.31496062992126</v>
      </c>
      <c r="V61" s="384">
        <v>0.93548989845987673</v>
      </c>
    </row>
    <row r="62" spans="1:22">
      <c r="A62" s="437">
        <v>56</v>
      </c>
      <c r="B62" s="525" t="str">
        <f t="shared" si="3"/>
        <v>JOHN DEERE 4455 Partial PowerShift 2WD__ 143 pto hp</v>
      </c>
      <c r="C62" s="432">
        <v>142.68</v>
      </c>
      <c r="D62" s="434" t="s">
        <v>495</v>
      </c>
      <c r="E62" s="431" t="s">
        <v>588</v>
      </c>
      <c r="F62" s="431" t="s">
        <v>507</v>
      </c>
      <c r="G62" s="433" t="s">
        <v>509</v>
      </c>
      <c r="H62" s="434">
        <v>5066</v>
      </c>
      <c r="I62" s="434"/>
      <c r="J62" s="435">
        <v>3841.11</v>
      </c>
      <c r="K62" s="435">
        <v>9477.09</v>
      </c>
      <c r="L62" s="434">
        <v>2</v>
      </c>
      <c r="M62" s="432">
        <v>11</v>
      </c>
      <c r="N62" s="431" t="s">
        <v>499</v>
      </c>
      <c r="O62" s="434">
        <v>16</v>
      </c>
      <c r="P62" s="434">
        <v>2</v>
      </c>
      <c r="Q62" s="434">
        <v>18.399999999999999</v>
      </c>
      <c r="R62" s="431" t="s">
        <v>481</v>
      </c>
      <c r="S62" s="434">
        <v>42</v>
      </c>
      <c r="T62" s="436">
        <v>25</v>
      </c>
      <c r="U62" s="385">
        <v>106.69291338582678</v>
      </c>
      <c r="V62" s="384">
        <v>0.97429384271489516</v>
      </c>
    </row>
    <row r="63" spans="1:22">
      <c r="A63" s="437">
        <v>57</v>
      </c>
      <c r="B63" s="525" t="str">
        <f t="shared" si="3"/>
        <v>JOHN DEERE 7800 PowerShift MFWD_________ 147 pto hp</v>
      </c>
      <c r="C63" s="443">
        <v>146.72999999999999</v>
      </c>
      <c r="D63" s="434" t="s">
        <v>495</v>
      </c>
      <c r="E63" s="439" t="s">
        <v>589</v>
      </c>
      <c r="F63" s="439" t="s">
        <v>497</v>
      </c>
      <c r="G63" s="431" t="s">
        <v>552</v>
      </c>
      <c r="H63" s="434">
        <v>1669</v>
      </c>
      <c r="I63" s="438"/>
      <c r="J63" s="438">
        <v>5350</v>
      </c>
      <c r="K63" s="438">
        <v>10210</v>
      </c>
      <c r="L63" s="438">
        <v>2</v>
      </c>
      <c r="M63" s="438">
        <v>14.9</v>
      </c>
      <c r="N63" s="439" t="s">
        <v>481</v>
      </c>
      <c r="O63" s="438">
        <v>30</v>
      </c>
      <c r="P63" s="438">
        <v>2</v>
      </c>
      <c r="Q63" s="438">
        <v>18.399999999999999</v>
      </c>
      <c r="R63" s="439" t="s">
        <v>481</v>
      </c>
      <c r="S63" s="438">
        <v>42</v>
      </c>
      <c r="T63" s="438">
        <v>21.5</v>
      </c>
      <c r="U63" s="386">
        <v>110.2</v>
      </c>
      <c r="V63" s="387">
        <v>0.93</v>
      </c>
    </row>
    <row r="64" spans="1:22">
      <c r="A64" s="437">
        <v>58</v>
      </c>
      <c r="B64" s="525" t="str">
        <f t="shared" si="3"/>
        <v>JOHN DEERE 7800 Partial PowerShift MFWD_ 147 pto hp</v>
      </c>
      <c r="C64" s="443">
        <v>147.08000000000001</v>
      </c>
      <c r="D64" s="434" t="s">
        <v>495</v>
      </c>
      <c r="E64" s="439" t="s">
        <v>589</v>
      </c>
      <c r="F64" s="439" t="s">
        <v>497</v>
      </c>
      <c r="G64" s="433" t="s">
        <v>509</v>
      </c>
      <c r="H64" s="434">
        <v>1668</v>
      </c>
      <c r="I64" s="438"/>
      <c r="J64" s="438">
        <v>5286</v>
      </c>
      <c r="K64" s="438">
        <v>9980</v>
      </c>
      <c r="L64" s="438">
        <v>2</v>
      </c>
      <c r="M64" s="438">
        <v>14.9</v>
      </c>
      <c r="N64" s="439" t="s">
        <v>481</v>
      </c>
      <c r="O64" s="438">
        <v>30</v>
      </c>
      <c r="P64" s="438">
        <v>2</v>
      </c>
      <c r="Q64" s="438">
        <v>18.399999999999999</v>
      </c>
      <c r="R64" s="439" t="s">
        <v>481</v>
      </c>
      <c r="S64" s="438">
        <v>42</v>
      </c>
      <c r="T64" s="438">
        <v>21.5</v>
      </c>
      <c r="U64" s="386">
        <v>110.2</v>
      </c>
      <c r="V64" s="387">
        <v>0.98699999999999999</v>
      </c>
    </row>
    <row r="65" spans="1:22">
      <c r="A65" s="437">
        <v>59</v>
      </c>
      <c r="B65" s="525" t="str">
        <f t="shared" si="3"/>
        <v>JOHN DEERE 7810 PowerShift MFWD_________ 150 pto hp</v>
      </c>
      <c r="C65" s="443">
        <v>150.16999999999999</v>
      </c>
      <c r="D65" s="434" t="s">
        <v>495</v>
      </c>
      <c r="E65" s="439" t="s">
        <v>593</v>
      </c>
      <c r="F65" s="439" t="s">
        <v>497</v>
      </c>
      <c r="G65" s="431" t="s">
        <v>552</v>
      </c>
      <c r="H65" s="438">
        <v>1729</v>
      </c>
      <c r="I65" s="438"/>
      <c r="J65" s="438">
        <v>5540</v>
      </c>
      <c r="K65" s="438">
        <v>10190</v>
      </c>
      <c r="L65" s="438">
        <v>2</v>
      </c>
      <c r="M65" s="438">
        <v>14.9</v>
      </c>
      <c r="N65" s="439" t="s">
        <v>481</v>
      </c>
      <c r="O65" s="438">
        <v>30</v>
      </c>
      <c r="P65" s="438">
        <v>2</v>
      </c>
      <c r="Q65" s="438">
        <v>18.399999999999999</v>
      </c>
      <c r="R65" s="439" t="s">
        <v>481</v>
      </c>
      <c r="S65" s="438">
        <v>42</v>
      </c>
      <c r="T65" s="444">
        <v>21</v>
      </c>
      <c r="U65" s="386">
        <v>110.2</v>
      </c>
      <c r="V65" s="386">
        <v>0.94099999999999995</v>
      </c>
    </row>
    <row r="66" spans="1:22">
      <c r="A66" s="437">
        <v>60</v>
      </c>
      <c r="B66" s="525" t="str">
        <f t="shared" si="3"/>
        <v>JOHN DEERE 7810 Partial PowerShift MFWD_ 151 pto hp</v>
      </c>
      <c r="C66" s="443">
        <v>151.32</v>
      </c>
      <c r="D66" s="434" t="s">
        <v>495</v>
      </c>
      <c r="E66" s="439" t="s">
        <v>593</v>
      </c>
      <c r="F66" s="439" t="s">
        <v>497</v>
      </c>
      <c r="G66" s="433" t="s">
        <v>509</v>
      </c>
      <c r="H66" s="438">
        <v>1728</v>
      </c>
      <c r="I66" s="438"/>
      <c r="J66" s="438">
        <v>5410</v>
      </c>
      <c r="K66" s="438">
        <v>9970</v>
      </c>
      <c r="L66" s="438">
        <v>2</v>
      </c>
      <c r="M66" s="438">
        <v>14.9</v>
      </c>
      <c r="N66" s="439" t="s">
        <v>481</v>
      </c>
      <c r="O66" s="438">
        <v>30</v>
      </c>
      <c r="P66" s="438">
        <v>2</v>
      </c>
      <c r="Q66" s="438">
        <v>18.399999999999999</v>
      </c>
      <c r="R66" s="439" t="s">
        <v>481</v>
      </c>
      <c r="S66" s="438">
        <v>42</v>
      </c>
      <c r="T66" s="444">
        <v>21</v>
      </c>
      <c r="U66" s="386">
        <v>110.2</v>
      </c>
      <c r="V66" s="386">
        <v>0.97899999999999998</v>
      </c>
    </row>
    <row r="67" spans="1:22">
      <c r="A67" s="437">
        <v>61</v>
      </c>
      <c r="B67" s="525" t="str">
        <f t="shared" si="3"/>
        <v>JOHN DEERE 4640 PowerShift 2WD__________ 156 pto hp</v>
      </c>
      <c r="C67" s="432">
        <v>155.96</v>
      </c>
      <c r="D67" s="434" t="s">
        <v>495</v>
      </c>
      <c r="E67" s="431" t="s">
        <v>595</v>
      </c>
      <c r="F67" s="431" t="s">
        <v>507</v>
      </c>
      <c r="G67" s="431" t="s">
        <v>552</v>
      </c>
      <c r="H67" s="434">
        <v>1358</v>
      </c>
      <c r="I67" s="434"/>
      <c r="J67" s="435">
        <v>4350.4650000000001</v>
      </c>
      <c r="K67" s="435">
        <v>11432.925000000001</v>
      </c>
      <c r="L67" s="434">
        <v>2</v>
      </c>
      <c r="M67" s="432">
        <v>14</v>
      </c>
      <c r="N67" s="431" t="s">
        <v>499</v>
      </c>
      <c r="O67" s="434">
        <v>16.100000000000001</v>
      </c>
      <c r="P67" s="434">
        <v>4</v>
      </c>
      <c r="Q67" s="434">
        <v>18.399999999999999</v>
      </c>
      <c r="R67" s="431" t="s">
        <v>500</v>
      </c>
      <c r="S67" s="434">
        <v>42</v>
      </c>
      <c r="T67" s="436">
        <v>24.015748031496063</v>
      </c>
      <c r="U67" s="385">
        <v>118.46456692913387</v>
      </c>
      <c r="V67" s="384">
        <v>0.94991982524226737</v>
      </c>
    </row>
    <row r="68" spans="1:22">
      <c r="A68" s="437">
        <v>62</v>
      </c>
      <c r="B68" s="525" t="str">
        <f t="shared" si="3"/>
        <v>JOHN DEERE 4555 Partial PowerShift 2WD__ 157 pto hp</v>
      </c>
      <c r="C68" s="432">
        <v>156.83000000000001</v>
      </c>
      <c r="D68" s="434" t="s">
        <v>495</v>
      </c>
      <c r="E68" s="431" t="s">
        <v>596</v>
      </c>
      <c r="F68" s="431" t="s">
        <v>507</v>
      </c>
      <c r="G68" s="433" t="s">
        <v>509</v>
      </c>
      <c r="H68" s="434">
        <v>5067</v>
      </c>
      <c r="I68" s="434"/>
      <c r="J68" s="435">
        <v>4820.13</v>
      </c>
      <c r="K68" s="435">
        <v>11022.795</v>
      </c>
      <c r="L68" s="434">
        <v>2</v>
      </c>
      <c r="M68" s="432">
        <v>14</v>
      </c>
      <c r="N68" s="431" t="s">
        <v>499</v>
      </c>
      <c r="O68" s="434">
        <v>16.100000000000001</v>
      </c>
      <c r="P68" s="434">
        <v>2</v>
      </c>
      <c r="Q68" s="434">
        <v>18.399999999999999</v>
      </c>
      <c r="R68" s="431" t="s">
        <v>481</v>
      </c>
      <c r="S68" s="434">
        <v>42</v>
      </c>
      <c r="T68" s="436">
        <v>23.425196850393704</v>
      </c>
      <c r="U68" s="385">
        <v>118.50393700787403</v>
      </c>
      <c r="V68" s="384">
        <v>0.96497694787562238</v>
      </c>
    </row>
    <row r="69" spans="1:22">
      <c r="A69" s="437">
        <v>63</v>
      </c>
      <c r="B69" s="525" t="str">
        <f t="shared" si="3"/>
        <v>JOHN DEERE 4555 PowerShift MFWD_________ 157 pto hp</v>
      </c>
      <c r="C69" s="432">
        <v>156.88999999999999</v>
      </c>
      <c r="D69" s="434" t="s">
        <v>495</v>
      </c>
      <c r="E69" s="431" t="s">
        <v>596</v>
      </c>
      <c r="F69" s="431" t="s">
        <v>497</v>
      </c>
      <c r="G69" s="431" t="s">
        <v>552</v>
      </c>
      <c r="H69" s="434">
        <v>5058</v>
      </c>
      <c r="I69" s="434"/>
      <c r="J69" s="435">
        <v>6390.09</v>
      </c>
      <c r="K69" s="435">
        <v>11366.775</v>
      </c>
      <c r="L69" s="434">
        <v>2</v>
      </c>
      <c r="M69" s="434">
        <v>14.9</v>
      </c>
      <c r="N69" s="431" t="s">
        <v>481</v>
      </c>
      <c r="O69" s="434">
        <v>30</v>
      </c>
      <c r="P69" s="434">
        <v>2</v>
      </c>
      <c r="Q69" s="434">
        <v>18.399999999999999</v>
      </c>
      <c r="R69" s="431" t="s">
        <v>481</v>
      </c>
      <c r="S69" s="434">
        <v>42</v>
      </c>
      <c r="T69" s="436">
        <v>18.503937007874018</v>
      </c>
      <c r="U69" s="385">
        <v>117.08661417322836</v>
      </c>
      <c r="V69" s="384">
        <v>0.90550589909509482</v>
      </c>
    </row>
    <row r="70" spans="1:22">
      <c r="A70" s="437">
        <v>64</v>
      </c>
      <c r="B70" s="525" t="str">
        <f t="shared" si="3"/>
        <v>JOHN DEERE 8100 PowerShift MFWD_________ 160 pto hp</v>
      </c>
      <c r="C70" s="443">
        <v>160.4</v>
      </c>
      <c r="D70" s="434" t="s">
        <v>495</v>
      </c>
      <c r="E70" s="439" t="s">
        <v>598</v>
      </c>
      <c r="F70" s="439" t="s">
        <v>497</v>
      </c>
      <c r="G70" s="431" t="s">
        <v>552</v>
      </c>
      <c r="H70" s="438">
        <v>1688</v>
      </c>
      <c r="I70" s="438"/>
      <c r="J70" s="438">
        <v>7720</v>
      </c>
      <c r="K70" s="438">
        <v>11358</v>
      </c>
      <c r="L70" s="438">
        <v>2</v>
      </c>
      <c r="M70" s="438">
        <v>16.899999999999999</v>
      </c>
      <c r="N70" s="439" t="s">
        <v>481</v>
      </c>
      <c r="O70" s="438">
        <v>30</v>
      </c>
      <c r="P70" s="438">
        <v>2</v>
      </c>
      <c r="Q70" s="438">
        <v>20.8</v>
      </c>
      <c r="R70" s="439" t="s">
        <v>481</v>
      </c>
      <c r="S70" s="438">
        <v>42</v>
      </c>
      <c r="T70" s="444">
        <v>20</v>
      </c>
      <c r="U70" s="386">
        <v>116.1</v>
      </c>
      <c r="V70" s="387">
        <v>0.96199999999999997</v>
      </c>
    </row>
    <row r="71" spans="1:22">
      <c r="A71" s="437">
        <v>65</v>
      </c>
      <c r="B71" s="525" t="str">
        <f t="shared" ref="B71:B86" si="4">CONCATENATE( LEFT(CONCATENATE(D71," ",E71," ",G71," ",F71,$W$5),40)," ",FIXED(C71,0)," pto hp")</f>
        <v>JOHN DEERE 4650 PowerShift 2WD__________ 166 pto hp</v>
      </c>
      <c r="C71" s="432">
        <v>165.52</v>
      </c>
      <c r="D71" s="434" t="s">
        <v>495</v>
      </c>
      <c r="E71" s="431" t="s">
        <v>601</v>
      </c>
      <c r="F71" s="431" t="s">
        <v>507</v>
      </c>
      <c r="G71" s="431" t="s">
        <v>552</v>
      </c>
      <c r="H71" s="434">
        <v>1460</v>
      </c>
      <c r="I71" s="434"/>
      <c r="J71" s="435">
        <v>4936.9949999999999</v>
      </c>
      <c r="K71" s="435">
        <v>13653.36</v>
      </c>
      <c r="L71" s="434">
        <v>2</v>
      </c>
      <c r="M71" s="432">
        <v>14</v>
      </c>
      <c r="N71" s="431" t="s">
        <v>499</v>
      </c>
      <c r="O71" s="434">
        <v>16.100000000000001</v>
      </c>
      <c r="P71" s="434">
        <v>4</v>
      </c>
      <c r="Q71" s="434">
        <v>20.8</v>
      </c>
      <c r="R71" s="431" t="s">
        <v>500</v>
      </c>
      <c r="S71" s="434">
        <v>38</v>
      </c>
      <c r="T71" s="436">
        <v>24.409448818897641</v>
      </c>
      <c r="U71" s="385">
        <v>118.50393700787403</v>
      </c>
      <c r="V71" s="384">
        <v>0.93612530135255545</v>
      </c>
    </row>
    <row r="72" spans="1:22">
      <c r="A72" s="437">
        <v>66</v>
      </c>
      <c r="B72" s="525" t="str">
        <f t="shared" si="4"/>
        <v>JOHN DEERE 4650 Partial PowerShift 2WD__ 166 pto hp</v>
      </c>
      <c r="C72" s="432">
        <v>165.7</v>
      </c>
      <c r="D72" s="434" t="s">
        <v>495</v>
      </c>
      <c r="E72" s="431" t="s">
        <v>601</v>
      </c>
      <c r="F72" s="431" t="s">
        <v>507</v>
      </c>
      <c r="G72" s="433" t="s">
        <v>509</v>
      </c>
      <c r="H72" s="434">
        <v>1477</v>
      </c>
      <c r="I72" s="434"/>
      <c r="J72" s="435">
        <v>4800.2849999999999</v>
      </c>
      <c r="K72" s="435">
        <v>13203.54</v>
      </c>
      <c r="L72" s="434">
        <v>2</v>
      </c>
      <c r="M72" s="432">
        <v>14</v>
      </c>
      <c r="N72" s="431" t="s">
        <v>499</v>
      </c>
      <c r="O72" s="434">
        <v>16.100000000000001</v>
      </c>
      <c r="P72" s="434">
        <v>4</v>
      </c>
      <c r="Q72" s="434">
        <v>20.8</v>
      </c>
      <c r="R72" s="431" t="s">
        <v>500</v>
      </c>
      <c r="S72" s="434">
        <v>38</v>
      </c>
      <c r="T72" s="436">
        <v>24.409448818897641</v>
      </c>
      <c r="U72" s="385">
        <v>118.50393700787403</v>
      </c>
      <c r="V72" s="384">
        <v>0.94983944773520679</v>
      </c>
    </row>
    <row r="73" spans="1:22">
      <c r="A73" s="437">
        <v>67</v>
      </c>
      <c r="B73" s="525" t="str">
        <f t="shared" si="4"/>
        <v>JOHN DEERE 4755 PowerShift MFWD_________ 177 pto hp</v>
      </c>
      <c r="C73" s="432">
        <v>177.07</v>
      </c>
      <c r="D73" s="434" t="s">
        <v>495</v>
      </c>
      <c r="E73" s="431" t="s">
        <v>602</v>
      </c>
      <c r="F73" s="431" t="s">
        <v>497</v>
      </c>
      <c r="G73" s="431" t="s">
        <v>552</v>
      </c>
      <c r="H73" s="434">
        <v>5059</v>
      </c>
      <c r="I73" s="434"/>
      <c r="J73" s="435">
        <v>6575.31</v>
      </c>
      <c r="K73" s="435">
        <v>11591.684999999999</v>
      </c>
      <c r="L73" s="434">
        <v>2</v>
      </c>
      <c r="M73" s="434">
        <v>16.899999999999999</v>
      </c>
      <c r="N73" s="431" t="s">
        <v>481</v>
      </c>
      <c r="O73" s="434">
        <v>30</v>
      </c>
      <c r="P73" s="434">
        <v>2</v>
      </c>
      <c r="Q73" s="434">
        <v>20.8</v>
      </c>
      <c r="R73" s="431" t="s">
        <v>481</v>
      </c>
      <c r="S73" s="434">
        <v>42</v>
      </c>
      <c r="T73" s="436">
        <v>19.094488188976378</v>
      </c>
      <c r="U73" s="385">
        <v>117.08661417322836</v>
      </c>
      <c r="V73" s="384">
        <v>0.90218361348321963</v>
      </c>
    </row>
    <row r="74" spans="1:22">
      <c r="A74" s="437">
        <v>68</v>
      </c>
      <c r="B74" s="525" t="str">
        <f t="shared" si="4"/>
        <v>JOHN DEERE 4755 Partial PowerShift 2WD__ 177 pto hp</v>
      </c>
      <c r="C74" s="432">
        <v>177.11</v>
      </c>
      <c r="D74" s="434" t="s">
        <v>495</v>
      </c>
      <c r="E74" s="431" t="s">
        <v>602</v>
      </c>
      <c r="F74" s="431" t="s">
        <v>507</v>
      </c>
      <c r="G74" s="433" t="s">
        <v>509</v>
      </c>
      <c r="H74" s="434">
        <v>5068</v>
      </c>
      <c r="I74" s="434"/>
      <c r="J74" s="435">
        <v>4866.4350000000004</v>
      </c>
      <c r="K74" s="435">
        <v>11166.12</v>
      </c>
      <c r="L74" s="434">
        <v>2</v>
      </c>
      <c r="M74" s="432">
        <v>14</v>
      </c>
      <c r="N74" s="431" t="s">
        <v>499</v>
      </c>
      <c r="O74" s="434">
        <v>16.100000000000001</v>
      </c>
      <c r="P74" s="434">
        <v>2</v>
      </c>
      <c r="Q74" s="434">
        <v>20.8</v>
      </c>
      <c r="R74" s="431" t="s">
        <v>481</v>
      </c>
      <c r="S74" s="434">
        <v>42</v>
      </c>
      <c r="T74" s="436">
        <v>25.590551181102363</v>
      </c>
      <c r="U74" s="385">
        <v>118.50393700787403</v>
      </c>
      <c r="V74" s="384">
        <v>0.95813235814750164</v>
      </c>
    </row>
    <row r="75" spans="1:22">
      <c r="A75" s="437">
        <v>69</v>
      </c>
      <c r="B75" s="525" t="str">
        <f t="shared" si="4"/>
        <v>JOHN DEERE 8200 PowerShift MFWD_________ 182 pto hp</v>
      </c>
      <c r="C75" s="443">
        <v>181.71</v>
      </c>
      <c r="D75" s="434" t="s">
        <v>495</v>
      </c>
      <c r="E75" s="439" t="s">
        <v>604</v>
      </c>
      <c r="F75" s="439" t="s">
        <v>497</v>
      </c>
      <c r="G75" s="431" t="s">
        <v>552</v>
      </c>
      <c r="H75" s="438">
        <v>1689</v>
      </c>
      <c r="I75" s="438"/>
      <c r="J75" s="438">
        <v>7676</v>
      </c>
      <c r="K75" s="438">
        <v>11418</v>
      </c>
      <c r="L75" s="438">
        <v>2</v>
      </c>
      <c r="M75" s="438">
        <v>16.899999999999999</v>
      </c>
      <c r="N75" s="439" t="s">
        <v>481</v>
      </c>
      <c r="O75" s="438">
        <v>30</v>
      </c>
      <c r="P75" s="438">
        <v>2</v>
      </c>
      <c r="Q75" s="438">
        <v>20.8</v>
      </c>
      <c r="R75" s="439" t="s">
        <v>481</v>
      </c>
      <c r="S75" s="438">
        <v>42</v>
      </c>
      <c r="T75" s="444">
        <v>20.5</v>
      </c>
      <c r="U75" s="386">
        <v>116.1</v>
      </c>
      <c r="V75" s="387">
        <v>0.95099999999999996</v>
      </c>
    </row>
    <row r="76" spans="1:22">
      <c r="A76" s="437">
        <v>70</v>
      </c>
      <c r="B76" s="525" t="str">
        <f t="shared" si="4"/>
        <v>JOHN DEERE 8450 Partial PowerShift 4WD__ 187 pto hp</v>
      </c>
      <c r="C76" s="432">
        <v>186.98</v>
      </c>
      <c r="D76" s="434" t="s">
        <v>495</v>
      </c>
      <c r="E76" s="431" t="s">
        <v>605</v>
      </c>
      <c r="F76" s="431" t="s">
        <v>606</v>
      </c>
      <c r="G76" s="433" t="s">
        <v>509</v>
      </c>
      <c r="H76" s="434">
        <v>1436</v>
      </c>
      <c r="I76" s="434"/>
      <c r="J76" s="435">
        <v>14923.44</v>
      </c>
      <c r="K76" s="435">
        <v>14233.275</v>
      </c>
      <c r="L76" s="434">
        <v>4</v>
      </c>
      <c r="M76" s="434">
        <v>20.8</v>
      </c>
      <c r="N76" s="431" t="s">
        <v>500</v>
      </c>
      <c r="O76" s="434">
        <v>38</v>
      </c>
      <c r="P76" s="434">
        <v>4</v>
      </c>
      <c r="Q76" s="434">
        <v>20.8</v>
      </c>
      <c r="R76" s="431" t="s">
        <v>500</v>
      </c>
      <c r="S76" s="434">
        <v>38</v>
      </c>
      <c r="T76" s="436">
        <v>17.519685039370081</v>
      </c>
      <c r="U76" s="385">
        <v>125</v>
      </c>
      <c r="V76" s="384">
        <v>1.0160285796805912</v>
      </c>
    </row>
    <row r="77" spans="1:22">
      <c r="A77" s="437">
        <v>71</v>
      </c>
      <c r="B77" s="525" t="str">
        <f t="shared" si="4"/>
        <v>JOHN DEERE 4850 PowerShift 2WD__________ 193 pto hp</v>
      </c>
      <c r="C77" s="432">
        <v>192.99</v>
      </c>
      <c r="D77" s="434" t="s">
        <v>495</v>
      </c>
      <c r="E77" s="431" t="s">
        <v>608</v>
      </c>
      <c r="F77" s="431" t="s">
        <v>507</v>
      </c>
      <c r="G77" s="431" t="s">
        <v>552</v>
      </c>
      <c r="H77" s="434">
        <v>1461</v>
      </c>
      <c r="I77" s="434"/>
      <c r="J77" s="435">
        <v>4970.07</v>
      </c>
      <c r="K77" s="435">
        <v>13752.585000000001</v>
      </c>
      <c r="L77" s="434">
        <v>2</v>
      </c>
      <c r="M77" s="432">
        <v>14</v>
      </c>
      <c r="N77" s="431" t="s">
        <v>499</v>
      </c>
      <c r="O77" s="434">
        <v>16.100000000000001</v>
      </c>
      <c r="P77" s="434">
        <v>4</v>
      </c>
      <c r="Q77" s="434">
        <v>20.8</v>
      </c>
      <c r="R77" s="431" t="s">
        <v>500</v>
      </c>
      <c r="S77" s="434">
        <v>38</v>
      </c>
      <c r="T77" s="436">
        <v>24.409448818897641</v>
      </c>
      <c r="U77" s="385">
        <v>118.50393700787403</v>
      </c>
      <c r="V77" s="384">
        <v>0.95945852043413016</v>
      </c>
    </row>
    <row r="78" spans="1:22">
      <c r="A78" s="437">
        <v>72</v>
      </c>
      <c r="B78" s="525" t="str">
        <f t="shared" si="4"/>
        <v>JOHN DEERE 8560 Partial PowerShift 4WD__ 203 pto hp</v>
      </c>
      <c r="C78" s="432">
        <v>202.66</v>
      </c>
      <c r="D78" s="434" t="s">
        <v>495</v>
      </c>
      <c r="E78" s="431" t="s">
        <v>609</v>
      </c>
      <c r="F78" s="431" t="s">
        <v>606</v>
      </c>
      <c r="G78" s="433" t="s">
        <v>509</v>
      </c>
      <c r="H78" s="434">
        <v>5061</v>
      </c>
      <c r="I78" s="434"/>
      <c r="J78" s="435">
        <v>17662.05</v>
      </c>
      <c r="K78" s="435">
        <v>14418.495000000001</v>
      </c>
      <c r="L78" s="434">
        <v>4</v>
      </c>
      <c r="M78" s="434">
        <v>18.399999999999999</v>
      </c>
      <c r="N78" s="431" t="s">
        <v>481</v>
      </c>
      <c r="O78" s="434">
        <v>42</v>
      </c>
      <c r="P78" s="434">
        <v>4</v>
      </c>
      <c r="Q78" s="434">
        <v>18.399999999999999</v>
      </c>
      <c r="R78" s="431" t="s">
        <v>481</v>
      </c>
      <c r="S78" s="434">
        <v>42</v>
      </c>
      <c r="T78" s="436">
        <v>17.913385826771655</v>
      </c>
      <c r="U78" s="385">
        <v>133.85826771653544</v>
      </c>
      <c r="V78" s="384">
        <v>0.96418811612035538</v>
      </c>
    </row>
    <row r="79" spans="1:22">
      <c r="A79" s="437">
        <v>73</v>
      </c>
      <c r="B79" s="525" t="str">
        <f t="shared" si="4"/>
        <v>JOHN DEERE 4955 PowerShift MFWD_________ 203 pto hp</v>
      </c>
      <c r="C79" s="432">
        <v>202.74</v>
      </c>
      <c r="D79" s="434" t="s">
        <v>495</v>
      </c>
      <c r="E79" s="431" t="s">
        <v>610</v>
      </c>
      <c r="F79" s="431" t="s">
        <v>497</v>
      </c>
      <c r="G79" s="431" t="s">
        <v>552</v>
      </c>
      <c r="H79" s="434">
        <v>5060</v>
      </c>
      <c r="I79" s="434"/>
      <c r="J79" s="435">
        <v>6540.03</v>
      </c>
      <c r="K79" s="435">
        <v>11832.03</v>
      </c>
      <c r="L79" s="434">
        <v>2</v>
      </c>
      <c r="M79" s="434">
        <v>16.899999999999999</v>
      </c>
      <c r="N79" s="431" t="s">
        <v>481</v>
      </c>
      <c r="O79" s="434">
        <v>30</v>
      </c>
      <c r="P79" s="434">
        <v>2</v>
      </c>
      <c r="Q79" s="434">
        <v>20.8</v>
      </c>
      <c r="R79" s="431" t="s">
        <v>481</v>
      </c>
      <c r="S79" s="434">
        <v>42</v>
      </c>
      <c r="T79" s="436">
        <v>19.488188976377955</v>
      </c>
      <c r="U79" s="385">
        <v>117.08661417322836</v>
      </c>
      <c r="V79" s="384">
        <v>0.94106542049391628</v>
      </c>
    </row>
    <row r="80" spans="1:22">
      <c r="A80" s="437">
        <v>74</v>
      </c>
      <c r="B80" s="525" t="str">
        <f t="shared" si="4"/>
        <v>JOHN DEERE 8300 PowerShift MFWD_________ 203 pto hp</v>
      </c>
      <c r="C80" s="443">
        <v>202.92</v>
      </c>
      <c r="D80" s="434" t="s">
        <v>495</v>
      </c>
      <c r="E80" s="439" t="s">
        <v>611</v>
      </c>
      <c r="F80" s="439" t="s">
        <v>497</v>
      </c>
      <c r="G80" s="431" t="s">
        <v>552</v>
      </c>
      <c r="H80" s="438">
        <v>1690</v>
      </c>
      <c r="I80" s="438"/>
      <c r="J80" s="438">
        <v>7662</v>
      </c>
      <c r="K80" s="438">
        <v>11460</v>
      </c>
      <c r="L80" s="438">
        <v>2</v>
      </c>
      <c r="M80" s="438">
        <v>16.899999999999999</v>
      </c>
      <c r="N80" s="439" t="s">
        <v>481</v>
      </c>
      <c r="O80" s="438">
        <v>30</v>
      </c>
      <c r="P80" s="438">
        <v>2</v>
      </c>
      <c r="Q80" s="438">
        <v>20.8</v>
      </c>
      <c r="R80" s="439" t="s">
        <v>481</v>
      </c>
      <c r="S80" s="438">
        <v>42</v>
      </c>
      <c r="T80" s="436">
        <v>20</v>
      </c>
      <c r="U80" s="386">
        <v>116.1</v>
      </c>
      <c r="V80" s="387">
        <v>0.95199999999999996</v>
      </c>
    </row>
    <row r="81" spans="1:25">
      <c r="A81" s="437">
        <v>75</v>
      </c>
      <c r="B81" s="525" t="str">
        <f t="shared" si="4"/>
        <v>JOHN DEERE 8570 Partial PowerShift 4WD__ 208 pto hp</v>
      </c>
      <c r="C81" s="438">
        <v>208.21</v>
      </c>
      <c r="D81" s="434" t="s">
        <v>495</v>
      </c>
      <c r="E81" s="439" t="s">
        <v>616</v>
      </c>
      <c r="F81" s="439" t="s">
        <v>606</v>
      </c>
      <c r="G81" s="433" t="s">
        <v>509</v>
      </c>
      <c r="H81" s="438">
        <v>1670</v>
      </c>
      <c r="I81" s="438"/>
      <c r="J81" s="438">
        <v>17370</v>
      </c>
      <c r="K81" s="438">
        <v>14895</v>
      </c>
      <c r="L81" s="438">
        <v>4</v>
      </c>
      <c r="M81" s="438">
        <v>18.399999999999999</v>
      </c>
      <c r="N81" s="439" t="s">
        <v>481</v>
      </c>
      <c r="O81" s="438">
        <v>42</v>
      </c>
      <c r="P81" s="438">
        <v>4</v>
      </c>
      <c r="Q81" s="438">
        <v>18.399999999999999</v>
      </c>
      <c r="R81" s="439" t="s">
        <v>481</v>
      </c>
      <c r="S81" s="438">
        <v>42</v>
      </c>
      <c r="T81" s="438">
        <v>18.5</v>
      </c>
      <c r="U81" s="386">
        <v>133.80000000000001</v>
      </c>
      <c r="V81" s="387">
        <v>0.995</v>
      </c>
    </row>
    <row r="82" spans="1:25">
      <c r="A82" s="437">
        <v>76</v>
      </c>
      <c r="B82" s="525" t="str">
        <f t="shared" si="4"/>
        <v>JOHN DEERE 9100 Partial PowerShift 4WD__ 220 pto hp</v>
      </c>
      <c r="C82" s="443">
        <v>219.61</v>
      </c>
      <c r="D82" s="434" t="s">
        <v>495</v>
      </c>
      <c r="E82" s="439" t="s">
        <v>618</v>
      </c>
      <c r="F82" s="439" t="s">
        <v>606</v>
      </c>
      <c r="G82" s="433" t="s">
        <v>509</v>
      </c>
      <c r="H82" s="438">
        <v>1730</v>
      </c>
      <c r="I82" s="438"/>
      <c r="J82" s="445">
        <v>17998</v>
      </c>
      <c r="K82" s="445">
        <v>15716</v>
      </c>
      <c r="L82" s="438">
        <v>4</v>
      </c>
      <c r="M82" s="438">
        <v>20.8</v>
      </c>
      <c r="N82" s="439" t="s">
        <v>481</v>
      </c>
      <c r="O82" s="438">
        <v>42</v>
      </c>
      <c r="P82" s="438">
        <v>4</v>
      </c>
      <c r="Q82" s="438">
        <v>20.8</v>
      </c>
      <c r="R82" s="439" t="s">
        <v>481</v>
      </c>
      <c r="S82" s="438">
        <v>42</v>
      </c>
      <c r="T82" s="436">
        <v>18</v>
      </c>
      <c r="U82" s="386">
        <v>137.80000000000001</v>
      </c>
      <c r="V82" s="387">
        <v>0.98399999999999999</v>
      </c>
    </row>
    <row r="83" spans="1:25">
      <c r="A83" s="437">
        <v>77</v>
      </c>
      <c r="B83" s="525" t="str">
        <f t="shared" si="4"/>
        <v>JOHN DEERE 8400 PowerShift MFWD_________ 228 pto hp</v>
      </c>
      <c r="C83" s="443">
        <v>228.29</v>
      </c>
      <c r="D83" s="434" t="s">
        <v>495</v>
      </c>
      <c r="E83" s="439" t="s">
        <v>619</v>
      </c>
      <c r="F83" s="439" t="s">
        <v>497</v>
      </c>
      <c r="G83" s="431" t="s">
        <v>552</v>
      </c>
      <c r="H83" s="438">
        <v>1691</v>
      </c>
      <c r="I83" s="438"/>
      <c r="J83" s="438">
        <v>7736</v>
      </c>
      <c r="K83" s="438">
        <v>11620</v>
      </c>
      <c r="L83" s="438">
        <v>2</v>
      </c>
      <c r="M83" s="438">
        <v>16.899999999999999</v>
      </c>
      <c r="N83" s="439" t="s">
        <v>481</v>
      </c>
      <c r="O83" s="438">
        <v>30</v>
      </c>
      <c r="P83" s="438">
        <v>2</v>
      </c>
      <c r="Q83" s="438">
        <v>20.8</v>
      </c>
      <c r="R83" s="439" t="s">
        <v>481</v>
      </c>
      <c r="S83" s="438">
        <v>42</v>
      </c>
      <c r="T83" s="436">
        <v>20</v>
      </c>
      <c r="U83" s="386">
        <v>116.1</v>
      </c>
      <c r="V83" s="387">
        <v>0.95</v>
      </c>
    </row>
    <row r="84" spans="1:25">
      <c r="A84" s="437">
        <v>78</v>
      </c>
      <c r="B84" s="525" t="str">
        <f t="shared" si="4"/>
        <v>JOHN DEERE 8650 Partial PowerShift 4WD__ 239 pto hp</v>
      </c>
      <c r="C84" s="432">
        <v>238.55</v>
      </c>
      <c r="D84" s="434" t="s">
        <v>495</v>
      </c>
      <c r="E84" s="431" t="s">
        <v>623</v>
      </c>
      <c r="F84" s="431" t="s">
        <v>606</v>
      </c>
      <c r="G84" s="433" t="s">
        <v>509</v>
      </c>
      <c r="H84" s="434">
        <v>1435</v>
      </c>
      <c r="I84" s="434"/>
      <c r="J84" s="435">
        <v>15961.995000000001</v>
      </c>
      <c r="K84" s="435">
        <v>14312.655000000001</v>
      </c>
      <c r="L84" s="434">
        <v>4</v>
      </c>
      <c r="M84" s="434">
        <v>23.1</v>
      </c>
      <c r="N84" s="431" t="s">
        <v>500</v>
      </c>
      <c r="O84" s="434">
        <v>34</v>
      </c>
      <c r="P84" s="434">
        <v>4</v>
      </c>
      <c r="Q84" s="434">
        <v>23.1</v>
      </c>
      <c r="R84" s="431" t="s">
        <v>500</v>
      </c>
      <c r="S84" s="434">
        <v>34</v>
      </c>
      <c r="T84" s="436">
        <v>17.519685039370081</v>
      </c>
      <c r="U84" s="385">
        <v>125</v>
      </c>
      <c r="V84" s="384">
        <v>1.0051762932756805</v>
      </c>
    </row>
    <row r="85" spans="1:25">
      <c r="A85" s="437">
        <v>79</v>
      </c>
      <c r="B85" s="525" t="str">
        <f t="shared" si="4"/>
        <v>JOHN DEERE 8760 Partial PowerShift 4WD__ 257 pto hp</v>
      </c>
      <c r="C85" s="432">
        <v>256.94</v>
      </c>
      <c r="D85" s="434" t="s">
        <v>495</v>
      </c>
      <c r="E85" s="431" t="s">
        <v>625</v>
      </c>
      <c r="F85" s="431" t="s">
        <v>606</v>
      </c>
      <c r="G85" s="433" t="s">
        <v>509</v>
      </c>
      <c r="H85" s="434">
        <v>5062</v>
      </c>
      <c r="I85" s="434"/>
      <c r="J85" s="435">
        <v>18411.75</v>
      </c>
      <c r="K85" s="435">
        <v>14288.4</v>
      </c>
      <c r="L85" s="434">
        <v>4</v>
      </c>
      <c r="M85" s="434">
        <v>18.399999999999999</v>
      </c>
      <c r="N85" s="431" t="s">
        <v>481</v>
      </c>
      <c r="O85" s="434">
        <v>42</v>
      </c>
      <c r="P85" s="434">
        <v>4</v>
      </c>
      <c r="Q85" s="434">
        <v>18.399999999999999</v>
      </c>
      <c r="R85" s="431" t="s">
        <v>481</v>
      </c>
      <c r="S85" s="434">
        <v>42</v>
      </c>
      <c r="T85" s="436">
        <v>17.913385826771655</v>
      </c>
      <c r="U85" s="385">
        <v>133.85826771653544</v>
      </c>
      <c r="V85" s="384">
        <v>0.99808158889578502</v>
      </c>
    </row>
    <row r="86" spans="1:25">
      <c r="A86" s="437">
        <v>80</v>
      </c>
      <c r="B86" s="525" t="str">
        <f t="shared" si="4"/>
        <v>JOHN DEERE 8770 Partial PowerShift 4WD__ 259 pto hp</v>
      </c>
      <c r="C86" s="438">
        <v>259.31</v>
      </c>
      <c r="D86" s="434" t="s">
        <v>495</v>
      </c>
      <c r="E86" s="439" t="s">
        <v>627</v>
      </c>
      <c r="F86" s="439" t="s">
        <v>606</v>
      </c>
      <c r="G86" s="433" t="s">
        <v>509</v>
      </c>
      <c r="H86" s="438">
        <v>1671</v>
      </c>
      <c r="I86" s="438"/>
      <c r="J86" s="438">
        <v>18384</v>
      </c>
      <c r="K86" s="438">
        <v>14740</v>
      </c>
      <c r="L86" s="438">
        <v>4</v>
      </c>
      <c r="M86" s="438">
        <v>18.399999999999999</v>
      </c>
      <c r="N86" s="439" t="s">
        <v>481</v>
      </c>
      <c r="O86" s="438">
        <v>42</v>
      </c>
      <c r="P86" s="438">
        <v>4</v>
      </c>
      <c r="Q86" s="438">
        <v>18.399999999999999</v>
      </c>
      <c r="R86" s="439" t="s">
        <v>481</v>
      </c>
      <c r="S86" s="438">
        <v>42</v>
      </c>
      <c r="T86" s="436">
        <v>18.5</v>
      </c>
      <c r="U86" s="386">
        <v>133.80000000000001</v>
      </c>
      <c r="V86" s="387">
        <v>1.0109999999999999</v>
      </c>
    </row>
    <row r="87" spans="1:25">
      <c r="A87" s="437">
        <v>81</v>
      </c>
      <c r="B87" s="525" t="str">
        <f t="shared" ref="B87:B92" si="5">CONCATENATE( LEFT(CONCATENATE(D87," ",E87," ",G87," ",F87,$W$5),40)," ",FIXED(C87,0)," pto hp")</f>
        <v>JOHN DEERE 8760 PowerShift 4WD__________ 261 pto hp</v>
      </c>
      <c r="C87" s="432">
        <v>260.94</v>
      </c>
      <c r="D87" s="434" t="s">
        <v>495</v>
      </c>
      <c r="E87" s="431" t="s">
        <v>625</v>
      </c>
      <c r="F87" s="431" t="s">
        <v>606</v>
      </c>
      <c r="G87" s="431" t="s">
        <v>552</v>
      </c>
      <c r="H87" s="434">
        <v>5069</v>
      </c>
      <c r="I87" s="434"/>
      <c r="J87" s="435">
        <v>17763.48</v>
      </c>
      <c r="K87" s="435">
        <v>14336.91</v>
      </c>
      <c r="L87" s="434">
        <v>4</v>
      </c>
      <c r="M87" s="434">
        <v>18.399999999999999</v>
      </c>
      <c r="N87" s="431" t="s">
        <v>481</v>
      </c>
      <c r="O87" s="434">
        <v>42</v>
      </c>
      <c r="P87" s="434">
        <v>4</v>
      </c>
      <c r="Q87" s="434">
        <v>18.399999999999999</v>
      </c>
      <c r="R87" s="431" t="s">
        <v>481</v>
      </c>
      <c r="S87" s="434">
        <v>42</v>
      </c>
      <c r="T87" s="436">
        <v>17.519685039370081</v>
      </c>
      <c r="U87" s="385">
        <v>133.85826771653544</v>
      </c>
      <c r="V87" s="384">
        <v>1.0018529167465335</v>
      </c>
    </row>
    <row r="88" spans="1:25">
      <c r="A88" s="437">
        <v>82</v>
      </c>
      <c r="B88" s="525" t="str">
        <f t="shared" si="5"/>
        <v>JOHN DEERE 9200 Partial PowerShift 4WD__ 266 pto hp</v>
      </c>
      <c r="C88" s="438">
        <v>265.72000000000003</v>
      </c>
      <c r="D88" s="434" t="s">
        <v>495</v>
      </c>
      <c r="E88" s="439" t="s">
        <v>629</v>
      </c>
      <c r="F88" s="439" t="s">
        <v>606</v>
      </c>
      <c r="G88" s="433" t="s">
        <v>509</v>
      </c>
      <c r="H88" s="438">
        <v>1731</v>
      </c>
      <c r="I88" s="438"/>
      <c r="J88" s="438">
        <v>19438</v>
      </c>
      <c r="K88" s="438">
        <v>15846</v>
      </c>
      <c r="L88" s="438">
        <v>4</v>
      </c>
      <c r="M88" s="438">
        <v>20.8</v>
      </c>
      <c r="N88" s="439" t="s">
        <v>481</v>
      </c>
      <c r="O88" s="438">
        <v>42</v>
      </c>
      <c r="P88" s="438">
        <v>4</v>
      </c>
      <c r="Q88" s="438">
        <v>20.8</v>
      </c>
      <c r="R88" s="439" t="s">
        <v>481</v>
      </c>
      <c r="S88" s="438">
        <v>42</v>
      </c>
      <c r="T88" s="436">
        <v>18.5</v>
      </c>
      <c r="U88" s="386">
        <v>137.80000000000001</v>
      </c>
      <c r="V88" s="386">
        <v>1.012</v>
      </c>
    </row>
    <row r="89" spans="1:25">
      <c r="A89" s="437">
        <v>83</v>
      </c>
      <c r="B89" s="525" t="str">
        <f t="shared" si="5"/>
        <v>JOHN DEERE 8870 Partial PowerShift 4WD__ 303 pto hp</v>
      </c>
      <c r="C89" s="438">
        <v>302.75</v>
      </c>
      <c r="D89" s="434" t="s">
        <v>495</v>
      </c>
      <c r="E89" s="439" t="s">
        <v>631</v>
      </c>
      <c r="F89" s="439" t="s">
        <v>606</v>
      </c>
      <c r="G89" s="433" t="s">
        <v>509</v>
      </c>
      <c r="H89" s="438">
        <v>1672</v>
      </c>
      <c r="I89" s="438"/>
      <c r="J89" s="438">
        <v>19425</v>
      </c>
      <c r="K89" s="438">
        <v>15870</v>
      </c>
      <c r="L89" s="438">
        <v>4</v>
      </c>
      <c r="M89" s="438">
        <v>20.8</v>
      </c>
      <c r="N89" s="439" t="s">
        <v>481</v>
      </c>
      <c r="O89" s="438">
        <v>42</v>
      </c>
      <c r="P89" s="438">
        <v>4</v>
      </c>
      <c r="Q89" s="438">
        <v>20.8</v>
      </c>
      <c r="R89" s="439" t="s">
        <v>481</v>
      </c>
      <c r="S89" s="438">
        <v>42</v>
      </c>
      <c r="T89" s="436">
        <v>19.5</v>
      </c>
      <c r="U89" s="386">
        <v>133.80000000000001</v>
      </c>
      <c r="V89" s="387">
        <v>1.0009999999999999</v>
      </c>
    </row>
    <row r="90" spans="1:25">
      <c r="A90" s="437">
        <v>84</v>
      </c>
      <c r="B90" s="525" t="str">
        <f t="shared" si="5"/>
        <v>JOHN DEERE 8850 Partial PowerShift 4WD__ 304 pto hp</v>
      </c>
      <c r="C90" s="432">
        <v>304</v>
      </c>
      <c r="D90" s="434" t="s">
        <v>495</v>
      </c>
      <c r="E90" s="431" t="s">
        <v>632</v>
      </c>
      <c r="F90" s="431" t="s">
        <v>606</v>
      </c>
      <c r="G90" s="433" t="s">
        <v>509</v>
      </c>
      <c r="H90" s="434">
        <v>1434</v>
      </c>
      <c r="I90" s="434"/>
      <c r="J90" s="435">
        <v>22365.315000000002</v>
      </c>
      <c r="K90" s="435">
        <v>15342.39</v>
      </c>
      <c r="L90" s="434">
        <v>4</v>
      </c>
      <c r="M90" s="434">
        <v>24.5</v>
      </c>
      <c r="N90" s="431" t="s">
        <v>500</v>
      </c>
      <c r="O90" s="434">
        <v>32</v>
      </c>
      <c r="P90" s="434">
        <v>4</v>
      </c>
      <c r="Q90" s="434">
        <v>24.5</v>
      </c>
      <c r="R90" s="431" t="s">
        <v>500</v>
      </c>
      <c r="S90" s="434">
        <v>32</v>
      </c>
      <c r="T90" s="436">
        <v>16.929133858267718</v>
      </c>
      <c r="U90" s="385">
        <v>133.0708661417323</v>
      </c>
      <c r="V90" s="384">
        <v>0.97530500636063289</v>
      </c>
    </row>
    <row r="91" spans="1:25">
      <c r="A91" s="437">
        <v>85</v>
      </c>
      <c r="B91" s="525" t="str">
        <f t="shared" si="5"/>
        <v>JOHN DEERE 9400 Partial PowerShift 4WD__ 312 pto hp</v>
      </c>
      <c r="C91" s="438">
        <v>312.25</v>
      </c>
      <c r="D91" s="434" t="s">
        <v>495</v>
      </c>
      <c r="E91" s="439" t="s">
        <v>633</v>
      </c>
      <c r="F91" s="439" t="s">
        <v>606</v>
      </c>
      <c r="G91" s="433" t="s">
        <v>509</v>
      </c>
      <c r="H91" s="438">
        <v>1733</v>
      </c>
      <c r="I91" s="438"/>
      <c r="J91" s="438">
        <v>20500</v>
      </c>
      <c r="K91" s="438">
        <v>16910</v>
      </c>
      <c r="L91" s="438">
        <v>4</v>
      </c>
      <c r="M91" s="438">
        <v>620</v>
      </c>
      <c r="N91" s="485" t="s">
        <v>614</v>
      </c>
      <c r="O91" s="438">
        <v>42</v>
      </c>
      <c r="P91" s="438">
        <v>4</v>
      </c>
      <c r="Q91" s="438">
        <v>620</v>
      </c>
      <c r="R91" s="485" t="s">
        <v>614</v>
      </c>
      <c r="S91" s="438">
        <v>42</v>
      </c>
      <c r="T91" s="436">
        <v>18</v>
      </c>
      <c r="U91" s="386">
        <v>138.9</v>
      </c>
      <c r="V91" s="386">
        <v>1.1990000000000001</v>
      </c>
    </row>
    <row r="92" spans="1:25">
      <c r="A92" s="437">
        <v>86</v>
      </c>
      <c r="B92" s="525" t="str">
        <f t="shared" si="5"/>
        <v>JOHN DEERE 9300 Partial PowerShift 4WD__ 321 pto hp</v>
      </c>
      <c r="C92" s="438">
        <v>320.55</v>
      </c>
      <c r="D92" s="434" t="s">
        <v>495</v>
      </c>
      <c r="E92" s="439" t="s">
        <v>636</v>
      </c>
      <c r="F92" s="439" t="s">
        <v>606</v>
      </c>
      <c r="G92" s="433" t="s">
        <v>509</v>
      </c>
      <c r="H92" s="438">
        <v>1732</v>
      </c>
      <c r="I92" s="438"/>
      <c r="J92" s="438">
        <v>20456</v>
      </c>
      <c r="K92" s="438">
        <v>16844</v>
      </c>
      <c r="L92" s="438">
        <v>4</v>
      </c>
      <c r="M92" s="438">
        <v>620</v>
      </c>
      <c r="N92" s="485" t="s">
        <v>614</v>
      </c>
      <c r="O92" s="438">
        <v>42</v>
      </c>
      <c r="P92" s="438">
        <v>4</v>
      </c>
      <c r="Q92" s="438">
        <v>620</v>
      </c>
      <c r="R92" s="485" t="s">
        <v>614</v>
      </c>
      <c r="S92" s="438">
        <v>42</v>
      </c>
      <c r="T92" s="436">
        <v>18.5</v>
      </c>
      <c r="U92" s="386">
        <v>138.9</v>
      </c>
      <c r="V92" s="386">
        <v>0.96299999999999997</v>
      </c>
    </row>
    <row r="93" spans="1:25">
      <c r="A93" s="437">
        <v>87</v>
      </c>
      <c r="B93" s="525" t="str">
        <f>CONCATENATE( LEFT(CONCATENATE(D93," ",E93," ",G93," ",F93,$W$5),40)," ",FIXED(C93,0)," pto hp")</f>
        <v>JOHN DEERE 8960 PowerShift 4WD__________ 332 pto hp</v>
      </c>
      <c r="C93" s="432">
        <v>332.25</v>
      </c>
      <c r="D93" s="434" t="s">
        <v>495</v>
      </c>
      <c r="E93" s="431" t="s">
        <v>637</v>
      </c>
      <c r="F93" s="431" t="s">
        <v>606</v>
      </c>
      <c r="G93" s="431" t="s">
        <v>552</v>
      </c>
      <c r="H93" s="434">
        <v>5070</v>
      </c>
      <c r="I93" s="434"/>
      <c r="J93" s="435">
        <v>19582.605</v>
      </c>
      <c r="K93" s="435">
        <v>15538.635</v>
      </c>
      <c r="L93" s="434">
        <v>4</v>
      </c>
      <c r="M93" s="434">
        <v>20.8</v>
      </c>
      <c r="N93" s="431" t="s">
        <v>481</v>
      </c>
      <c r="O93" s="434">
        <v>42</v>
      </c>
      <c r="P93" s="434">
        <v>4</v>
      </c>
      <c r="Q93" s="434">
        <v>20.8</v>
      </c>
      <c r="R93" s="431" t="s">
        <v>481</v>
      </c>
      <c r="S93" s="434">
        <v>42</v>
      </c>
      <c r="T93" s="436">
        <v>19.094488188976378</v>
      </c>
      <c r="U93" s="385">
        <v>133.80000000000001</v>
      </c>
      <c r="V93" s="384">
        <v>0.98560943895138287</v>
      </c>
    </row>
    <row r="94" spans="1:25">
      <c r="A94" s="437">
        <v>88</v>
      </c>
      <c r="B94" s="525" t="str">
        <f>CONCATENATE( LEFT(CONCATENATE(D94," ",E94," ",G94," ",F94,$W$5),40)," ",FIXED(C94,0)," pto hp")</f>
        <v>JOHN DEERE 8960 Partial PowerShift 4WD__ 333 pto hp</v>
      </c>
      <c r="C94" s="432">
        <v>333.39</v>
      </c>
      <c r="D94" s="434" t="s">
        <v>495</v>
      </c>
      <c r="E94" s="431" t="s">
        <v>637</v>
      </c>
      <c r="F94" s="431" t="s">
        <v>606</v>
      </c>
      <c r="G94" s="433" t="s">
        <v>509</v>
      </c>
      <c r="H94" s="434">
        <v>5063</v>
      </c>
      <c r="I94" s="434"/>
      <c r="J94" s="435">
        <v>19842.795000000002</v>
      </c>
      <c r="K94" s="435">
        <v>15732.675000000001</v>
      </c>
      <c r="L94" s="434">
        <v>4</v>
      </c>
      <c r="M94" s="434">
        <v>20.8</v>
      </c>
      <c r="N94" s="431" t="s">
        <v>481</v>
      </c>
      <c r="O94" s="434">
        <v>42</v>
      </c>
      <c r="P94" s="434">
        <v>4</v>
      </c>
      <c r="Q94" s="434">
        <v>20.8</v>
      </c>
      <c r="R94" s="431" t="s">
        <v>481</v>
      </c>
      <c r="S94" s="434">
        <v>42</v>
      </c>
      <c r="T94" s="436">
        <v>20.078740157480315</v>
      </c>
      <c r="U94" s="385">
        <v>133.80000000000001</v>
      </c>
      <c r="V94" s="384">
        <v>0.9995901536869316</v>
      </c>
    </row>
    <row r="95" spans="1:25">
      <c r="A95" s="437">
        <v>89</v>
      </c>
      <c r="B95" s="525" t="str">
        <f>CONCATENATE( LEFT(CONCATENATE(D95," ",E95," ",G95," ",F95,$W$5),40)," ",FIXED(C95,0)," pto hp")</f>
        <v>JOHN DEERE 8970 Partial PowerShift 4WD__ 354 pto hp</v>
      </c>
      <c r="C95" s="443">
        <v>354.45</v>
      </c>
      <c r="D95" s="434" t="s">
        <v>495</v>
      </c>
      <c r="E95" s="446" t="s">
        <v>639</v>
      </c>
      <c r="F95" s="439" t="s">
        <v>606</v>
      </c>
      <c r="G95" s="433" t="s">
        <v>509</v>
      </c>
      <c r="H95" s="438">
        <v>1673</v>
      </c>
      <c r="I95" s="438"/>
      <c r="J95" s="438">
        <v>20460</v>
      </c>
      <c r="K95" s="438">
        <v>13360</v>
      </c>
      <c r="L95" s="438">
        <v>4</v>
      </c>
      <c r="M95" s="438">
        <v>20.8</v>
      </c>
      <c r="N95" s="439" t="s">
        <v>481</v>
      </c>
      <c r="O95" s="438">
        <v>42</v>
      </c>
      <c r="P95" s="438">
        <v>4</v>
      </c>
      <c r="Q95" s="438">
        <v>20.8</v>
      </c>
      <c r="R95" s="439" t="s">
        <v>481</v>
      </c>
      <c r="S95" s="438">
        <v>42</v>
      </c>
      <c r="T95" s="436">
        <v>21</v>
      </c>
      <c r="U95" s="386">
        <v>133.80000000000001</v>
      </c>
      <c r="V95" s="387">
        <v>0.95699999999999996</v>
      </c>
      <c r="W95"/>
    </row>
    <row r="96" spans="1:25">
      <c r="A96" s="437">
        <v>90</v>
      </c>
      <c r="B96" s="525" t="str">
        <f>CONCATENATE( LEFT(CONCATENATE(D96," ",E96," ",G96," ",F96,$W$5),40)," ",FIXED(C96,0)," pto hp")</f>
        <v>JOHN DEERE 3055-16 SP  2WD______________ 94 pto hp</v>
      </c>
      <c r="C96" s="447">
        <v>94.406400000000005</v>
      </c>
      <c r="D96" s="434" t="s">
        <v>495</v>
      </c>
      <c r="E96" s="447" t="s">
        <v>555</v>
      </c>
      <c r="F96" s="447" t="s">
        <v>507</v>
      </c>
      <c r="G96" s="447"/>
      <c r="H96" s="447">
        <v>5100</v>
      </c>
      <c r="I96" s="447" t="s">
        <v>556</v>
      </c>
      <c r="J96" s="522">
        <v>3769.866</v>
      </c>
      <c r="K96" s="522">
        <v>5919.3510000000006</v>
      </c>
      <c r="L96" s="447">
        <v>2</v>
      </c>
      <c r="M96" s="447">
        <v>10</v>
      </c>
      <c r="N96" s="447" t="s">
        <v>499</v>
      </c>
      <c r="O96" s="438">
        <v>16</v>
      </c>
      <c r="P96" s="447">
        <v>2</v>
      </c>
      <c r="Q96" s="447">
        <v>18.399999999999999</v>
      </c>
      <c r="R96" s="447" t="s">
        <v>500</v>
      </c>
      <c r="S96" s="27">
        <v>38</v>
      </c>
      <c r="T96" s="436">
        <v>27.165354330708663</v>
      </c>
      <c r="U96" s="524">
        <v>100.43307086614173</v>
      </c>
      <c r="V96" s="387">
        <v>0.93672073537845346</v>
      </c>
      <c r="W96"/>
      <c r="X96"/>
      <c r="Y96"/>
    </row>
    <row r="97" spans="1:24">
      <c r="A97" s="437">
        <v>91</v>
      </c>
      <c r="B97" s="525" t="str">
        <f t="shared" ref="B97:B112" si="6">CONCATENATE( LEFT(CONCATENATE(D97," ",E97," ",G97," ",F97,$W$5),40)," ",FIXED(C97,0)," pto hp")</f>
        <v>JOHN DEERE 3255-16 SP  MFWD_____________ 103 pto hp</v>
      </c>
      <c r="C97" s="447">
        <v>102.5865</v>
      </c>
      <c r="D97" s="434" t="s">
        <v>495</v>
      </c>
      <c r="E97" s="447" t="s">
        <v>563</v>
      </c>
      <c r="F97" s="447" t="s">
        <v>497</v>
      </c>
      <c r="G97" s="447"/>
      <c r="H97" s="447">
        <v>5101</v>
      </c>
      <c r="I97" s="447" t="s">
        <v>556</v>
      </c>
      <c r="J97" s="522">
        <v>4321.0160000000005</v>
      </c>
      <c r="K97" s="522">
        <v>7572.8010000000004</v>
      </c>
      <c r="L97" s="447">
        <v>2</v>
      </c>
      <c r="M97" s="447">
        <v>13.6</v>
      </c>
      <c r="N97" s="447" t="s">
        <v>500</v>
      </c>
      <c r="O97" s="447">
        <v>28</v>
      </c>
      <c r="P97" s="447">
        <v>2</v>
      </c>
      <c r="Q97" s="447">
        <v>18.399999999999999</v>
      </c>
      <c r="R97" s="447" t="s">
        <v>500</v>
      </c>
      <c r="S97" s="27">
        <v>38</v>
      </c>
      <c r="T97" s="436">
        <v>19.685039370078741</v>
      </c>
      <c r="U97" s="524">
        <v>101.65354330708662</v>
      </c>
      <c r="V97" s="387">
        <v>0.94001094132690399</v>
      </c>
      <c r="W97"/>
      <c r="X97"/>
    </row>
    <row r="98" spans="1:24">
      <c r="A98" s="437">
        <v>92</v>
      </c>
      <c r="B98" s="525" t="str">
        <f t="shared" si="6"/>
        <v>JOHN DEERE 5200-9 SP  MFWD______________ 41 pto hp</v>
      </c>
      <c r="C98" s="434">
        <v>41.11506</v>
      </c>
      <c r="D98" s="434" t="s">
        <v>495</v>
      </c>
      <c r="E98" s="434" t="s">
        <v>504</v>
      </c>
      <c r="F98" s="434" t="s">
        <v>497</v>
      </c>
      <c r="G98" s="434"/>
      <c r="H98" s="434">
        <v>5115</v>
      </c>
      <c r="I98" s="434" t="s">
        <v>499</v>
      </c>
      <c r="J98" s="522">
        <v>2065.7102</v>
      </c>
      <c r="K98" s="522">
        <v>3029.1204000000002</v>
      </c>
      <c r="L98" s="434">
        <v>2</v>
      </c>
      <c r="M98" s="434">
        <v>9.5</v>
      </c>
      <c r="N98" s="434" t="s">
        <v>500</v>
      </c>
      <c r="O98" s="434">
        <v>24</v>
      </c>
      <c r="P98" s="434">
        <v>2</v>
      </c>
      <c r="Q98" s="434">
        <v>16.899999999999999</v>
      </c>
      <c r="R98" s="434" t="s">
        <v>500</v>
      </c>
      <c r="S98" s="434">
        <v>28</v>
      </c>
      <c r="T98" s="436">
        <v>16.535433070866144</v>
      </c>
      <c r="U98" s="524">
        <v>80.708661417322844</v>
      </c>
      <c r="V98" s="387">
        <v>0.93974903205389559</v>
      </c>
    </row>
    <row r="99" spans="1:24">
      <c r="A99" s="437">
        <v>93</v>
      </c>
      <c r="B99" s="525" t="str">
        <f t="shared" si="6"/>
        <v>JOHN DEERE 5300-9 SP  MFWD______________ 51 pto hp</v>
      </c>
      <c r="C99" s="434">
        <v>50.676389999999998</v>
      </c>
      <c r="D99" s="434" t="s">
        <v>495</v>
      </c>
      <c r="E99" s="434" t="s">
        <v>514</v>
      </c>
      <c r="F99" s="434" t="s">
        <v>497</v>
      </c>
      <c r="G99" s="434"/>
      <c r="H99" s="434">
        <v>5116</v>
      </c>
      <c r="I99" s="434" t="s">
        <v>499</v>
      </c>
      <c r="J99" s="522">
        <v>2120.8252000000002</v>
      </c>
      <c r="K99" s="522">
        <v>3055.5756000000001</v>
      </c>
      <c r="L99" s="434">
        <v>2</v>
      </c>
      <c r="M99" s="434">
        <v>9.5</v>
      </c>
      <c r="N99" s="434" t="s">
        <v>500</v>
      </c>
      <c r="O99" s="434">
        <v>24</v>
      </c>
      <c r="P99" s="434">
        <v>2</v>
      </c>
      <c r="Q99" s="434">
        <v>16.899999999999999</v>
      </c>
      <c r="R99" s="434" t="s">
        <v>500</v>
      </c>
      <c r="S99" s="434">
        <v>28</v>
      </c>
      <c r="T99" s="436">
        <v>16.535433070866144</v>
      </c>
      <c r="U99" s="524">
        <v>80.708661417322844</v>
      </c>
      <c r="V99" s="387">
        <v>0.92670693713901398</v>
      </c>
    </row>
    <row r="100" spans="1:24">
      <c r="A100" s="437">
        <v>94</v>
      </c>
      <c r="B100" s="525" t="str">
        <f t="shared" si="6"/>
        <v>JOHN DEERE 5400-9 SP  MFWD______________ 61 pto hp</v>
      </c>
      <c r="C100" s="434">
        <v>60.666840000000001</v>
      </c>
      <c r="D100" s="434" t="s">
        <v>495</v>
      </c>
      <c r="E100" s="434" t="s">
        <v>519</v>
      </c>
      <c r="F100" s="434" t="s">
        <v>497</v>
      </c>
      <c r="G100" s="434"/>
      <c r="H100" s="434">
        <v>5117</v>
      </c>
      <c r="I100" s="434" t="s">
        <v>499</v>
      </c>
      <c r="J100" s="522">
        <v>2173.7356</v>
      </c>
      <c r="K100" s="522">
        <v>3110.6906000000004</v>
      </c>
      <c r="L100" s="434">
        <v>2</v>
      </c>
      <c r="M100" s="434">
        <v>11.2</v>
      </c>
      <c r="N100" s="434" t="s">
        <v>500</v>
      </c>
      <c r="O100" s="434">
        <v>24</v>
      </c>
      <c r="P100" s="434">
        <v>2</v>
      </c>
      <c r="Q100" s="434">
        <v>16.899999999999999</v>
      </c>
      <c r="R100" s="434" t="s">
        <v>500</v>
      </c>
      <c r="S100" s="434">
        <v>30</v>
      </c>
      <c r="T100" s="436">
        <v>16.929133858267718</v>
      </c>
      <c r="U100" s="524">
        <v>80.708661417322844</v>
      </c>
      <c r="V100" s="387">
        <v>0.93750845891554058</v>
      </c>
    </row>
    <row r="101" spans="1:24">
      <c r="A101" s="437">
        <v>95</v>
      </c>
      <c r="B101" s="525" t="str">
        <f t="shared" si="6"/>
        <v>JOHN DEERE 7600-QD 16 SP  MFWD__________ 111 pto hp</v>
      </c>
      <c r="C101" s="434">
        <v>110.9007</v>
      </c>
      <c r="D101" s="434" t="s">
        <v>495</v>
      </c>
      <c r="E101" s="434" t="s">
        <v>569</v>
      </c>
      <c r="F101" s="434" t="s">
        <v>497</v>
      </c>
      <c r="G101" s="434"/>
      <c r="H101" s="434">
        <v>5131</v>
      </c>
      <c r="I101" s="434" t="s">
        <v>499</v>
      </c>
      <c r="J101" s="522">
        <v>5026.4880000000003</v>
      </c>
      <c r="K101" s="522">
        <v>9784.0148000000008</v>
      </c>
      <c r="L101" s="434">
        <v>2</v>
      </c>
      <c r="M101" s="434">
        <v>13.6</v>
      </c>
      <c r="N101" s="434" t="s">
        <v>481</v>
      </c>
      <c r="O101" s="434">
        <v>28</v>
      </c>
      <c r="P101" s="434">
        <v>2</v>
      </c>
      <c r="Q101" s="447">
        <v>18.399999999999999</v>
      </c>
      <c r="R101" s="434" t="s">
        <v>481</v>
      </c>
      <c r="S101" s="438">
        <v>42</v>
      </c>
      <c r="T101" s="436">
        <v>19.488188976377955</v>
      </c>
      <c r="U101" s="524">
        <v>110.23622047244095</v>
      </c>
      <c r="V101" s="387">
        <v>0.98037545591979403</v>
      </c>
    </row>
    <row r="102" spans="1:24">
      <c r="A102" s="437">
        <v>96</v>
      </c>
      <c r="B102" s="525" t="str">
        <f t="shared" si="6"/>
        <v>JOHN DEERE 7600-PS 19 SP  MFWD__________ 112 pto hp</v>
      </c>
      <c r="C102" s="434">
        <v>111.58460999999998</v>
      </c>
      <c r="D102" s="434" t="s">
        <v>495</v>
      </c>
      <c r="E102" s="434" t="s">
        <v>570</v>
      </c>
      <c r="F102" s="434" t="s">
        <v>497</v>
      </c>
      <c r="G102" s="434"/>
      <c r="H102" s="434">
        <v>5132</v>
      </c>
      <c r="I102" s="434" t="s">
        <v>499</v>
      </c>
      <c r="J102" s="522">
        <v>5112.4674000000005</v>
      </c>
      <c r="K102" s="522">
        <v>10002.270200000001</v>
      </c>
      <c r="L102" s="434">
        <v>2</v>
      </c>
      <c r="M102" s="434">
        <v>13.6</v>
      </c>
      <c r="N102" s="434" t="s">
        <v>481</v>
      </c>
      <c r="O102" s="434">
        <v>28</v>
      </c>
      <c r="P102" s="434">
        <v>4</v>
      </c>
      <c r="Q102" s="447">
        <v>18.399999999999999</v>
      </c>
      <c r="R102" s="434" t="s">
        <v>481</v>
      </c>
      <c r="S102" s="27">
        <v>38</v>
      </c>
      <c r="T102" s="436">
        <v>19.488188976377955</v>
      </c>
      <c r="U102" s="524">
        <v>110.23622047244095</v>
      </c>
      <c r="V102" s="387">
        <v>0.90606314529129695</v>
      </c>
    </row>
    <row r="103" spans="1:24">
      <c r="A103" s="437">
        <v>97</v>
      </c>
      <c r="B103" s="525" t="str">
        <f t="shared" si="6"/>
        <v>JOHN DEERE 7700-QD 16 SP  MFWD__________ 126 pto hp</v>
      </c>
      <c r="C103" s="434">
        <v>126.08081999999999</v>
      </c>
      <c r="D103" s="434" t="s">
        <v>495</v>
      </c>
      <c r="E103" s="434" t="s">
        <v>580</v>
      </c>
      <c r="F103" s="434" t="s">
        <v>497</v>
      </c>
      <c r="G103" s="434"/>
      <c r="H103" s="434">
        <v>5133</v>
      </c>
      <c r="I103" s="434" t="s">
        <v>499</v>
      </c>
      <c r="J103" s="522">
        <v>5233.7204000000002</v>
      </c>
      <c r="K103" s="522">
        <v>9900.8586000000014</v>
      </c>
      <c r="L103" s="434">
        <v>2</v>
      </c>
      <c r="M103" s="434">
        <v>14.9</v>
      </c>
      <c r="N103" s="434" t="s">
        <v>481</v>
      </c>
      <c r="O103" s="434">
        <v>30</v>
      </c>
      <c r="P103" s="434">
        <v>4</v>
      </c>
      <c r="Q103" s="447">
        <v>18.399999999999999</v>
      </c>
      <c r="R103" s="434" t="s">
        <v>481</v>
      </c>
      <c r="S103" s="438">
        <v>42</v>
      </c>
      <c r="T103" s="436">
        <v>22.440944881889767</v>
      </c>
      <c r="U103" s="524">
        <v>110.23622047244095</v>
      </c>
      <c r="V103" s="387">
        <v>0.99129894446898259</v>
      </c>
    </row>
    <row r="104" spans="1:24">
      <c r="A104" s="437">
        <v>98</v>
      </c>
      <c r="B104" s="525" t="str">
        <f t="shared" si="6"/>
        <v>JOHN DEERE 7700-PS 19 SP  MFWD__________ 126 pto hp</v>
      </c>
      <c r="C104" s="434">
        <v>126.08081999999999</v>
      </c>
      <c r="D104" s="434" t="s">
        <v>495</v>
      </c>
      <c r="E104" s="434" t="s">
        <v>579</v>
      </c>
      <c r="F104" s="434" t="s">
        <v>497</v>
      </c>
      <c r="G104" s="434"/>
      <c r="H104" s="434">
        <v>5134</v>
      </c>
      <c r="I104" s="434" t="s">
        <v>499</v>
      </c>
      <c r="J104" s="522">
        <v>5359.3825999999999</v>
      </c>
      <c r="K104" s="522">
        <v>10145.5692</v>
      </c>
      <c r="L104" s="434">
        <v>2</v>
      </c>
      <c r="M104" s="434">
        <v>14.9</v>
      </c>
      <c r="N104" s="434" t="s">
        <v>481</v>
      </c>
      <c r="O104" s="434">
        <v>30</v>
      </c>
      <c r="P104" s="434">
        <v>4</v>
      </c>
      <c r="Q104" s="447">
        <v>18.399999999999999</v>
      </c>
      <c r="R104" s="434" t="s">
        <v>481</v>
      </c>
      <c r="S104" s="438">
        <v>42</v>
      </c>
      <c r="T104" s="436">
        <v>22.440944881889767</v>
      </c>
      <c r="U104" s="524">
        <v>110.23622047244095</v>
      </c>
      <c r="V104" s="387">
        <v>0.95657218445601333</v>
      </c>
    </row>
    <row r="105" spans="1:24">
      <c r="A105" s="437">
        <v>99</v>
      </c>
      <c r="B105" s="525" t="str">
        <f t="shared" si="6"/>
        <v>JOHN DEERE 7800-QD 16 SP  MFWD__________ 147 pto hp</v>
      </c>
      <c r="C105" s="434">
        <v>147.08088000000001</v>
      </c>
      <c r="D105" s="434" t="s">
        <v>495</v>
      </c>
      <c r="E105" s="434" t="s">
        <v>591</v>
      </c>
      <c r="F105" s="434" t="s">
        <v>497</v>
      </c>
      <c r="G105" s="434"/>
      <c r="H105" s="434">
        <v>5135</v>
      </c>
      <c r="I105" s="434" t="s">
        <v>499</v>
      </c>
      <c r="J105" s="522">
        <v>5286.6307999999999</v>
      </c>
      <c r="K105" s="522">
        <v>9980.2242000000006</v>
      </c>
      <c r="L105" s="434">
        <v>2</v>
      </c>
      <c r="M105" s="434">
        <v>14.9</v>
      </c>
      <c r="N105" s="434" t="s">
        <v>481</v>
      </c>
      <c r="O105" s="434">
        <v>30</v>
      </c>
      <c r="P105" s="434">
        <v>4</v>
      </c>
      <c r="Q105" s="447">
        <v>18.399999999999999</v>
      </c>
      <c r="R105" s="434" t="s">
        <v>481</v>
      </c>
      <c r="S105" s="438">
        <v>42</v>
      </c>
      <c r="T105" s="436">
        <v>22.440944881889767</v>
      </c>
      <c r="U105" s="524">
        <v>110.23622047244095</v>
      </c>
      <c r="V105" s="387">
        <v>0.97015935648394203</v>
      </c>
    </row>
    <row r="106" spans="1:24">
      <c r="A106" s="437">
        <v>100</v>
      </c>
      <c r="B106" s="525" t="str">
        <f t="shared" si="6"/>
        <v>JOHN DEERE 7800-PS 19 SP  MFWD__________ 147 pto hp</v>
      </c>
      <c r="C106" s="434">
        <v>146.73222000000001</v>
      </c>
      <c r="D106" s="434" t="s">
        <v>495</v>
      </c>
      <c r="E106" s="434" t="s">
        <v>590</v>
      </c>
      <c r="F106" s="434" t="s">
        <v>497</v>
      </c>
      <c r="G106" s="434"/>
      <c r="H106" s="434">
        <v>5136</v>
      </c>
      <c r="I106" s="434" t="s">
        <v>499</v>
      </c>
      <c r="J106" s="522">
        <v>5350.5642000000007</v>
      </c>
      <c r="K106" s="522">
        <v>10209.5026</v>
      </c>
      <c r="L106" s="434">
        <v>2</v>
      </c>
      <c r="M106" s="434">
        <v>14.9</v>
      </c>
      <c r="N106" s="434" t="s">
        <v>481</v>
      </c>
      <c r="O106" s="434">
        <v>30</v>
      </c>
      <c r="P106" s="434">
        <v>4</v>
      </c>
      <c r="Q106" s="447">
        <v>18.399999999999999</v>
      </c>
      <c r="R106" s="434" t="s">
        <v>481</v>
      </c>
      <c r="S106" s="438">
        <v>42</v>
      </c>
      <c r="T106" s="436">
        <v>22.440944881889767</v>
      </c>
      <c r="U106" s="524">
        <v>110.23622047244095</v>
      </c>
      <c r="V106" s="387">
        <v>0.91448070358223821</v>
      </c>
    </row>
    <row r="107" spans="1:24">
      <c r="A107" s="437">
        <v>101</v>
      </c>
      <c r="B107" s="525" t="str">
        <f t="shared" si="6"/>
        <v>JOHN DEERE 8570-PS 24/12 PPS  4WD_______ 208 pto hp</v>
      </c>
      <c r="C107" s="434">
        <v>208.20365999999999</v>
      </c>
      <c r="D107" s="434" t="s">
        <v>495</v>
      </c>
      <c r="E107" s="434" t="s">
        <v>615</v>
      </c>
      <c r="F107" s="434" t="s">
        <v>606</v>
      </c>
      <c r="G107" s="434"/>
      <c r="H107" s="434">
        <v>5138</v>
      </c>
      <c r="I107" s="434">
        <v>0</v>
      </c>
      <c r="J107" s="522">
        <v>17370.043400000002</v>
      </c>
      <c r="K107" s="522">
        <v>14894.277600000001</v>
      </c>
      <c r="L107" s="434">
        <v>4</v>
      </c>
      <c r="M107" s="434">
        <v>18.399999999999999</v>
      </c>
      <c r="N107" s="434" t="s">
        <v>481</v>
      </c>
      <c r="O107" s="434">
        <v>42</v>
      </c>
      <c r="P107" s="434">
        <v>4</v>
      </c>
      <c r="Q107" s="447">
        <v>18.399999999999999</v>
      </c>
      <c r="R107" s="434" t="s">
        <v>481</v>
      </c>
      <c r="S107" s="438">
        <v>42</v>
      </c>
      <c r="T107" s="436">
        <v>18.503937007874018</v>
      </c>
      <c r="U107" s="524">
        <v>133.85826771653544</v>
      </c>
      <c r="V107" s="387">
        <v>0.99481596204564482</v>
      </c>
    </row>
    <row r="108" spans="1:24">
      <c r="A108" s="437">
        <v>102</v>
      </c>
      <c r="B108" s="525" t="str">
        <f t="shared" si="6"/>
        <v>JOHN DEERE 8770-PS 24/12 PPS  4WD_______ 259 pto hp</v>
      </c>
      <c r="C108" s="434">
        <v>259.29576000000003</v>
      </c>
      <c r="D108" s="434" t="s">
        <v>495</v>
      </c>
      <c r="E108" s="434" t="s">
        <v>626</v>
      </c>
      <c r="F108" s="434" t="s">
        <v>606</v>
      </c>
      <c r="G108" s="434"/>
      <c r="H108" s="434">
        <v>5139</v>
      </c>
      <c r="I108" s="434">
        <v>0</v>
      </c>
      <c r="J108" s="522">
        <v>18384.1594</v>
      </c>
      <c r="K108" s="522">
        <v>14739.955600000001</v>
      </c>
      <c r="L108" s="434">
        <v>4</v>
      </c>
      <c r="M108" s="434">
        <v>18.399999999999999</v>
      </c>
      <c r="N108" s="434" t="s">
        <v>481</v>
      </c>
      <c r="O108" s="434">
        <v>42</v>
      </c>
      <c r="P108" s="434">
        <v>4</v>
      </c>
      <c r="Q108" s="447">
        <v>18.399999999999999</v>
      </c>
      <c r="R108" s="434" t="s">
        <v>481</v>
      </c>
      <c r="S108" s="438">
        <v>42</v>
      </c>
      <c r="T108" s="436">
        <v>18.503937007874018</v>
      </c>
      <c r="U108" s="524">
        <v>133.85826771653544</v>
      </c>
      <c r="V108" s="387">
        <v>1.0111379522124995</v>
      </c>
    </row>
    <row r="109" spans="1:24">
      <c r="A109" s="437">
        <v>103</v>
      </c>
      <c r="B109" s="525" t="str">
        <f t="shared" si="6"/>
        <v>JOHN DEERE 8870-PS 24/12 PPS  4WD_______ 303 pto hp</v>
      </c>
      <c r="C109" s="434">
        <v>302.74415999999997</v>
      </c>
      <c r="D109" s="434" t="s">
        <v>495</v>
      </c>
      <c r="E109" s="434" t="s">
        <v>630</v>
      </c>
      <c r="F109" s="434" t="s">
        <v>606</v>
      </c>
      <c r="G109" s="434"/>
      <c r="H109" s="434">
        <v>5140</v>
      </c>
      <c r="I109" s="434">
        <v>0</v>
      </c>
      <c r="J109" s="522">
        <v>19424.730600000003</v>
      </c>
      <c r="K109" s="522">
        <v>15868.710800000001</v>
      </c>
      <c r="L109" s="434">
        <v>4</v>
      </c>
      <c r="M109" s="434">
        <v>20.8</v>
      </c>
      <c r="N109" s="434" t="s">
        <v>481</v>
      </c>
      <c r="O109" s="434">
        <v>42</v>
      </c>
      <c r="P109" s="434">
        <v>4</v>
      </c>
      <c r="Q109" s="437">
        <v>20.8</v>
      </c>
      <c r="R109" s="434" t="s">
        <v>481</v>
      </c>
      <c r="S109" s="438">
        <v>42</v>
      </c>
      <c r="T109" s="436">
        <v>19.488188976377955</v>
      </c>
      <c r="U109" s="524">
        <v>133.85826771653544</v>
      </c>
      <c r="V109" s="387">
        <v>1.0010771810437904</v>
      </c>
    </row>
    <row r="110" spans="1:24">
      <c r="A110" s="437">
        <v>104</v>
      </c>
      <c r="B110" s="525" t="str">
        <f t="shared" si="6"/>
        <v>JOHN DEERE 8970-PS 24/12 PPS  4WD_______ 354 pto hp</v>
      </c>
      <c r="C110" s="434">
        <v>354.43970999999999</v>
      </c>
      <c r="D110" s="434" t="s">
        <v>495</v>
      </c>
      <c r="E110" s="434" t="s">
        <v>638</v>
      </c>
      <c r="F110" s="434" t="s">
        <v>606</v>
      </c>
      <c r="G110" s="434"/>
      <c r="H110" s="434">
        <v>5141</v>
      </c>
      <c r="I110" s="434">
        <v>0</v>
      </c>
      <c r="J110" s="522">
        <v>20458.688000000002</v>
      </c>
      <c r="K110" s="522">
        <v>13359.876</v>
      </c>
      <c r="L110" s="434">
        <v>4</v>
      </c>
      <c r="M110" s="434">
        <v>20.8</v>
      </c>
      <c r="N110" s="434" t="s">
        <v>481</v>
      </c>
      <c r="O110" s="434">
        <v>42</v>
      </c>
      <c r="P110" s="434">
        <v>4</v>
      </c>
      <c r="Q110" s="437">
        <v>20.8</v>
      </c>
      <c r="R110" s="434" t="s">
        <v>481</v>
      </c>
      <c r="S110" s="438">
        <v>42</v>
      </c>
      <c r="T110" s="436">
        <v>21.062992125984252</v>
      </c>
      <c r="U110" s="524">
        <v>133.85826771653544</v>
      </c>
      <c r="V110" s="387">
        <v>0.95749139669754546</v>
      </c>
    </row>
    <row r="111" spans="1:24">
      <c r="A111" s="437">
        <v>105</v>
      </c>
      <c r="B111" s="525" t="str">
        <f t="shared" si="6"/>
        <v>JOHN DEERE 7200-12 SP SYNCR  MFWD_______ 94 pto hp</v>
      </c>
      <c r="C111" s="434">
        <v>94.017510000000001</v>
      </c>
      <c r="D111" s="434" t="s">
        <v>495</v>
      </c>
      <c r="E111" s="434" t="s">
        <v>553</v>
      </c>
      <c r="F111" s="434" t="s">
        <v>497</v>
      </c>
      <c r="G111" s="434"/>
      <c r="H111" s="434">
        <v>5150</v>
      </c>
      <c r="I111" s="434" t="s">
        <v>499</v>
      </c>
      <c r="J111" s="522">
        <v>4351.8804</v>
      </c>
      <c r="K111" s="522">
        <v>8335.5925999999999</v>
      </c>
      <c r="L111" s="434">
        <v>2</v>
      </c>
      <c r="M111" s="434">
        <v>13.6</v>
      </c>
      <c r="N111" s="434" t="s">
        <v>481</v>
      </c>
      <c r="O111" s="434">
        <v>28</v>
      </c>
      <c r="P111" s="434">
        <v>2</v>
      </c>
      <c r="Q111" s="447">
        <v>18.399999999999999</v>
      </c>
      <c r="R111" s="434" t="s">
        <v>481</v>
      </c>
      <c r="S111" s="27">
        <v>38</v>
      </c>
      <c r="T111" s="436">
        <v>21.45669291338583</v>
      </c>
      <c r="U111" s="524">
        <v>103.34645669291339</v>
      </c>
      <c r="V111" s="387">
        <v>0.95094419545258546</v>
      </c>
    </row>
    <row r="112" spans="1:24">
      <c r="A112" s="437">
        <v>106</v>
      </c>
      <c r="B112" s="525" t="str">
        <f t="shared" si="6"/>
        <v>JOHN DEERE 7200-16 SP PQ  MFWD__________ 94 pto hp</v>
      </c>
      <c r="C112" s="434">
        <v>94.285709999999995</v>
      </c>
      <c r="D112" s="434" t="s">
        <v>495</v>
      </c>
      <c r="E112" s="434" t="s">
        <v>554</v>
      </c>
      <c r="F112" s="434" t="s">
        <v>497</v>
      </c>
      <c r="G112" s="434"/>
      <c r="H112" s="434">
        <v>5151</v>
      </c>
      <c r="I112" s="434" t="s">
        <v>499</v>
      </c>
      <c r="J112" s="522">
        <v>4422.4276</v>
      </c>
      <c r="K112" s="522">
        <v>8421.5720000000001</v>
      </c>
      <c r="L112" s="434">
        <v>2</v>
      </c>
      <c r="M112" s="434">
        <v>13.6</v>
      </c>
      <c r="N112" s="434" t="s">
        <v>481</v>
      </c>
      <c r="O112" s="434">
        <v>28</v>
      </c>
      <c r="P112" s="434">
        <v>2</v>
      </c>
      <c r="Q112" s="447">
        <v>18.399999999999999</v>
      </c>
      <c r="R112" s="434" t="s">
        <v>481</v>
      </c>
      <c r="S112" s="27">
        <v>38</v>
      </c>
      <c r="T112" s="436">
        <v>21.45669291338583</v>
      </c>
      <c r="U112" s="524">
        <v>103.34645669291339</v>
      </c>
      <c r="V112" s="387">
        <v>0.98447178922046208</v>
      </c>
    </row>
    <row r="113" spans="1:22">
      <c r="A113" s="437">
        <v>107</v>
      </c>
      <c r="B113" s="525" t="str">
        <f t="shared" ref="B113:B128" si="7">CONCATENATE( LEFT(CONCATENATE(D113," ",E113," ",G113," ",F113,$W$5),40)," ",FIXED(C113,0)," pto hp")</f>
        <v>JOHN DEERE 7400-12 SP SYNCR  MFWD_______ 102 pto hp</v>
      </c>
      <c r="C113" s="434">
        <v>102.13055999999999</v>
      </c>
      <c r="D113" s="434" t="s">
        <v>495</v>
      </c>
      <c r="E113" s="434" t="s">
        <v>562</v>
      </c>
      <c r="F113" s="434" t="s">
        <v>497</v>
      </c>
      <c r="G113" s="434"/>
      <c r="H113" s="434">
        <v>5152</v>
      </c>
      <c r="I113" s="434" t="s">
        <v>499</v>
      </c>
      <c r="J113" s="522">
        <v>4429.0414000000001</v>
      </c>
      <c r="K113" s="522">
        <v>8399.5259999999998</v>
      </c>
      <c r="L113" s="434">
        <v>2</v>
      </c>
      <c r="M113" s="434">
        <v>13.6</v>
      </c>
      <c r="N113" s="434" t="s">
        <v>481</v>
      </c>
      <c r="O113" s="434">
        <v>28</v>
      </c>
      <c r="P113" s="434">
        <v>2</v>
      </c>
      <c r="Q113" s="447">
        <v>18.399999999999999</v>
      </c>
      <c r="R113" s="434" t="s">
        <v>481</v>
      </c>
      <c r="S113" s="27">
        <v>38</v>
      </c>
      <c r="T113" s="436">
        <v>21.45669291338583</v>
      </c>
      <c r="U113" s="524">
        <v>103.34645669291339</v>
      </c>
      <c r="V113" s="387">
        <v>0.95638049645155843</v>
      </c>
    </row>
    <row r="114" spans="1:22">
      <c r="A114" s="437">
        <v>108</v>
      </c>
      <c r="B114" s="525" t="str">
        <f t="shared" si="7"/>
        <v>JOHN DEERE 7400-16 SP PQ  MFWD__________ 102 pto hp</v>
      </c>
      <c r="C114" s="434">
        <v>102.05009999999999</v>
      </c>
      <c r="D114" s="434" t="s">
        <v>495</v>
      </c>
      <c r="E114" s="434" t="s">
        <v>561</v>
      </c>
      <c r="F114" s="434" t="s">
        <v>497</v>
      </c>
      <c r="G114" s="434"/>
      <c r="H114" s="434">
        <v>5153</v>
      </c>
      <c r="I114" s="434" t="s">
        <v>499</v>
      </c>
      <c r="J114" s="522">
        <v>4470.9288000000006</v>
      </c>
      <c r="K114" s="522">
        <v>8434.7996000000003</v>
      </c>
      <c r="L114" s="434">
        <v>2</v>
      </c>
      <c r="M114" s="434">
        <v>13.6</v>
      </c>
      <c r="N114" s="434" t="s">
        <v>481</v>
      </c>
      <c r="O114" s="434">
        <v>28</v>
      </c>
      <c r="P114" s="434">
        <v>2</v>
      </c>
      <c r="Q114" s="447">
        <v>18.399999999999999</v>
      </c>
      <c r="R114" s="434" t="s">
        <v>481</v>
      </c>
      <c r="S114" s="27">
        <v>38</v>
      </c>
      <c r="T114" s="436">
        <v>21.45669291338583</v>
      </c>
      <c r="U114" s="524">
        <v>103.34645669291339</v>
      </c>
      <c r="V114" s="387">
        <v>0.96635100030491117</v>
      </c>
    </row>
    <row r="115" spans="1:22">
      <c r="A115" s="437">
        <v>109</v>
      </c>
      <c r="B115" s="525" t="str">
        <f t="shared" si="7"/>
        <v>JOHN DEERE 6200-12 SP SYN  2WD__________ 68 pto hp</v>
      </c>
      <c r="C115" s="434">
        <v>68.256900000000002</v>
      </c>
      <c r="D115" s="434" t="s">
        <v>495</v>
      </c>
      <c r="E115" s="434" t="s">
        <v>530</v>
      </c>
      <c r="F115" s="434" t="s">
        <v>507</v>
      </c>
      <c r="G115" s="434"/>
      <c r="H115" s="434">
        <v>5154</v>
      </c>
      <c r="I115" s="434">
        <v>0</v>
      </c>
      <c r="J115" s="522">
        <v>3108.4860000000003</v>
      </c>
      <c r="K115" s="522">
        <v>5754.0060000000003</v>
      </c>
      <c r="L115" s="434">
        <v>2</v>
      </c>
      <c r="M115" s="434">
        <v>10</v>
      </c>
      <c r="N115" s="434" t="s">
        <v>499</v>
      </c>
      <c r="O115" s="434">
        <v>16</v>
      </c>
      <c r="P115" s="434">
        <v>2</v>
      </c>
      <c r="Q115" s="434">
        <v>16.899999999999999</v>
      </c>
      <c r="R115" s="434" t="s">
        <v>500</v>
      </c>
      <c r="S115" s="434">
        <v>34</v>
      </c>
      <c r="T115" s="436">
        <v>32.874015748031496</v>
      </c>
      <c r="U115" s="524">
        <v>94.488188976377955</v>
      </c>
      <c r="V115" s="387">
        <v>0.84260365638512014</v>
      </c>
    </row>
    <row r="116" spans="1:22">
      <c r="A116" s="437">
        <v>110</v>
      </c>
      <c r="B116" s="525" t="str">
        <f t="shared" si="7"/>
        <v>JOHN DEERE 6200-16 SP PQ  2WD___________ 67 pto hp</v>
      </c>
      <c r="C116" s="434">
        <v>66.78179999999999</v>
      </c>
      <c r="D116" s="434" t="s">
        <v>495</v>
      </c>
      <c r="E116" s="434" t="s">
        <v>525</v>
      </c>
      <c r="F116" s="434" t="s">
        <v>507</v>
      </c>
      <c r="G116" s="434"/>
      <c r="H116" s="434">
        <v>5155</v>
      </c>
      <c r="I116" s="434">
        <v>0</v>
      </c>
      <c r="J116" s="522">
        <v>3141.5550000000003</v>
      </c>
      <c r="K116" s="522">
        <v>5875.259</v>
      </c>
      <c r="L116" s="434">
        <v>2</v>
      </c>
      <c r="M116" s="434">
        <v>10</v>
      </c>
      <c r="N116" s="434" t="s">
        <v>499</v>
      </c>
      <c r="O116" s="434">
        <v>16</v>
      </c>
      <c r="P116" s="434">
        <v>2</v>
      </c>
      <c r="Q116" s="434">
        <v>16.899999999999999</v>
      </c>
      <c r="R116" s="434" t="s">
        <v>500</v>
      </c>
      <c r="S116" s="434">
        <v>34</v>
      </c>
      <c r="T116" s="436">
        <v>30.708661417322837</v>
      </c>
      <c r="U116" s="524">
        <v>94.488188976377955</v>
      </c>
      <c r="V116" s="387">
        <v>0.86445303555354513</v>
      </c>
    </row>
    <row r="117" spans="1:22">
      <c r="A117" s="437">
        <v>111</v>
      </c>
      <c r="B117" s="525" t="str">
        <f t="shared" si="7"/>
        <v>JOHN DEERE 6300-12 SP SYN  MFWD_________ 78 pto hp</v>
      </c>
      <c r="C117" s="434">
        <v>77.643900000000002</v>
      </c>
      <c r="D117" s="434" t="s">
        <v>495</v>
      </c>
      <c r="E117" s="434" t="s">
        <v>539</v>
      </c>
      <c r="F117" s="434" t="s">
        <v>497</v>
      </c>
      <c r="G117" s="434"/>
      <c r="H117" s="434">
        <v>5156</v>
      </c>
      <c r="I117" s="434">
        <v>0</v>
      </c>
      <c r="J117" s="522">
        <v>3428.1530000000002</v>
      </c>
      <c r="K117" s="522">
        <v>6029.5810000000001</v>
      </c>
      <c r="L117" s="434">
        <v>2</v>
      </c>
      <c r="M117" s="434">
        <v>14.9</v>
      </c>
      <c r="N117" s="434" t="s">
        <v>500</v>
      </c>
      <c r="O117" s="434">
        <v>24</v>
      </c>
      <c r="P117" s="434">
        <v>2</v>
      </c>
      <c r="Q117" s="434">
        <v>16.899999999999999</v>
      </c>
      <c r="R117" s="434" t="s">
        <v>500</v>
      </c>
      <c r="S117" s="27">
        <v>38</v>
      </c>
      <c r="T117" s="436">
        <v>18.110236220472441</v>
      </c>
      <c r="U117" s="524">
        <v>94.488188976377955</v>
      </c>
      <c r="V117" s="387">
        <v>0.87022377247365945</v>
      </c>
    </row>
    <row r="118" spans="1:22">
      <c r="A118" s="437">
        <v>112</v>
      </c>
      <c r="B118" s="525" t="str">
        <f t="shared" si="7"/>
        <v>JOHN DEERE 6300-16 SP PQ  MFWD__________ 76 pto hp</v>
      </c>
      <c r="C118" s="434">
        <v>76.034700000000001</v>
      </c>
      <c r="D118" s="434" t="s">
        <v>495</v>
      </c>
      <c r="E118" s="434" t="s">
        <v>537</v>
      </c>
      <c r="F118" s="434" t="s">
        <v>497</v>
      </c>
      <c r="G118" s="434"/>
      <c r="H118" s="434">
        <v>5157</v>
      </c>
      <c r="I118" s="434">
        <v>0</v>
      </c>
      <c r="J118" s="522">
        <v>3483.268</v>
      </c>
      <c r="K118" s="522">
        <v>6161.857</v>
      </c>
      <c r="L118" s="434">
        <v>2</v>
      </c>
      <c r="M118" s="434">
        <v>14.9</v>
      </c>
      <c r="N118" s="434" t="s">
        <v>500</v>
      </c>
      <c r="O118" s="434">
        <v>24</v>
      </c>
      <c r="P118" s="434">
        <v>2</v>
      </c>
      <c r="Q118" s="434">
        <v>16.899999999999999</v>
      </c>
      <c r="R118" s="434" t="s">
        <v>500</v>
      </c>
      <c r="S118" s="27">
        <v>38</v>
      </c>
      <c r="T118" s="436">
        <v>18.110236220472441</v>
      </c>
      <c r="U118" s="524">
        <v>94.488188976377955</v>
      </c>
      <c r="V118" s="387">
        <v>0.87442294750273863</v>
      </c>
    </row>
    <row r="119" spans="1:22">
      <c r="A119" s="437">
        <v>113</v>
      </c>
      <c r="B119" s="525" t="str">
        <f t="shared" si="7"/>
        <v>JOHN DEERE 6400-12 SP SYN  MFWD_________ 87 pto hp</v>
      </c>
      <c r="C119" s="434">
        <v>86.762699999999995</v>
      </c>
      <c r="D119" s="434" t="s">
        <v>495</v>
      </c>
      <c r="E119" s="434" t="s">
        <v>547</v>
      </c>
      <c r="F119" s="434" t="s">
        <v>497</v>
      </c>
      <c r="G119" s="434"/>
      <c r="H119" s="434">
        <v>5158</v>
      </c>
      <c r="I119" s="434">
        <v>0</v>
      </c>
      <c r="J119" s="522">
        <v>3836.0040000000004</v>
      </c>
      <c r="K119" s="522">
        <v>6316.1790000000001</v>
      </c>
      <c r="L119" s="434">
        <v>2</v>
      </c>
      <c r="M119" s="434">
        <v>14.9</v>
      </c>
      <c r="N119" s="434" t="s">
        <v>481</v>
      </c>
      <c r="O119" s="434">
        <v>24</v>
      </c>
      <c r="P119" s="434">
        <v>2</v>
      </c>
      <c r="Q119" s="447">
        <v>18.399999999999999</v>
      </c>
      <c r="R119" s="434" t="s">
        <v>481</v>
      </c>
      <c r="S119" s="27">
        <v>38</v>
      </c>
      <c r="T119" s="436">
        <v>17.322834645669293</v>
      </c>
      <c r="U119" s="524">
        <v>94.488188976377955</v>
      </c>
      <c r="V119" s="387">
        <v>0.88592061870901728</v>
      </c>
    </row>
    <row r="120" spans="1:22">
      <c r="A120" s="437">
        <v>114</v>
      </c>
      <c r="B120" s="525" t="str">
        <f t="shared" si="7"/>
        <v>JOHN DEERE 6400-16 SP PQ  MFWD__________ 85 pto hp</v>
      </c>
      <c r="C120" s="434">
        <v>85.153499999999994</v>
      </c>
      <c r="D120" s="434" t="s">
        <v>495</v>
      </c>
      <c r="E120" s="434" t="s">
        <v>543</v>
      </c>
      <c r="F120" s="434" t="s">
        <v>497</v>
      </c>
      <c r="G120" s="434"/>
      <c r="H120" s="434">
        <v>5159</v>
      </c>
      <c r="I120" s="434">
        <v>0</v>
      </c>
      <c r="J120" s="522">
        <v>3880.096</v>
      </c>
      <c r="K120" s="522">
        <v>6404.3630000000003</v>
      </c>
      <c r="L120" s="434">
        <v>2</v>
      </c>
      <c r="M120" s="434">
        <v>16.899999999999999</v>
      </c>
      <c r="N120" s="434" t="s">
        <v>481</v>
      </c>
      <c r="O120" s="434">
        <v>24</v>
      </c>
      <c r="P120" s="434">
        <v>2</v>
      </c>
      <c r="Q120" s="447">
        <v>18.399999999999999</v>
      </c>
      <c r="R120" s="434" t="s">
        <v>481</v>
      </c>
      <c r="S120" s="27">
        <v>38</v>
      </c>
      <c r="T120" s="436">
        <v>17.322834645669293</v>
      </c>
      <c r="U120" s="524">
        <v>94.488188976377955</v>
      </c>
      <c r="V120" s="387">
        <v>0.92932334120306426</v>
      </c>
    </row>
    <row r="121" spans="1:22">
      <c r="A121" s="437">
        <v>115</v>
      </c>
      <c r="B121" s="525" t="str">
        <f t="shared" si="7"/>
        <v>JOHN DEERE 8100-PS 16 SP  MFWD__________ 160 pto hp</v>
      </c>
      <c r="C121" s="434">
        <v>160.39700999999999</v>
      </c>
      <c r="D121" s="434" t="s">
        <v>495</v>
      </c>
      <c r="E121" s="434" t="s">
        <v>597</v>
      </c>
      <c r="F121" s="434" t="s">
        <v>497</v>
      </c>
      <c r="G121" s="434"/>
      <c r="H121" s="434">
        <v>5174</v>
      </c>
      <c r="I121" s="434" t="s">
        <v>500</v>
      </c>
      <c r="J121" s="522">
        <v>7720.5092000000004</v>
      </c>
      <c r="K121" s="522">
        <v>11358.099200000001</v>
      </c>
      <c r="L121" s="434">
        <v>2</v>
      </c>
      <c r="M121" s="434">
        <v>16.899999999999999</v>
      </c>
      <c r="N121" s="434" t="s">
        <v>481</v>
      </c>
      <c r="O121" s="434">
        <v>30</v>
      </c>
      <c r="P121" s="434">
        <v>4</v>
      </c>
      <c r="Q121" s="437">
        <v>20.8</v>
      </c>
      <c r="R121" s="434" t="s">
        <v>481</v>
      </c>
      <c r="S121" s="438">
        <v>42</v>
      </c>
      <c r="T121" s="436">
        <v>20.078740157480315</v>
      </c>
      <c r="U121" s="524">
        <v>116.14173228346458</v>
      </c>
      <c r="V121" s="387">
        <v>0.96200485721462448</v>
      </c>
    </row>
    <row r="122" spans="1:22">
      <c r="A122" s="437">
        <v>116</v>
      </c>
      <c r="B122" s="525" t="str">
        <f t="shared" si="7"/>
        <v>JOHN DEERE 8200-PS 16 SP  MFWD__________ 182 pto hp</v>
      </c>
      <c r="C122" s="434">
        <v>181.7055</v>
      </c>
      <c r="D122" s="434" t="s">
        <v>495</v>
      </c>
      <c r="E122" s="434" t="s">
        <v>603</v>
      </c>
      <c r="F122" s="434" t="s">
        <v>497</v>
      </c>
      <c r="G122" s="434"/>
      <c r="H122" s="434">
        <v>5175</v>
      </c>
      <c r="I122" s="434" t="s">
        <v>500</v>
      </c>
      <c r="J122" s="522">
        <v>7676.4172000000008</v>
      </c>
      <c r="K122" s="522">
        <v>11417.6234</v>
      </c>
      <c r="L122" s="434">
        <v>2</v>
      </c>
      <c r="M122" s="434">
        <v>16.899999999999999</v>
      </c>
      <c r="N122" s="434" t="s">
        <v>481</v>
      </c>
      <c r="O122" s="434">
        <v>30</v>
      </c>
      <c r="P122" s="434">
        <v>4</v>
      </c>
      <c r="Q122" s="437">
        <v>20.8</v>
      </c>
      <c r="R122" s="434" t="s">
        <v>481</v>
      </c>
      <c r="S122" s="438">
        <v>42</v>
      </c>
      <c r="T122" s="436">
        <v>20.078740157480315</v>
      </c>
      <c r="U122" s="524">
        <v>116.14173228346458</v>
      </c>
      <c r="V122" s="387">
        <v>0.96996870567290827</v>
      </c>
    </row>
    <row r="123" spans="1:22">
      <c r="A123" s="437">
        <v>117</v>
      </c>
      <c r="B123" s="525" t="str">
        <f t="shared" si="7"/>
        <v>JOHN DEERE 8300-PS 16 SP  MFWD__________ 203 pto hp</v>
      </c>
      <c r="C123" s="434">
        <v>202.92012</v>
      </c>
      <c r="D123" s="434" t="s">
        <v>495</v>
      </c>
      <c r="E123" s="434" t="s">
        <v>612</v>
      </c>
      <c r="F123" s="434" t="s">
        <v>497</v>
      </c>
      <c r="G123" s="434"/>
      <c r="H123" s="434">
        <v>5176</v>
      </c>
      <c r="I123" s="434" t="s">
        <v>500</v>
      </c>
      <c r="J123" s="522">
        <v>7660.9850000000006</v>
      </c>
      <c r="K123" s="522">
        <v>11459.5108</v>
      </c>
      <c r="L123" s="434">
        <v>2</v>
      </c>
      <c r="M123" s="434">
        <v>16.899999999999999</v>
      </c>
      <c r="N123" s="434" t="s">
        <v>481</v>
      </c>
      <c r="O123" s="434">
        <v>30</v>
      </c>
      <c r="P123" s="434">
        <v>4</v>
      </c>
      <c r="Q123" s="437">
        <v>20.8</v>
      </c>
      <c r="R123" s="434" t="s">
        <v>481</v>
      </c>
      <c r="S123" s="438">
        <v>42</v>
      </c>
      <c r="T123" s="436">
        <v>20.078740157480315</v>
      </c>
      <c r="U123" s="524">
        <v>116.14173228346458</v>
      </c>
      <c r="V123" s="387">
        <v>0.96365971962733876</v>
      </c>
    </row>
    <row r="124" spans="1:22">
      <c r="A124" s="437">
        <v>118</v>
      </c>
      <c r="B124" s="525" t="str">
        <f t="shared" si="7"/>
        <v>JOHN DEERE 8400-PS 16 SP  MFWD__________ 228 pto hp</v>
      </c>
      <c r="C124" s="434">
        <v>228.29184000000001</v>
      </c>
      <c r="D124" s="434" t="s">
        <v>495</v>
      </c>
      <c r="E124" s="434" t="s">
        <v>620</v>
      </c>
      <c r="F124" s="434" t="s">
        <v>497</v>
      </c>
      <c r="G124" s="434"/>
      <c r="H124" s="434">
        <v>5177</v>
      </c>
      <c r="I124" s="434" t="s">
        <v>500</v>
      </c>
      <c r="J124" s="522">
        <v>7735.9414000000006</v>
      </c>
      <c r="K124" s="522">
        <v>11620.446600000001</v>
      </c>
      <c r="L124" s="434">
        <v>2</v>
      </c>
      <c r="M124" s="434">
        <v>16.899999999999999</v>
      </c>
      <c r="N124" s="434" t="s">
        <v>481</v>
      </c>
      <c r="O124" s="434">
        <v>30</v>
      </c>
      <c r="P124" s="434">
        <v>4</v>
      </c>
      <c r="Q124" s="437">
        <v>20.8</v>
      </c>
      <c r="R124" s="434" t="s">
        <v>481</v>
      </c>
      <c r="S124" s="438">
        <v>42</v>
      </c>
      <c r="T124" s="436">
        <v>20.472440944881892</v>
      </c>
      <c r="U124" s="524">
        <v>116.14173228346458</v>
      </c>
      <c r="V124" s="387">
        <v>0.96415232409580687</v>
      </c>
    </row>
    <row r="125" spans="1:22">
      <c r="A125" s="437">
        <v>119</v>
      </c>
      <c r="B125" s="525" t="str">
        <f t="shared" si="7"/>
        <v>JOHN DEERE 8400-PS 16 SP  MFWD__________ 252 pto hp</v>
      </c>
      <c r="C125" s="434">
        <v>252.20186999999999</v>
      </c>
      <c r="D125" s="434" t="s">
        <v>495</v>
      </c>
      <c r="E125" s="434" t="s">
        <v>620</v>
      </c>
      <c r="F125" s="434" t="s">
        <v>497</v>
      </c>
      <c r="G125" s="434"/>
      <c r="H125" s="434">
        <v>5177</v>
      </c>
      <c r="I125" s="434" t="s">
        <v>624</v>
      </c>
      <c r="J125" s="522">
        <v>7735.9414000000006</v>
      </c>
      <c r="K125" s="522">
        <v>11620.446600000001</v>
      </c>
      <c r="L125" s="434">
        <v>2</v>
      </c>
      <c r="M125" s="434">
        <v>16.899999999999999</v>
      </c>
      <c r="N125" s="434" t="s">
        <v>481</v>
      </c>
      <c r="O125" s="434">
        <v>30</v>
      </c>
      <c r="P125" s="434">
        <v>4</v>
      </c>
      <c r="Q125" s="437">
        <v>20.8</v>
      </c>
      <c r="R125" s="434" t="s">
        <v>481</v>
      </c>
      <c r="S125" s="438">
        <v>42</v>
      </c>
      <c r="T125" s="436">
        <v>20.472440944881892</v>
      </c>
      <c r="U125" s="524">
        <v>116.14173228346458</v>
      </c>
      <c r="V125" s="387">
        <v>0.95174723499247815</v>
      </c>
    </row>
    <row r="126" spans="1:22">
      <c r="A126" s="437">
        <v>120</v>
      </c>
      <c r="B126" s="525" t="str">
        <f t="shared" si="7"/>
        <v>JOHN DEERE 5500-9 SP  MFWD______________ 74 pto hp</v>
      </c>
      <c r="C126" s="434">
        <v>74.036609999999996</v>
      </c>
      <c r="D126" s="434" t="s">
        <v>495</v>
      </c>
      <c r="E126" s="434" t="s">
        <v>531</v>
      </c>
      <c r="F126" s="434" t="s">
        <v>497</v>
      </c>
      <c r="G126" s="434"/>
      <c r="H126" s="434">
        <v>5212</v>
      </c>
      <c r="I126" s="434" t="s">
        <v>532</v>
      </c>
      <c r="J126" s="522">
        <v>2400.8094000000001</v>
      </c>
      <c r="K126" s="522">
        <v>3544.9968000000003</v>
      </c>
      <c r="L126" s="434">
        <v>2</v>
      </c>
      <c r="M126" s="434">
        <v>12.4</v>
      </c>
      <c r="N126" s="434" t="s">
        <v>481</v>
      </c>
      <c r="O126" s="434">
        <v>24</v>
      </c>
      <c r="P126" s="434">
        <v>2</v>
      </c>
      <c r="Q126" s="447">
        <v>18.399999999999999</v>
      </c>
      <c r="R126" s="434" t="s">
        <v>481</v>
      </c>
      <c r="S126" s="434">
        <v>30</v>
      </c>
      <c r="T126" s="436">
        <v>18.503937007874018</v>
      </c>
      <c r="U126" s="524">
        <v>85.708661417322844</v>
      </c>
      <c r="V126" s="387">
        <v>0.90473866623260824</v>
      </c>
    </row>
    <row r="127" spans="1:22">
      <c r="A127" s="437">
        <v>121</v>
      </c>
      <c r="B127" s="525" t="str">
        <f t="shared" si="7"/>
        <v>JOHN DEERE 7610, 16 SP-PPS  MFWD________ 116 pto hp</v>
      </c>
      <c r="C127" s="434">
        <v>115.94286</v>
      </c>
      <c r="D127" s="434" t="s">
        <v>495</v>
      </c>
      <c r="E127" s="434" t="s">
        <v>573</v>
      </c>
      <c r="F127" s="434" t="s">
        <v>497</v>
      </c>
      <c r="G127" s="434"/>
      <c r="H127" s="434">
        <v>5224</v>
      </c>
      <c r="I127" s="434" t="s">
        <v>529</v>
      </c>
      <c r="J127" s="522">
        <v>5070.58</v>
      </c>
      <c r="K127" s="522">
        <v>9574.5778000000009</v>
      </c>
      <c r="L127" s="434">
        <v>2</v>
      </c>
      <c r="M127" s="434">
        <v>13.6</v>
      </c>
      <c r="N127" s="434" t="s">
        <v>481</v>
      </c>
      <c r="O127" s="434">
        <v>28</v>
      </c>
      <c r="P127" s="434">
        <v>2</v>
      </c>
      <c r="Q127" s="447">
        <v>18.399999999999999</v>
      </c>
      <c r="R127" s="434" t="s">
        <v>481</v>
      </c>
      <c r="S127" s="27">
        <v>38</v>
      </c>
      <c r="T127" s="436">
        <v>21.062992125984252</v>
      </c>
      <c r="U127" s="524">
        <v>110.23622047244095</v>
      </c>
      <c r="V127" s="387">
        <v>0.96217013067261536</v>
      </c>
    </row>
    <row r="128" spans="1:22">
      <c r="A128" s="437">
        <v>122</v>
      </c>
      <c r="B128" s="525" t="str">
        <f t="shared" si="7"/>
        <v>JOHN DEERE 7610-PS, 19-SP  MFWD_________ 116 pto hp</v>
      </c>
      <c r="C128" s="434">
        <v>115.95626999999999</v>
      </c>
      <c r="D128" s="434" t="s">
        <v>495</v>
      </c>
      <c r="E128" s="434" t="s">
        <v>574</v>
      </c>
      <c r="F128" s="434" t="s">
        <v>497</v>
      </c>
      <c r="G128" s="434"/>
      <c r="H128" s="434">
        <v>5225</v>
      </c>
      <c r="I128" s="434" t="s">
        <v>529</v>
      </c>
      <c r="J128" s="522">
        <v>5149.9456</v>
      </c>
      <c r="K128" s="522">
        <v>9814.8792000000012</v>
      </c>
      <c r="L128" s="434">
        <v>2</v>
      </c>
      <c r="M128" s="434">
        <v>13.6</v>
      </c>
      <c r="N128" s="434" t="s">
        <v>481</v>
      </c>
      <c r="O128" s="434">
        <v>28</v>
      </c>
      <c r="P128" s="434">
        <v>2</v>
      </c>
      <c r="Q128" s="447">
        <v>18.399999999999999</v>
      </c>
      <c r="R128" s="434" t="s">
        <v>481</v>
      </c>
      <c r="S128" s="27">
        <v>38</v>
      </c>
      <c r="T128" s="436">
        <v>21.062992125984252</v>
      </c>
      <c r="U128" s="524">
        <v>110.23622047244095</v>
      </c>
      <c r="V128" s="387">
        <v>0.89744922689273188</v>
      </c>
    </row>
    <row r="129" spans="1:22">
      <c r="A129" s="437">
        <v>123</v>
      </c>
      <c r="B129" s="525" t="str">
        <f t="shared" ref="B129:B144" si="8">CONCATENATE( LEFT(CONCATENATE(D129," ",E129," ",G129," ",F129,$W$5),40)," ",FIXED(C129,0)," pto hp")</f>
        <v>JOHN DEERE 7710, 16 SP-PPS  MFWD________ 131 pto hp</v>
      </c>
      <c r="C129" s="434">
        <v>130.78773000000001</v>
      </c>
      <c r="D129" s="434" t="s">
        <v>495</v>
      </c>
      <c r="E129" s="434" t="s">
        <v>582</v>
      </c>
      <c r="F129" s="434" t="s">
        <v>497</v>
      </c>
      <c r="G129" s="434"/>
      <c r="H129" s="434">
        <v>5226</v>
      </c>
      <c r="I129" s="434" t="s">
        <v>583</v>
      </c>
      <c r="J129" s="522">
        <v>5399.0654000000004</v>
      </c>
      <c r="K129" s="522">
        <v>9869.994200000001</v>
      </c>
      <c r="L129" s="434">
        <v>2</v>
      </c>
      <c r="M129" s="434">
        <v>14.9</v>
      </c>
      <c r="N129" s="434" t="s">
        <v>481</v>
      </c>
      <c r="O129" s="434">
        <v>30</v>
      </c>
      <c r="P129" s="434">
        <v>4</v>
      </c>
      <c r="Q129" s="447">
        <v>18.399999999999999</v>
      </c>
      <c r="R129" s="434" t="s">
        <v>481</v>
      </c>
      <c r="S129" s="438">
        <v>42</v>
      </c>
      <c r="T129" s="436">
        <v>22.047244094488189</v>
      </c>
      <c r="U129" s="524">
        <v>110.23622047244095</v>
      </c>
      <c r="V129" s="387">
        <v>0.97827178395057346</v>
      </c>
    </row>
    <row r="130" spans="1:22">
      <c r="A130" s="437">
        <v>124</v>
      </c>
      <c r="B130" s="525" t="str">
        <f t="shared" si="8"/>
        <v>JOHN DEERE 7710-PS, 19-SP  MFWD_________ 131 pto hp</v>
      </c>
      <c r="C130" s="434">
        <v>130.90842000000001</v>
      </c>
      <c r="D130" s="434" t="s">
        <v>495</v>
      </c>
      <c r="E130" s="434" t="s">
        <v>585</v>
      </c>
      <c r="F130" s="434" t="s">
        <v>497</v>
      </c>
      <c r="G130" s="434"/>
      <c r="H130" s="434">
        <v>5227</v>
      </c>
      <c r="I130" s="434" t="s">
        <v>583</v>
      </c>
      <c r="J130" s="522">
        <v>5509.2954</v>
      </c>
      <c r="K130" s="522">
        <v>10103.6818</v>
      </c>
      <c r="L130" s="434">
        <v>2</v>
      </c>
      <c r="M130" s="434">
        <v>14.9</v>
      </c>
      <c r="N130" s="434" t="s">
        <v>481</v>
      </c>
      <c r="O130" s="434">
        <v>30</v>
      </c>
      <c r="P130" s="434">
        <v>4</v>
      </c>
      <c r="Q130" s="447">
        <v>18.399999999999999</v>
      </c>
      <c r="R130" s="434" t="s">
        <v>481</v>
      </c>
      <c r="S130" s="438">
        <v>42</v>
      </c>
      <c r="T130" s="436">
        <v>22.047244094488189</v>
      </c>
      <c r="U130" s="524">
        <v>110.23622047244095</v>
      </c>
      <c r="V130" s="387">
        <v>0.91576295154338483</v>
      </c>
    </row>
    <row r="131" spans="1:22">
      <c r="A131" s="437">
        <v>125</v>
      </c>
      <c r="B131" s="525" t="str">
        <f t="shared" si="8"/>
        <v>JOHN DEERE 7810, 16-SP-PPS  MFWD________ 151 pto hp</v>
      </c>
      <c r="C131" s="434">
        <v>151.31844000000001</v>
      </c>
      <c r="D131" s="434" t="s">
        <v>495</v>
      </c>
      <c r="E131" s="434" t="s">
        <v>594</v>
      </c>
      <c r="F131" s="434" t="s">
        <v>497</v>
      </c>
      <c r="G131" s="434"/>
      <c r="H131" s="434">
        <v>5228</v>
      </c>
      <c r="I131" s="434" t="s">
        <v>583</v>
      </c>
      <c r="J131" s="522">
        <v>5410.0884000000005</v>
      </c>
      <c r="K131" s="522">
        <v>9969.2012000000013</v>
      </c>
      <c r="L131" s="434">
        <v>2</v>
      </c>
      <c r="M131" s="434">
        <v>14.9</v>
      </c>
      <c r="N131" s="434" t="s">
        <v>481</v>
      </c>
      <c r="O131" s="434">
        <v>30</v>
      </c>
      <c r="P131" s="434">
        <v>4</v>
      </c>
      <c r="Q131" s="447">
        <v>18.399999999999999</v>
      </c>
      <c r="R131" s="434" t="s">
        <v>481</v>
      </c>
      <c r="S131" s="438">
        <v>42</v>
      </c>
      <c r="T131" s="436">
        <v>22.047244094488189</v>
      </c>
      <c r="U131" s="524">
        <v>110.23622047244095</v>
      </c>
      <c r="V131" s="387">
        <v>0.97585505682496365</v>
      </c>
    </row>
    <row r="132" spans="1:22">
      <c r="A132" s="437"/>
      <c r="B132" s="525" t="str">
        <f t="shared" si="8"/>
        <v>JOHN DEERE 7810-PS, 19-SP  MFWD_________ 150 pto hp</v>
      </c>
      <c r="C132" s="437">
        <v>150.16517999999999</v>
      </c>
      <c r="D132" s="437" t="s">
        <v>495</v>
      </c>
      <c r="E132" s="437" t="s">
        <v>592</v>
      </c>
      <c r="F132" s="437" t="s">
        <v>497</v>
      </c>
      <c r="G132" s="437"/>
      <c r="H132" s="437">
        <v>5229</v>
      </c>
      <c r="I132" s="437" t="s">
        <v>583</v>
      </c>
      <c r="J132" s="522">
        <v>5540.1598000000004</v>
      </c>
      <c r="K132" s="522">
        <v>10189.6612</v>
      </c>
      <c r="L132" s="437">
        <v>2</v>
      </c>
      <c r="M132" s="434">
        <v>14.9</v>
      </c>
      <c r="N132" s="437" t="s">
        <v>481</v>
      </c>
      <c r="O132" s="437">
        <v>30</v>
      </c>
      <c r="P132" s="437">
        <v>4</v>
      </c>
      <c r="Q132" s="447">
        <v>18.399999999999999</v>
      </c>
      <c r="R132" s="437" t="s">
        <v>481</v>
      </c>
      <c r="S132" s="438">
        <v>42</v>
      </c>
      <c r="T132" s="436">
        <v>22.047244094488189</v>
      </c>
      <c r="U132" s="524">
        <v>110.23622047244095</v>
      </c>
      <c r="V132" s="387">
        <v>0.90826108415538931</v>
      </c>
    </row>
    <row r="133" spans="1:22">
      <c r="A133" s="437"/>
      <c r="B133" s="525" t="str">
        <f t="shared" si="8"/>
        <v>JOHN DEERE 9100-PS 24/12 PPS  4WD_______ 220 pto hp</v>
      </c>
      <c r="C133" s="437">
        <v>219.60215999999997</v>
      </c>
      <c r="D133" s="437" t="s">
        <v>495</v>
      </c>
      <c r="E133" s="437" t="s">
        <v>617</v>
      </c>
      <c r="F133" s="437" t="s">
        <v>606</v>
      </c>
      <c r="G133" s="437"/>
      <c r="H133" s="437">
        <v>5230</v>
      </c>
      <c r="I133" s="437">
        <v>0</v>
      </c>
      <c r="J133" s="522">
        <v>17998.3544</v>
      </c>
      <c r="K133" s="522">
        <v>15714.388800000001</v>
      </c>
      <c r="L133" s="437">
        <v>4</v>
      </c>
      <c r="M133" s="437">
        <v>20.8</v>
      </c>
      <c r="N133" s="437" t="s">
        <v>481</v>
      </c>
      <c r="O133" s="437">
        <v>42</v>
      </c>
      <c r="P133" s="437">
        <v>4</v>
      </c>
      <c r="Q133" s="437">
        <v>20.8</v>
      </c>
      <c r="R133" s="437" t="s">
        <v>481</v>
      </c>
      <c r="S133" s="438">
        <v>42</v>
      </c>
      <c r="T133" s="436">
        <v>17.913385826771655</v>
      </c>
      <c r="U133" s="524">
        <v>137.7952755905512</v>
      </c>
      <c r="V133" s="387">
        <v>0.98295690470193675</v>
      </c>
    </row>
    <row r="134" spans="1:22">
      <c r="A134" s="437"/>
      <c r="B134" s="525" t="str">
        <f t="shared" si="8"/>
        <v>JOHN DEERE 9100-PS 24/12 PPS  4WD_______ 248 pto hp</v>
      </c>
      <c r="C134" s="437">
        <v>248.23251000000002</v>
      </c>
      <c r="D134" s="437" t="s">
        <v>495</v>
      </c>
      <c r="E134" s="437" t="s">
        <v>617</v>
      </c>
      <c r="F134" s="437" t="s">
        <v>606</v>
      </c>
      <c r="G134" s="437"/>
      <c r="H134" s="437">
        <v>5230</v>
      </c>
      <c r="I134" s="437" t="s">
        <v>624</v>
      </c>
      <c r="J134" s="522">
        <v>17998.3544</v>
      </c>
      <c r="K134" s="522">
        <v>15714.388800000001</v>
      </c>
      <c r="L134" s="437">
        <v>4</v>
      </c>
      <c r="M134" s="437">
        <v>20.8</v>
      </c>
      <c r="N134" s="437" t="s">
        <v>481</v>
      </c>
      <c r="O134" s="437">
        <v>42</v>
      </c>
      <c r="P134" s="437">
        <v>4</v>
      </c>
      <c r="Q134" s="437">
        <v>20.8</v>
      </c>
      <c r="R134" s="437" t="s">
        <v>481</v>
      </c>
      <c r="S134" s="438">
        <v>42</v>
      </c>
      <c r="T134" s="436">
        <v>17.913385826771655</v>
      </c>
      <c r="U134" s="524">
        <v>137.7952755905512</v>
      </c>
      <c r="V134" s="387">
        <v>0.98638995373351401</v>
      </c>
    </row>
    <row r="135" spans="1:22">
      <c r="A135" s="437"/>
      <c r="B135" s="525" t="str">
        <f t="shared" si="8"/>
        <v>JOHN DEERE 9200-PS 24/12 PPS  4WD_______ 266 pto hp</v>
      </c>
      <c r="C135" s="437">
        <v>265.70573999999999</v>
      </c>
      <c r="D135" s="437" t="s">
        <v>495</v>
      </c>
      <c r="E135" s="437" t="s">
        <v>628</v>
      </c>
      <c r="F135" s="437" t="s">
        <v>606</v>
      </c>
      <c r="G135" s="437"/>
      <c r="H135" s="437">
        <v>5231</v>
      </c>
      <c r="I135" s="437">
        <v>0</v>
      </c>
      <c r="J135" s="522">
        <v>19437.958200000001</v>
      </c>
      <c r="K135" s="522">
        <v>15846.6648</v>
      </c>
      <c r="L135" s="437">
        <v>4</v>
      </c>
      <c r="M135" s="437">
        <v>20.8</v>
      </c>
      <c r="N135" s="437" t="s">
        <v>481</v>
      </c>
      <c r="O135" s="437">
        <v>42</v>
      </c>
      <c r="P135" s="437">
        <v>4</v>
      </c>
      <c r="Q135" s="437">
        <v>20.8</v>
      </c>
      <c r="R135" s="437" t="s">
        <v>481</v>
      </c>
      <c r="S135" s="438">
        <v>42</v>
      </c>
      <c r="T135" s="436">
        <v>18.503937007874018</v>
      </c>
      <c r="U135" s="524">
        <v>137.7952755905512</v>
      </c>
      <c r="V135" s="387">
        <v>1.0027756391082978</v>
      </c>
    </row>
    <row r="136" spans="1:22">
      <c r="A136" s="437"/>
      <c r="B136" s="525" t="str">
        <f t="shared" si="8"/>
        <v>JOHN DEERE 9300-PS 24/12 PPS  4WD_______ 321 pto hp</v>
      </c>
      <c r="C136" s="437">
        <v>320.53922999999998</v>
      </c>
      <c r="D136" s="437" t="s">
        <v>495</v>
      </c>
      <c r="E136" s="437" t="s">
        <v>635</v>
      </c>
      <c r="F136" s="437" t="s">
        <v>606</v>
      </c>
      <c r="G136" s="437"/>
      <c r="H136" s="437">
        <v>5232</v>
      </c>
      <c r="I136" s="437">
        <v>0</v>
      </c>
      <c r="J136" s="522">
        <v>20456.483400000001</v>
      </c>
      <c r="K136" s="522">
        <v>16843.144</v>
      </c>
      <c r="L136" s="437">
        <v>4</v>
      </c>
      <c r="M136" s="437">
        <v>620</v>
      </c>
      <c r="N136" s="523" t="s">
        <v>614</v>
      </c>
      <c r="O136" s="437">
        <v>42</v>
      </c>
      <c r="P136" s="437">
        <v>4</v>
      </c>
      <c r="Q136" s="437">
        <v>620</v>
      </c>
      <c r="R136" s="485" t="s">
        <v>614</v>
      </c>
      <c r="S136" s="438">
        <v>42</v>
      </c>
      <c r="T136" s="436">
        <v>18.503937007874018</v>
      </c>
      <c r="U136" s="524">
        <v>137.7952755905512</v>
      </c>
      <c r="V136" s="387">
        <v>0.96158909169098283</v>
      </c>
    </row>
    <row r="137" spans="1:22">
      <c r="A137" s="437"/>
      <c r="B137" s="525" t="str">
        <f t="shared" si="8"/>
        <v>JOHN DEERE 9400-PS 24/12 PPS  4WD_______ 312 pto hp</v>
      </c>
      <c r="C137" s="437">
        <v>312.25184999999999</v>
      </c>
      <c r="D137" s="437" t="s">
        <v>495</v>
      </c>
      <c r="E137" s="437" t="s">
        <v>634</v>
      </c>
      <c r="F137" s="437" t="s">
        <v>606</v>
      </c>
      <c r="G137" s="437"/>
      <c r="H137" s="437">
        <v>5233</v>
      </c>
      <c r="I137" s="437">
        <v>0</v>
      </c>
      <c r="J137" s="522">
        <v>20500.575400000002</v>
      </c>
      <c r="K137" s="522">
        <v>16909.281999999999</v>
      </c>
      <c r="L137" s="437">
        <v>4</v>
      </c>
      <c r="M137" s="437">
        <v>620</v>
      </c>
      <c r="N137" s="523" t="s">
        <v>614</v>
      </c>
      <c r="O137" s="437">
        <v>42</v>
      </c>
      <c r="P137" s="437">
        <v>4</v>
      </c>
      <c r="Q137" s="437">
        <v>620</v>
      </c>
      <c r="R137" s="485" t="s">
        <v>614</v>
      </c>
      <c r="S137" s="438">
        <v>42</v>
      </c>
      <c r="T137" s="436">
        <v>17.913385826771655</v>
      </c>
      <c r="U137" s="524">
        <v>137.7952755905512</v>
      </c>
      <c r="V137" s="387">
        <v>1.1944620119079294</v>
      </c>
    </row>
    <row r="138" spans="1:22">
      <c r="A138" s="437"/>
      <c r="B138" s="525" t="str">
        <f t="shared" si="8"/>
        <v>JOHN DEERE 7210, 12 SP-SYNC  MFWD_______ 96 pto hp</v>
      </c>
      <c r="C138" s="437">
        <v>95.733990000000006</v>
      </c>
      <c r="D138" s="437" t="s">
        <v>495</v>
      </c>
      <c r="E138" s="437" t="s">
        <v>557</v>
      </c>
      <c r="F138" s="437" t="s">
        <v>497</v>
      </c>
      <c r="G138" s="437"/>
      <c r="H138" s="437">
        <v>5238</v>
      </c>
      <c r="I138" s="437" t="s">
        <v>529</v>
      </c>
      <c r="J138" s="522">
        <v>4499.5886</v>
      </c>
      <c r="K138" s="522">
        <v>8333.3880000000008</v>
      </c>
      <c r="L138" s="437">
        <v>2</v>
      </c>
      <c r="M138" s="434">
        <v>14.9</v>
      </c>
      <c r="N138" s="437" t="s">
        <v>481</v>
      </c>
      <c r="O138" s="437">
        <v>28</v>
      </c>
      <c r="P138" s="437">
        <v>2</v>
      </c>
      <c r="Q138" s="447">
        <v>18.399999999999999</v>
      </c>
      <c r="R138" s="437" t="s">
        <v>481</v>
      </c>
      <c r="S138" s="27">
        <v>38</v>
      </c>
      <c r="T138" s="436">
        <v>21.45669291338583</v>
      </c>
      <c r="U138" s="524">
        <v>103.34645669291339</v>
      </c>
      <c r="V138" s="387">
        <v>0.94360566330866524</v>
      </c>
    </row>
    <row r="139" spans="1:22">
      <c r="A139" s="437"/>
      <c r="B139" s="525" t="str">
        <f t="shared" si="8"/>
        <v>JOHN DEERE 7210, 16 SP-PQUAD  MFWD______ 96 pto hp</v>
      </c>
      <c r="C139" s="437">
        <v>95.935140000000004</v>
      </c>
      <c r="D139" s="437" t="s">
        <v>495</v>
      </c>
      <c r="E139" s="437" t="s">
        <v>558</v>
      </c>
      <c r="F139" s="437" t="s">
        <v>497</v>
      </c>
      <c r="G139" s="437"/>
      <c r="H139" s="437">
        <v>5239</v>
      </c>
      <c r="I139" s="437" t="s">
        <v>529</v>
      </c>
      <c r="J139" s="522">
        <v>4523.8392000000003</v>
      </c>
      <c r="K139" s="522">
        <v>8423.7766000000011</v>
      </c>
      <c r="L139" s="437">
        <v>2</v>
      </c>
      <c r="M139" s="434">
        <v>14.9</v>
      </c>
      <c r="N139" s="437" t="s">
        <v>481</v>
      </c>
      <c r="O139" s="437">
        <v>28</v>
      </c>
      <c r="P139" s="437">
        <v>2</v>
      </c>
      <c r="Q139" s="447">
        <v>18.399999999999999</v>
      </c>
      <c r="R139" s="437" t="s">
        <v>481</v>
      </c>
      <c r="S139" s="27">
        <v>38</v>
      </c>
      <c r="T139" s="436">
        <v>21.45669291338583</v>
      </c>
      <c r="U139" s="524">
        <v>103.34645669291339</v>
      </c>
      <c r="V139" s="387">
        <v>0.95458638386704142</v>
      </c>
    </row>
    <row r="140" spans="1:22">
      <c r="A140" s="437"/>
      <c r="B140" s="525" t="str">
        <f t="shared" si="8"/>
        <v>JOHN DEERE 7410, 12 SP-SYNC  MFWD_______ 106 pto hp</v>
      </c>
      <c r="C140" s="437">
        <v>106.38153</v>
      </c>
      <c r="D140" s="437" t="s">
        <v>495</v>
      </c>
      <c r="E140" s="437" t="s">
        <v>565</v>
      </c>
      <c r="F140" s="437" t="s">
        <v>497</v>
      </c>
      <c r="G140" s="437"/>
      <c r="H140" s="437">
        <v>5240</v>
      </c>
      <c r="I140" s="437" t="s">
        <v>529</v>
      </c>
      <c r="J140" s="522">
        <v>4499.5886</v>
      </c>
      <c r="K140" s="522">
        <v>8403.9351999999999</v>
      </c>
      <c r="L140" s="437">
        <v>2</v>
      </c>
      <c r="M140" s="434">
        <v>14.9</v>
      </c>
      <c r="N140" s="437" t="s">
        <v>481</v>
      </c>
      <c r="O140" s="437">
        <v>28</v>
      </c>
      <c r="P140" s="437">
        <v>2</v>
      </c>
      <c r="Q140" s="447">
        <v>18.399999999999999</v>
      </c>
      <c r="R140" s="437" t="s">
        <v>481</v>
      </c>
      <c r="S140" s="27">
        <v>38</v>
      </c>
      <c r="T140" s="436">
        <v>21.45669291338583</v>
      </c>
      <c r="U140" s="524">
        <v>103.34645669291339</v>
      </c>
      <c r="V140" s="387">
        <v>0.94052091612194377</v>
      </c>
    </row>
    <row r="141" spans="1:22">
      <c r="A141" s="437"/>
      <c r="B141" s="525" t="str">
        <f t="shared" si="8"/>
        <v>JOHN DEERE 7410, 16 SP-PQUAD  MFWD______ 106 pto hp</v>
      </c>
      <c r="C141" s="437">
        <v>106.31448</v>
      </c>
      <c r="D141" s="437" t="s">
        <v>495</v>
      </c>
      <c r="E141" s="437" t="s">
        <v>564</v>
      </c>
      <c r="F141" s="437" t="s">
        <v>497</v>
      </c>
      <c r="G141" s="437"/>
      <c r="H141" s="437">
        <v>5241</v>
      </c>
      <c r="I141" s="437" t="s">
        <v>529</v>
      </c>
      <c r="J141" s="522">
        <v>4559.1127999999999</v>
      </c>
      <c r="K141" s="522">
        <v>8459.0501999999997</v>
      </c>
      <c r="L141" s="437">
        <v>2</v>
      </c>
      <c r="M141" s="434">
        <v>14.9</v>
      </c>
      <c r="N141" s="437" t="s">
        <v>481</v>
      </c>
      <c r="O141" s="437">
        <v>28</v>
      </c>
      <c r="P141" s="437">
        <v>2</v>
      </c>
      <c r="Q141" s="447">
        <v>18.399999999999999</v>
      </c>
      <c r="R141" s="437" t="s">
        <v>481</v>
      </c>
      <c r="S141" s="27">
        <v>38</v>
      </c>
      <c r="T141" s="436">
        <v>21.45669291338583</v>
      </c>
      <c r="U141" s="524">
        <v>103.34645669291339</v>
      </c>
      <c r="V141" s="387">
        <v>0.97477250918625968</v>
      </c>
    </row>
    <row r="142" spans="1:22">
      <c r="A142" s="437"/>
      <c r="B142" s="525" t="str">
        <f t="shared" si="8"/>
        <v>JOHN DEERE 6110, 16 SP  MFWD____________ 68 pto hp</v>
      </c>
      <c r="C142" s="437">
        <v>67.720500000000001</v>
      </c>
      <c r="D142" s="437" t="s">
        <v>495</v>
      </c>
      <c r="E142" s="437" t="s">
        <v>528</v>
      </c>
      <c r="F142" s="437" t="s">
        <v>497</v>
      </c>
      <c r="G142" s="437"/>
      <c r="H142" s="437">
        <v>5286</v>
      </c>
      <c r="I142" s="437" t="s">
        <v>529</v>
      </c>
      <c r="J142" s="522">
        <v>3626.567</v>
      </c>
      <c r="K142" s="522">
        <v>6018.558</v>
      </c>
      <c r="L142" s="437">
        <v>2</v>
      </c>
      <c r="M142" s="434">
        <v>14.9</v>
      </c>
      <c r="N142" s="437" t="s">
        <v>500</v>
      </c>
      <c r="O142" s="437">
        <v>24</v>
      </c>
      <c r="P142" s="437">
        <v>2</v>
      </c>
      <c r="Q142" s="447">
        <v>18.399999999999999</v>
      </c>
      <c r="R142" s="437" t="s">
        <v>481</v>
      </c>
      <c r="S142" s="437">
        <v>34</v>
      </c>
      <c r="T142" s="436">
        <v>17.716535433070867</v>
      </c>
      <c r="U142" s="524">
        <v>94.488188976377955</v>
      </c>
      <c r="V142" s="387">
        <v>0.93388624188012848</v>
      </c>
    </row>
    <row r="143" spans="1:22">
      <c r="A143" s="437"/>
      <c r="B143" s="525" t="str">
        <f t="shared" si="8"/>
        <v>JOHN DEERE 6210, 16 SP-PPS  MFWD________ 75 pto hp</v>
      </c>
      <c r="C143" s="437">
        <v>74.693700000000007</v>
      </c>
      <c r="D143" s="437" t="s">
        <v>495</v>
      </c>
      <c r="E143" s="437" t="s">
        <v>534</v>
      </c>
      <c r="F143" s="437" t="s">
        <v>497</v>
      </c>
      <c r="G143" s="437"/>
      <c r="H143" s="437">
        <v>5287</v>
      </c>
      <c r="I143" s="437" t="s">
        <v>529</v>
      </c>
      <c r="J143" s="522">
        <v>3648.6130000000003</v>
      </c>
      <c r="K143" s="522">
        <v>6128.7880000000005</v>
      </c>
      <c r="L143" s="437">
        <v>2</v>
      </c>
      <c r="M143" s="437">
        <v>13.6</v>
      </c>
      <c r="N143" s="437" t="s">
        <v>500</v>
      </c>
      <c r="O143" s="437">
        <v>24</v>
      </c>
      <c r="P143" s="437">
        <v>2</v>
      </c>
      <c r="Q143" s="447">
        <v>18.399999999999999</v>
      </c>
      <c r="R143" s="437" t="s">
        <v>481</v>
      </c>
      <c r="S143" s="437">
        <v>34</v>
      </c>
      <c r="T143" s="436">
        <v>16.929133858267718</v>
      </c>
      <c r="U143" s="524">
        <v>94.488188976377955</v>
      </c>
      <c r="V143" s="387">
        <v>0.89446380097398837</v>
      </c>
    </row>
    <row r="144" spans="1:22">
      <c r="A144" s="437"/>
      <c r="B144" s="525" t="str">
        <f t="shared" si="8"/>
        <v>JOHN DEERE 6310, 12 SP, Syncr  MFWD_____ 82 pto hp</v>
      </c>
      <c r="C144" s="437">
        <v>81.532799999999995</v>
      </c>
      <c r="D144" s="437" t="s">
        <v>495</v>
      </c>
      <c r="E144" s="437" t="s">
        <v>542</v>
      </c>
      <c r="F144" s="437" t="s">
        <v>497</v>
      </c>
      <c r="G144" s="437"/>
      <c r="H144" s="437">
        <v>5288</v>
      </c>
      <c r="I144" s="437" t="s">
        <v>529</v>
      </c>
      <c r="J144" s="522">
        <v>3637.59</v>
      </c>
      <c r="K144" s="522">
        <v>6128.7880000000005</v>
      </c>
      <c r="L144" s="437">
        <v>2</v>
      </c>
      <c r="M144" s="437">
        <v>13.6</v>
      </c>
      <c r="N144" s="437" t="s">
        <v>500</v>
      </c>
      <c r="O144" s="437">
        <v>24</v>
      </c>
      <c r="P144" s="437">
        <v>2</v>
      </c>
      <c r="Q144" s="447">
        <v>18.399999999999999</v>
      </c>
      <c r="R144" s="437" t="s">
        <v>500</v>
      </c>
      <c r="S144" s="27">
        <v>38</v>
      </c>
      <c r="T144" s="436">
        <v>20.472440944881892</v>
      </c>
      <c r="U144" s="524">
        <v>94.488188976377955</v>
      </c>
      <c r="V144" s="387">
        <v>0.87645045257196441</v>
      </c>
    </row>
    <row r="145" spans="1:22">
      <c r="A145" s="437"/>
      <c r="B145" s="525" t="str">
        <f t="shared" ref="B145:B153" si="9">CONCATENATE( LEFT(CONCATENATE(D145," ",E145," ",G145," ",F145,$W$5),40)," ",FIXED(C145,0)," pto hp")</f>
        <v>JOHN DEERE 6310, 16 SP-PPS  MFWD________ 81 pto hp</v>
      </c>
      <c r="C145" s="437">
        <v>81.398700000000005</v>
      </c>
      <c r="D145" s="437" t="s">
        <v>495</v>
      </c>
      <c r="E145" s="437" t="s">
        <v>541</v>
      </c>
      <c r="F145" s="437" t="s">
        <v>497</v>
      </c>
      <c r="G145" s="437"/>
      <c r="H145" s="437">
        <v>5289</v>
      </c>
      <c r="I145" s="437" t="s">
        <v>529</v>
      </c>
      <c r="J145" s="522">
        <v>3736.797</v>
      </c>
      <c r="K145" s="522">
        <v>6161.857</v>
      </c>
      <c r="L145" s="437">
        <v>2</v>
      </c>
      <c r="M145" s="437">
        <v>13.6</v>
      </c>
      <c r="N145" s="437" t="s">
        <v>500</v>
      </c>
      <c r="O145" s="437">
        <v>28</v>
      </c>
      <c r="P145" s="437">
        <v>2</v>
      </c>
      <c r="Q145" s="447">
        <v>18.399999999999999</v>
      </c>
      <c r="R145" s="437" t="s">
        <v>500</v>
      </c>
      <c r="S145" s="27">
        <v>38</v>
      </c>
      <c r="T145" s="436">
        <v>20.669291338582678</v>
      </c>
      <c r="U145" s="524">
        <v>94.488188976377955</v>
      </c>
      <c r="V145" s="387">
        <v>0.87390996582420999</v>
      </c>
    </row>
    <row r="146" spans="1:22">
      <c r="A146" s="437"/>
      <c r="B146" s="525" t="str">
        <f t="shared" si="9"/>
        <v>JOHN DEERE 6410, 16 SP-PPS  MFWD________ 90 pto hp</v>
      </c>
      <c r="C146" s="437">
        <v>90.383400000000009</v>
      </c>
      <c r="D146" s="437" t="s">
        <v>495</v>
      </c>
      <c r="E146" s="437" t="s">
        <v>551</v>
      </c>
      <c r="F146" s="437" t="s">
        <v>497</v>
      </c>
      <c r="G146" s="437"/>
      <c r="H146" s="437">
        <v>5290</v>
      </c>
      <c r="I146" s="437" t="s">
        <v>529</v>
      </c>
      <c r="J146" s="522">
        <v>3681.6820000000002</v>
      </c>
      <c r="K146" s="522">
        <v>6161.857</v>
      </c>
      <c r="L146" s="437">
        <v>2</v>
      </c>
      <c r="M146" s="434">
        <v>14.9</v>
      </c>
      <c r="N146" s="437" t="s">
        <v>500</v>
      </c>
      <c r="O146" s="437">
        <v>24</v>
      </c>
      <c r="P146" s="437">
        <v>2</v>
      </c>
      <c r="Q146" s="447">
        <v>18.399999999999999</v>
      </c>
      <c r="R146" s="437" t="s">
        <v>500</v>
      </c>
      <c r="S146" s="27">
        <v>38</v>
      </c>
      <c r="T146" s="436">
        <v>20.866141732283467</v>
      </c>
      <c r="U146" s="524">
        <v>94.488188976377955</v>
      </c>
      <c r="V146" s="387">
        <v>0.89468713131907907</v>
      </c>
    </row>
    <row r="147" spans="1:22">
      <c r="A147" s="437"/>
      <c r="B147" s="525" t="str">
        <f t="shared" si="9"/>
        <v>JOHN DEERE 8110, 16 PS  MFWD____________ 165 pto hp</v>
      </c>
      <c r="C147" s="437">
        <v>165.38552999999999</v>
      </c>
      <c r="D147" s="437" t="s">
        <v>495</v>
      </c>
      <c r="E147" s="437" t="s">
        <v>599</v>
      </c>
      <c r="F147" s="437" t="s">
        <v>497</v>
      </c>
      <c r="G147" s="437"/>
      <c r="H147" s="437">
        <v>5307</v>
      </c>
      <c r="I147" s="437" t="s">
        <v>600</v>
      </c>
      <c r="J147" s="522">
        <v>8679.5102000000006</v>
      </c>
      <c r="K147" s="522">
        <v>14429.107</v>
      </c>
      <c r="L147" s="437">
        <v>2</v>
      </c>
      <c r="M147" s="434">
        <v>14.9</v>
      </c>
      <c r="N147" s="437" t="s">
        <v>481</v>
      </c>
      <c r="O147" s="437">
        <v>34</v>
      </c>
      <c r="P147" s="437">
        <v>4</v>
      </c>
      <c r="Q147" s="447">
        <v>18.399999999999999</v>
      </c>
      <c r="R147" s="437" t="s">
        <v>481</v>
      </c>
      <c r="S147" s="437">
        <v>46</v>
      </c>
      <c r="T147" s="436">
        <v>22.047244094488189</v>
      </c>
      <c r="U147" s="524">
        <v>116.14173228346458</v>
      </c>
      <c r="V147" s="387">
        <v>1.0782341376801485</v>
      </c>
    </row>
    <row r="148" spans="1:22">
      <c r="A148" s="437"/>
      <c r="B148" s="525" t="str">
        <f t="shared" si="9"/>
        <v>JOHN DEERE 8210, 16 PS  MFWD____________ 187 pto hp</v>
      </c>
      <c r="C148" s="437">
        <v>187.28405999999998</v>
      </c>
      <c r="D148" s="437" t="s">
        <v>495</v>
      </c>
      <c r="E148" s="437" t="s">
        <v>607</v>
      </c>
      <c r="F148" s="437" t="s">
        <v>497</v>
      </c>
      <c r="G148" s="437"/>
      <c r="H148" s="437">
        <v>5308</v>
      </c>
      <c r="I148" s="437" t="s">
        <v>600</v>
      </c>
      <c r="J148" s="522">
        <v>9254.9107999999997</v>
      </c>
      <c r="K148" s="522">
        <v>15249.218200000001</v>
      </c>
      <c r="L148" s="437">
        <v>2</v>
      </c>
      <c r="M148" s="434">
        <v>14.9</v>
      </c>
      <c r="N148" s="437" t="s">
        <v>481</v>
      </c>
      <c r="O148" s="437">
        <v>34</v>
      </c>
      <c r="P148" s="437">
        <v>4</v>
      </c>
      <c r="Q148" s="447">
        <v>18.399999999999999</v>
      </c>
      <c r="R148" s="437" t="s">
        <v>481</v>
      </c>
      <c r="S148" s="437">
        <v>46</v>
      </c>
      <c r="T148" s="436">
        <v>22.047244094488189</v>
      </c>
      <c r="U148" s="524">
        <v>116.14173228346458</v>
      </c>
      <c r="V148" s="387">
        <v>0.95348730144451699</v>
      </c>
    </row>
    <row r="149" spans="1:22">
      <c r="A149" s="437"/>
      <c r="B149" s="525" t="str">
        <f t="shared" si="9"/>
        <v>JOHN DEERE 8310, 16 PS  MFWD____________ 207 pto hp</v>
      </c>
      <c r="C149" s="437">
        <v>207.25155000000001</v>
      </c>
      <c r="D149" s="437" t="s">
        <v>495</v>
      </c>
      <c r="E149" s="437" t="s">
        <v>613</v>
      </c>
      <c r="F149" s="437" t="s">
        <v>497</v>
      </c>
      <c r="G149" s="437"/>
      <c r="H149" s="437">
        <v>5310</v>
      </c>
      <c r="I149" s="437" t="s">
        <v>600</v>
      </c>
      <c r="J149" s="522">
        <v>10449.804</v>
      </c>
      <c r="K149" s="522">
        <v>16715.2772</v>
      </c>
      <c r="L149" s="437">
        <v>2</v>
      </c>
      <c r="M149" s="437">
        <v>480</v>
      </c>
      <c r="N149" s="523" t="s">
        <v>614</v>
      </c>
      <c r="O149" s="437">
        <v>30</v>
      </c>
      <c r="P149" s="437">
        <v>4</v>
      </c>
      <c r="Q149" s="437">
        <v>620</v>
      </c>
      <c r="R149" s="485" t="s">
        <v>614</v>
      </c>
      <c r="S149" s="438">
        <v>42</v>
      </c>
      <c r="T149" s="436">
        <v>20.472440944881892</v>
      </c>
      <c r="U149" s="524">
        <v>116.14173228346458</v>
      </c>
      <c r="V149" s="387">
        <v>1.0784126955996358</v>
      </c>
    </row>
    <row r="150" spans="1:22">
      <c r="A150" s="437"/>
      <c r="B150" s="525" t="str">
        <f t="shared" si="9"/>
        <v>JOHN DEERE 8410, 16-SP-PPS  MFWD________ 237 pto hp</v>
      </c>
      <c r="C150" s="437">
        <v>237.07538999999997</v>
      </c>
      <c r="D150" s="437" t="s">
        <v>495</v>
      </c>
      <c r="E150" s="437" t="s">
        <v>621</v>
      </c>
      <c r="F150" s="437" t="s">
        <v>497</v>
      </c>
      <c r="G150" s="437"/>
      <c r="H150" s="437">
        <v>5312</v>
      </c>
      <c r="I150" s="437" t="s">
        <v>600</v>
      </c>
      <c r="J150" s="522">
        <v>11199.368</v>
      </c>
      <c r="K150" s="522">
        <v>19989.108200000002</v>
      </c>
      <c r="L150" s="437">
        <v>2</v>
      </c>
      <c r="M150" s="437">
        <v>600</v>
      </c>
      <c r="N150" s="523" t="s">
        <v>622</v>
      </c>
      <c r="O150" s="437">
        <v>30</v>
      </c>
      <c r="P150" s="437">
        <v>4</v>
      </c>
      <c r="Q150" s="437">
        <v>710</v>
      </c>
      <c r="R150" s="485" t="s">
        <v>614</v>
      </c>
      <c r="S150" s="27">
        <v>38</v>
      </c>
      <c r="T150" s="436">
        <v>21.062992125984252</v>
      </c>
      <c r="U150" s="524">
        <v>116.14173228346458</v>
      </c>
      <c r="V150" s="387">
        <v>1.0678778913642939</v>
      </c>
    </row>
    <row r="151" spans="1:22">
      <c r="B151" s="525" t="str">
        <f t="shared" si="9"/>
        <v>JOHN DEERE 7510, 16 SP,Quad-PPS  MFWD___ 115 pto hp</v>
      </c>
      <c r="C151" s="27">
        <v>115.07120999999999</v>
      </c>
      <c r="D151" s="27" t="s">
        <v>495</v>
      </c>
      <c r="E151" s="27" t="s">
        <v>571</v>
      </c>
      <c r="F151" s="27" t="s">
        <v>497</v>
      </c>
      <c r="H151" s="27">
        <v>5339</v>
      </c>
      <c r="I151" s="27" t="s">
        <v>529</v>
      </c>
      <c r="J151" s="522">
        <v>4724.4578000000001</v>
      </c>
      <c r="K151" s="522">
        <v>8730.2160000000003</v>
      </c>
      <c r="L151" s="27">
        <v>2</v>
      </c>
      <c r="M151" s="434">
        <v>14.9</v>
      </c>
      <c r="N151" s="27" t="s">
        <v>481</v>
      </c>
      <c r="O151" s="27">
        <v>28</v>
      </c>
      <c r="P151" s="27">
        <v>2</v>
      </c>
      <c r="Q151" s="447">
        <v>18.399999999999999</v>
      </c>
      <c r="R151" s="27" t="s">
        <v>481</v>
      </c>
      <c r="S151" s="27">
        <v>38</v>
      </c>
      <c r="T151" s="436">
        <v>22.047244094488189</v>
      </c>
      <c r="U151" s="524">
        <v>103.34645669291339</v>
      </c>
      <c r="V151" s="387">
        <v>0.95132631585494132</v>
      </c>
    </row>
    <row r="152" spans="1:22">
      <c r="B152" s="525" t="str">
        <f t="shared" si="9"/>
        <v>JOHN DEERE 7610, 20-SP,Quad-PPS  MFWD___ 121 pto hp</v>
      </c>
      <c r="C152" s="27">
        <v>120.62295</v>
      </c>
      <c r="D152" s="27" t="s">
        <v>495</v>
      </c>
      <c r="E152" s="27" t="s">
        <v>576</v>
      </c>
      <c r="F152" s="27" t="s">
        <v>497</v>
      </c>
      <c r="H152" s="27">
        <v>5340</v>
      </c>
      <c r="I152" s="27" t="s">
        <v>532</v>
      </c>
      <c r="J152" s="522">
        <v>4989.0097999999998</v>
      </c>
      <c r="K152" s="522">
        <v>9724.490600000001</v>
      </c>
      <c r="L152" s="27">
        <v>2</v>
      </c>
      <c r="M152" s="434">
        <v>14.9</v>
      </c>
      <c r="N152" s="27" t="s">
        <v>481</v>
      </c>
      <c r="O152" s="27">
        <v>30</v>
      </c>
      <c r="P152" s="27">
        <v>4</v>
      </c>
      <c r="Q152" s="447">
        <v>18.399999999999999</v>
      </c>
      <c r="R152" s="27" t="s">
        <v>481</v>
      </c>
      <c r="S152" s="438">
        <v>42</v>
      </c>
      <c r="T152" s="436">
        <v>24.606299212598426</v>
      </c>
      <c r="U152" s="524">
        <v>110.23622047244095</v>
      </c>
      <c r="V152" s="387">
        <v>0.9787927161859733</v>
      </c>
    </row>
    <row r="153" spans="1:22">
      <c r="B153" s="525" t="str">
        <f t="shared" si="9"/>
        <v>JOHN DEERE 7710, 20-SP,Quad-PPS  MFWD___ 138 pto hp</v>
      </c>
      <c r="C153" s="27">
        <v>137.84139000000002</v>
      </c>
      <c r="D153" s="27" t="s">
        <v>495</v>
      </c>
      <c r="E153" s="27" t="s">
        <v>586</v>
      </c>
      <c r="F153" s="27" t="s">
        <v>497</v>
      </c>
      <c r="H153" s="27">
        <v>5341</v>
      </c>
      <c r="I153" s="27" t="s">
        <v>532</v>
      </c>
      <c r="J153" s="522">
        <v>5275.6078000000007</v>
      </c>
      <c r="K153" s="522">
        <v>9969.2012000000013</v>
      </c>
      <c r="L153" s="27">
        <v>2</v>
      </c>
      <c r="M153" s="434">
        <v>14.9</v>
      </c>
      <c r="N153" s="27" t="s">
        <v>481</v>
      </c>
      <c r="O153" s="27">
        <v>30</v>
      </c>
      <c r="P153" s="27">
        <v>4</v>
      </c>
      <c r="Q153" s="447">
        <v>18.399999999999999</v>
      </c>
      <c r="R153" s="27" t="s">
        <v>481</v>
      </c>
      <c r="S153" s="438">
        <v>42</v>
      </c>
      <c r="T153" s="436">
        <v>24.015748031496063</v>
      </c>
      <c r="U153" s="524">
        <v>110.23622047244095</v>
      </c>
      <c r="V153" s="387">
        <v>0.99354302326283372</v>
      </c>
    </row>
  </sheetData>
  <printOptions gridLines="1" gridLinesSet="0"/>
  <pageMargins left="0.75" right="0.75" top="1" bottom="1" header="0.5" footer="0.5"/>
  <pageSetup orientation="portrait" horizontalDpi="4294967292" verticalDpi="300"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194" r:id="rId4" name="Button 2">
              <controlPr defaultSize="0" print="0" autoFill="0" autoLine="0" autoPict="0" macro="[0]!pickTractor">
                <anchor moveWithCells="1" sizeWithCells="1">
                  <from>
                    <xdr:col>2</xdr:col>
                    <xdr:colOff>9525</xdr:colOff>
                    <xdr:row>0</xdr:row>
                    <xdr:rowOff>0</xdr:rowOff>
                  </from>
                  <to>
                    <xdr:col>3</xdr:col>
                    <xdr:colOff>542925</xdr:colOff>
                    <xdr:row>0</xdr:row>
                    <xdr:rowOff>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35"/>
  <sheetViews>
    <sheetView workbookViewId="0">
      <selection activeCell="B7" sqref="B7:V156"/>
    </sheetView>
  </sheetViews>
  <sheetFormatPr defaultRowHeight="12"/>
  <cols>
    <col min="1" max="1" width="9" style="363"/>
    <col min="2" max="2" width="52.625" style="363" customWidth="1"/>
    <col min="3" max="16384" width="9" style="363"/>
  </cols>
  <sheetData>
    <row r="1" spans="1:26" s="49" customFormat="1" ht="16.5" thickTop="1">
      <c r="A1" s="356"/>
      <c r="B1" s="50" t="s">
        <v>472</v>
      </c>
      <c r="C1" s="357"/>
      <c r="D1" s="51"/>
      <c r="F1" s="51"/>
      <c r="G1" s="51"/>
      <c r="H1" s="51"/>
      <c r="J1" s="51"/>
      <c r="K1" s="51"/>
      <c r="L1" s="52" t="s">
        <v>473</v>
      </c>
      <c r="M1" s="53"/>
      <c r="N1" s="53"/>
      <c r="P1" s="52" t="s">
        <v>474</v>
      </c>
      <c r="Q1" s="53"/>
      <c r="R1" s="53"/>
      <c r="T1" s="51" t="s">
        <v>475</v>
      </c>
      <c r="U1" s="51" t="s">
        <v>476</v>
      </c>
      <c r="V1" s="51" t="s">
        <v>477</v>
      </c>
    </row>
    <row r="2" spans="1:26" s="27" customFormat="1" ht="12.75">
      <c r="A2" s="40">
        <v>1</v>
      </c>
      <c r="B2" s="382" t="s">
        <v>839</v>
      </c>
      <c r="C2" s="40">
        <v>3</v>
      </c>
      <c r="D2" s="27">
        <v>4</v>
      </c>
      <c r="E2" s="27">
        <v>5</v>
      </c>
      <c r="F2" s="27">
        <v>6</v>
      </c>
      <c r="G2" s="27">
        <v>7</v>
      </c>
      <c r="H2" s="27">
        <v>8</v>
      </c>
      <c r="I2" s="27">
        <v>9</v>
      </c>
      <c r="J2" s="27">
        <v>10</v>
      </c>
      <c r="K2" s="27">
        <v>11</v>
      </c>
      <c r="L2" s="27">
        <v>12</v>
      </c>
      <c r="M2" s="27">
        <v>13</v>
      </c>
      <c r="N2" s="27">
        <v>14</v>
      </c>
      <c r="O2" s="27">
        <v>15</v>
      </c>
      <c r="P2" s="27">
        <v>16</v>
      </c>
      <c r="Q2" s="27">
        <v>17</v>
      </c>
      <c r="R2" s="27">
        <v>18</v>
      </c>
      <c r="S2" s="27">
        <v>19</v>
      </c>
      <c r="T2" s="27">
        <v>20</v>
      </c>
      <c r="U2" s="27">
        <v>21</v>
      </c>
      <c r="V2" s="27">
        <v>22</v>
      </c>
    </row>
    <row r="3" spans="1:26" s="29" customFormat="1" ht="38.25">
      <c r="A3" s="43"/>
      <c r="C3" s="358" t="s">
        <v>478</v>
      </c>
      <c r="D3" s="34"/>
      <c r="E3" s="32"/>
      <c r="F3" s="32"/>
      <c r="G3" s="32" t="s">
        <v>479</v>
      </c>
      <c r="H3" s="32" t="s">
        <v>480</v>
      </c>
      <c r="I3" s="32" t="s">
        <v>481</v>
      </c>
      <c r="J3" s="54" t="s">
        <v>482</v>
      </c>
      <c r="K3" s="54"/>
      <c r="L3" s="29" t="s">
        <v>483</v>
      </c>
      <c r="N3" s="29" t="s">
        <v>484</v>
      </c>
      <c r="P3" s="32" t="s">
        <v>483</v>
      </c>
      <c r="R3" s="29" t="s">
        <v>484</v>
      </c>
      <c r="T3" s="32" t="s">
        <v>485</v>
      </c>
      <c r="U3" s="32" t="s">
        <v>486</v>
      </c>
      <c r="V3" s="32" t="s">
        <v>487</v>
      </c>
    </row>
    <row r="4" spans="1:26" s="29" customFormat="1" ht="12.75">
      <c r="A4" s="43"/>
      <c r="C4" s="358"/>
      <c r="D4" s="34"/>
      <c r="E4" s="32"/>
      <c r="F4" s="32"/>
      <c r="G4" s="32"/>
      <c r="H4" s="32"/>
      <c r="I4" s="32"/>
      <c r="J4" s="54"/>
      <c r="K4" s="54"/>
      <c r="P4" s="32"/>
      <c r="T4" s="32"/>
      <c r="U4" s="32"/>
      <c r="V4" s="32"/>
    </row>
    <row r="5" spans="1:26" s="55" customFormat="1" ht="13.5" thickBot="1">
      <c r="A5" s="359"/>
      <c r="B5" s="55" t="s">
        <v>422</v>
      </c>
      <c r="C5" s="360" t="s">
        <v>423</v>
      </c>
      <c r="D5" s="57" t="s">
        <v>425</v>
      </c>
      <c r="E5" s="56" t="s">
        <v>300</v>
      </c>
      <c r="F5" s="56" t="s">
        <v>428</v>
      </c>
      <c r="G5" s="56" t="s">
        <v>430</v>
      </c>
      <c r="H5" s="56" t="s">
        <v>433</v>
      </c>
      <c r="I5" s="56"/>
      <c r="J5" s="56" t="s">
        <v>488</v>
      </c>
      <c r="K5" s="56" t="s">
        <v>489</v>
      </c>
      <c r="L5" s="55" t="s">
        <v>490</v>
      </c>
      <c r="M5" s="55" t="s">
        <v>491</v>
      </c>
      <c r="N5" s="55" t="s">
        <v>492</v>
      </c>
      <c r="O5" s="55" t="s">
        <v>493</v>
      </c>
      <c r="P5" s="56" t="s">
        <v>490</v>
      </c>
      <c r="Q5" s="55" t="s">
        <v>491</v>
      </c>
      <c r="R5" s="55" t="s">
        <v>492</v>
      </c>
      <c r="S5" s="55" t="s">
        <v>493</v>
      </c>
      <c r="T5" s="56" t="s">
        <v>494</v>
      </c>
      <c r="U5" s="56" t="s">
        <v>465</v>
      </c>
      <c r="V5" s="56" t="s">
        <v>467</v>
      </c>
      <c r="W5" t="s">
        <v>420</v>
      </c>
    </row>
    <row r="6" spans="1:26" s="29" customFormat="1" ht="12.75">
      <c r="A6" s="361"/>
      <c r="C6" s="358"/>
      <c r="D6" s="34"/>
      <c r="E6" s="32"/>
      <c r="F6" s="32"/>
      <c r="G6" s="32"/>
      <c r="H6" s="32"/>
      <c r="I6" s="32"/>
      <c r="J6" s="32"/>
      <c r="K6" s="32"/>
      <c r="P6" s="32"/>
      <c r="T6" s="32"/>
      <c r="U6" s="32"/>
      <c r="V6" s="32"/>
      <c r="X6" s="362" t="s">
        <v>432</v>
      </c>
    </row>
    <row r="7" spans="1:26" ht="12.75">
      <c r="A7" s="361">
        <v>1</v>
      </c>
      <c r="B7" s="42" t="str">
        <f t="shared" ref="B7:B22" si="0">CONCATENATE( LEFT(CONCATENATE(D7," ",E7," ",G7," ",F7,$W$5),40)," ",FIXED(C7,0)," pto hp")</f>
        <v>CASE MX 100,  16-SP, PPS  MFWD__________ 86 pto hp</v>
      </c>
      <c r="C7" s="352">
        <v>85.823999999999998</v>
      </c>
      <c r="D7" s="42" t="s">
        <v>839</v>
      </c>
      <c r="E7" s="42" t="s">
        <v>840</v>
      </c>
      <c r="F7" s="42" t="s">
        <v>497</v>
      </c>
      <c r="G7" s="291"/>
      <c r="H7" s="353">
        <v>5256</v>
      </c>
      <c r="I7" s="38" t="s">
        <v>817</v>
      </c>
      <c r="J7" s="58">
        <v>5324.1090000000004</v>
      </c>
      <c r="K7" s="58">
        <v>7672.0080000000007</v>
      </c>
      <c r="L7" s="354">
        <v>2</v>
      </c>
      <c r="M7" s="352">
        <v>16.899999999999999</v>
      </c>
      <c r="N7" s="41" t="s">
        <v>481</v>
      </c>
      <c r="O7" s="41">
        <v>28</v>
      </c>
      <c r="P7" s="354">
        <v>2</v>
      </c>
      <c r="Q7" s="41">
        <v>20.8</v>
      </c>
      <c r="R7" s="41" t="s">
        <v>481</v>
      </c>
      <c r="S7" s="41">
        <v>38</v>
      </c>
      <c r="T7" s="46">
        <v>16.929133858267718</v>
      </c>
      <c r="U7" s="46">
        <v>106.2992125984252</v>
      </c>
      <c r="V7" s="47">
        <v>0.95355422536630585</v>
      </c>
      <c r="X7" s="364">
        <v>0.8</v>
      </c>
      <c r="Y7" s="363">
        <f t="array" ref="Y7:Y20">FREQUENCY(V7:V133,X7:X20)</f>
        <v>2</v>
      </c>
      <c r="Z7" s="365">
        <f t="shared" ref="Z7:Z20" si="1">Y7/$Y$21</f>
        <v>1.6528925619834711E-2</v>
      </c>
    </row>
    <row r="8" spans="1:26" ht="12.75">
      <c r="A8" s="361">
        <f t="shared" ref="A8:A39" si="2">A7+1</f>
        <v>2</v>
      </c>
      <c r="B8" s="42" t="str">
        <f t="shared" si="0"/>
        <v>CASE MX 110,  16-SP, PPS  MFWD__________ 97 pto hp</v>
      </c>
      <c r="C8" s="352">
        <v>97.088400000000007</v>
      </c>
      <c r="D8" s="42" t="s">
        <v>839</v>
      </c>
      <c r="E8" s="42" t="s">
        <v>841</v>
      </c>
      <c r="F8" s="42" t="s">
        <v>497</v>
      </c>
      <c r="G8" s="291"/>
      <c r="H8" s="353">
        <v>5257</v>
      </c>
      <c r="I8" s="38" t="s">
        <v>817</v>
      </c>
      <c r="J8" s="58">
        <v>5324.1090000000004</v>
      </c>
      <c r="K8" s="58">
        <v>7672.0080000000007</v>
      </c>
      <c r="L8" s="354">
        <v>2</v>
      </c>
      <c r="M8" s="352">
        <v>16.899999999999999</v>
      </c>
      <c r="N8" s="41" t="s">
        <v>481</v>
      </c>
      <c r="O8" s="41">
        <v>28</v>
      </c>
      <c r="P8" s="354">
        <v>2</v>
      </c>
      <c r="Q8" s="41">
        <v>20.8</v>
      </c>
      <c r="R8" s="41" t="s">
        <v>481</v>
      </c>
      <c r="S8" s="41">
        <v>38</v>
      </c>
      <c r="T8" s="46">
        <v>16.929133858267718</v>
      </c>
      <c r="U8" s="46">
        <v>106.2992125984252</v>
      </c>
      <c r="V8" s="47">
        <v>0.87298541078807301</v>
      </c>
      <c r="X8" s="364">
        <v>0.82</v>
      </c>
      <c r="Y8" s="363">
        <v>1</v>
      </c>
      <c r="Z8" s="365">
        <f t="shared" si="1"/>
        <v>8.2644628099173556E-3</v>
      </c>
    </row>
    <row r="9" spans="1:26" ht="12.75">
      <c r="A9" s="361">
        <f t="shared" si="2"/>
        <v>3</v>
      </c>
      <c r="B9" s="42" t="str">
        <f t="shared" si="0"/>
        <v>CASE MX 120,  16-SP, PPS  MFWD__________ 106 pto hp</v>
      </c>
      <c r="C9" s="352">
        <v>106.2072</v>
      </c>
      <c r="D9" s="42" t="s">
        <v>839</v>
      </c>
      <c r="E9" s="42" t="s">
        <v>842</v>
      </c>
      <c r="F9" s="42" t="s">
        <v>497</v>
      </c>
      <c r="G9" s="291"/>
      <c r="H9" s="353">
        <v>5258</v>
      </c>
      <c r="I9" s="38" t="s">
        <v>817</v>
      </c>
      <c r="J9" s="58">
        <v>5324.1090000000004</v>
      </c>
      <c r="K9" s="58">
        <v>7672.0080000000007</v>
      </c>
      <c r="L9" s="354">
        <v>2</v>
      </c>
      <c r="M9" s="352">
        <v>16.899999999999999</v>
      </c>
      <c r="N9" s="41" t="s">
        <v>481</v>
      </c>
      <c r="O9" s="41">
        <v>28</v>
      </c>
      <c r="P9" s="354">
        <v>2</v>
      </c>
      <c r="Q9" s="41">
        <v>20.8</v>
      </c>
      <c r="R9" s="41" t="s">
        <v>481</v>
      </c>
      <c r="S9" s="41">
        <v>38</v>
      </c>
      <c r="T9" s="46">
        <v>19.685039370078741</v>
      </c>
      <c r="U9" s="46">
        <v>106.2992125984252</v>
      </c>
      <c r="V9" s="47">
        <v>0.96496740792042801</v>
      </c>
      <c r="X9" s="364">
        <v>0.84</v>
      </c>
      <c r="Y9" s="363">
        <v>1</v>
      </c>
      <c r="Z9" s="365">
        <f t="shared" si="1"/>
        <v>8.2644628099173556E-3</v>
      </c>
    </row>
    <row r="10" spans="1:26" ht="12.75">
      <c r="A10" s="361">
        <f t="shared" si="2"/>
        <v>4</v>
      </c>
      <c r="B10" s="42" t="str">
        <f t="shared" si="0"/>
        <v>CASE 2090-M  2WD________________________ 109 pto hp</v>
      </c>
      <c r="C10" s="352">
        <v>108.74169000000001</v>
      </c>
      <c r="D10" s="42" t="s">
        <v>839</v>
      </c>
      <c r="E10" s="42" t="s">
        <v>843</v>
      </c>
      <c r="F10" s="42" t="s">
        <v>507</v>
      </c>
      <c r="G10" s="291"/>
      <c r="H10" s="353">
        <v>1304</v>
      </c>
      <c r="I10" s="38">
        <v>0</v>
      </c>
      <c r="J10" s="58">
        <v>3300.2862</v>
      </c>
      <c r="K10" s="58">
        <v>8608.9629999999997</v>
      </c>
      <c r="L10" s="354">
        <v>2</v>
      </c>
      <c r="M10" s="352">
        <v>11</v>
      </c>
      <c r="N10" s="354" t="s">
        <v>499</v>
      </c>
      <c r="O10" s="41">
        <v>16</v>
      </c>
      <c r="P10" s="354">
        <v>2</v>
      </c>
      <c r="Q10" s="41">
        <v>20.8</v>
      </c>
      <c r="R10" s="354" t="s">
        <v>500</v>
      </c>
      <c r="S10" s="41">
        <v>38</v>
      </c>
      <c r="T10" s="46">
        <v>21.062992125984252</v>
      </c>
      <c r="U10" s="46">
        <v>104.01574803149607</v>
      </c>
      <c r="V10" s="47">
        <v>0.92627146335802135</v>
      </c>
      <c r="X10" s="364">
        <v>0.86</v>
      </c>
      <c r="Y10" s="363">
        <v>1</v>
      </c>
      <c r="Z10" s="365">
        <f t="shared" si="1"/>
        <v>8.2644628099173556E-3</v>
      </c>
    </row>
    <row r="11" spans="1:26" ht="12.75">
      <c r="A11" s="361">
        <f t="shared" si="2"/>
        <v>5</v>
      </c>
      <c r="B11" s="42" t="str">
        <f t="shared" si="0"/>
        <v>CASE MX 135,  16-SP, PPS  MFWD__________ 121 pto hp</v>
      </c>
      <c r="C11" s="352">
        <v>121.3605</v>
      </c>
      <c r="D11" s="42" t="s">
        <v>839</v>
      </c>
      <c r="E11" s="42" t="s">
        <v>844</v>
      </c>
      <c r="F11" s="42" t="s">
        <v>497</v>
      </c>
      <c r="G11" s="291"/>
      <c r="H11" s="353">
        <v>5259</v>
      </c>
      <c r="I11" s="38" t="s">
        <v>817</v>
      </c>
      <c r="J11" s="58">
        <v>5335.1320000000005</v>
      </c>
      <c r="K11" s="58">
        <v>7683.0309999999999</v>
      </c>
      <c r="L11" s="354">
        <v>2</v>
      </c>
      <c r="M11" s="352">
        <v>16.899999999999999</v>
      </c>
      <c r="N11" s="41" t="s">
        <v>481</v>
      </c>
      <c r="O11" s="41">
        <v>28</v>
      </c>
      <c r="P11" s="354">
        <v>2</v>
      </c>
      <c r="Q11" s="41">
        <v>20.8</v>
      </c>
      <c r="R11" s="41" t="s">
        <v>481</v>
      </c>
      <c r="S11" s="41">
        <v>38</v>
      </c>
      <c r="T11" s="46">
        <v>16.929133858267718</v>
      </c>
      <c r="U11" s="46">
        <v>106.2992125984252</v>
      </c>
      <c r="V11" s="47">
        <v>0.96206555474603972</v>
      </c>
      <c r="X11" s="364">
        <v>0.88</v>
      </c>
      <c r="Y11" s="363">
        <v>5</v>
      </c>
      <c r="Z11" s="365">
        <f t="shared" si="1"/>
        <v>4.1322314049586778E-2</v>
      </c>
    </row>
    <row r="12" spans="1:26" ht="12.75">
      <c r="A12" s="361">
        <f t="shared" si="2"/>
        <v>6</v>
      </c>
      <c r="B12" s="42" t="str">
        <f t="shared" si="0"/>
        <v>CASE MX 150,  16-SP, PPS  MFWD__________ 131 pto hp</v>
      </c>
      <c r="C12" s="352">
        <v>130.61340000000001</v>
      </c>
      <c r="D12" s="42" t="s">
        <v>839</v>
      </c>
      <c r="E12" s="42" t="s">
        <v>845</v>
      </c>
      <c r="F12" s="42" t="s">
        <v>497</v>
      </c>
      <c r="G12" s="291"/>
      <c r="H12" s="353">
        <v>5268</v>
      </c>
      <c r="I12" s="38" t="s">
        <v>500</v>
      </c>
      <c r="J12" s="58">
        <v>6613.8</v>
      </c>
      <c r="K12" s="58">
        <v>9799.4470000000001</v>
      </c>
      <c r="L12" s="354">
        <v>2</v>
      </c>
      <c r="M12" s="352">
        <v>480</v>
      </c>
      <c r="N12" s="291" t="s">
        <v>614</v>
      </c>
      <c r="O12" s="41">
        <v>30</v>
      </c>
      <c r="P12" s="354">
        <v>2</v>
      </c>
      <c r="Q12" s="41">
        <v>20.8</v>
      </c>
      <c r="R12" s="41" t="s">
        <v>481</v>
      </c>
      <c r="S12" s="41">
        <v>42</v>
      </c>
      <c r="T12" s="46">
        <v>14.960629921259843</v>
      </c>
      <c r="U12" s="46">
        <v>112.20472440944883</v>
      </c>
      <c r="V12" s="47">
        <v>1.1389088466938058</v>
      </c>
      <c r="X12" s="364">
        <v>0.9</v>
      </c>
      <c r="Y12" s="363">
        <v>8</v>
      </c>
      <c r="Z12" s="365">
        <f t="shared" si="1"/>
        <v>6.6115702479338845E-2</v>
      </c>
    </row>
    <row r="13" spans="1:26" ht="12.75">
      <c r="A13" s="361">
        <f t="shared" si="2"/>
        <v>7</v>
      </c>
      <c r="B13" s="42" t="str">
        <f t="shared" si="0"/>
        <v>CASE MX 170,  16-SP, PPS  MFWD__________ 146 pto hp</v>
      </c>
      <c r="C13" s="352">
        <v>146.16899999999998</v>
      </c>
      <c r="D13" s="42" t="s">
        <v>839</v>
      </c>
      <c r="E13" s="42" t="s">
        <v>846</v>
      </c>
      <c r="F13" s="42" t="s">
        <v>497</v>
      </c>
      <c r="G13" s="291"/>
      <c r="H13" s="353">
        <v>5269</v>
      </c>
      <c r="I13" s="38" t="s">
        <v>500</v>
      </c>
      <c r="J13" s="58">
        <v>6613.8</v>
      </c>
      <c r="K13" s="58">
        <v>9799.4470000000001</v>
      </c>
      <c r="L13" s="354">
        <v>2</v>
      </c>
      <c r="M13" s="352">
        <v>480</v>
      </c>
      <c r="N13" s="291" t="s">
        <v>614</v>
      </c>
      <c r="O13" s="41">
        <v>30</v>
      </c>
      <c r="P13" s="354">
        <v>2</v>
      </c>
      <c r="Q13" s="41">
        <v>20.8</v>
      </c>
      <c r="R13" s="41" t="s">
        <v>481</v>
      </c>
      <c r="S13" s="41">
        <v>42</v>
      </c>
      <c r="T13" s="46">
        <v>14.960629921259843</v>
      </c>
      <c r="U13" s="46">
        <v>112.20472440944883</v>
      </c>
      <c r="V13" s="47">
        <v>1.0971380222042129</v>
      </c>
      <c r="X13" s="364">
        <v>0.91999999999999904</v>
      </c>
      <c r="Y13" s="363">
        <v>14</v>
      </c>
      <c r="Z13" s="365">
        <f t="shared" si="1"/>
        <v>0.11570247933884298</v>
      </c>
    </row>
    <row r="14" spans="1:26" ht="12.75">
      <c r="A14" s="361">
        <f t="shared" si="2"/>
        <v>8</v>
      </c>
      <c r="B14" s="42" t="str">
        <f t="shared" si="0"/>
        <v>CASE 2390-PS  2WD_______________________ 161 pto hp</v>
      </c>
      <c r="C14" s="352">
        <v>160.71884999999997</v>
      </c>
      <c r="D14" s="42" t="s">
        <v>839</v>
      </c>
      <c r="E14" s="42" t="s">
        <v>847</v>
      </c>
      <c r="F14" s="42" t="s">
        <v>507</v>
      </c>
      <c r="G14" s="291"/>
      <c r="H14" s="353">
        <v>1302</v>
      </c>
      <c r="I14" s="38">
        <v>0</v>
      </c>
      <c r="J14" s="58">
        <v>4080.7146000000002</v>
      </c>
      <c r="K14" s="58">
        <v>11510.2166</v>
      </c>
      <c r="L14" s="354">
        <v>2</v>
      </c>
      <c r="M14" s="352">
        <v>16.5</v>
      </c>
      <c r="N14" s="354" t="s">
        <v>499</v>
      </c>
      <c r="O14" s="41">
        <v>16.100000000000001</v>
      </c>
      <c r="P14" s="354">
        <v>4</v>
      </c>
      <c r="Q14" s="41">
        <v>20.8</v>
      </c>
      <c r="R14" s="354" t="s">
        <v>500</v>
      </c>
      <c r="S14" s="41">
        <v>38</v>
      </c>
      <c r="T14" s="46">
        <v>22.047244094488189</v>
      </c>
      <c r="U14" s="46">
        <v>104.01574803149607</v>
      </c>
      <c r="V14" s="47">
        <v>0.92637849565552821</v>
      </c>
      <c r="X14" s="364">
        <v>0.93999999999999895</v>
      </c>
      <c r="Y14" s="363">
        <v>41</v>
      </c>
      <c r="Z14" s="365">
        <f t="shared" si="1"/>
        <v>0.33884297520661155</v>
      </c>
    </row>
    <row r="15" spans="1:26" ht="12.75">
      <c r="A15" s="361">
        <f t="shared" si="2"/>
        <v>9</v>
      </c>
      <c r="B15" s="42" t="str">
        <f t="shared" si="0"/>
        <v>CASE 2590-PS  2WD_______________________ 180 pto hp</v>
      </c>
      <c r="C15" s="352">
        <v>180.37790999999999</v>
      </c>
      <c r="D15" s="42" t="s">
        <v>839</v>
      </c>
      <c r="E15" s="42" t="s">
        <v>848</v>
      </c>
      <c r="F15" s="42" t="s">
        <v>507</v>
      </c>
      <c r="G15" s="291"/>
      <c r="H15" s="353">
        <v>1303</v>
      </c>
      <c r="I15" s="38">
        <v>0</v>
      </c>
      <c r="J15" s="58">
        <v>4100.5560000000005</v>
      </c>
      <c r="K15" s="58">
        <v>11640.288</v>
      </c>
      <c r="L15" s="354">
        <v>2</v>
      </c>
      <c r="M15" s="352">
        <v>16.5</v>
      </c>
      <c r="N15" s="354" t="s">
        <v>499</v>
      </c>
      <c r="O15" s="41">
        <v>16.100000000000001</v>
      </c>
      <c r="P15" s="354">
        <v>4</v>
      </c>
      <c r="Q15" s="41">
        <v>20.8</v>
      </c>
      <c r="R15" s="354" t="s">
        <v>500</v>
      </c>
      <c r="S15" s="41">
        <v>38</v>
      </c>
      <c r="T15" s="46">
        <v>22.047244094488189</v>
      </c>
      <c r="U15" s="46">
        <v>104.01574803149607</v>
      </c>
      <c r="V15" s="47">
        <v>0.91843211214092058</v>
      </c>
      <c r="X15" s="364">
        <v>0.95999999999999897</v>
      </c>
      <c r="Y15" s="363">
        <v>23</v>
      </c>
      <c r="Z15" s="365">
        <f t="shared" si="1"/>
        <v>0.19008264462809918</v>
      </c>
    </row>
    <row r="16" spans="1:26" ht="12.75">
      <c r="A16" s="361">
        <f t="shared" si="2"/>
        <v>10</v>
      </c>
      <c r="B16" s="42" t="str">
        <f t="shared" si="0"/>
        <v>CASE-IH CX 50 &amp; C-50,  16-SP, PPS  MFWD_ 43 pto hp</v>
      </c>
      <c r="C16" s="352">
        <v>42.509699999999995</v>
      </c>
      <c r="D16" s="42" t="s">
        <v>849</v>
      </c>
      <c r="E16" s="42" t="s">
        <v>850</v>
      </c>
      <c r="F16" s="42" t="s">
        <v>497</v>
      </c>
      <c r="G16" s="291"/>
      <c r="H16" s="353">
        <v>5324</v>
      </c>
      <c r="I16" s="38" t="s">
        <v>817</v>
      </c>
      <c r="J16" s="58">
        <v>3152.578</v>
      </c>
      <c r="K16" s="58">
        <v>4607.6140000000005</v>
      </c>
      <c r="L16" s="354">
        <v>2</v>
      </c>
      <c r="M16" s="352">
        <v>12.4</v>
      </c>
      <c r="N16" s="41" t="s">
        <v>481</v>
      </c>
      <c r="O16" s="41">
        <v>24</v>
      </c>
      <c r="P16" s="354">
        <v>2</v>
      </c>
      <c r="Q16" s="41">
        <v>16.899999999999999</v>
      </c>
      <c r="R16" s="41" t="s">
        <v>481</v>
      </c>
      <c r="S16" s="41">
        <v>34</v>
      </c>
      <c r="T16" s="46">
        <v>14.960629921259843</v>
      </c>
      <c r="U16" s="46">
        <v>87.165354330708666</v>
      </c>
      <c r="V16" s="47">
        <v>0.90027147381116013</v>
      </c>
      <c r="X16" s="364">
        <v>0.97999999999999898</v>
      </c>
      <c r="Y16" s="363">
        <v>13</v>
      </c>
      <c r="Z16" s="365">
        <f t="shared" si="1"/>
        <v>0.10743801652892562</v>
      </c>
    </row>
    <row r="17" spans="1:26" ht="12.75">
      <c r="A17" s="361">
        <f t="shared" si="2"/>
        <v>11</v>
      </c>
      <c r="B17" s="42" t="str">
        <f t="shared" si="0"/>
        <v>CASE-IH 495/485-8 SP  MFWD______________ 43 pto hp</v>
      </c>
      <c r="C17" s="352">
        <v>43.046100000000003</v>
      </c>
      <c r="D17" s="42" t="s">
        <v>849</v>
      </c>
      <c r="E17" s="42" t="s">
        <v>851</v>
      </c>
      <c r="F17" s="42" t="s">
        <v>497</v>
      </c>
      <c r="G17" s="291"/>
      <c r="H17" s="353">
        <v>5022</v>
      </c>
      <c r="I17" s="38">
        <v>0</v>
      </c>
      <c r="J17" s="58">
        <v>2519.8578000000002</v>
      </c>
      <c r="K17" s="58">
        <v>3955.0524</v>
      </c>
      <c r="L17" s="354">
        <v>2</v>
      </c>
      <c r="M17" s="352">
        <v>8.3000000000000007</v>
      </c>
      <c r="N17" s="354" t="s">
        <v>500</v>
      </c>
      <c r="O17" s="41">
        <v>24</v>
      </c>
      <c r="P17" s="354">
        <v>2</v>
      </c>
      <c r="Q17" s="41">
        <v>12.4</v>
      </c>
      <c r="R17" s="41" t="s">
        <v>481</v>
      </c>
      <c r="S17" s="41">
        <v>32</v>
      </c>
      <c r="T17" s="46">
        <v>10.393700787401576</v>
      </c>
      <c r="U17" s="46">
        <v>83.188976377952756</v>
      </c>
      <c r="V17" s="47">
        <v>0.92170198172832551</v>
      </c>
      <c r="X17" s="364">
        <v>0.999999999999999</v>
      </c>
      <c r="Y17" s="363">
        <v>6</v>
      </c>
      <c r="Z17" s="365">
        <f t="shared" si="1"/>
        <v>4.9586776859504134E-2</v>
      </c>
    </row>
    <row r="18" spans="1:26" ht="12.75">
      <c r="A18" s="361">
        <f t="shared" si="2"/>
        <v>12</v>
      </c>
      <c r="B18" s="42" t="str">
        <f t="shared" si="0"/>
        <v>CASE-IH 595/585/584-8 SP  MFWD__________ 50 pto hp</v>
      </c>
      <c r="C18" s="352">
        <v>49.885200000000005</v>
      </c>
      <c r="D18" s="42" t="s">
        <v>849</v>
      </c>
      <c r="E18" s="42" t="s">
        <v>852</v>
      </c>
      <c r="F18" s="42" t="s">
        <v>497</v>
      </c>
      <c r="G18" s="291"/>
      <c r="H18" s="353">
        <v>5039</v>
      </c>
      <c r="I18" s="38" t="s">
        <v>556</v>
      </c>
      <c r="J18" s="58">
        <v>1785.7260000000001</v>
      </c>
      <c r="K18" s="58">
        <v>3218.7160000000003</v>
      </c>
      <c r="L18" s="354">
        <v>2</v>
      </c>
      <c r="M18" s="352">
        <v>6</v>
      </c>
      <c r="N18" s="354" t="s">
        <v>500</v>
      </c>
      <c r="O18" s="41">
        <v>16</v>
      </c>
      <c r="P18" s="354">
        <v>2</v>
      </c>
      <c r="Q18" s="41">
        <v>13.6</v>
      </c>
      <c r="R18" s="41" t="s">
        <v>481</v>
      </c>
      <c r="S18" s="41">
        <v>36</v>
      </c>
      <c r="T18" s="46">
        <v>16.377952755905511</v>
      </c>
      <c r="U18" s="46">
        <v>84.488188976377955</v>
      </c>
      <c r="V18" s="47">
        <v>1.0597304383838264</v>
      </c>
      <c r="X18" s="364">
        <v>1.02</v>
      </c>
      <c r="Y18" s="363">
        <v>3</v>
      </c>
      <c r="Z18" s="365">
        <f t="shared" si="1"/>
        <v>2.4793388429752067E-2</v>
      </c>
    </row>
    <row r="19" spans="1:26" ht="12.75">
      <c r="A19" s="361">
        <f t="shared" si="2"/>
        <v>13</v>
      </c>
      <c r="B19" s="42" t="str">
        <f t="shared" si="0"/>
        <v>CASE-IH CX 60 &amp; C-60,  16-SP, PPS  MFWD_ 56 pto hp</v>
      </c>
      <c r="C19" s="352">
        <v>56.187899999999999</v>
      </c>
      <c r="D19" s="42" t="s">
        <v>849</v>
      </c>
      <c r="E19" s="42" t="s">
        <v>853</v>
      </c>
      <c r="F19" s="42" t="s">
        <v>497</v>
      </c>
      <c r="G19" s="291"/>
      <c r="H19" s="353">
        <v>5325</v>
      </c>
      <c r="I19" s="38" t="s">
        <v>817</v>
      </c>
      <c r="J19" s="58">
        <v>3174.6240000000003</v>
      </c>
      <c r="K19" s="58">
        <v>4596.5910000000003</v>
      </c>
      <c r="L19" s="354">
        <v>2</v>
      </c>
      <c r="M19" s="352">
        <v>13.6</v>
      </c>
      <c r="N19" s="41" t="s">
        <v>481</v>
      </c>
      <c r="O19" s="41">
        <v>24</v>
      </c>
      <c r="P19" s="354">
        <v>2</v>
      </c>
      <c r="Q19" s="41">
        <v>18.399999999999999</v>
      </c>
      <c r="R19" s="41" t="s">
        <v>481</v>
      </c>
      <c r="S19" s="41">
        <v>34</v>
      </c>
      <c r="T19" s="46">
        <v>15.748031496062993</v>
      </c>
      <c r="U19" s="46">
        <v>87.165354330708666</v>
      </c>
      <c r="V19" s="47">
        <v>0.93123829729041874</v>
      </c>
      <c r="X19" s="364">
        <v>1.04</v>
      </c>
      <c r="Y19" s="363">
        <v>0</v>
      </c>
      <c r="Z19" s="365">
        <f t="shared" si="1"/>
        <v>0</v>
      </c>
    </row>
    <row r="20" spans="1:26" ht="12.75">
      <c r="A20" s="361">
        <f t="shared" si="2"/>
        <v>14</v>
      </c>
      <c r="B20" s="42" t="str">
        <f t="shared" si="0"/>
        <v>CASE-IH CX 70 &amp; C-70,  16-SP, PPS  MFWD_ 60 pto hp</v>
      </c>
      <c r="C20" s="352">
        <v>59.674500000000002</v>
      </c>
      <c r="D20" s="42" t="s">
        <v>849</v>
      </c>
      <c r="E20" s="42" t="s">
        <v>854</v>
      </c>
      <c r="F20" s="42" t="s">
        <v>497</v>
      </c>
      <c r="G20" s="291"/>
      <c r="H20" s="353">
        <v>5326</v>
      </c>
      <c r="I20" s="38" t="s">
        <v>817</v>
      </c>
      <c r="J20" s="58">
        <v>3240.7620000000002</v>
      </c>
      <c r="K20" s="58">
        <v>5026.4880000000003</v>
      </c>
      <c r="L20" s="354">
        <v>2</v>
      </c>
      <c r="M20" s="352">
        <v>13.6</v>
      </c>
      <c r="N20" s="41" t="s">
        <v>481</v>
      </c>
      <c r="O20" s="41">
        <v>24</v>
      </c>
      <c r="P20" s="354">
        <v>2</v>
      </c>
      <c r="Q20" s="41">
        <v>18.399999999999999</v>
      </c>
      <c r="R20" s="41" t="s">
        <v>481</v>
      </c>
      <c r="S20" s="41">
        <v>34</v>
      </c>
      <c r="T20" s="46">
        <v>15.748031496062993</v>
      </c>
      <c r="U20" s="46">
        <v>92.755905511811022</v>
      </c>
      <c r="V20" s="47">
        <v>0.90943820677626575</v>
      </c>
      <c r="X20" s="364">
        <v>1.06</v>
      </c>
      <c r="Y20" s="363">
        <v>3</v>
      </c>
      <c r="Z20" s="365">
        <f t="shared" si="1"/>
        <v>2.4793388429752067E-2</v>
      </c>
    </row>
    <row r="21" spans="1:26" ht="12.75">
      <c r="A21" s="361">
        <f t="shared" si="2"/>
        <v>15</v>
      </c>
      <c r="B21" s="42" t="str">
        <f t="shared" si="0"/>
        <v>CASE-IH 695-8/16 SP  2WD________________ 61 pto hp</v>
      </c>
      <c r="C21" s="352">
        <v>61.028909999999996</v>
      </c>
      <c r="D21" s="42" t="s">
        <v>849</v>
      </c>
      <c r="E21" s="42" t="s">
        <v>855</v>
      </c>
      <c r="F21" s="42" t="s">
        <v>507</v>
      </c>
      <c r="G21" s="291"/>
      <c r="H21" s="353">
        <v>1604</v>
      </c>
      <c r="I21" s="38">
        <v>0</v>
      </c>
      <c r="J21" s="58">
        <v>1876.1146000000001</v>
      </c>
      <c r="K21" s="58">
        <v>3959.4616000000001</v>
      </c>
      <c r="L21" s="354">
        <v>2</v>
      </c>
      <c r="M21" s="352">
        <v>7.5</v>
      </c>
      <c r="N21" s="354" t="s">
        <v>499</v>
      </c>
      <c r="O21" s="41">
        <v>16</v>
      </c>
      <c r="P21" s="354">
        <v>2</v>
      </c>
      <c r="Q21" s="41">
        <v>16.899999999999999</v>
      </c>
      <c r="R21" s="354" t="s">
        <v>500</v>
      </c>
      <c r="S21" s="41">
        <v>30</v>
      </c>
      <c r="T21" s="46">
        <v>18.503937007874018</v>
      </c>
      <c r="U21" s="46">
        <v>84.488188976377955</v>
      </c>
      <c r="V21" s="47">
        <v>0.93708357545938781</v>
      </c>
      <c r="Y21" s="363">
        <f>SUM(Y7:Y20)</f>
        <v>121</v>
      </c>
    </row>
    <row r="22" spans="1:26" ht="12.75">
      <c r="A22" s="361">
        <f t="shared" si="2"/>
        <v>16</v>
      </c>
      <c r="B22" s="42" t="str">
        <f t="shared" si="0"/>
        <v>CASE-IH CX 80 &amp; C-80,  16-SP, PPS  MFWD_ 71 pto hp</v>
      </c>
      <c r="C22" s="352">
        <v>71.341200000000001</v>
      </c>
      <c r="D22" s="42" t="s">
        <v>849</v>
      </c>
      <c r="E22" s="42" t="s">
        <v>856</v>
      </c>
      <c r="F22" s="42" t="s">
        <v>497</v>
      </c>
      <c r="G22" s="291"/>
      <c r="H22" s="353">
        <v>5327</v>
      </c>
      <c r="I22" s="38" t="s">
        <v>817</v>
      </c>
      <c r="J22" s="58">
        <v>3317.9230000000002</v>
      </c>
      <c r="K22" s="58">
        <v>4982.3960000000006</v>
      </c>
      <c r="L22" s="354">
        <v>2</v>
      </c>
      <c r="M22" s="352">
        <v>13.6</v>
      </c>
      <c r="N22" s="41" t="s">
        <v>481</v>
      </c>
      <c r="O22" s="41">
        <v>24</v>
      </c>
      <c r="P22" s="354">
        <v>2</v>
      </c>
      <c r="Q22" s="41">
        <v>18.399999999999999</v>
      </c>
      <c r="R22" s="41" t="s">
        <v>481</v>
      </c>
      <c r="S22" s="41">
        <v>34</v>
      </c>
      <c r="T22" s="46">
        <v>15.748031496062993</v>
      </c>
      <c r="U22" s="46">
        <v>92.755905511811022</v>
      </c>
      <c r="V22" s="47">
        <v>0.89861269656395037</v>
      </c>
    </row>
    <row r="23" spans="1:26" ht="12.75">
      <c r="A23" s="361">
        <f t="shared" si="2"/>
        <v>17</v>
      </c>
      <c r="B23" s="42" t="str">
        <f t="shared" ref="B23:B38" si="3">CONCATENATE( LEFT(CONCATENATE(D23," ",E23," ",G23," ",F23,$W$5),40)," ",FIXED(C23,0)," pto hp")</f>
        <v>CASE-IH 895/885-8 SP  MFWD______________ 73 pto hp</v>
      </c>
      <c r="C23" s="352">
        <v>72.950400000000002</v>
      </c>
      <c r="D23" s="42" t="s">
        <v>849</v>
      </c>
      <c r="E23" s="42" t="s">
        <v>857</v>
      </c>
      <c r="F23" s="42" t="s">
        <v>497</v>
      </c>
      <c r="G23" s="291"/>
      <c r="H23" s="353">
        <v>5023</v>
      </c>
      <c r="I23" s="38">
        <v>0</v>
      </c>
      <c r="J23" s="58">
        <v>2766.7730000000001</v>
      </c>
      <c r="K23" s="58">
        <v>4362.9034000000001</v>
      </c>
      <c r="L23" s="354">
        <v>2</v>
      </c>
      <c r="M23" s="352">
        <v>12.4</v>
      </c>
      <c r="N23" s="41" t="s">
        <v>481</v>
      </c>
      <c r="O23" s="41">
        <v>24</v>
      </c>
      <c r="P23" s="354">
        <v>2</v>
      </c>
      <c r="Q23" s="41">
        <v>13.6</v>
      </c>
      <c r="R23" s="41" t="s">
        <v>481</v>
      </c>
      <c r="S23" s="41">
        <v>38</v>
      </c>
      <c r="T23" s="46">
        <v>12.20472440944882</v>
      </c>
      <c r="U23" s="46">
        <v>87.99212598425197</v>
      </c>
      <c r="V23" s="47">
        <v>0.92473049441071531</v>
      </c>
    </row>
    <row r="24" spans="1:26" ht="12.75">
      <c r="A24" s="361">
        <f t="shared" si="2"/>
        <v>18</v>
      </c>
      <c r="B24" s="42" t="str">
        <f t="shared" si="3"/>
        <v>CASE-IH 5120-24 SP  MFWD________________ 78 pto hp</v>
      </c>
      <c r="C24" s="352">
        <v>78.180299999999988</v>
      </c>
      <c r="D24" s="42" t="s">
        <v>849</v>
      </c>
      <c r="E24" s="42" t="s">
        <v>858</v>
      </c>
      <c r="F24" s="42" t="s">
        <v>497</v>
      </c>
      <c r="G24" s="291"/>
      <c r="H24" s="353">
        <v>5075</v>
      </c>
      <c r="I24" s="38" t="s">
        <v>499</v>
      </c>
      <c r="J24" s="58">
        <v>4199.7629999999999</v>
      </c>
      <c r="K24" s="58">
        <v>6338.2250000000004</v>
      </c>
      <c r="L24" s="354">
        <v>2</v>
      </c>
      <c r="M24" s="352">
        <v>12.4</v>
      </c>
      <c r="N24" s="354" t="s">
        <v>500</v>
      </c>
      <c r="O24" s="41">
        <v>24</v>
      </c>
      <c r="P24" s="354">
        <v>2</v>
      </c>
      <c r="Q24" s="41">
        <v>15.5</v>
      </c>
      <c r="R24" s="354" t="s">
        <v>500</v>
      </c>
      <c r="S24" s="41">
        <v>38</v>
      </c>
      <c r="T24" s="46">
        <v>16.338582677165356</v>
      </c>
      <c r="U24" s="46">
        <v>92.322834645669303</v>
      </c>
      <c r="V24" s="47">
        <v>0.89052640654514803</v>
      </c>
    </row>
    <row r="25" spans="1:26" ht="12.75">
      <c r="A25" s="361">
        <f t="shared" si="2"/>
        <v>19</v>
      </c>
      <c r="B25" s="42" t="str">
        <f t="shared" si="3"/>
        <v>CASE-IH CX 90 &amp; C-90,  16-SP, PPS  MFWD_ 80 pto hp</v>
      </c>
      <c r="C25" s="352">
        <v>79.6554</v>
      </c>
      <c r="D25" s="42" t="s">
        <v>849</v>
      </c>
      <c r="E25" s="42" t="s">
        <v>859</v>
      </c>
      <c r="F25" s="42" t="s">
        <v>497</v>
      </c>
      <c r="G25" s="291"/>
      <c r="H25" s="353">
        <v>5328</v>
      </c>
      <c r="I25" s="38" t="s">
        <v>817</v>
      </c>
      <c r="J25" s="58">
        <v>3384.0610000000001</v>
      </c>
      <c r="K25" s="58">
        <v>4949.3270000000002</v>
      </c>
      <c r="L25" s="354">
        <v>2</v>
      </c>
      <c r="M25" s="352">
        <v>13.6</v>
      </c>
      <c r="N25" s="41" t="s">
        <v>481</v>
      </c>
      <c r="O25" s="41">
        <v>24</v>
      </c>
      <c r="P25" s="354">
        <v>2</v>
      </c>
      <c r="Q25" s="41">
        <v>18.399999999999999</v>
      </c>
      <c r="R25" s="41" t="s">
        <v>481</v>
      </c>
      <c r="S25" s="41">
        <v>34</v>
      </c>
      <c r="T25" s="46">
        <v>15.748031496062993</v>
      </c>
      <c r="U25" s="46">
        <v>92.755905511811022</v>
      </c>
      <c r="V25" s="47">
        <v>0.93918065581003685</v>
      </c>
    </row>
    <row r="26" spans="1:26" ht="12.75">
      <c r="A26" s="361">
        <f t="shared" si="2"/>
        <v>20</v>
      </c>
      <c r="B26" s="42" t="str">
        <f t="shared" si="3"/>
        <v>CASE-IH 5220-PS 16 SP  MFWD_____________ 81 pto hp</v>
      </c>
      <c r="C26" s="352">
        <v>80.862299999999991</v>
      </c>
      <c r="D26" s="42" t="s">
        <v>849</v>
      </c>
      <c r="E26" s="42" t="s">
        <v>860</v>
      </c>
      <c r="F26" s="42" t="s">
        <v>497</v>
      </c>
      <c r="G26" s="291"/>
      <c r="H26" s="353">
        <v>5142</v>
      </c>
      <c r="I26" s="38">
        <v>0</v>
      </c>
      <c r="J26" s="58">
        <v>3880.096</v>
      </c>
      <c r="K26" s="58">
        <v>6536.6390000000001</v>
      </c>
      <c r="L26" s="354">
        <v>2</v>
      </c>
      <c r="M26" s="352">
        <v>13.6</v>
      </c>
      <c r="N26" s="354" t="s">
        <v>500</v>
      </c>
      <c r="O26" s="41">
        <v>24</v>
      </c>
      <c r="P26" s="354">
        <v>2</v>
      </c>
      <c r="Q26" s="41">
        <v>18.399999999999999</v>
      </c>
      <c r="R26" s="354" t="s">
        <v>500</v>
      </c>
      <c r="S26" s="41">
        <v>34</v>
      </c>
      <c r="T26" s="46">
        <v>13.937007874015748</v>
      </c>
      <c r="U26" s="46">
        <v>92.322834645669303</v>
      </c>
      <c r="V26" s="47">
        <v>0.89842421806761197</v>
      </c>
    </row>
    <row r="27" spans="1:26" ht="12.75">
      <c r="A27" s="361">
        <f t="shared" si="2"/>
        <v>21</v>
      </c>
      <c r="B27" s="42" t="str">
        <f t="shared" si="3"/>
        <v>CASE-IH 1594-PS  2WD____________________ 86 pto hp</v>
      </c>
      <c r="C27" s="352">
        <v>85.542389999999997</v>
      </c>
      <c r="D27" s="42" t="s">
        <v>849</v>
      </c>
      <c r="E27" s="42" t="s">
        <v>861</v>
      </c>
      <c r="F27" s="42" t="s">
        <v>507</v>
      </c>
      <c r="G27" s="291"/>
      <c r="H27" s="353">
        <v>1547</v>
      </c>
      <c r="I27" s="38">
        <v>0</v>
      </c>
      <c r="J27" s="58">
        <v>3119.509</v>
      </c>
      <c r="K27" s="58">
        <v>6344.8388000000004</v>
      </c>
      <c r="L27" s="354">
        <v>2</v>
      </c>
      <c r="M27" s="352">
        <v>10</v>
      </c>
      <c r="N27" s="354" t="s">
        <v>499</v>
      </c>
      <c r="O27" s="41">
        <v>16</v>
      </c>
      <c r="P27" s="354">
        <v>2</v>
      </c>
      <c r="Q27" s="41">
        <v>18.399999999999999</v>
      </c>
      <c r="R27" s="354" t="s">
        <v>500</v>
      </c>
      <c r="S27" s="41">
        <v>34</v>
      </c>
      <c r="T27" s="46">
        <v>20.078740157480315</v>
      </c>
      <c r="U27" s="46">
        <v>100</v>
      </c>
      <c r="V27" s="47">
        <v>0.87669510513553106</v>
      </c>
    </row>
    <row r="28" spans="1:26" ht="12.75">
      <c r="A28" s="361">
        <f t="shared" si="2"/>
        <v>22</v>
      </c>
      <c r="B28" s="42" t="str">
        <f t="shared" si="3"/>
        <v>CASE-IH 1594-12 SP  2WD_________________ 86 pto hp</v>
      </c>
      <c r="C28" s="352">
        <v>85.90446</v>
      </c>
      <c r="D28" s="42" t="s">
        <v>849</v>
      </c>
      <c r="E28" s="42" t="s">
        <v>862</v>
      </c>
      <c r="F28" s="42" t="s">
        <v>507</v>
      </c>
      <c r="G28" s="291"/>
      <c r="H28" s="353">
        <v>1546</v>
      </c>
      <c r="I28" s="38">
        <v>0</v>
      </c>
      <c r="J28" s="58">
        <v>3040.1434000000004</v>
      </c>
      <c r="K28" s="58">
        <v>6305.1559999999999</v>
      </c>
      <c r="L28" s="354">
        <v>2</v>
      </c>
      <c r="M28" s="352">
        <v>10</v>
      </c>
      <c r="N28" s="354" t="s">
        <v>499</v>
      </c>
      <c r="O28" s="41">
        <v>16</v>
      </c>
      <c r="P28" s="354">
        <v>2</v>
      </c>
      <c r="Q28" s="41">
        <v>18.399999999999999</v>
      </c>
      <c r="R28" s="354" t="s">
        <v>500</v>
      </c>
      <c r="S28" s="41">
        <v>34</v>
      </c>
      <c r="T28" s="46">
        <v>20.078740157480315</v>
      </c>
      <c r="U28" s="46">
        <v>100</v>
      </c>
      <c r="V28" s="47">
        <v>0.90823714649532306</v>
      </c>
    </row>
    <row r="29" spans="1:26" ht="12.75">
      <c r="A29" s="361">
        <f t="shared" si="2"/>
        <v>23</v>
      </c>
      <c r="B29" s="42" t="str">
        <f t="shared" si="3"/>
        <v>CASE-IH CX 100 &amp; C-100,  16-SP, PPS  MFW 86 pto hp</v>
      </c>
      <c r="C29" s="352">
        <v>86.226299999999995</v>
      </c>
      <c r="D29" s="42" t="s">
        <v>849</v>
      </c>
      <c r="E29" s="42" t="s">
        <v>863</v>
      </c>
      <c r="F29" s="42" t="s">
        <v>497</v>
      </c>
      <c r="G29" s="291"/>
      <c r="H29" s="353">
        <v>5329</v>
      </c>
      <c r="I29" s="38" t="s">
        <v>817</v>
      </c>
      <c r="J29" s="58">
        <v>3339.9690000000001</v>
      </c>
      <c r="K29" s="58">
        <v>5114.6720000000005</v>
      </c>
      <c r="L29" s="354">
        <v>2</v>
      </c>
      <c r="M29" s="352">
        <v>13.6</v>
      </c>
      <c r="N29" s="41" t="s">
        <v>481</v>
      </c>
      <c r="O29" s="41">
        <v>24</v>
      </c>
      <c r="P29" s="354">
        <v>2</v>
      </c>
      <c r="Q29" s="41">
        <v>18.399999999999999</v>
      </c>
      <c r="R29" s="41" t="s">
        <v>481</v>
      </c>
      <c r="S29" s="41">
        <v>34</v>
      </c>
      <c r="T29" s="46">
        <v>15.748031496062993</v>
      </c>
      <c r="U29" s="46">
        <v>92.755905511811022</v>
      </c>
      <c r="V29" s="47">
        <v>0.92779117276283452</v>
      </c>
    </row>
    <row r="30" spans="1:26" ht="12.75">
      <c r="A30" s="361">
        <f t="shared" si="2"/>
        <v>24</v>
      </c>
      <c r="B30" s="42" t="str">
        <f t="shared" si="3"/>
        <v>CASE-IH 5130-16 SP  MFWD________________ 90 pto hp</v>
      </c>
      <c r="C30" s="352">
        <v>89.846999999999994</v>
      </c>
      <c r="D30" s="42" t="s">
        <v>849</v>
      </c>
      <c r="E30" s="42" t="s">
        <v>864</v>
      </c>
      <c r="F30" s="42" t="s">
        <v>497</v>
      </c>
      <c r="G30" s="291"/>
      <c r="H30" s="353">
        <v>5076</v>
      </c>
      <c r="I30" s="38" t="s">
        <v>499</v>
      </c>
      <c r="J30" s="58">
        <v>4254.8780000000006</v>
      </c>
      <c r="K30" s="58">
        <v>6415.3860000000004</v>
      </c>
      <c r="L30" s="354">
        <v>2</v>
      </c>
      <c r="M30" s="352">
        <v>12.4</v>
      </c>
      <c r="N30" s="354" t="s">
        <v>500</v>
      </c>
      <c r="O30" s="41">
        <v>24</v>
      </c>
      <c r="P30" s="354">
        <v>2</v>
      </c>
      <c r="Q30" s="41">
        <v>18.399999999999999</v>
      </c>
      <c r="R30" s="354" t="s">
        <v>500</v>
      </c>
      <c r="S30" s="41">
        <v>30</v>
      </c>
      <c r="T30" s="46">
        <v>15.748031496062993</v>
      </c>
      <c r="U30" s="46">
        <v>101.7716535433071</v>
      </c>
      <c r="V30" s="47">
        <v>0.89401231342531551</v>
      </c>
    </row>
    <row r="31" spans="1:26" ht="12.75">
      <c r="A31" s="361">
        <f t="shared" si="2"/>
        <v>25</v>
      </c>
      <c r="B31" s="42" t="str">
        <f t="shared" si="3"/>
        <v>CASE-IH 5230-PS 16 SP  MFWD_____________ 91 pto hp</v>
      </c>
      <c r="C31" s="352">
        <v>90.785700000000006</v>
      </c>
      <c r="D31" s="42" t="s">
        <v>849</v>
      </c>
      <c r="E31" s="42" t="s">
        <v>865</v>
      </c>
      <c r="F31" s="42" t="s">
        <v>497</v>
      </c>
      <c r="G31" s="291"/>
      <c r="H31" s="353">
        <v>5143</v>
      </c>
      <c r="I31" s="38">
        <v>0</v>
      </c>
      <c r="J31" s="58">
        <v>3990.326</v>
      </c>
      <c r="K31" s="58">
        <v>7153.9270000000006</v>
      </c>
      <c r="L31" s="354">
        <v>2</v>
      </c>
      <c r="M31" s="352">
        <v>14.9</v>
      </c>
      <c r="N31" s="354" t="s">
        <v>500</v>
      </c>
      <c r="O31" s="41">
        <v>24</v>
      </c>
      <c r="P31" s="354">
        <v>2</v>
      </c>
      <c r="Q31" s="41">
        <v>18.399999999999999</v>
      </c>
      <c r="R31" s="41" t="s">
        <v>481</v>
      </c>
      <c r="S31" s="41">
        <v>38</v>
      </c>
      <c r="T31" s="46">
        <v>15.748031496062993</v>
      </c>
      <c r="U31" s="46">
        <v>101.7716535433071</v>
      </c>
      <c r="V31" s="47">
        <v>0.92763746070379161</v>
      </c>
    </row>
    <row r="32" spans="1:26" ht="12.75">
      <c r="A32" s="361">
        <f t="shared" si="2"/>
        <v>26</v>
      </c>
      <c r="B32" s="42" t="str">
        <f t="shared" si="3"/>
        <v>CASE-IH 1896-PS  2WD____________________ 96 pto hp</v>
      </c>
      <c r="C32" s="352">
        <v>95.921729999999997</v>
      </c>
      <c r="D32" s="42" t="s">
        <v>849</v>
      </c>
      <c r="E32" s="42" t="s">
        <v>866</v>
      </c>
      <c r="F32" s="42" t="s">
        <v>507</v>
      </c>
      <c r="G32" s="291"/>
      <c r="H32" s="353">
        <v>1548</v>
      </c>
      <c r="I32" s="38">
        <v>0</v>
      </c>
      <c r="J32" s="58">
        <v>3439.1760000000004</v>
      </c>
      <c r="K32" s="58">
        <v>10055.1806</v>
      </c>
      <c r="L32" s="354">
        <v>2</v>
      </c>
      <c r="M32" s="352">
        <v>11</v>
      </c>
      <c r="N32" s="354" t="s">
        <v>499</v>
      </c>
      <c r="O32" s="41">
        <v>16</v>
      </c>
      <c r="P32" s="354">
        <v>2</v>
      </c>
      <c r="Q32" s="41">
        <v>18.399999999999999</v>
      </c>
      <c r="R32" s="354" t="s">
        <v>500</v>
      </c>
      <c r="S32" s="41">
        <v>38</v>
      </c>
      <c r="T32" s="46">
        <v>19.488188976377955</v>
      </c>
      <c r="U32" s="46">
        <v>107.99212598425197</v>
      </c>
      <c r="V32" s="47">
        <v>0.9524657464180657</v>
      </c>
    </row>
    <row r="33" spans="1:22" ht="12.75">
      <c r="A33" s="361">
        <f t="shared" si="2"/>
        <v>27</v>
      </c>
      <c r="B33" s="42" t="str">
        <f t="shared" si="3"/>
        <v>CASE-IH 5140-24 SP  MFWD________________ 97 pto hp</v>
      </c>
      <c r="C33" s="352">
        <v>96.954299999999989</v>
      </c>
      <c r="D33" s="42" t="s">
        <v>849</v>
      </c>
      <c r="E33" s="42" t="s">
        <v>867</v>
      </c>
      <c r="F33" s="42" t="s">
        <v>497</v>
      </c>
      <c r="G33" s="291"/>
      <c r="H33" s="353">
        <v>5077</v>
      </c>
      <c r="I33" s="38" t="s">
        <v>499</v>
      </c>
      <c r="J33" s="58">
        <v>4409.2</v>
      </c>
      <c r="K33" s="58">
        <v>6646.8690000000006</v>
      </c>
      <c r="L33" s="354">
        <v>2</v>
      </c>
      <c r="M33" s="352">
        <v>14.9</v>
      </c>
      <c r="N33" s="354" t="s">
        <v>500</v>
      </c>
      <c r="O33" s="41">
        <v>24</v>
      </c>
      <c r="P33" s="354">
        <v>2</v>
      </c>
      <c r="Q33" s="41">
        <v>16.899999999999999</v>
      </c>
      <c r="R33" s="354" t="s">
        <v>500</v>
      </c>
      <c r="S33" s="41">
        <v>38</v>
      </c>
      <c r="T33" s="46">
        <v>18.503937007874018</v>
      </c>
      <c r="U33" s="46">
        <v>101.7716535433071</v>
      </c>
      <c r="V33" s="47">
        <v>0.9031839492169772</v>
      </c>
    </row>
    <row r="34" spans="1:22" ht="12.75">
      <c r="A34" s="361">
        <f t="shared" si="2"/>
        <v>28</v>
      </c>
      <c r="B34" s="42" t="str">
        <f t="shared" si="3"/>
        <v>CASE-IH 5240-PS 16 SP  MFWD_____________ 101 pto hp</v>
      </c>
      <c r="C34" s="352">
        <v>101.3796</v>
      </c>
      <c r="D34" s="42" t="s">
        <v>849</v>
      </c>
      <c r="E34" s="42" t="s">
        <v>868</v>
      </c>
      <c r="F34" s="42" t="s">
        <v>497</v>
      </c>
      <c r="G34" s="291"/>
      <c r="H34" s="353">
        <v>5144</v>
      </c>
      <c r="I34" s="38">
        <v>0</v>
      </c>
      <c r="J34" s="58">
        <v>4155.6710000000003</v>
      </c>
      <c r="K34" s="58">
        <v>7231.0880000000006</v>
      </c>
      <c r="L34" s="354">
        <v>2</v>
      </c>
      <c r="M34" s="352">
        <v>14.9</v>
      </c>
      <c r="N34" s="41" t="s">
        <v>481</v>
      </c>
      <c r="O34" s="41">
        <v>24</v>
      </c>
      <c r="P34" s="354">
        <v>2</v>
      </c>
      <c r="Q34" s="41">
        <v>18.399999999999999</v>
      </c>
      <c r="R34" s="41" t="s">
        <v>481</v>
      </c>
      <c r="S34" s="41">
        <v>38</v>
      </c>
      <c r="T34" s="46">
        <v>15.748031496062993</v>
      </c>
      <c r="U34" s="46">
        <v>101.7716535433071</v>
      </c>
      <c r="V34" s="47">
        <v>0.94906880887492373</v>
      </c>
    </row>
    <row r="35" spans="1:22" ht="12.75">
      <c r="A35" s="361">
        <f t="shared" si="2"/>
        <v>29</v>
      </c>
      <c r="B35" s="42" t="str">
        <f t="shared" si="3"/>
        <v>CASE-IH 1896-12 SP  MFWD________________ 102 pto hp</v>
      </c>
      <c r="C35" s="352">
        <v>101.64779999999999</v>
      </c>
      <c r="D35" s="42" t="s">
        <v>849</v>
      </c>
      <c r="E35" s="42" t="s">
        <v>869</v>
      </c>
      <c r="F35" s="42" t="s">
        <v>497</v>
      </c>
      <c r="G35" s="291"/>
      <c r="H35" s="353">
        <v>5074</v>
      </c>
      <c r="I35" s="38" t="s">
        <v>203</v>
      </c>
      <c r="J35" s="58">
        <v>4459.9058000000005</v>
      </c>
      <c r="K35" s="58">
        <v>8644.2366000000002</v>
      </c>
      <c r="L35" s="354">
        <v>2</v>
      </c>
      <c r="M35" s="352">
        <v>14.9</v>
      </c>
      <c r="N35" s="41" t="s">
        <v>481</v>
      </c>
      <c r="O35" s="41">
        <v>28</v>
      </c>
      <c r="P35" s="354">
        <v>2</v>
      </c>
      <c r="Q35" s="41">
        <v>18.399999999999999</v>
      </c>
      <c r="R35" s="41" t="s">
        <v>481</v>
      </c>
      <c r="S35" s="41">
        <v>38</v>
      </c>
      <c r="T35" s="46">
        <v>14.566929133858268</v>
      </c>
      <c r="U35" s="46">
        <v>108.66141732283465</v>
      </c>
      <c r="V35" s="47">
        <v>0.82850997479744992</v>
      </c>
    </row>
    <row r="36" spans="1:22" ht="12.75">
      <c r="A36" s="361">
        <f t="shared" si="2"/>
        <v>30</v>
      </c>
      <c r="B36" s="42" t="str">
        <f t="shared" si="3"/>
        <v>CASE-IH 5250-PS 16 SP  MFWD_____________ 112 pto hp</v>
      </c>
      <c r="C36" s="352">
        <v>112.24169999999999</v>
      </c>
      <c r="D36" s="42" t="s">
        <v>849</v>
      </c>
      <c r="E36" s="42" t="s">
        <v>870</v>
      </c>
      <c r="F36" s="42" t="s">
        <v>497</v>
      </c>
      <c r="G36" s="291"/>
      <c r="H36" s="353">
        <v>5145</v>
      </c>
      <c r="I36" s="38" t="s">
        <v>556</v>
      </c>
      <c r="J36" s="58">
        <v>6834.26</v>
      </c>
      <c r="K36" s="58">
        <v>9171.1360000000004</v>
      </c>
      <c r="L36" s="354">
        <v>2</v>
      </c>
      <c r="M36" s="352">
        <v>14.9</v>
      </c>
      <c r="N36" s="354" t="s">
        <v>500</v>
      </c>
      <c r="O36" s="41">
        <v>24</v>
      </c>
      <c r="P36" s="354">
        <v>2</v>
      </c>
      <c r="Q36" s="41">
        <v>18.399999999999999</v>
      </c>
      <c r="R36" s="41" t="s">
        <v>481</v>
      </c>
      <c r="S36" s="41">
        <v>38</v>
      </c>
      <c r="T36" s="46">
        <v>16.377952755905511</v>
      </c>
      <c r="U36" s="46">
        <v>101.7716535433071</v>
      </c>
      <c r="V36" s="47">
        <v>0.99592026656566845</v>
      </c>
    </row>
    <row r="37" spans="1:22" ht="12.75">
      <c r="A37" s="361">
        <f t="shared" si="2"/>
        <v>31</v>
      </c>
      <c r="B37" s="42" t="str">
        <f t="shared" si="3"/>
        <v>CASE-IH 2096-PS  2WD____________________ 116 pto hp</v>
      </c>
      <c r="C37" s="352">
        <v>115.67466</v>
      </c>
      <c r="D37" s="42" t="s">
        <v>849</v>
      </c>
      <c r="E37" s="42" t="s">
        <v>871</v>
      </c>
      <c r="F37" s="42" t="s">
        <v>507</v>
      </c>
      <c r="G37" s="291"/>
      <c r="H37" s="353">
        <v>1549</v>
      </c>
      <c r="I37" s="38">
        <v>0</v>
      </c>
      <c r="J37" s="58">
        <v>3494.2910000000002</v>
      </c>
      <c r="K37" s="58">
        <v>10685.6962</v>
      </c>
      <c r="L37" s="354">
        <v>2</v>
      </c>
      <c r="M37" s="352">
        <v>11</v>
      </c>
      <c r="N37" s="354" t="s">
        <v>499</v>
      </c>
      <c r="O37" s="41">
        <v>16</v>
      </c>
      <c r="P37" s="354">
        <v>4</v>
      </c>
      <c r="Q37" s="41">
        <v>18.399999999999999</v>
      </c>
      <c r="R37" s="354" t="s">
        <v>500</v>
      </c>
      <c r="S37" s="41">
        <v>38</v>
      </c>
      <c r="T37" s="46">
        <v>19.488188976377955</v>
      </c>
      <c r="U37" s="46">
        <v>107.99212598425197</v>
      </c>
      <c r="V37" s="47">
        <v>0.93982133609481555</v>
      </c>
    </row>
    <row r="38" spans="1:22" ht="12.75">
      <c r="A38" s="361">
        <f t="shared" si="2"/>
        <v>32</v>
      </c>
      <c r="B38" s="42" t="str">
        <f t="shared" si="3"/>
        <v>CASE-IH 2294-PS/12 SP  2WD______________ 132 pto hp</v>
      </c>
      <c r="C38" s="352">
        <v>131.96780999999999</v>
      </c>
      <c r="D38" s="42" t="s">
        <v>849</v>
      </c>
      <c r="E38" s="42" t="s">
        <v>872</v>
      </c>
      <c r="F38" s="42" t="s">
        <v>507</v>
      </c>
      <c r="G38" s="291"/>
      <c r="H38" s="353">
        <v>1526</v>
      </c>
      <c r="I38" s="38">
        <v>0</v>
      </c>
      <c r="J38" s="58">
        <v>3335.5598</v>
      </c>
      <c r="K38" s="58">
        <v>11053.8644</v>
      </c>
      <c r="L38" s="354">
        <v>2</v>
      </c>
      <c r="M38" s="352">
        <v>11</v>
      </c>
      <c r="N38" s="354" t="s">
        <v>499</v>
      </c>
      <c r="O38" s="41">
        <v>16</v>
      </c>
      <c r="P38" s="354">
        <v>4</v>
      </c>
      <c r="Q38" s="41">
        <v>18.399999999999999</v>
      </c>
      <c r="R38" s="354" t="s">
        <v>500</v>
      </c>
      <c r="S38" s="41">
        <v>38</v>
      </c>
      <c r="T38" s="46">
        <v>19.488188976377955</v>
      </c>
      <c r="U38" s="46">
        <v>110</v>
      </c>
      <c r="V38" s="47">
        <v>0.94494788314440248</v>
      </c>
    </row>
    <row r="39" spans="1:22" ht="12.75">
      <c r="A39" s="361">
        <f t="shared" si="2"/>
        <v>33</v>
      </c>
      <c r="B39" s="42" t="str">
        <f t="shared" ref="B39:B54" si="4">CONCATENATE( LEFT(CONCATENATE(D39," ",E39," ",G39," ",F39,$W$5),40)," ",FIXED(C39,0)," pto hp")</f>
        <v>CASE-IH 7110/7210-18 SP  MFWD___________ 132 pto hp</v>
      </c>
      <c r="C39" s="352">
        <v>131.96780999999999</v>
      </c>
      <c r="D39" s="42" t="s">
        <v>849</v>
      </c>
      <c r="E39" s="42" t="s">
        <v>873</v>
      </c>
      <c r="F39" s="42" t="s">
        <v>497</v>
      </c>
      <c r="G39" s="291"/>
      <c r="H39" s="353">
        <v>5049</v>
      </c>
      <c r="I39" s="38" t="s">
        <v>499</v>
      </c>
      <c r="J39" s="58">
        <v>5343.9504000000006</v>
      </c>
      <c r="K39" s="58">
        <v>11245.6646</v>
      </c>
      <c r="L39" s="354">
        <v>2</v>
      </c>
      <c r="M39" s="352">
        <v>13.6</v>
      </c>
      <c r="N39" s="41" t="s">
        <v>481</v>
      </c>
      <c r="O39" s="41">
        <v>28</v>
      </c>
      <c r="P39" s="354">
        <v>4</v>
      </c>
      <c r="Q39" s="41">
        <v>18.399999999999999</v>
      </c>
      <c r="R39" s="41" t="s">
        <v>481</v>
      </c>
      <c r="S39" s="41">
        <v>38</v>
      </c>
      <c r="T39" s="46">
        <v>15.94488188976378</v>
      </c>
      <c r="U39" s="46">
        <v>118.34645669291339</v>
      </c>
      <c r="V39" s="47">
        <v>0.95436868995511814</v>
      </c>
    </row>
    <row r="40" spans="1:22" ht="12.75">
      <c r="A40" s="361">
        <f t="shared" ref="A40:A71" si="5">A39+1</f>
        <v>34</v>
      </c>
      <c r="B40" s="42" t="str">
        <f t="shared" si="4"/>
        <v>CASE-IH 8910-18 SP PPS  MFWD____________ 137 pto hp</v>
      </c>
      <c r="C40" s="352">
        <v>137.43908999999999</v>
      </c>
      <c r="D40" s="42" t="s">
        <v>849</v>
      </c>
      <c r="E40" s="42" t="s">
        <v>874</v>
      </c>
      <c r="F40" s="42" t="s">
        <v>497</v>
      </c>
      <c r="G40" s="291"/>
      <c r="H40" s="353">
        <v>5234</v>
      </c>
      <c r="I40" s="38" t="s">
        <v>532</v>
      </c>
      <c r="J40" s="58">
        <v>5540.1598000000004</v>
      </c>
      <c r="K40" s="58">
        <v>11860.748000000001</v>
      </c>
      <c r="L40" s="354">
        <v>2</v>
      </c>
      <c r="M40" s="352">
        <v>14.9</v>
      </c>
      <c r="N40" s="41" t="s">
        <v>481</v>
      </c>
      <c r="O40" s="41">
        <v>30</v>
      </c>
      <c r="P40" s="354">
        <v>4</v>
      </c>
      <c r="Q40" s="41">
        <v>18.399999999999999</v>
      </c>
      <c r="R40" s="41" t="s">
        <v>481</v>
      </c>
      <c r="S40" s="41">
        <v>38</v>
      </c>
      <c r="T40" s="46">
        <v>15.94488188976378</v>
      </c>
      <c r="U40" s="46">
        <v>118.34645669291339</v>
      </c>
      <c r="V40" s="47">
        <v>0.85612371898609685</v>
      </c>
    </row>
    <row r="41" spans="1:22" ht="12.75">
      <c r="A41" s="361">
        <f t="shared" si="5"/>
        <v>35</v>
      </c>
      <c r="B41" s="42" t="str">
        <f t="shared" si="4"/>
        <v>CASE-IH MX-180-18 SP PS  MFWD___________ 147 pto hp</v>
      </c>
      <c r="C41" s="352">
        <v>146.54447999999999</v>
      </c>
      <c r="D41" s="42" t="s">
        <v>849</v>
      </c>
      <c r="E41" s="42" t="s">
        <v>875</v>
      </c>
      <c r="F41" s="42" t="s">
        <v>497</v>
      </c>
      <c r="G41" s="291"/>
      <c r="H41" s="353">
        <v>5291</v>
      </c>
      <c r="I41" s="38" t="s">
        <v>532</v>
      </c>
      <c r="J41" s="58">
        <v>7449.3434000000007</v>
      </c>
      <c r="K41" s="58">
        <v>11951.1366</v>
      </c>
      <c r="L41" s="354">
        <v>2</v>
      </c>
      <c r="M41" s="352">
        <v>14.9</v>
      </c>
      <c r="N41" s="41" t="s">
        <v>481</v>
      </c>
      <c r="O41" s="41">
        <v>30</v>
      </c>
      <c r="P41" s="354">
        <v>4</v>
      </c>
      <c r="Q41" s="41">
        <v>18.399999999999999</v>
      </c>
      <c r="R41" s="41" t="s">
        <v>481</v>
      </c>
      <c r="S41" s="41">
        <v>42</v>
      </c>
      <c r="T41" s="46">
        <v>16.535433070866144</v>
      </c>
      <c r="U41" s="46">
        <v>118.34645669291339</v>
      </c>
      <c r="V41" s="47">
        <v>1.1330569615671859</v>
      </c>
    </row>
    <row r="42" spans="1:22" ht="12.75">
      <c r="A42" s="361">
        <f t="shared" si="5"/>
        <v>36</v>
      </c>
      <c r="B42" s="42" t="str">
        <f t="shared" si="4"/>
        <v>CASE-IH 7120-18 SP  MFWD________________ 152 pto hp</v>
      </c>
      <c r="C42" s="352">
        <v>151.61346</v>
      </c>
      <c r="D42" s="42" t="s">
        <v>849</v>
      </c>
      <c r="E42" s="42" t="s">
        <v>876</v>
      </c>
      <c r="F42" s="42" t="s">
        <v>497</v>
      </c>
      <c r="G42" s="291"/>
      <c r="H42" s="353">
        <v>5050</v>
      </c>
      <c r="I42" s="38" t="s">
        <v>499</v>
      </c>
      <c r="J42" s="58">
        <v>5394.6562000000004</v>
      </c>
      <c r="K42" s="58">
        <v>11210.391000000001</v>
      </c>
      <c r="L42" s="354">
        <v>2</v>
      </c>
      <c r="M42" s="352">
        <v>16.899999999999999</v>
      </c>
      <c r="N42" s="41" t="s">
        <v>481</v>
      </c>
      <c r="O42" s="41">
        <v>28</v>
      </c>
      <c r="P42" s="354">
        <v>4</v>
      </c>
      <c r="Q42" s="41">
        <v>20.8</v>
      </c>
      <c r="R42" s="41" t="s">
        <v>481</v>
      </c>
      <c r="S42" s="41">
        <v>38</v>
      </c>
      <c r="T42" s="46">
        <v>16.929133858267718</v>
      </c>
      <c r="U42" s="46">
        <v>118.34645669291339</v>
      </c>
      <c r="V42" s="47">
        <v>0.98393888232864268</v>
      </c>
    </row>
    <row r="43" spans="1:22" ht="12.75">
      <c r="A43" s="361">
        <f t="shared" si="5"/>
        <v>37</v>
      </c>
      <c r="B43" s="42" t="str">
        <f t="shared" si="4"/>
        <v>CASE-IH 7220-18 SP PPS  MFWD____________ 156 pto hp</v>
      </c>
      <c r="C43" s="352">
        <v>155.99852999999999</v>
      </c>
      <c r="D43" s="42" t="s">
        <v>849</v>
      </c>
      <c r="E43" s="42" t="s">
        <v>877</v>
      </c>
      <c r="F43" s="42" t="s">
        <v>497</v>
      </c>
      <c r="G43" s="291"/>
      <c r="H43" s="353">
        <v>5166</v>
      </c>
      <c r="I43" s="38" t="s">
        <v>500</v>
      </c>
      <c r="J43" s="58">
        <v>5460.7942000000003</v>
      </c>
      <c r="K43" s="58">
        <v>12052.548200000001</v>
      </c>
      <c r="L43" s="354">
        <v>2</v>
      </c>
      <c r="M43" s="352">
        <v>14.9</v>
      </c>
      <c r="N43" s="41" t="s">
        <v>481</v>
      </c>
      <c r="O43" s="41">
        <v>30</v>
      </c>
      <c r="P43" s="354">
        <v>4</v>
      </c>
      <c r="Q43" s="41">
        <v>20.8</v>
      </c>
      <c r="R43" s="41" t="s">
        <v>481</v>
      </c>
      <c r="S43" s="41">
        <v>38</v>
      </c>
      <c r="T43" s="46">
        <v>16.929133858267718</v>
      </c>
      <c r="U43" s="46">
        <v>118.34645669291339</v>
      </c>
      <c r="V43" s="47">
        <v>0.9760313732408854</v>
      </c>
    </row>
    <row r="44" spans="1:22" ht="12.75">
      <c r="A44" s="361">
        <f t="shared" si="5"/>
        <v>38</v>
      </c>
      <c r="B44" s="42" t="str">
        <f t="shared" si="4"/>
        <v>CASE-IH 7220/8920-18 SP PPS  MFWD_______ 157 pto hp</v>
      </c>
      <c r="C44" s="352">
        <v>156.89699999999999</v>
      </c>
      <c r="D44" s="42" t="s">
        <v>849</v>
      </c>
      <c r="E44" s="42" t="s">
        <v>878</v>
      </c>
      <c r="F44" s="42" t="s">
        <v>497</v>
      </c>
      <c r="G44" s="291"/>
      <c r="H44" s="353">
        <v>5204</v>
      </c>
      <c r="I44" s="38" t="s">
        <v>529</v>
      </c>
      <c r="J44" s="58">
        <v>5447.5666000000001</v>
      </c>
      <c r="K44" s="58">
        <v>12136.323</v>
      </c>
      <c r="L44" s="354">
        <v>2</v>
      </c>
      <c r="M44" s="352">
        <v>14.9</v>
      </c>
      <c r="N44" s="41" t="s">
        <v>481</v>
      </c>
      <c r="O44" s="41">
        <v>30</v>
      </c>
      <c r="P44" s="354">
        <v>2</v>
      </c>
      <c r="Q44" s="41">
        <v>20.8</v>
      </c>
      <c r="R44" s="41" t="s">
        <v>481</v>
      </c>
      <c r="S44" s="41">
        <v>38</v>
      </c>
      <c r="T44" s="46">
        <v>16.929133858267718</v>
      </c>
      <c r="U44" s="46">
        <v>118.34645669291339</v>
      </c>
      <c r="V44" s="47">
        <v>0.91497451676422592</v>
      </c>
    </row>
    <row r="45" spans="1:22" ht="12.75">
      <c r="A45" s="361">
        <f t="shared" si="5"/>
        <v>39</v>
      </c>
      <c r="B45" s="42" t="str">
        <f t="shared" si="4"/>
        <v>CASE-IH 2394-PS/24 SP  2WD______________ 162 pto hp</v>
      </c>
      <c r="C45" s="352">
        <v>162.14031</v>
      </c>
      <c r="D45" s="42" t="s">
        <v>849</v>
      </c>
      <c r="E45" s="42" t="s">
        <v>879</v>
      </c>
      <c r="F45" s="42" t="s">
        <v>507</v>
      </c>
      <c r="G45" s="291"/>
      <c r="H45" s="353">
        <v>1527</v>
      </c>
      <c r="I45" s="38">
        <v>0</v>
      </c>
      <c r="J45" s="58">
        <v>3750.0246000000002</v>
      </c>
      <c r="K45" s="58">
        <v>12489.059000000001</v>
      </c>
      <c r="L45" s="354">
        <v>2</v>
      </c>
      <c r="M45" s="352">
        <v>14</v>
      </c>
      <c r="N45" s="354" t="s">
        <v>499</v>
      </c>
      <c r="O45" s="41">
        <v>16</v>
      </c>
      <c r="P45" s="354">
        <v>4</v>
      </c>
      <c r="Q45" s="41">
        <v>20.8</v>
      </c>
      <c r="R45" s="354" t="s">
        <v>500</v>
      </c>
      <c r="S45" s="41">
        <v>38</v>
      </c>
      <c r="T45" s="46">
        <v>22.440944881889767</v>
      </c>
      <c r="U45" s="46">
        <v>117.99212598425197</v>
      </c>
      <c r="V45" s="47">
        <v>0.91865712697447877</v>
      </c>
    </row>
    <row r="46" spans="1:22" ht="12.75">
      <c r="A46" s="361">
        <f t="shared" si="5"/>
        <v>40</v>
      </c>
      <c r="B46" s="42" t="str">
        <f t="shared" si="4"/>
        <v>CASE-IH 3294-PS/12 SP  MFWD_____________ 163 pto hp</v>
      </c>
      <c r="C46" s="352">
        <v>162.62306999999998</v>
      </c>
      <c r="D46" s="42" t="s">
        <v>849</v>
      </c>
      <c r="E46" s="42" t="s">
        <v>880</v>
      </c>
      <c r="F46" s="42" t="s">
        <v>497</v>
      </c>
      <c r="G46" s="291"/>
      <c r="H46" s="353">
        <v>1528</v>
      </c>
      <c r="I46" s="38">
        <v>0</v>
      </c>
      <c r="J46" s="58">
        <v>8514.1652000000013</v>
      </c>
      <c r="K46" s="58">
        <v>9400.4143999999997</v>
      </c>
      <c r="L46" s="354">
        <v>2</v>
      </c>
      <c r="M46" s="352">
        <v>16.899999999999999</v>
      </c>
      <c r="N46" s="354" t="s">
        <v>500</v>
      </c>
      <c r="O46" s="41">
        <v>28</v>
      </c>
      <c r="P46" s="354">
        <v>2</v>
      </c>
      <c r="Q46" s="41">
        <v>20.8</v>
      </c>
      <c r="R46" s="41" t="s">
        <v>481</v>
      </c>
      <c r="S46" s="41">
        <v>38</v>
      </c>
      <c r="T46" s="46">
        <v>22.440944881889767</v>
      </c>
      <c r="U46" s="46">
        <v>104.01574803149607</v>
      </c>
      <c r="V46" s="47">
        <v>0.93593981103299428</v>
      </c>
    </row>
    <row r="47" spans="1:22" ht="12.75">
      <c r="A47" s="361">
        <f t="shared" si="5"/>
        <v>41</v>
      </c>
      <c r="B47" s="42" t="str">
        <f t="shared" si="4"/>
        <v>CASE-IH 3394-PS  MFWD___________________ 163 pto hp</v>
      </c>
      <c r="C47" s="352">
        <v>162.86445000000001</v>
      </c>
      <c r="D47" s="42" t="s">
        <v>849</v>
      </c>
      <c r="E47" s="42" t="s">
        <v>881</v>
      </c>
      <c r="F47" s="42" t="s">
        <v>497</v>
      </c>
      <c r="G47" s="291"/>
      <c r="H47" s="353">
        <v>1583</v>
      </c>
      <c r="I47" s="38">
        <v>0</v>
      </c>
      <c r="J47" s="58">
        <v>5099.2398000000003</v>
      </c>
      <c r="K47" s="58">
        <v>10701.128400000001</v>
      </c>
      <c r="L47" s="354">
        <v>2</v>
      </c>
      <c r="M47" s="352">
        <v>16.899999999999999</v>
      </c>
      <c r="N47" s="354" t="s">
        <v>500</v>
      </c>
      <c r="O47" s="41">
        <v>28</v>
      </c>
      <c r="P47" s="354">
        <v>2</v>
      </c>
      <c r="Q47" s="41">
        <v>20.8</v>
      </c>
      <c r="R47" s="41" t="s">
        <v>481</v>
      </c>
      <c r="S47" s="41">
        <v>38</v>
      </c>
      <c r="T47" s="46">
        <v>22.440944881889767</v>
      </c>
      <c r="U47" s="46">
        <v>115.98425196850394</v>
      </c>
      <c r="V47" s="47">
        <v>0.93707507203822693</v>
      </c>
    </row>
    <row r="48" spans="1:22" ht="12.75">
      <c r="A48" s="361">
        <f t="shared" si="5"/>
        <v>42</v>
      </c>
      <c r="B48" s="42" t="str">
        <f t="shared" si="4"/>
        <v>CASE-IH 2394-PS  2WD____________________ 163 pto hp</v>
      </c>
      <c r="C48" s="352">
        <v>162.91808999999998</v>
      </c>
      <c r="D48" s="42" t="s">
        <v>849</v>
      </c>
      <c r="E48" s="42" t="s">
        <v>882</v>
      </c>
      <c r="F48" s="42" t="s">
        <v>507</v>
      </c>
      <c r="G48" s="291"/>
      <c r="H48" s="353">
        <v>1582</v>
      </c>
      <c r="I48" s="38">
        <v>0</v>
      </c>
      <c r="J48" s="58">
        <v>3750.0246000000002</v>
      </c>
      <c r="K48" s="58">
        <v>12649.9948</v>
      </c>
      <c r="L48" s="354">
        <v>2</v>
      </c>
      <c r="M48" s="352">
        <v>14</v>
      </c>
      <c r="N48" s="354" t="s">
        <v>499</v>
      </c>
      <c r="O48" s="41">
        <v>16.100000000000001</v>
      </c>
      <c r="P48" s="354">
        <v>4</v>
      </c>
      <c r="Q48" s="41">
        <v>20.8</v>
      </c>
      <c r="R48" s="41" t="s">
        <v>481</v>
      </c>
      <c r="S48" s="41">
        <v>38</v>
      </c>
      <c r="T48" s="46">
        <v>20.472440944881892</v>
      </c>
      <c r="U48" s="46">
        <v>117.99212598425197</v>
      </c>
      <c r="V48" s="47">
        <v>0.96589741607062896</v>
      </c>
    </row>
    <row r="49" spans="1:22" ht="12.75">
      <c r="A49" s="361">
        <f t="shared" si="5"/>
        <v>43</v>
      </c>
      <c r="B49" s="42" t="str">
        <f t="shared" si="4"/>
        <v>CASE-IH MX-200-18 SP PS  MFWD___________ 166 pto hp</v>
      </c>
      <c r="C49" s="352">
        <v>165.74759999999998</v>
      </c>
      <c r="D49" s="42" t="s">
        <v>849</v>
      </c>
      <c r="E49" s="42" t="s">
        <v>883</v>
      </c>
      <c r="F49" s="42" t="s">
        <v>497</v>
      </c>
      <c r="G49" s="291"/>
      <c r="H49" s="353">
        <v>5292</v>
      </c>
      <c r="I49" s="38" t="s">
        <v>532</v>
      </c>
      <c r="J49" s="58">
        <v>7389.8192000000008</v>
      </c>
      <c r="K49" s="58">
        <v>12449.376200000001</v>
      </c>
      <c r="L49" s="354">
        <v>2</v>
      </c>
      <c r="M49" s="352">
        <v>14.9</v>
      </c>
      <c r="N49" s="41" t="s">
        <v>481</v>
      </c>
      <c r="O49" s="41">
        <v>30</v>
      </c>
      <c r="P49" s="354">
        <v>4</v>
      </c>
      <c r="Q49" s="41">
        <v>18.399999999999999</v>
      </c>
      <c r="R49" s="41" t="s">
        <v>481</v>
      </c>
      <c r="S49" s="41">
        <v>42</v>
      </c>
      <c r="T49" s="46">
        <v>16.535433070866144</v>
      </c>
      <c r="U49" s="46">
        <v>118.34645669291339</v>
      </c>
      <c r="V49" s="47">
        <v>1.0790095497204379</v>
      </c>
    </row>
    <row r="50" spans="1:22" ht="12.75">
      <c r="A50" s="361">
        <f t="shared" si="5"/>
        <v>44</v>
      </c>
      <c r="B50" s="42" t="str">
        <f t="shared" si="4"/>
        <v>CASE-IH 9110-12 SP  4WD_________________ 168 pto hp</v>
      </c>
      <c r="C50" s="352">
        <v>168.42959999999999</v>
      </c>
      <c r="D50" s="42" t="s">
        <v>849</v>
      </c>
      <c r="E50" s="42" t="s">
        <v>884</v>
      </c>
      <c r="F50" s="42" t="s">
        <v>606</v>
      </c>
      <c r="G50" s="291"/>
      <c r="H50" s="353">
        <v>5040</v>
      </c>
      <c r="I50" s="38" t="s">
        <v>556</v>
      </c>
      <c r="J50" s="58">
        <v>10427.758</v>
      </c>
      <c r="K50" s="58">
        <v>9722.2860000000001</v>
      </c>
      <c r="L50" s="354">
        <v>2</v>
      </c>
      <c r="M50" s="352">
        <v>18.399999999999999</v>
      </c>
      <c r="N50" s="354" t="s">
        <v>500</v>
      </c>
      <c r="O50" s="41">
        <v>38</v>
      </c>
      <c r="P50" s="354">
        <v>2</v>
      </c>
      <c r="Q50" s="41">
        <v>18.399999999999999</v>
      </c>
      <c r="R50" s="354" t="s">
        <v>500</v>
      </c>
      <c r="S50" s="41">
        <v>38</v>
      </c>
      <c r="T50" s="46">
        <v>15.669291338582678</v>
      </c>
      <c r="U50" s="46">
        <v>120.39370078740158</v>
      </c>
      <c r="V50" s="47">
        <v>0.95771828768879164</v>
      </c>
    </row>
    <row r="51" spans="1:22" ht="12.75">
      <c r="A51" s="361">
        <f t="shared" si="5"/>
        <v>45</v>
      </c>
      <c r="B51" s="42" t="str">
        <f t="shared" si="4"/>
        <v>CASE-IH 7230-18 SP PPS  MFWD____________ 172 pto hp</v>
      </c>
      <c r="C51" s="352">
        <v>172.39895999999999</v>
      </c>
      <c r="D51" s="42" t="s">
        <v>849</v>
      </c>
      <c r="E51" s="42" t="s">
        <v>885</v>
      </c>
      <c r="F51" s="42" t="s">
        <v>497</v>
      </c>
      <c r="G51" s="291"/>
      <c r="H51" s="353">
        <v>5205</v>
      </c>
      <c r="I51" s="38" t="s">
        <v>817</v>
      </c>
      <c r="J51" s="58">
        <v>5663.6174000000001</v>
      </c>
      <c r="K51" s="58">
        <v>12290.645</v>
      </c>
      <c r="L51" s="354">
        <v>2</v>
      </c>
      <c r="M51" s="352">
        <v>14.9</v>
      </c>
      <c r="N51" s="41" t="s">
        <v>481</v>
      </c>
      <c r="O51" s="41">
        <v>30</v>
      </c>
      <c r="P51" s="354">
        <v>2</v>
      </c>
      <c r="Q51" s="41">
        <v>20.8</v>
      </c>
      <c r="R51" s="41" t="s">
        <v>481</v>
      </c>
      <c r="S51" s="41">
        <v>38</v>
      </c>
      <c r="T51" s="46">
        <v>16.535433070866144</v>
      </c>
      <c r="U51" s="46">
        <v>118.34645669291339</v>
      </c>
      <c r="V51" s="47">
        <v>0.92789172027237032</v>
      </c>
    </row>
    <row r="52" spans="1:22" ht="12.75">
      <c r="A52" s="361">
        <f t="shared" si="5"/>
        <v>46</v>
      </c>
      <c r="B52" s="42" t="str">
        <f t="shared" si="4"/>
        <v>CASE-IH 7130/7230-18 SP  MFWD___________ 173 pto hp</v>
      </c>
      <c r="C52" s="352">
        <v>172.57328999999999</v>
      </c>
      <c r="D52" s="42" t="s">
        <v>849</v>
      </c>
      <c r="E52" s="42" t="s">
        <v>886</v>
      </c>
      <c r="F52" s="42" t="s">
        <v>497</v>
      </c>
      <c r="G52" s="291"/>
      <c r="H52" s="353">
        <v>5051</v>
      </c>
      <c r="I52" s="38" t="s">
        <v>499</v>
      </c>
      <c r="J52" s="58">
        <v>5465.2034000000003</v>
      </c>
      <c r="K52" s="58">
        <v>11624.855800000001</v>
      </c>
      <c r="L52" s="354">
        <v>2</v>
      </c>
      <c r="M52" s="352">
        <v>16.899999999999999</v>
      </c>
      <c r="N52" s="41" t="s">
        <v>481</v>
      </c>
      <c r="O52" s="41">
        <v>26</v>
      </c>
      <c r="P52" s="354">
        <v>4</v>
      </c>
      <c r="Q52" s="41">
        <v>20.8</v>
      </c>
      <c r="R52" s="41" t="s">
        <v>481</v>
      </c>
      <c r="S52" s="41">
        <v>38</v>
      </c>
      <c r="T52" s="46">
        <v>17.519685039370081</v>
      </c>
      <c r="U52" s="46">
        <v>118.34645669291339</v>
      </c>
      <c r="V52" s="47">
        <v>0.97318620944148404</v>
      </c>
    </row>
    <row r="53" spans="1:22" ht="12.75">
      <c r="A53" s="361">
        <f t="shared" si="5"/>
        <v>47</v>
      </c>
      <c r="B53" s="42" t="str">
        <f t="shared" si="4"/>
        <v>CASE-IH 4494/4490, 12-SP, PS  4WD_______ 175 pto hp</v>
      </c>
      <c r="C53" s="352">
        <v>175.20165</v>
      </c>
      <c r="D53" s="42" t="s">
        <v>849</v>
      </c>
      <c r="E53" s="42" t="s">
        <v>887</v>
      </c>
      <c r="F53" s="42" t="s">
        <v>606</v>
      </c>
      <c r="G53" s="291"/>
      <c r="H53" s="353">
        <v>1328</v>
      </c>
      <c r="I53" s="38">
        <v>0</v>
      </c>
      <c r="J53" s="58">
        <v>11150.8668</v>
      </c>
      <c r="K53" s="58">
        <v>9689.2170000000006</v>
      </c>
      <c r="L53" s="354">
        <v>4</v>
      </c>
      <c r="M53" s="352">
        <v>18.399999999999999</v>
      </c>
      <c r="N53" s="354" t="s">
        <v>500</v>
      </c>
      <c r="O53" s="41">
        <v>34</v>
      </c>
      <c r="P53" s="354">
        <v>4</v>
      </c>
      <c r="Q53" s="41">
        <v>18.399999999999999</v>
      </c>
      <c r="R53" s="354" t="s">
        <v>500</v>
      </c>
      <c r="S53" s="41">
        <v>34</v>
      </c>
      <c r="T53" s="46">
        <v>16.535433070866144</v>
      </c>
      <c r="U53" s="46">
        <v>102.00787401574804</v>
      </c>
      <c r="V53" s="47">
        <v>0.92643826992219247</v>
      </c>
    </row>
    <row r="54" spans="1:22" ht="12.75">
      <c r="A54" s="361">
        <f t="shared" si="5"/>
        <v>48</v>
      </c>
      <c r="B54" s="42" t="str">
        <f t="shared" si="4"/>
        <v>CASE-IH 2594-24 SP  2WD_________________ 182 pto hp</v>
      </c>
      <c r="C54" s="352">
        <v>182.06757000000002</v>
      </c>
      <c r="D54" s="42" t="s">
        <v>849</v>
      </c>
      <c r="E54" s="42" t="s">
        <v>888</v>
      </c>
      <c r="F54" s="42" t="s">
        <v>507</v>
      </c>
      <c r="G54" s="291"/>
      <c r="H54" s="353">
        <v>1529</v>
      </c>
      <c r="I54" s="38">
        <v>0</v>
      </c>
      <c r="J54" s="58">
        <v>3750.0246000000002</v>
      </c>
      <c r="K54" s="58">
        <v>12469.2176</v>
      </c>
      <c r="L54" s="354">
        <v>2</v>
      </c>
      <c r="M54" s="352">
        <v>14</v>
      </c>
      <c r="N54" s="354" t="s">
        <v>499</v>
      </c>
      <c r="O54" s="41">
        <v>16.100000000000001</v>
      </c>
      <c r="P54" s="354">
        <v>4</v>
      </c>
      <c r="Q54" s="41">
        <v>20.8</v>
      </c>
      <c r="R54" s="354" t="s">
        <v>500</v>
      </c>
      <c r="S54" s="41">
        <v>38</v>
      </c>
      <c r="T54" s="46">
        <v>22.440944881889767</v>
      </c>
      <c r="U54" s="46">
        <v>117.99212598425197</v>
      </c>
      <c r="V54" s="47">
        <v>0.94791062342285193</v>
      </c>
    </row>
    <row r="55" spans="1:22" ht="12.75">
      <c r="A55" s="361">
        <f t="shared" si="5"/>
        <v>49</v>
      </c>
      <c r="B55" s="42" t="str">
        <f t="shared" ref="B55:B70" si="6">CONCATENATE( LEFT(CONCATENATE(D55," ",E55," ",G55," ",F55,$W$5),40)," ",FIXED(C55,0)," pto hp")</f>
        <v>CASE-IH 8930-18 SP PPS  MFWD____________ 182 pto hp</v>
      </c>
      <c r="C55" s="352">
        <v>182.08098000000001</v>
      </c>
      <c r="D55" s="42" t="s">
        <v>849</v>
      </c>
      <c r="E55" s="42" t="s">
        <v>889</v>
      </c>
      <c r="F55" s="42" t="s">
        <v>497</v>
      </c>
      <c r="G55" s="291"/>
      <c r="H55" s="353">
        <v>5235</v>
      </c>
      <c r="I55" s="38" t="s">
        <v>532</v>
      </c>
      <c r="J55" s="58">
        <v>5637.1622000000007</v>
      </c>
      <c r="K55" s="58">
        <v>12392.0566</v>
      </c>
      <c r="L55" s="354">
        <v>2</v>
      </c>
      <c r="M55" s="352">
        <v>14.9</v>
      </c>
      <c r="N55" s="41" t="s">
        <v>481</v>
      </c>
      <c r="O55" s="41">
        <v>30</v>
      </c>
      <c r="P55" s="354">
        <v>4</v>
      </c>
      <c r="Q55" s="41">
        <v>20.8</v>
      </c>
      <c r="R55" s="41" t="s">
        <v>481</v>
      </c>
      <c r="S55" s="41">
        <v>38</v>
      </c>
      <c r="T55" s="46">
        <v>19.488188976377955</v>
      </c>
      <c r="U55" s="46">
        <v>118.34645669291339</v>
      </c>
      <c r="V55" s="47">
        <v>0.89499827034192236</v>
      </c>
    </row>
    <row r="56" spans="1:22" ht="12.75">
      <c r="A56" s="361">
        <f t="shared" si="5"/>
        <v>50</v>
      </c>
      <c r="B56" s="42" t="str">
        <f t="shared" si="6"/>
        <v>CASE-IH 3594-PS  MFWD___________________ 182 pto hp</v>
      </c>
      <c r="C56" s="352">
        <v>182.26871999999997</v>
      </c>
      <c r="D56" s="42" t="s">
        <v>849</v>
      </c>
      <c r="E56" s="42" t="s">
        <v>890</v>
      </c>
      <c r="F56" s="42" t="s">
        <v>497</v>
      </c>
      <c r="G56" s="291"/>
      <c r="H56" s="353">
        <v>1584</v>
      </c>
      <c r="I56" s="38">
        <v>0</v>
      </c>
      <c r="J56" s="58">
        <v>5099.2398000000003</v>
      </c>
      <c r="K56" s="58">
        <v>12491.2636</v>
      </c>
      <c r="L56" s="354">
        <v>2</v>
      </c>
      <c r="M56" s="352">
        <v>16.899999999999999</v>
      </c>
      <c r="N56" s="354" t="s">
        <v>500</v>
      </c>
      <c r="O56" s="41">
        <v>28</v>
      </c>
      <c r="P56" s="354">
        <v>4</v>
      </c>
      <c r="Q56" s="41">
        <v>20.8</v>
      </c>
      <c r="R56" s="41" t="s">
        <v>481</v>
      </c>
      <c r="S56" s="41">
        <v>38</v>
      </c>
      <c r="T56" s="46">
        <v>23.031496062992126</v>
      </c>
      <c r="U56" s="46">
        <v>115.98425196850394</v>
      </c>
      <c r="V56" s="47">
        <v>0.95131295482074263</v>
      </c>
    </row>
    <row r="57" spans="1:22" ht="12.75">
      <c r="A57" s="361">
        <f t="shared" si="5"/>
        <v>51</v>
      </c>
      <c r="B57" s="42" t="str">
        <f t="shared" si="6"/>
        <v>CASE-IH MX-220-18 SP PS  MFWD___________ 187 pto hp</v>
      </c>
      <c r="C57" s="352">
        <v>186.62696999999997</v>
      </c>
      <c r="D57" s="42" t="s">
        <v>849</v>
      </c>
      <c r="E57" s="42" t="s">
        <v>891</v>
      </c>
      <c r="F57" s="42" t="s">
        <v>497</v>
      </c>
      <c r="G57" s="291"/>
      <c r="H57" s="353">
        <v>5293</v>
      </c>
      <c r="I57" s="38" t="s">
        <v>532</v>
      </c>
      <c r="J57" s="58">
        <v>7638.9390000000003</v>
      </c>
      <c r="K57" s="58">
        <v>12550.7878</v>
      </c>
      <c r="L57" s="354">
        <v>2</v>
      </c>
      <c r="M57" s="352">
        <v>16.899999999999999</v>
      </c>
      <c r="N57" s="41" t="s">
        <v>481</v>
      </c>
      <c r="O57" s="41">
        <v>30</v>
      </c>
      <c r="P57" s="354">
        <v>4</v>
      </c>
      <c r="Q57" s="41">
        <v>20.8</v>
      </c>
      <c r="R57" s="41" t="s">
        <v>481</v>
      </c>
      <c r="S57" s="41">
        <v>42</v>
      </c>
      <c r="T57" s="46">
        <v>15.551181102362206</v>
      </c>
      <c r="U57" s="46">
        <v>118.34645669291339</v>
      </c>
      <c r="V57" s="47">
        <v>1.0463422070008193</v>
      </c>
    </row>
    <row r="58" spans="1:22" ht="12.75">
      <c r="A58" s="361">
        <f t="shared" si="5"/>
        <v>52</v>
      </c>
      <c r="B58" s="42" t="str">
        <f t="shared" si="6"/>
        <v>CASE-IH 9130-12 SP  4WD_________________ 191 pto hp</v>
      </c>
      <c r="C58" s="352">
        <v>191.22659999999999</v>
      </c>
      <c r="D58" s="42" t="s">
        <v>849</v>
      </c>
      <c r="E58" s="42" t="s">
        <v>892</v>
      </c>
      <c r="F58" s="42" t="s">
        <v>606</v>
      </c>
      <c r="G58" s="291"/>
      <c r="H58" s="353">
        <v>5041</v>
      </c>
      <c r="I58" s="38" t="s">
        <v>556</v>
      </c>
      <c r="J58" s="58">
        <v>10857.655000000001</v>
      </c>
      <c r="K58" s="58">
        <v>10218.321</v>
      </c>
      <c r="L58" s="354">
        <v>2</v>
      </c>
      <c r="M58" s="352">
        <v>18.399999999999999</v>
      </c>
      <c r="N58" s="354" t="s">
        <v>500</v>
      </c>
      <c r="O58" s="41">
        <v>38</v>
      </c>
      <c r="P58" s="354">
        <v>2</v>
      </c>
      <c r="Q58" s="41">
        <v>18.399999999999999</v>
      </c>
      <c r="R58" s="354" t="s">
        <v>500</v>
      </c>
      <c r="S58" s="41">
        <v>38</v>
      </c>
      <c r="T58" s="46">
        <v>14.370078740157481</v>
      </c>
      <c r="U58" s="46">
        <v>120.39370078740158</v>
      </c>
      <c r="V58" s="47">
        <v>0.98685807054831032</v>
      </c>
    </row>
    <row r="59" spans="1:22" ht="12.75">
      <c r="A59" s="361">
        <f t="shared" si="5"/>
        <v>53</v>
      </c>
      <c r="B59" s="42" t="str">
        <f t="shared" si="6"/>
        <v>CASE-IH 7240-18 SP PPS  MFWD____________ 197 pto hp</v>
      </c>
      <c r="C59" s="352">
        <v>196.61742000000001</v>
      </c>
      <c r="D59" s="42" t="s">
        <v>849</v>
      </c>
      <c r="E59" s="42" t="s">
        <v>893</v>
      </c>
      <c r="F59" s="42" t="s">
        <v>497</v>
      </c>
      <c r="G59" s="291"/>
      <c r="H59" s="353">
        <v>5206</v>
      </c>
      <c r="I59" s="38" t="s">
        <v>817</v>
      </c>
      <c r="J59" s="58">
        <v>5579.8425999999999</v>
      </c>
      <c r="K59" s="58">
        <v>12436.1486</v>
      </c>
      <c r="L59" s="354">
        <v>2</v>
      </c>
      <c r="M59" s="352">
        <v>16.899999999999999</v>
      </c>
      <c r="N59" s="41" t="s">
        <v>481</v>
      </c>
      <c r="O59" s="41">
        <v>30</v>
      </c>
      <c r="P59" s="354">
        <v>2</v>
      </c>
      <c r="Q59" s="41">
        <v>20.8</v>
      </c>
      <c r="R59" s="41" t="s">
        <v>481</v>
      </c>
      <c r="S59" s="41">
        <v>42</v>
      </c>
      <c r="T59" s="46">
        <v>17.519685039370081</v>
      </c>
      <c r="U59" s="46">
        <v>118.34645669291339</v>
      </c>
      <c r="V59" s="47">
        <v>0.91823268019965132</v>
      </c>
    </row>
    <row r="60" spans="1:22" ht="12.75">
      <c r="A60" s="361">
        <f t="shared" si="5"/>
        <v>54</v>
      </c>
      <c r="B60" s="42" t="str">
        <f t="shared" si="6"/>
        <v>CASE-IH 7140/7240-18 SP  MFWD___________ 198 pto hp</v>
      </c>
      <c r="C60" s="352">
        <v>197.52930000000001</v>
      </c>
      <c r="D60" s="42" t="s">
        <v>849</v>
      </c>
      <c r="E60" s="42" t="s">
        <v>894</v>
      </c>
      <c r="F60" s="42" t="s">
        <v>497</v>
      </c>
      <c r="G60" s="291"/>
      <c r="H60" s="353">
        <v>5052</v>
      </c>
      <c r="I60" s="38" t="s">
        <v>499</v>
      </c>
      <c r="J60" s="58">
        <v>5615.1162000000004</v>
      </c>
      <c r="K60" s="58">
        <v>11948.932000000001</v>
      </c>
      <c r="L60" s="354">
        <v>2</v>
      </c>
      <c r="M60" s="352">
        <v>18.399999999999999</v>
      </c>
      <c r="N60" s="41" t="s">
        <v>481</v>
      </c>
      <c r="O60" s="41">
        <v>26</v>
      </c>
      <c r="P60" s="354">
        <v>4</v>
      </c>
      <c r="Q60" s="41">
        <v>20.8</v>
      </c>
      <c r="R60" s="41" t="s">
        <v>481</v>
      </c>
      <c r="S60" s="41">
        <v>42</v>
      </c>
      <c r="T60" s="46">
        <v>20.472440944881892</v>
      </c>
      <c r="U60" s="46">
        <v>118.34645669291339</v>
      </c>
      <c r="V60" s="47">
        <v>0.98908350798070443</v>
      </c>
    </row>
    <row r="61" spans="1:22" ht="12.75">
      <c r="A61" s="361">
        <f t="shared" si="5"/>
        <v>55</v>
      </c>
      <c r="B61" s="42" t="str">
        <f t="shared" si="6"/>
        <v>CASE-IH 9230-12 SP  4WD_________________ 199 pto hp</v>
      </c>
      <c r="C61" s="352">
        <v>198.62891999999999</v>
      </c>
      <c r="D61" s="42" t="s">
        <v>849</v>
      </c>
      <c r="E61" s="42" t="s">
        <v>895</v>
      </c>
      <c r="F61" s="42" t="s">
        <v>606</v>
      </c>
      <c r="G61" s="291"/>
      <c r="H61" s="353">
        <v>5087</v>
      </c>
      <c r="I61" s="38">
        <v>0</v>
      </c>
      <c r="J61" s="58">
        <v>12500.082</v>
      </c>
      <c r="K61" s="58">
        <v>11772.564</v>
      </c>
      <c r="L61" s="354">
        <v>4</v>
      </c>
      <c r="M61" s="352">
        <v>18.399999999999999</v>
      </c>
      <c r="N61" s="354" t="s">
        <v>500</v>
      </c>
      <c r="O61" s="41">
        <v>38</v>
      </c>
      <c r="P61" s="354">
        <v>4</v>
      </c>
      <c r="Q61" s="41">
        <v>18.399999999999999</v>
      </c>
      <c r="R61" s="354" t="s">
        <v>500</v>
      </c>
      <c r="S61" s="41">
        <v>38</v>
      </c>
      <c r="T61" s="46">
        <v>13.582677165354331</v>
      </c>
      <c r="U61" s="46">
        <v>120.39370078740158</v>
      </c>
      <c r="V61" s="47">
        <v>0.96613676750949806</v>
      </c>
    </row>
    <row r="62" spans="1:22" ht="12.75">
      <c r="A62" s="361">
        <f t="shared" si="5"/>
        <v>56</v>
      </c>
      <c r="B62" s="42" t="str">
        <f t="shared" si="6"/>
        <v>CASE-IH 9240-12 SP  4WD_________________ 201 pto hp</v>
      </c>
      <c r="C62" s="352">
        <v>200.51973000000001</v>
      </c>
      <c r="D62" s="42" t="s">
        <v>849</v>
      </c>
      <c r="E62" s="42" t="s">
        <v>896</v>
      </c>
      <c r="F62" s="42" t="s">
        <v>606</v>
      </c>
      <c r="G62" s="291"/>
      <c r="H62" s="353">
        <v>5088</v>
      </c>
      <c r="I62" s="38">
        <v>0</v>
      </c>
      <c r="J62" s="58">
        <v>14596.6566</v>
      </c>
      <c r="K62" s="58">
        <v>13783.1592</v>
      </c>
      <c r="L62" s="354">
        <v>4</v>
      </c>
      <c r="M62" s="352">
        <v>20.8</v>
      </c>
      <c r="N62" s="354" t="s">
        <v>500</v>
      </c>
      <c r="O62" s="41">
        <v>38</v>
      </c>
      <c r="P62" s="354">
        <v>4</v>
      </c>
      <c r="Q62" s="41">
        <v>20.8</v>
      </c>
      <c r="R62" s="354" t="s">
        <v>500</v>
      </c>
      <c r="S62" s="41">
        <v>38</v>
      </c>
      <c r="T62" s="46">
        <v>14.566929133858268</v>
      </c>
      <c r="U62" s="46">
        <v>124.01574803149607</v>
      </c>
      <c r="V62" s="47">
        <v>0.9482924765126669</v>
      </c>
    </row>
    <row r="63" spans="1:22" ht="12.75">
      <c r="A63" s="361">
        <f t="shared" si="5"/>
        <v>57</v>
      </c>
      <c r="B63" s="42" t="str">
        <f t="shared" si="6"/>
        <v>CASE-IH 9330-12 SP  4WD_________________ 201 pto hp</v>
      </c>
      <c r="C63" s="352">
        <v>200.84157000000002</v>
      </c>
      <c r="D63" s="42" t="s">
        <v>849</v>
      </c>
      <c r="E63" s="42" t="s">
        <v>897</v>
      </c>
      <c r="F63" s="42" t="s">
        <v>606</v>
      </c>
      <c r="G63" s="291"/>
      <c r="H63" s="353">
        <v>5208</v>
      </c>
      <c r="I63" s="38" t="s">
        <v>817</v>
      </c>
      <c r="J63" s="58">
        <v>12449.376200000001</v>
      </c>
      <c r="K63" s="58">
        <v>11364.713</v>
      </c>
      <c r="L63" s="354">
        <v>4</v>
      </c>
      <c r="M63" s="352">
        <v>18.399999999999999</v>
      </c>
      <c r="N63" s="41" t="s">
        <v>481</v>
      </c>
      <c r="O63" s="41">
        <v>38</v>
      </c>
      <c r="P63" s="354">
        <v>4</v>
      </c>
      <c r="Q63" s="41">
        <v>18.399999999999999</v>
      </c>
      <c r="R63" s="41" t="s">
        <v>481</v>
      </c>
      <c r="S63" s="41">
        <v>38</v>
      </c>
      <c r="T63" s="46">
        <v>13.582677165354331</v>
      </c>
      <c r="U63" s="46">
        <v>120.39370078740158</v>
      </c>
      <c r="V63" s="47">
        <v>1.0005466067176796</v>
      </c>
    </row>
    <row r="64" spans="1:22" ht="12.75">
      <c r="A64" s="361">
        <f t="shared" si="5"/>
        <v>58</v>
      </c>
      <c r="B64" s="42" t="str">
        <f t="shared" si="6"/>
        <v>CASE-IH MX-240-18 SP PS  MFWD___________ 207 pto hp</v>
      </c>
      <c r="C64" s="352">
        <v>206.71514999999999</v>
      </c>
      <c r="D64" s="42" t="s">
        <v>849</v>
      </c>
      <c r="E64" s="42" t="s">
        <v>898</v>
      </c>
      <c r="F64" s="42" t="s">
        <v>497</v>
      </c>
      <c r="G64" s="291"/>
      <c r="H64" s="353">
        <v>5274</v>
      </c>
      <c r="I64" s="38" t="s">
        <v>532</v>
      </c>
      <c r="J64" s="58">
        <v>8280.4776000000002</v>
      </c>
      <c r="K64" s="58">
        <v>12638.971800000001</v>
      </c>
      <c r="L64" s="354">
        <v>2</v>
      </c>
      <c r="M64" s="352">
        <v>16.899999999999999</v>
      </c>
      <c r="N64" s="41" t="s">
        <v>481</v>
      </c>
      <c r="O64" s="41">
        <v>30</v>
      </c>
      <c r="P64" s="354">
        <v>4</v>
      </c>
      <c r="Q64" s="41">
        <v>20.8</v>
      </c>
      <c r="R64" s="41" t="s">
        <v>481</v>
      </c>
      <c r="S64" s="41">
        <v>42</v>
      </c>
      <c r="T64" s="46">
        <v>15.551181102362206</v>
      </c>
      <c r="U64" s="46">
        <v>118.34645669291339</v>
      </c>
      <c r="V64" s="47">
        <v>1.0665675722155616</v>
      </c>
    </row>
    <row r="65" spans="1:22" ht="12.75">
      <c r="A65" s="361">
        <f t="shared" si="5"/>
        <v>59</v>
      </c>
      <c r="B65" s="42" t="str">
        <f t="shared" si="6"/>
        <v>CASE-IH 8940-18 SP PPS  MFWD____________ 207 pto hp</v>
      </c>
      <c r="C65" s="352">
        <v>206.80902</v>
      </c>
      <c r="D65" s="42" t="s">
        <v>849</v>
      </c>
      <c r="E65" s="42" t="s">
        <v>899</v>
      </c>
      <c r="F65" s="42" t="s">
        <v>497</v>
      </c>
      <c r="G65" s="291"/>
      <c r="H65" s="353">
        <v>5236</v>
      </c>
      <c r="I65" s="38" t="s">
        <v>532</v>
      </c>
      <c r="J65" s="58">
        <v>5579.8425999999999</v>
      </c>
      <c r="K65" s="58">
        <v>12755.8156</v>
      </c>
      <c r="L65" s="354">
        <v>2</v>
      </c>
      <c r="M65" s="352">
        <v>16.899999999999999</v>
      </c>
      <c r="N65" s="41" t="s">
        <v>481</v>
      </c>
      <c r="O65" s="41">
        <v>30</v>
      </c>
      <c r="P65" s="354">
        <v>4</v>
      </c>
      <c r="Q65" s="41">
        <v>20.8</v>
      </c>
      <c r="R65" s="41" t="s">
        <v>481</v>
      </c>
      <c r="S65" s="41">
        <v>42</v>
      </c>
      <c r="T65" s="46">
        <v>16.929133858267718</v>
      </c>
      <c r="U65" s="46">
        <v>118.34645669291339</v>
      </c>
      <c r="V65" s="47">
        <v>0.89143479697721473</v>
      </c>
    </row>
    <row r="66" spans="1:22" ht="12.75">
      <c r="A66" s="361">
        <f t="shared" si="5"/>
        <v>60</v>
      </c>
      <c r="B66" s="42" t="str">
        <f t="shared" si="6"/>
        <v>CASE-IH 7150/7250-18 SP  MFWD___________ 217 pto hp</v>
      </c>
      <c r="C66" s="352">
        <v>216.82629</v>
      </c>
      <c r="D66" s="42" t="s">
        <v>849</v>
      </c>
      <c r="E66" s="42" t="s">
        <v>900</v>
      </c>
      <c r="F66" s="42" t="s">
        <v>497</v>
      </c>
      <c r="G66" s="291"/>
      <c r="H66" s="353">
        <v>5121</v>
      </c>
      <c r="I66" s="38">
        <v>0</v>
      </c>
      <c r="J66" s="58">
        <v>5762.8244000000004</v>
      </c>
      <c r="K66" s="58">
        <v>12989.503200000001</v>
      </c>
      <c r="L66" s="354">
        <v>2</v>
      </c>
      <c r="M66" s="352">
        <v>16.899999999999999</v>
      </c>
      <c r="N66" s="41" t="s">
        <v>481</v>
      </c>
      <c r="O66" s="41">
        <v>30</v>
      </c>
      <c r="P66" s="354">
        <v>2</v>
      </c>
      <c r="Q66" s="41">
        <v>20.8</v>
      </c>
      <c r="R66" s="41" t="s">
        <v>481</v>
      </c>
      <c r="S66" s="41">
        <v>42</v>
      </c>
      <c r="T66" s="46">
        <v>18.503937007874018</v>
      </c>
      <c r="U66" s="46">
        <v>118.34645669291339</v>
      </c>
      <c r="V66" s="47">
        <v>0.95011915211393783</v>
      </c>
    </row>
    <row r="67" spans="1:22" ht="12.75">
      <c r="A67" s="361">
        <f t="shared" si="5"/>
        <v>61</v>
      </c>
      <c r="B67" s="42" t="str">
        <f t="shared" si="6"/>
        <v>CASE-IH 7250-18 SP PPS  MFWD____________ 217 pto hp</v>
      </c>
      <c r="C67" s="352">
        <v>216.89333999999999</v>
      </c>
      <c r="D67" s="42" t="s">
        <v>849</v>
      </c>
      <c r="E67" s="42" t="s">
        <v>901</v>
      </c>
      <c r="F67" s="42" t="s">
        <v>497</v>
      </c>
      <c r="G67" s="291"/>
      <c r="H67" s="353">
        <v>5207</v>
      </c>
      <c r="I67" s="38" t="s">
        <v>817</v>
      </c>
      <c r="J67" s="58">
        <v>5740.7784000000001</v>
      </c>
      <c r="K67" s="58">
        <v>12564.0154</v>
      </c>
      <c r="L67" s="354">
        <v>2</v>
      </c>
      <c r="M67" s="352">
        <v>16.899999999999999</v>
      </c>
      <c r="N67" s="41" t="s">
        <v>481</v>
      </c>
      <c r="O67" s="41">
        <v>30</v>
      </c>
      <c r="P67" s="354">
        <v>2</v>
      </c>
      <c r="Q67" s="41">
        <v>20.8</v>
      </c>
      <c r="R67" s="41" t="s">
        <v>481</v>
      </c>
      <c r="S67" s="41">
        <v>42</v>
      </c>
      <c r="T67" s="46">
        <v>18.503937007874018</v>
      </c>
      <c r="U67" s="46">
        <v>118.34645669291339</v>
      </c>
      <c r="V67" s="47">
        <v>0.93407476040801707</v>
      </c>
    </row>
    <row r="68" spans="1:22" ht="12.75">
      <c r="A68" s="361">
        <f t="shared" si="5"/>
        <v>62</v>
      </c>
      <c r="B68" s="42" t="str">
        <f t="shared" si="6"/>
        <v>CASE-IH 4694/4690, 12-SP, PS  4WD_______ 220 pto hp</v>
      </c>
      <c r="C68" s="352">
        <v>219.61557000000002</v>
      </c>
      <c r="D68" s="42" t="s">
        <v>849</v>
      </c>
      <c r="E68" s="42" t="s">
        <v>902</v>
      </c>
      <c r="F68" s="42" t="s">
        <v>606</v>
      </c>
      <c r="G68" s="291"/>
      <c r="H68" s="353">
        <v>1329</v>
      </c>
      <c r="I68" s="38">
        <v>0</v>
      </c>
      <c r="J68" s="58">
        <v>12039.320600000001</v>
      </c>
      <c r="K68" s="58">
        <v>10269.0268</v>
      </c>
      <c r="L68" s="354">
        <v>4</v>
      </c>
      <c r="M68" s="352">
        <v>20.8</v>
      </c>
      <c r="N68" s="354" t="s">
        <v>500</v>
      </c>
      <c r="O68" s="41">
        <v>34</v>
      </c>
      <c r="P68" s="354">
        <v>4</v>
      </c>
      <c r="Q68" s="41">
        <v>20.8</v>
      </c>
      <c r="R68" s="354" t="s">
        <v>500</v>
      </c>
      <c r="S68" s="41">
        <v>34</v>
      </c>
      <c r="T68" s="46">
        <v>18.503937007874018</v>
      </c>
      <c r="U68" s="46">
        <v>102.00787401574804</v>
      </c>
      <c r="V68" s="47">
        <v>0.934064625450441</v>
      </c>
    </row>
    <row r="69" spans="1:22" ht="12.75">
      <c r="A69" s="361">
        <f t="shared" si="5"/>
        <v>63</v>
      </c>
      <c r="B69" s="42" t="str">
        <f t="shared" si="6"/>
        <v>CASE-IH 8950-18 SP PPS  MFWD____________ 227 pto hp</v>
      </c>
      <c r="C69" s="352">
        <v>227.11176</v>
      </c>
      <c r="D69" s="42" t="s">
        <v>849</v>
      </c>
      <c r="E69" s="42" t="s">
        <v>903</v>
      </c>
      <c r="F69" s="42" t="s">
        <v>497</v>
      </c>
      <c r="G69" s="291"/>
      <c r="H69" s="353">
        <v>5237</v>
      </c>
      <c r="I69" s="38" t="s">
        <v>532</v>
      </c>
      <c r="J69" s="58">
        <v>5729.7554</v>
      </c>
      <c r="K69" s="58">
        <v>12773.4524</v>
      </c>
      <c r="L69" s="354">
        <v>2</v>
      </c>
      <c r="M69" s="352">
        <v>16.899999999999999</v>
      </c>
      <c r="N69" s="41" t="s">
        <v>481</v>
      </c>
      <c r="O69" s="41">
        <v>30</v>
      </c>
      <c r="P69" s="354">
        <v>4</v>
      </c>
      <c r="Q69" s="41">
        <v>20.8</v>
      </c>
      <c r="R69" s="41" t="s">
        <v>481</v>
      </c>
      <c r="S69" s="41">
        <v>42</v>
      </c>
      <c r="T69" s="46">
        <v>16.535433070866144</v>
      </c>
      <c r="U69" s="46">
        <v>118.34645669291339</v>
      </c>
      <c r="V69" s="47">
        <v>0.89518969915123769</v>
      </c>
    </row>
    <row r="70" spans="1:22" ht="12.75">
      <c r="A70" s="361">
        <f t="shared" si="5"/>
        <v>64</v>
      </c>
      <c r="B70" s="42" t="str">
        <f t="shared" si="6"/>
        <v>CASE-IH MX-270-18 SP PS  MFWD___________ 238 pto hp</v>
      </c>
      <c r="C70" s="352">
        <v>237.51792</v>
      </c>
      <c r="D70" s="42" t="s">
        <v>849</v>
      </c>
      <c r="E70" s="42" t="s">
        <v>904</v>
      </c>
      <c r="F70" s="42" t="s">
        <v>497</v>
      </c>
      <c r="G70" s="291"/>
      <c r="H70" s="353">
        <v>5275</v>
      </c>
      <c r="I70" s="38" t="s">
        <v>532</v>
      </c>
      <c r="J70" s="58">
        <v>8229.7718000000004</v>
      </c>
      <c r="K70" s="58">
        <v>12843.999600000001</v>
      </c>
      <c r="L70" s="354">
        <v>2</v>
      </c>
      <c r="M70" s="352">
        <v>16.899999999999999</v>
      </c>
      <c r="N70" s="41" t="s">
        <v>481</v>
      </c>
      <c r="O70" s="41">
        <v>30</v>
      </c>
      <c r="P70" s="354">
        <v>4</v>
      </c>
      <c r="Q70" s="41">
        <v>20.8</v>
      </c>
      <c r="R70" s="41" t="s">
        <v>481</v>
      </c>
      <c r="S70" s="41">
        <v>42</v>
      </c>
      <c r="T70" s="46">
        <v>15.551181102362206</v>
      </c>
      <c r="U70" s="46">
        <v>118.34645669291339</v>
      </c>
      <c r="V70" s="47">
        <v>1.0524611295786792</v>
      </c>
    </row>
    <row r="71" spans="1:22" ht="12.75">
      <c r="A71" s="361">
        <f t="shared" si="5"/>
        <v>65</v>
      </c>
      <c r="B71" s="42" t="str">
        <f t="shared" ref="B71:B86" si="7">CONCATENATE( LEFT(CONCATENATE(D71," ",E71," ",G71," ",F71,$W$5),40)," ",FIXED(C71,0)," pto hp")</f>
        <v>CASE-IH 9150-12 SP  4WD_________________ 246 pto hp</v>
      </c>
      <c r="C71" s="352">
        <v>246.20759999999999</v>
      </c>
      <c r="D71" s="42" t="s">
        <v>849</v>
      </c>
      <c r="E71" s="42" t="s">
        <v>905</v>
      </c>
      <c r="F71" s="42" t="s">
        <v>606</v>
      </c>
      <c r="G71" s="291"/>
      <c r="H71" s="353">
        <v>5042</v>
      </c>
      <c r="I71" s="38" t="s">
        <v>556</v>
      </c>
      <c r="J71" s="58">
        <v>14726.728000000001</v>
      </c>
      <c r="K71" s="58">
        <v>11265.506000000001</v>
      </c>
      <c r="L71" s="354">
        <v>2</v>
      </c>
      <c r="M71" s="352">
        <v>20.8</v>
      </c>
      <c r="N71" s="354" t="s">
        <v>500</v>
      </c>
      <c r="O71" s="41">
        <v>42</v>
      </c>
      <c r="P71" s="354">
        <v>2</v>
      </c>
      <c r="Q71" s="41">
        <v>20.8</v>
      </c>
      <c r="R71" s="354" t="s">
        <v>500</v>
      </c>
      <c r="S71" s="41">
        <v>42</v>
      </c>
      <c r="T71" s="46">
        <v>17.795275590551181</v>
      </c>
      <c r="U71" s="46">
        <v>130</v>
      </c>
      <c r="V71" s="47">
        <v>1.0091681364217224</v>
      </c>
    </row>
    <row r="72" spans="1:22" ht="12.75">
      <c r="A72" s="361">
        <f t="shared" ref="A72:A103" si="8">A71+1</f>
        <v>66</v>
      </c>
      <c r="B72" s="42" t="str">
        <f t="shared" si="7"/>
        <v>CASE-IH 4894/4890, 12-SP, PS  4WD_______ 253 pto hp</v>
      </c>
      <c r="C72" s="352">
        <v>253.40877</v>
      </c>
      <c r="D72" s="42" t="s">
        <v>849</v>
      </c>
      <c r="E72" s="42" t="s">
        <v>906</v>
      </c>
      <c r="F72" s="42" t="s">
        <v>606</v>
      </c>
      <c r="G72" s="291"/>
      <c r="H72" s="353">
        <v>1330</v>
      </c>
      <c r="I72" s="38">
        <v>0</v>
      </c>
      <c r="J72" s="58">
        <v>13758.908600000001</v>
      </c>
      <c r="K72" s="58">
        <v>11990.8194</v>
      </c>
      <c r="L72" s="354">
        <v>4</v>
      </c>
      <c r="M72" s="352">
        <v>20.8</v>
      </c>
      <c r="N72" s="354" t="s">
        <v>500</v>
      </c>
      <c r="O72" s="41">
        <v>34</v>
      </c>
      <c r="P72" s="354">
        <v>4</v>
      </c>
      <c r="Q72" s="41">
        <v>20.8</v>
      </c>
      <c r="R72" s="354" t="s">
        <v>500</v>
      </c>
      <c r="S72" s="41">
        <v>34</v>
      </c>
      <c r="T72" s="46">
        <v>17.913385826771655</v>
      </c>
      <c r="U72" s="46">
        <v>110</v>
      </c>
      <c r="V72" s="47">
        <v>0.93292276668566287</v>
      </c>
    </row>
    <row r="73" spans="1:22" ht="12.75">
      <c r="A73" s="361">
        <f t="shared" si="8"/>
        <v>67</v>
      </c>
      <c r="B73" s="42" t="str">
        <f t="shared" si="7"/>
        <v>CASE-IH 9260-12 SP  4WD_________________ 266 pto hp</v>
      </c>
      <c r="C73" s="352">
        <v>265.83983999999998</v>
      </c>
      <c r="D73" s="42" t="s">
        <v>849</v>
      </c>
      <c r="E73" s="42" t="s">
        <v>907</v>
      </c>
      <c r="F73" s="42" t="s">
        <v>606</v>
      </c>
      <c r="G73" s="291"/>
      <c r="H73" s="353">
        <v>5097</v>
      </c>
      <c r="I73" s="38">
        <v>0</v>
      </c>
      <c r="J73" s="58">
        <v>15899.575200000001</v>
      </c>
      <c r="K73" s="58">
        <v>14400.447200000001</v>
      </c>
      <c r="L73" s="354">
        <v>4</v>
      </c>
      <c r="M73" s="352">
        <v>20.8</v>
      </c>
      <c r="N73" s="354" t="s">
        <v>500</v>
      </c>
      <c r="O73" s="41">
        <v>42</v>
      </c>
      <c r="P73" s="354">
        <v>4</v>
      </c>
      <c r="Q73" s="41">
        <v>20.8</v>
      </c>
      <c r="R73" s="354" t="s">
        <v>500</v>
      </c>
      <c r="S73" s="41">
        <v>42</v>
      </c>
      <c r="T73" s="46">
        <v>16.535433070866144</v>
      </c>
      <c r="U73" s="46">
        <v>124.01574803149607</v>
      </c>
      <c r="V73" s="47">
        <v>0.9602611695661406</v>
      </c>
    </row>
    <row r="74" spans="1:22" ht="12.75">
      <c r="A74" s="361">
        <f t="shared" si="8"/>
        <v>68</v>
      </c>
      <c r="B74" s="42" t="str">
        <f t="shared" si="7"/>
        <v>CASE-IH 9250-12 SP  4WD_________________ 266 pto hp</v>
      </c>
      <c r="C74" s="352">
        <v>266.01416999999998</v>
      </c>
      <c r="D74" s="42" t="s">
        <v>849</v>
      </c>
      <c r="E74" s="42" t="s">
        <v>908</v>
      </c>
      <c r="F74" s="42" t="s">
        <v>606</v>
      </c>
      <c r="G74" s="291"/>
      <c r="H74" s="353">
        <v>5096</v>
      </c>
      <c r="I74" s="38">
        <v>0</v>
      </c>
      <c r="J74" s="58">
        <v>16530.090800000002</v>
      </c>
      <c r="K74" s="58">
        <v>13694.975200000001</v>
      </c>
      <c r="L74" s="354">
        <v>4</v>
      </c>
      <c r="M74" s="352">
        <v>20.8</v>
      </c>
      <c r="N74" s="354" t="s">
        <v>500</v>
      </c>
      <c r="O74" s="41">
        <v>42</v>
      </c>
      <c r="P74" s="354">
        <v>4</v>
      </c>
      <c r="Q74" s="41">
        <v>20.8</v>
      </c>
      <c r="R74" s="354" t="s">
        <v>500</v>
      </c>
      <c r="S74" s="41">
        <v>42</v>
      </c>
      <c r="T74" s="46">
        <v>16.535433070866144</v>
      </c>
      <c r="U74" s="46">
        <v>130</v>
      </c>
      <c r="V74" s="47">
        <v>0.96434610881717209</v>
      </c>
    </row>
    <row r="75" spans="1:22" ht="12.75">
      <c r="A75" s="361">
        <f t="shared" si="8"/>
        <v>69</v>
      </c>
      <c r="B75" s="42" t="str">
        <f t="shared" si="7"/>
        <v>CASE-IH 9350-12 SP  4WD_________________ 277 pto hp</v>
      </c>
      <c r="C75" s="352">
        <v>276.98355000000004</v>
      </c>
      <c r="D75" s="42" t="s">
        <v>849</v>
      </c>
      <c r="E75" s="42" t="s">
        <v>909</v>
      </c>
      <c r="F75" s="42" t="s">
        <v>606</v>
      </c>
      <c r="G75" s="291"/>
      <c r="H75" s="353">
        <v>5202</v>
      </c>
      <c r="I75" s="38">
        <v>0</v>
      </c>
      <c r="J75" s="58">
        <v>15873.12</v>
      </c>
      <c r="K75" s="58">
        <v>13013.7538</v>
      </c>
      <c r="L75" s="354">
        <v>4</v>
      </c>
      <c r="M75" s="352">
        <v>18.399999999999999</v>
      </c>
      <c r="N75" s="41" t="s">
        <v>481</v>
      </c>
      <c r="O75" s="41">
        <v>42</v>
      </c>
      <c r="P75" s="354">
        <v>4</v>
      </c>
      <c r="Q75" s="41">
        <v>18.399999999999999</v>
      </c>
      <c r="R75" s="41" t="s">
        <v>481</v>
      </c>
      <c r="S75" s="41">
        <v>42</v>
      </c>
      <c r="T75" s="46">
        <v>15.551181102362206</v>
      </c>
      <c r="U75" s="46">
        <v>132.51968503937007</v>
      </c>
      <c r="V75" s="47">
        <v>0.96097032828474083</v>
      </c>
    </row>
    <row r="76" spans="1:22" ht="12.75">
      <c r="A76" s="361">
        <f t="shared" si="8"/>
        <v>70</v>
      </c>
      <c r="B76" s="42" t="str">
        <f t="shared" si="7"/>
        <v>CASE-IH 9270-12 SP  4WD_________________ 299 pto hp</v>
      </c>
      <c r="C76" s="352">
        <v>299.05640999999997</v>
      </c>
      <c r="D76" s="42" t="s">
        <v>849</v>
      </c>
      <c r="E76" s="42" t="s">
        <v>910</v>
      </c>
      <c r="F76" s="42" t="s">
        <v>606</v>
      </c>
      <c r="G76" s="291"/>
      <c r="H76" s="353">
        <v>5114</v>
      </c>
      <c r="I76" s="38">
        <v>0</v>
      </c>
      <c r="J76" s="58">
        <v>18430.456000000002</v>
      </c>
      <c r="K76" s="58">
        <v>15776.117600000001</v>
      </c>
      <c r="L76" s="354">
        <v>4</v>
      </c>
      <c r="M76" s="352">
        <v>20.8</v>
      </c>
      <c r="N76" s="41" t="s">
        <v>481</v>
      </c>
      <c r="O76" s="41">
        <v>42</v>
      </c>
      <c r="P76" s="354">
        <v>4</v>
      </c>
      <c r="Q76" s="41">
        <v>20.8</v>
      </c>
      <c r="R76" s="41" t="s">
        <v>481</v>
      </c>
      <c r="S76" s="41">
        <v>42</v>
      </c>
      <c r="T76" s="46">
        <v>16.535433070866144</v>
      </c>
      <c r="U76" s="46">
        <v>144.80314960629923</v>
      </c>
      <c r="V76" s="47">
        <v>0.95713660789895072</v>
      </c>
    </row>
    <row r="77" spans="1:22" ht="12.75">
      <c r="A77" s="361">
        <f t="shared" si="8"/>
        <v>71</v>
      </c>
      <c r="B77" s="42" t="str">
        <f t="shared" si="7"/>
        <v>CASE-IH 9270/9170-12 SP  4WD____________ 308 pto hp</v>
      </c>
      <c r="C77" s="352">
        <v>308.29590000000002</v>
      </c>
      <c r="D77" s="42" t="s">
        <v>849</v>
      </c>
      <c r="E77" s="42" t="s">
        <v>911</v>
      </c>
      <c r="F77" s="42" t="s">
        <v>606</v>
      </c>
      <c r="G77" s="291"/>
      <c r="H77" s="353">
        <v>5043</v>
      </c>
      <c r="I77" s="38" t="s">
        <v>556</v>
      </c>
      <c r="J77" s="58">
        <v>17945.444</v>
      </c>
      <c r="K77" s="58">
        <v>16016.419000000002</v>
      </c>
      <c r="L77" s="354">
        <v>4</v>
      </c>
      <c r="M77" s="352">
        <v>23.1</v>
      </c>
      <c r="N77" s="354" t="s">
        <v>500</v>
      </c>
      <c r="O77" s="41">
        <v>34</v>
      </c>
      <c r="P77" s="354">
        <v>4</v>
      </c>
      <c r="Q77" s="41">
        <v>23.1</v>
      </c>
      <c r="R77" s="354" t="s">
        <v>500</v>
      </c>
      <c r="S77" s="41">
        <v>34</v>
      </c>
      <c r="T77" s="46">
        <v>13.976377952755906</v>
      </c>
      <c r="U77" s="46">
        <v>141.49606299212599</v>
      </c>
      <c r="V77" s="47">
        <v>0.98911643178044373</v>
      </c>
    </row>
    <row r="78" spans="1:22" ht="12.75">
      <c r="A78" s="361">
        <f t="shared" si="8"/>
        <v>72</v>
      </c>
      <c r="B78" s="42" t="str">
        <f t="shared" si="7"/>
        <v>CASE-IH 9370-12 SP  4WD_________________ 322 pto hp</v>
      </c>
      <c r="C78" s="352">
        <v>321.67908</v>
      </c>
      <c r="D78" s="42" t="s">
        <v>849</v>
      </c>
      <c r="E78" s="42" t="s">
        <v>912</v>
      </c>
      <c r="F78" s="42" t="s">
        <v>606</v>
      </c>
      <c r="G78" s="291"/>
      <c r="H78" s="353">
        <v>5203</v>
      </c>
      <c r="I78" s="38">
        <v>0</v>
      </c>
      <c r="J78" s="58">
        <v>18408.41</v>
      </c>
      <c r="K78" s="58">
        <v>15542.43</v>
      </c>
      <c r="L78" s="354">
        <v>4</v>
      </c>
      <c r="M78" s="352">
        <v>20.8</v>
      </c>
      <c r="N78" s="41" t="s">
        <v>481</v>
      </c>
      <c r="O78" s="41">
        <v>42</v>
      </c>
      <c r="P78" s="354">
        <v>4</v>
      </c>
      <c r="Q78" s="41">
        <v>20.8</v>
      </c>
      <c r="R78" s="41" t="s">
        <v>481</v>
      </c>
      <c r="S78" s="41">
        <v>42</v>
      </c>
      <c r="T78" s="46">
        <v>16.535433070866144</v>
      </c>
      <c r="U78" s="46">
        <v>144.01574803149606</v>
      </c>
      <c r="V78" s="47">
        <v>0.96174414877390524</v>
      </c>
    </row>
    <row r="79" spans="1:22" ht="12.75">
      <c r="A79" s="361">
        <f t="shared" si="8"/>
        <v>73</v>
      </c>
      <c r="B79" s="42" t="str">
        <f t="shared" si="7"/>
        <v>CASE-IH STX 375-16 SP  4WD______________ 338 pto hp</v>
      </c>
      <c r="C79" s="352">
        <v>337.93200000000002</v>
      </c>
      <c r="D79" s="42" t="s">
        <v>849</v>
      </c>
      <c r="E79" s="42" t="s">
        <v>913</v>
      </c>
      <c r="F79" s="42" t="s">
        <v>606</v>
      </c>
      <c r="G79" s="291"/>
      <c r="H79" s="353">
        <v>5335</v>
      </c>
      <c r="I79" s="38" t="s">
        <v>817</v>
      </c>
      <c r="J79" s="58">
        <v>21869.632000000001</v>
      </c>
      <c r="K79" s="58">
        <v>15915.0074</v>
      </c>
      <c r="L79" s="354">
        <v>4</v>
      </c>
      <c r="M79" s="352">
        <v>20.8</v>
      </c>
      <c r="N79" s="41" t="s">
        <v>481</v>
      </c>
      <c r="O79" s="41">
        <v>42</v>
      </c>
      <c r="P79" s="354">
        <v>4</v>
      </c>
      <c r="Q79" s="41">
        <v>20.8</v>
      </c>
      <c r="R79" s="41" t="s">
        <v>481</v>
      </c>
      <c r="S79" s="41">
        <v>42</v>
      </c>
      <c r="T79" s="46">
        <v>14.566929133858268</v>
      </c>
      <c r="U79" s="46">
        <v>153.97637795275591</v>
      </c>
      <c r="V79" s="47">
        <v>1.0043600647627493</v>
      </c>
    </row>
    <row r="80" spans="1:22" ht="12.75">
      <c r="A80" s="361">
        <f t="shared" si="8"/>
        <v>74</v>
      </c>
      <c r="B80" s="42" t="str">
        <f t="shared" si="7"/>
        <v>CASE-IH 4994-PS/12 SP  4WD______________ 344 pto hp</v>
      </c>
      <c r="C80" s="352">
        <v>344.03354999999999</v>
      </c>
      <c r="D80" s="42" t="s">
        <v>849</v>
      </c>
      <c r="E80" s="42" t="s">
        <v>914</v>
      </c>
      <c r="F80" s="42" t="s">
        <v>606</v>
      </c>
      <c r="G80" s="291"/>
      <c r="H80" s="353">
        <v>1530</v>
      </c>
      <c r="I80" s="38">
        <v>0</v>
      </c>
      <c r="J80" s="58">
        <v>18198.973000000002</v>
      </c>
      <c r="K80" s="58">
        <v>13115.1654</v>
      </c>
      <c r="L80" s="354">
        <v>4</v>
      </c>
      <c r="M80" s="352">
        <v>24.5</v>
      </c>
      <c r="N80" s="354" t="s">
        <v>500</v>
      </c>
      <c r="O80" s="41">
        <v>32</v>
      </c>
      <c r="P80" s="354">
        <v>4</v>
      </c>
      <c r="Q80" s="41">
        <v>24.5</v>
      </c>
      <c r="R80" s="354" t="s">
        <v>500</v>
      </c>
      <c r="S80" s="41">
        <v>32</v>
      </c>
      <c r="T80" s="46">
        <v>22.440944881889767</v>
      </c>
      <c r="U80" s="46">
        <v>124.80314960629921</v>
      </c>
      <c r="V80" s="47">
        <v>0.92461126915470104</v>
      </c>
    </row>
    <row r="81" spans="1:22" ht="12.75">
      <c r="A81" s="361">
        <f t="shared" si="8"/>
        <v>75</v>
      </c>
      <c r="B81" s="42" t="str">
        <f t="shared" si="7"/>
        <v>CASE-IH 9280/9180-12 SP  4WD____________ 345 pto hp</v>
      </c>
      <c r="C81" s="352">
        <v>344.637</v>
      </c>
      <c r="D81" s="42" t="s">
        <v>849</v>
      </c>
      <c r="E81" s="42" t="s">
        <v>915</v>
      </c>
      <c r="F81" s="42" t="s">
        <v>606</v>
      </c>
      <c r="G81" s="291"/>
      <c r="H81" s="353">
        <v>5044</v>
      </c>
      <c r="I81" s="38" t="s">
        <v>556</v>
      </c>
      <c r="J81" s="58">
        <v>18783.192000000003</v>
      </c>
      <c r="K81" s="58">
        <v>16799.052</v>
      </c>
      <c r="L81" s="354">
        <v>4</v>
      </c>
      <c r="M81" s="352">
        <v>20.8</v>
      </c>
      <c r="N81" s="354" t="s">
        <v>500</v>
      </c>
      <c r="O81" s="41">
        <v>42</v>
      </c>
      <c r="P81" s="354">
        <v>4</v>
      </c>
      <c r="Q81" s="41">
        <v>20.8</v>
      </c>
      <c r="R81" s="354" t="s">
        <v>500</v>
      </c>
      <c r="S81" s="41">
        <v>42</v>
      </c>
      <c r="T81" s="46">
        <v>17.047244094488189</v>
      </c>
      <c r="U81" s="46">
        <v>141.49606299212599</v>
      </c>
      <c r="V81" s="47">
        <v>0.99081140524746403</v>
      </c>
    </row>
    <row r="82" spans="1:22" ht="12.75">
      <c r="A82" s="361">
        <f t="shared" si="8"/>
        <v>76</v>
      </c>
      <c r="B82" s="42" t="str">
        <f t="shared" si="7"/>
        <v>CASE-IH 9380-12 SP  4WD_________________ 361 pto hp</v>
      </c>
      <c r="C82" s="352">
        <v>360.75581999999997</v>
      </c>
      <c r="D82" s="42" t="s">
        <v>849</v>
      </c>
      <c r="E82" s="42" t="s">
        <v>916</v>
      </c>
      <c r="F82" s="42" t="s">
        <v>606</v>
      </c>
      <c r="G82" s="291"/>
      <c r="H82" s="353">
        <v>5209</v>
      </c>
      <c r="I82" s="38" t="s">
        <v>817</v>
      </c>
      <c r="J82" s="58">
        <v>18880.1944</v>
      </c>
      <c r="K82" s="58">
        <v>12866.045600000001</v>
      </c>
      <c r="L82" s="354">
        <v>4</v>
      </c>
      <c r="M82" s="352">
        <v>20.8</v>
      </c>
      <c r="N82" s="41" t="s">
        <v>481</v>
      </c>
      <c r="O82" s="41">
        <v>42</v>
      </c>
      <c r="P82" s="354">
        <v>4</v>
      </c>
      <c r="Q82" s="41">
        <v>20.8</v>
      </c>
      <c r="R82" s="41" t="s">
        <v>481</v>
      </c>
      <c r="S82" s="41">
        <v>42</v>
      </c>
      <c r="T82" s="46">
        <v>16.929133858267718</v>
      </c>
      <c r="U82" s="46">
        <v>144.01574803149606</v>
      </c>
      <c r="V82" s="47">
        <v>0.9641918953319667</v>
      </c>
    </row>
    <row r="83" spans="1:22" ht="12.75">
      <c r="A83" s="361">
        <f t="shared" si="8"/>
        <v>77</v>
      </c>
      <c r="B83" s="42" t="str">
        <f t="shared" si="7"/>
        <v>CASE-IH STX 440-16 SP  4WD______________ 401 pto hp</v>
      </c>
      <c r="C83" s="352">
        <v>400.63715999999999</v>
      </c>
      <c r="D83" s="42" t="s">
        <v>849</v>
      </c>
      <c r="E83" s="42" t="s">
        <v>917</v>
      </c>
      <c r="F83" s="42" t="s">
        <v>606</v>
      </c>
      <c r="G83" s="291"/>
      <c r="H83" s="353">
        <v>5336</v>
      </c>
      <c r="I83" s="38" t="s">
        <v>500</v>
      </c>
      <c r="J83" s="58">
        <v>25134.6446</v>
      </c>
      <c r="K83" s="58">
        <v>19424.730600000003</v>
      </c>
      <c r="L83" s="354">
        <v>4</v>
      </c>
      <c r="M83" s="352">
        <v>20.8</v>
      </c>
      <c r="N83" s="41" t="s">
        <v>481</v>
      </c>
      <c r="O83" s="41">
        <v>42</v>
      </c>
      <c r="P83" s="354">
        <v>4</v>
      </c>
      <c r="Q83" s="41">
        <v>20.8</v>
      </c>
      <c r="R83" s="41" t="s">
        <v>481</v>
      </c>
      <c r="S83" s="41">
        <v>42</v>
      </c>
      <c r="T83" s="46">
        <v>14.960629921259843</v>
      </c>
      <c r="U83" s="46">
        <v>153.97637795275591</v>
      </c>
      <c r="V83" s="47">
        <v>1.1156553050969433</v>
      </c>
    </row>
    <row r="84" spans="1:22" ht="12.75">
      <c r="A84" s="361">
        <f t="shared" si="8"/>
        <v>78</v>
      </c>
      <c r="B84" s="42" t="str">
        <f t="shared" si="7"/>
        <v>INTERNATIONAL 284  2WD__________________ 27 pto hp</v>
      </c>
      <c r="C84" s="352">
        <v>27.46368</v>
      </c>
      <c r="D84" s="42" t="s">
        <v>918</v>
      </c>
      <c r="E84" s="42" t="s">
        <v>919</v>
      </c>
      <c r="F84" s="42" t="s">
        <v>507</v>
      </c>
      <c r="G84" s="291"/>
      <c r="H84" s="353">
        <v>1387</v>
      </c>
      <c r="I84" s="38">
        <v>0</v>
      </c>
      <c r="J84" s="58">
        <v>930.34120000000007</v>
      </c>
      <c r="K84" s="58">
        <v>1809.9766000000002</v>
      </c>
      <c r="L84" s="354">
        <v>2</v>
      </c>
      <c r="M84" s="352">
        <v>5</v>
      </c>
      <c r="N84" s="354" t="s">
        <v>499</v>
      </c>
      <c r="O84" s="41">
        <v>15</v>
      </c>
      <c r="P84" s="354">
        <v>2</v>
      </c>
      <c r="Q84" s="41">
        <v>11.2</v>
      </c>
      <c r="R84" s="354" t="s">
        <v>500</v>
      </c>
      <c r="S84" s="41">
        <v>24</v>
      </c>
      <c r="T84" s="46">
        <v>15.551181102362206</v>
      </c>
      <c r="U84" s="46">
        <v>62.99212598425197</v>
      </c>
      <c r="V84" s="47">
        <v>0.86522134550658036</v>
      </c>
    </row>
    <row r="85" spans="1:22" ht="12.75">
      <c r="A85" s="361">
        <f t="shared" si="8"/>
        <v>79</v>
      </c>
      <c r="B85" s="42" t="str">
        <f t="shared" si="7"/>
        <v>INTERNATIONAL 484  2WD__________________ 42 pto hp</v>
      </c>
      <c r="C85" s="352">
        <v>42.41583</v>
      </c>
      <c r="D85" s="42" t="s">
        <v>918</v>
      </c>
      <c r="E85" s="42" t="s">
        <v>920</v>
      </c>
      <c r="F85" s="42" t="s">
        <v>507</v>
      </c>
      <c r="G85" s="291"/>
      <c r="H85" s="353">
        <v>1312</v>
      </c>
      <c r="I85" s="38">
        <v>0</v>
      </c>
      <c r="J85" s="58">
        <v>1845.2502000000002</v>
      </c>
      <c r="K85" s="58">
        <v>3154.7826</v>
      </c>
      <c r="L85" s="354">
        <v>2</v>
      </c>
      <c r="M85" s="352">
        <v>9.5</v>
      </c>
      <c r="N85" s="354" t="s">
        <v>499</v>
      </c>
      <c r="O85" s="41">
        <v>15</v>
      </c>
      <c r="P85" s="354">
        <v>2</v>
      </c>
      <c r="Q85" s="41">
        <v>14.9</v>
      </c>
      <c r="R85" s="354" t="s">
        <v>500</v>
      </c>
      <c r="S85" s="41">
        <v>28</v>
      </c>
      <c r="T85" s="46">
        <v>12.598425196850394</v>
      </c>
      <c r="U85" s="46">
        <v>72.795275590551185</v>
      </c>
      <c r="V85" s="47">
        <v>0.91755646226701015</v>
      </c>
    </row>
    <row r="86" spans="1:22" ht="12.75">
      <c r="A86" s="361">
        <f t="shared" si="8"/>
        <v>80</v>
      </c>
      <c r="B86" s="42" t="str">
        <f t="shared" si="7"/>
        <v>INTERNATIONAL 584  2WD__________________ 53 pto hp</v>
      </c>
      <c r="C86" s="352">
        <v>52.540379999999999</v>
      </c>
      <c r="D86" s="42" t="s">
        <v>918</v>
      </c>
      <c r="E86" s="42" t="s">
        <v>921</v>
      </c>
      <c r="F86" s="42" t="s">
        <v>507</v>
      </c>
      <c r="G86" s="291"/>
      <c r="H86" s="353">
        <v>1313</v>
      </c>
      <c r="I86" s="38">
        <v>0</v>
      </c>
      <c r="J86" s="58">
        <v>1995.163</v>
      </c>
      <c r="K86" s="58">
        <v>3670.6590000000001</v>
      </c>
      <c r="L86" s="354">
        <v>2</v>
      </c>
      <c r="M86" s="352">
        <v>9.5</v>
      </c>
      <c r="N86" s="354" t="s">
        <v>499</v>
      </c>
      <c r="O86" s="41">
        <v>15</v>
      </c>
      <c r="P86" s="354">
        <v>2</v>
      </c>
      <c r="Q86" s="41">
        <v>16.899999999999999</v>
      </c>
      <c r="R86" s="354" t="s">
        <v>500</v>
      </c>
      <c r="S86" s="41">
        <v>30</v>
      </c>
      <c r="T86" s="46">
        <v>15.551181102362206</v>
      </c>
      <c r="U86" s="46">
        <v>77.716535433070874</v>
      </c>
      <c r="V86" s="47">
        <v>0.96152557173965847</v>
      </c>
    </row>
    <row r="87" spans="1:22" ht="12.75">
      <c r="A87" s="361">
        <f t="shared" si="8"/>
        <v>81</v>
      </c>
      <c r="B87" s="42" t="str">
        <f t="shared" ref="B87:B102" si="9">CONCATENATE( LEFT(CONCATENATE(D87," ",E87," ",G87," ",F87,$W$5),40)," ",FIXED(C87,0)," pto hp")</f>
        <v>INTERNATIONAL 84  2WD___________________ 59 pto hp</v>
      </c>
      <c r="C87" s="352">
        <v>58.735799999999998</v>
      </c>
      <c r="D87" s="42" t="s">
        <v>918</v>
      </c>
      <c r="E87" s="42" t="s">
        <v>922</v>
      </c>
      <c r="F87" s="42" t="s">
        <v>507</v>
      </c>
      <c r="G87" s="291"/>
      <c r="H87" s="353">
        <v>1316</v>
      </c>
      <c r="I87" s="38">
        <v>0</v>
      </c>
      <c r="J87" s="58">
        <v>2026.0274000000002</v>
      </c>
      <c r="K87" s="58">
        <v>3979.3030000000003</v>
      </c>
      <c r="L87" s="354">
        <v>2</v>
      </c>
      <c r="M87" s="352">
        <v>9.5</v>
      </c>
      <c r="N87" s="354" t="s">
        <v>499</v>
      </c>
      <c r="O87" s="41">
        <v>15</v>
      </c>
      <c r="P87" s="354">
        <v>2</v>
      </c>
      <c r="Q87" s="41">
        <v>16.899999999999999</v>
      </c>
      <c r="R87" s="354" t="s">
        <v>500</v>
      </c>
      <c r="S87" s="41">
        <v>28</v>
      </c>
      <c r="T87" s="46">
        <v>14.566929133858268</v>
      </c>
      <c r="U87" s="46">
        <v>87.99212598425197</v>
      </c>
      <c r="V87" s="47">
        <v>0.78961005687125019</v>
      </c>
    </row>
    <row r="88" spans="1:22" ht="12.75">
      <c r="A88" s="361">
        <f t="shared" si="8"/>
        <v>82</v>
      </c>
      <c r="B88" s="42" t="str">
        <f t="shared" si="9"/>
        <v>INTERNATIONAL 684  2WD__________________ 63 pto hp</v>
      </c>
      <c r="C88" s="352">
        <v>62.517419999999994</v>
      </c>
      <c r="D88" s="42" t="s">
        <v>918</v>
      </c>
      <c r="E88" s="42" t="s">
        <v>923</v>
      </c>
      <c r="F88" s="42" t="s">
        <v>507</v>
      </c>
      <c r="G88" s="291"/>
      <c r="H88" s="353">
        <v>1314</v>
      </c>
      <c r="I88" s="38">
        <v>0</v>
      </c>
      <c r="J88" s="58">
        <v>1900.3652000000002</v>
      </c>
      <c r="K88" s="58">
        <v>3935.2110000000002</v>
      </c>
      <c r="L88" s="354">
        <v>2</v>
      </c>
      <c r="M88" s="352">
        <v>9.5</v>
      </c>
      <c r="N88" s="354" t="s">
        <v>499</v>
      </c>
      <c r="O88" s="41">
        <v>15</v>
      </c>
      <c r="P88" s="354">
        <v>2</v>
      </c>
      <c r="Q88" s="41">
        <v>16.899999999999999</v>
      </c>
      <c r="R88" s="354" t="s">
        <v>500</v>
      </c>
      <c r="S88" s="41">
        <v>30</v>
      </c>
      <c r="T88" s="46">
        <v>14.566929133858268</v>
      </c>
      <c r="U88" s="46">
        <v>87.99212598425197</v>
      </c>
      <c r="V88" s="47">
        <v>0.94347757447098402</v>
      </c>
    </row>
    <row r="89" spans="1:22" ht="12.75">
      <c r="A89" s="361">
        <f t="shared" si="8"/>
        <v>83</v>
      </c>
      <c r="B89" s="42" t="str">
        <f t="shared" si="9"/>
        <v>INTERNATIONAL 784  2WD__________________ 65 pto hp</v>
      </c>
      <c r="C89" s="352">
        <v>65.467619999999997</v>
      </c>
      <c r="D89" s="42" t="s">
        <v>918</v>
      </c>
      <c r="E89" s="42" t="s">
        <v>924</v>
      </c>
      <c r="F89" s="42" t="s">
        <v>507</v>
      </c>
      <c r="G89" s="291"/>
      <c r="H89" s="353">
        <v>1315</v>
      </c>
      <c r="I89" s="38">
        <v>0</v>
      </c>
      <c r="J89" s="58">
        <v>1920.2066000000002</v>
      </c>
      <c r="K89" s="58">
        <v>4168.8986000000004</v>
      </c>
      <c r="L89" s="354">
        <v>2</v>
      </c>
      <c r="M89" s="352">
        <v>9.5</v>
      </c>
      <c r="N89" s="354" t="s">
        <v>499</v>
      </c>
      <c r="O89" s="41">
        <v>15</v>
      </c>
      <c r="P89" s="354">
        <v>2</v>
      </c>
      <c r="Q89" s="41">
        <v>18.399999999999999</v>
      </c>
      <c r="R89" s="354" t="s">
        <v>500</v>
      </c>
      <c r="S89" s="41">
        <v>30</v>
      </c>
      <c r="T89" s="46">
        <v>15.551181102362206</v>
      </c>
      <c r="U89" s="46">
        <v>87.99212598425197</v>
      </c>
      <c r="V89" s="47">
        <v>0.93844617900937655</v>
      </c>
    </row>
    <row r="90" spans="1:22" ht="12.75">
      <c r="A90" s="361">
        <f t="shared" si="8"/>
        <v>84</v>
      </c>
      <c r="B90" s="42" t="str">
        <f t="shared" si="9"/>
        <v>INTERNATIONAL 686  2WD__________________ 66 pto hp</v>
      </c>
      <c r="C90" s="352">
        <v>66.36609</v>
      </c>
      <c r="D90" s="42" t="s">
        <v>918</v>
      </c>
      <c r="E90" s="42" t="s">
        <v>925</v>
      </c>
      <c r="F90" s="42" t="s">
        <v>507</v>
      </c>
      <c r="G90" s="291"/>
      <c r="H90" s="353">
        <v>1336</v>
      </c>
      <c r="I90" s="38">
        <v>0</v>
      </c>
      <c r="J90" s="58">
        <v>2429.4692</v>
      </c>
      <c r="K90" s="58">
        <v>5551.1828000000005</v>
      </c>
      <c r="L90" s="354">
        <v>2</v>
      </c>
      <c r="M90" s="352">
        <v>9.5</v>
      </c>
      <c r="N90" s="354" t="s">
        <v>499</v>
      </c>
      <c r="O90" s="41">
        <v>15</v>
      </c>
      <c r="P90" s="354">
        <v>2</v>
      </c>
      <c r="Q90" s="41">
        <v>18.399999999999999</v>
      </c>
      <c r="R90" s="354" t="s">
        <v>500</v>
      </c>
      <c r="S90" s="41">
        <v>34</v>
      </c>
      <c r="T90" s="46">
        <v>18.110236220472441</v>
      </c>
      <c r="U90" s="46">
        <v>102.99212598425197</v>
      </c>
      <c r="V90" s="47">
        <v>0.94007631290602156</v>
      </c>
    </row>
    <row r="91" spans="1:22" ht="12.75">
      <c r="A91" s="361">
        <f t="shared" si="8"/>
        <v>85</v>
      </c>
      <c r="B91" s="42" t="str">
        <f t="shared" si="9"/>
        <v>INTERNATIONAL 86  2WD___________________ 71 pto hp</v>
      </c>
      <c r="C91" s="352">
        <v>70.885260000000002</v>
      </c>
      <c r="D91" s="42" t="s">
        <v>918</v>
      </c>
      <c r="E91" s="42" t="s">
        <v>926</v>
      </c>
      <c r="F91" s="42" t="s">
        <v>507</v>
      </c>
      <c r="G91" s="291"/>
      <c r="H91" s="353">
        <v>1337</v>
      </c>
      <c r="I91" s="38">
        <v>0</v>
      </c>
      <c r="J91" s="58">
        <v>2488.9934000000003</v>
      </c>
      <c r="K91" s="58">
        <v>5676.8450000000003</v>
      </c>
      <c r="L91" s="354">
        <v>2</v>
      </c>
      <c r="M91" s="352">
        <v>9.5</v>
      </c>
      <c r="N91" s="354" t="s">
        <v>499</v>
      </c>
      <c r="O91" s="41">
        <v>15</v>
      </c>
      <c r="P91" s="354">
        <v>2</v>
      </c>
      <c r="Q91" s="41">
        <v>18.399999999999999</v>
      </c>
      <c r="R91" s="354" t="s">
        <v>500</v>
      </c>
      <c r="S91" s="41">
        <v>34</v>
      </c>
      <c r="T91" s="46">
        <v>19.094488188976378</v>
      </c>
      <c r="U91" s="46">
        <v>102.99212598425197</v>
      </c>
      <c r="V91" s="47">
        <v>0.80053238072267696</v>
      </c>
    </row>
    <row r="92" spans="1:22" ht="12.75">
      <c r="A92" s="361">
        <f t="shared" si="8"/>
        <v>86</v>
      </c>
      <c r="B92" s="42" t="str">
        <f t="shared" si="9"/>
        <v>INTERNATIONAL 884  2WD__________________ 73 pto hp</v>
      </c>
      <c r="C92" s="352">
        <v>72.910169999999994</v>
      </c>
      <c r="D92" s="42" t="s">
        <v>918</v>
      </c>
      <c r="E92" s="42" t="s">
        <v>927</v>
      </c>
      <c r="F92" s="42" t="s">
        <v>507</v>
      </c>
      <c r="G92" s="291"/>
      <c r="H92" s="353">
        <v>1376</v>
      </c>
      <c r="I92" s="38">
        <v>0</v>
      </c>
      <c r="J92" s="58">
        <v>1979.7308</v>
      </c>
      <c r="K92" s="58">
        <v>4224.0136000000002</v>
      </c>
      <c r="L92" s="354">
        <v>2</v>
      </c>
      <c r="M92" s="352">
        <v>9.5</v>
      </c>
      <c r="N92" s="354" t="s">
        <v>499</v>
      </c>
      <c r="O92" s="41">
        <v>15</v>
      </c>
      <c r="P92" s="354">
        <v>2</v>
      </c>
      <c r="Q92" s="41">
        <v>18.399999999999999</v>
      </c>
      <c r="R92" s="354" t="s">
        <v>500</v>
      </c>
      <c r="S92" s="41">
        <v>30</v>
      </c>
      <c r="T92" s="46">
        <v>16.535433070866144</v>
      </c>
      <c r="U92" s="46">
        <v>84.015748031496074</v>
      </c>
      <c r="V92" s="47">
        <v>0.94852003166028498</v>
      </c>
    </row>
    <row r="93" spans="1:22" ht="12.75">
      <c r="A93" s="361">
        <f t="shared" si="8"/>
        <v>87</v>
      </c>
      <c r="B93" s="42" t="str">
        <f t="shared" si="9"/>
        <v>INTERNATIONAL 786  2WD__________________ 80 pto hp</v>
      </c>
      <c r="C93" s="352">
        <v>80.205210000000008</v>
      </c>
      <c r="D93" s="42" t="s">
        <v>918</v>
      </c>
      <c r="E93" s="42" t="s">
        <v>928</v>
      </c>
      <c r="F93" s="42" t="s">
        <v>507</v>
      </c>
      <c r="G93" s="291"/>
      <c r="H93" s="353">
        <v>1388</v>
      </c>
      <c r="I93" s="38">
        <v>0</v>
      </c>
      <c r="J93" s="58">
        <v>3225.3298</v>
      </c>
      <c r="K93" s="58">
        <v>8364.2524000000012</v>
      </c>
      <c r="L93" s="354">
        <v>2</v>
      </c>
      <c r="M93" s="352">
        <v>11</v>
      </c>
      <c r="N93" s="354" t="s">
        <v>499</v>
      </c>
      <c r="O93" s="41">
        <v>16</v>
      </c>
      <c r="P93" s="354">
        <v>4</v>
      </c>
      <c r="Q93" s="41">
        <v>18.399999999999999</v>
      </c>
      <c r="R93" s="354" t="s">
        <v>500</v>
      </c>
      <c r="S93" s="41">
        <v>34</v>
      </c>
      <c r="T93" s="46">
        <v>19.488188976377955</v>
      </c>
      <c r="U93" s="46">
        <v>104.80314960629921</v>
      </c>
      <c r="V93" s="47">
        <v>0.93058590380647133</v>
      </c>
    </row>
    <row r="94" spans="1:22" ht="12.75">
      <c r="A94" s="361">
        <f t="shared" si="8"/>
        <v>88</v>
      </c>
      <c r="B94" s="42" t="str">
        <f t="shared" si="9"/>
        <v>INTERNATIONAL 3088-16 SP  2WD___________ 81 pto hp</v>
      </c>
      <c r="C94" s="352">
        <v>81.345059999999989</v>
      </c>
      <c r="D94" s="42" t="s">
        <v>918</v>
      </c>
      <c r="E94" s="42" t="s">
        <v>929</v>
      </c>
      <c r="F94" s="42" t="s">
        <v>507</v>
      </c>
      <c r="G94" s="291"/>
      <c r="H94" s="353">
        <v>1551</v>
      </c>
      <c r="I94" s="38">
        <v>0</v>
      </c>
      <c r="J94" s="58">
        <v>3201.0792000000001</v>
      </c>
      <c r="K94" s="58">
        <v>8739.0344000000005</v>
      </c>
      <c r="L94" s="354">
        <v>2</v>
      </c>
      <c r="M94" s="352">
        <v>9.5</v>
      </c>
      <c r="N94" s="354" t="s">
        <v>499</v>
      </c>
      <c r="O94" s="41">
        <v>16.100000000000001</v>
      </c>
      <c r="P94" s="354">
        <v>4</v>
      </c>
      <c r="Q94" s="41">
        <v>18.399999999999999</v>
      </c>
      <c r="R94" s="354" t="s">
        <v>500</v>
      </c>
      <c r="S94" s="41">
        <v>34</v>
      </c>
      <c r="T94" s="46">
        <v>19.488188976377955</v>
      </c>
      <c r="U94" s="46">
        <v>104.80314960629921</v>
      </c>
      <c r="V94" s="47">
        <v>0.93442442369347101</v>
      </c>
    </row>
    <row r="95" spans="1:22" ht="12.75">
      <c r="A95" s="361">
        <f t="shared" si="8"/>
        <v>89</v>
      </c>
      <c r="B95" s="42" t="str">
        <f t="shared" si="9"/>
        <v>INTERNATIONAL 886  2WD__________________ 87 pto hp</v>
      </c>
      <c r="C95" s="352">
        <v>86.561549999999997</v>
      </c>
      <c r="D95" s="42" t="s">
        <v>918</v>
      </c>
      <c r="E95" s="42" t="s">
        <v>930</v>
      </c>
      <c r="F95" s="42" t="s">
        <v>507</v>
      </c>
      <c r="G95" s="291"/>
      <c r="H95" s="353">
        <v>1338</v>
      </c>
      <c r="I95" s="38">
        <v>0</v>
      </c>
      <c r="J95" s="58">
        <v>3240.7620000000002</v>
      </c>
      <c r="K95" s="58">
        <v>8498.7330000000002</v>
      </c>
      <c r="L95" s="354">
        <v>2</v>
      </c>
      <c r="M95" s="352">
        <v>9.5</v>
      </c>
      <c r="N95" s="354" t="s">
        <v>499</v>
      </c>
      <c r="O95" s="41">
        <v>15</v>
      </c>
      <c r="P95" s="354">
        <v>4</v>
      </c>
      <c r="Q95" s="41">
        <v>18.399999999999999</v>
      </c>
      <c r="R95" s="354" t="s">
        <v>500</v>
      </c>
      <c r="S95" s="41">
        <v>34</v>
      </c>
      <c r="T95" s="46">
        <v>19.094488188976378</v>
      </c>
      <c r="U95" s="46">
        <v>104.80314960629921</v>
      </c>
      <c r="V95" s="47">
        <v>0.93768616166840313</v>
      </c>
    </row>
    <row r="96" spans="1:22" ht="12.75">
      <c r="A96" s="361">
        <f t="shared" si="8"/>
        <v>90</v>
      </c>
      <c r="B96" s="42" t="str">
        <f t="shared" si="9"/>
        <v>INTERNATIONAL 3288  2WD_________________ 90 pto hp</v>
      </c>
      <c r="C96" s="352">
        <v>90.463859999999983</v>
      </c>
      <c r="D96" s="42" t="s">
        <v>918</v>
      </c>
      <c r="E96" s="42" t="s">
        <v>931</v>
      </c>
      <c r="F96" s="42" t="s">
        <v>507</v>
      </c>
      <c r="G96" s="291"/>
      <c r="H96" s="353">
        <v>1438</v>
      </c>
      <c r="I96" s="38">
        <v>0</v>
      </c>
      <c r="J96" s="58">
        <v>3139.3504000000003</v>
      </c>
      <c r="K96" s="58">
        <v>8619.9860000000008</v>
      </c>
      <c r="L96" s="354">
        <v>2</v>
      </c>
      <c r="M96" s="352">
        <v>9.5</v>
      </c>
      <c r="N96" s="354" t="s">
        <v>499</v>
      </c>
      <c r="O96" s="41">
        <v>15</v>
      </c>
      <c r="P96" s="354">
        <v>4</v>
      </c>
      <c r="Q96" s="41">
        <v>18.399999999999999</v>
      </c>
      <c r="R96" s="354" t="s">
        <v>500</v>
      </c>
      <c r="S96" s="41">
        <v>34</v>
      </c>
      <c r="T96" s="46">
        <v>19.094488188976378</v>
      </c>
      <c r="U96" s="46">
        <v>104.80314960629921</v>
      </c>
      <c r="V96" s="47">
        <v>0.95256794230284869</v>
      </c>
    </row>
    <row r="97" spans="1:22" ht="12.75">
      <c r="A97" s="361">
        <f t="shared" si="8"/>
        <v>91</v>
      </c>
      <c r="B97" s="42" t="str">
        <f t="shared" si="9"/>
        <v>INTERNATIONAL 886  2WD__________________ 91 pto hp</v>
      </c>
      <c r="C97" s="352">
        <v>90.557730000000006</v>
      </c>
      <c r="D97" s="42" t="s">
        <v>918</v>
      </c>
      <c r="E97" s="42" t="s">
        <v>930</v>
      </c>
      <c r="F97" s="42" t="s">
        <v>507</v>
      </c>
      <c r="G97" s="291"/>
      <c r="H97" s="353">
        <v>1339</v>
      </c>
      <c r="I97" s="38">
        <v>0</v>
      </c>
      <c r="J97" s="58">
        <v>3240.7620000000002</v>
      </c>
      <c r="K97" s="58">
        <v>8498.7330000000002</v>
      </c>
      <c r="L97" s="354">
        <v>2</v>
      </c>
      <c r="M97" s="352">
        <v>9.5</v>
      </c>
      <c r="N97" s="354" t="s">
        <v>499</v>
      </c>
      <c r="O97" s="41">
        <v>15</v>
      </c>
      <c r="P97" s="354">
        <v>4</v>
      </c>
      <c r="Q97" s="41">
        <v>18.399999999999999</v>
      </c>
      <c r="R97" s="354" t="s">
        <v>500</v>
      </c>
      <c r="S97" s="41">
        <v>34</v>
      </c>
      <c r="T97" s="46">
        <v>19.094488188976378</v>
      </c>
      <c r="U97" s="46">
        <v>104.80314960629921</v>
      </c>
      <c r="V97" s="47">
        <v>0.92854013110185596</v>
      </c>
    </row>
    <row r="98" spans="1:22" ht="12.75">
      <c r="A98" s="361">
        <f t="shared" si="8"/>
        <v>92</v>
      </c>
      <c r="B98" s="42" t="str">
        <f t="shared" si="9"/>
        <v>INTERNATIONAL 3488  2WD_________________ 113 pto hp</v>
      </c>
      <c r="C98" s="352">
        <v>112.56353999999999</v>
      </c>
      <c r="D98" s="42" t="s">
        <v>918</v>
      </c>
      <c r="E98" s="42" t="s">
        <v>932</v>
      </c>
      <c r="F98" s="42" t="s">
        <v>507</v>
      </c>
      <c r="G98" s="291"/>
      <c r="H98" s="353">
        <v>1439</v>
      </c>
      <c r="I98" s="38">
        <v>0</v>
      </c>
      <c r="J98" s="58">
        <v>3520.7462</v>
      </c>
      <c r="K98" s="58">
        <v>9358.527</v>
      </c>
      <c r="L98" s="354">
        <v>2</v>
      </c>
      <c r="M98" s="352">
        <v>11</v>
      </c>
      <c r="N98" s="354" t="s">
        <v>499</v>
      </c>
      <c r="O98" s="41">
        <v>15</v>
      </c>
      <c r="P98" s="354">
        <v>4</v>
      </c>
      <c r="Q98" s="41">
        <v>18.399999999999999</v>
      </c>
      <c r="R98" s="354" t="s">
        <v>500</v>
      </c>
      <c r="S98" s="41">
        <v>38</v>
      </c>
      <c r="T98" s="46">
        <v>21.45669291338583</v>
      </c>
      <c r="U98" s="46">
        <v>104.80314960629921</v>
      </c>
      <c r="V98" s="47">
        <v>0.77313690584914996</v>
      </c>
    </row>
    <row r="99" spans="1:22" ht="12.75">
      <c r="A99" s="361">
        <f t="shared" si="8"/>
        <v>93</v>
      </c>
      <c r="B99" s="42" t="str">
        <f t="shared" si="9"/>
        <v>INTERNATIONAL 3688  2WD_________________ 114 pto hp</v>
      </c>
      <c r="C99" s="352">
        <v>113.71679999999999</v>
      </c>
      <c r="D99" s="42" t="s">
        <v>918</v>
      </c>
      <c r="E99" s="42" t="s">
        <v>933</v>
      </c>
      <c r="F99" s="42" t="s">
        <v>507</v>
      </c>
      <c r="G99" s="291"/>
      <c r="H99" s="353">
        <v>1440</v>
      </c>
      <c r="I99" s="38">
        <v>0</v>
      </c>
      <c r="J99" s="58">
        <v>3470.0404000000003</v>
      </c>
      <c r="K99" s="58">
        <v>9731.1044000000002</v>
      </c>
      <c r="L99" s="354">
        <v>2</v>
      </c>
      <c r="M99" s="352">
        <v>11</v>
      </c>
      <c r="N99" s="354" t="s">
        <v>499</v>
      </c>
      <c r="O99" s="41">
        <v>15</v>
      </c>
      <c r="P99" s="354">
        <v>4</v>
      </c>
      <c r="Q99" s="41">
        <v>18.399999999999999</v>
      </c>
      <c r="R99" s="354" t="s">
        <v>500</v>
      </c>
      <c r="S99" s="41">
        <v>38</v>
      </c>
      <c r="T99" s="46">
        <v>21.45669291338583</v>
      </c>
      <c r="U99" s="46">
        <v>104.80314960629921</v>
      </c>
      <c r="V99" s="47">
        <v>0.94316806359354166</v>
      </c>
    </row>
    <row r="100" spans="1:22" ht="12.75">
      <c r="A100" s="361">
        <f t="shared" si="8"/>
        <v>94</v>
      </c>
      <c r="B100" s="42" t="str">
        <f t="shared" si="9"/>
        <v>INTERNATIONAL 3388-16 SP  4WD___________ 131 pto hp</v>
      </c>
      <c r="C100" s="352">
        <v>130.59998999999999</v>
      </c>
      <c r="D100" s="42" t="s">
        <v>918</v>
      </c>
      <c r="E100" s="42" t="s">
        <v>934</v>
      </c>
      <c r="F100" s="42" t="s">
        <v>606</v>
      </c>
      <c r="G100" s="291"/>
      <c r="H100" s="353">
        <v>1319</v>
      </c>
      <c r="I100" s="38">
        <v>0</v>
      </c>
      <c r="J100" s="58">
        <v>9601.0330000000013</v>
      </c>
      <c r="K100" s="58">
        <v>7819.7162000000008</v>
      </c>
      <c r="L100" s="354">
        <v>2</v>
      </c>
      <c r="M100" s="352">
        <v>18.399999999999999</v>
      </c>
      <c r="N100" s="41" t="s">
        <v>481</v>
      </c>
      <c r="O100" s="41">
        <v>38</v>
      </c>
      <c r="P100" s="354">
        <v>2</v>
      </c>
      <c r="Q100" s="41">
        <v>18.399999999999999</v>
      </c>
      <c r="R100" s="41" t="s">
        <v>481</v>
      </c>
      <c r="S100" s="41">
        <v>38</v>
      </c>
      <c r="T100" s="46">
        <v>20.472440944881892</v>
      </c>
      <c r="U100" s="46">
        <v>110</v>
      </c>
      <c r="V100" s="47">
        <v>0.92504456402187174</v>
      </c>
    </row>
    <row r="101" spans="1:22" ht="12.75">
      <c r="A101" s="361">
        <f t="shared" si="8"/>
        <v>95</v>
      </c>
      <c r="B101" s="42" t="str">
        <f t="shared" si="9"/>
        <v>INTERNATIONAL 5088  2WD_________________ 136 pto hp</v>
      </c>
      <c r="C101" s="352">
        <v>136.11150000000001</v>
      </c>
      <c r="D101" s="42" t="s">
        <v>918</v>
      </c>
      <c r="E101" s="42" t="s">
        <v>935</v>
      </c>
      <c r="F101" s="42" t="s">
        <v>507</v>
      </c>
      <c r="G101" s="291"/>
      <c r="H101" s="353">
        <v>1419</v>
      </c>
      <c r="I101" s="38">
        <v>0</v>
      </c>
      <c r="J101" s="58">
        <v>3970.4846000000002</v>
      </c>
      <c r="K101" s="58">
        <v>12039.320600000001</v>
      </c>
      <c r="L101" s="354">
        <v>2</v>
      </c>
      <c r="M101" s="352">
        <v>10</v>
      </c>
      <c r="N101" s="354" t="s">
        <v>499</v>
      </c>
      <c r="O101" s="41">
        <v>16</v>
      </c>
      <c r="P101" s="354">
        <v>4</v>
      </c>
      <c r="Q101" s="41">
        <v>18.399999999999999</v>
      </c>
      <c r="R101" s="41" t="s">
        <v>481</v>
      </c>
      <c r="S101" s="41">
        <v>38</v>
      </c>
      <c r="T101" s="46">
        <v>20.472440944881892</v>
      </c>
      <c r="U101" s="46">
        <v>111.61417322834646</v>
      </c>
      <c r="V101" s="47">
        <v>0.92285229984836548</v>
      </c>
    </row>
    <row r="102" spans="1:22" ht="12.75">
      <c r="A102" s="361">
        <f t="shared" si="8"/>
        <v>96</v>
      </c>
      <c r="B102" s="42" t="str">
        <f t="shared" si="9"/>
        <v>INTERNATIONAL 3588-16 SP  4WD___________ 150 pto hp</v>
      </c>
      <c r="C102" s="352">
        <v>150.40655999999998</v>
      </c>
      <c r="D102" s="42" t="s">
        <v>918</v>
      </c>
      <c r="E102" s="42" t="s">
        <v>936</v>
      </c>
      <c r="F102" s="42" t="s">
        <v>606</v>
      </c>
      <c r="G102" s="291"/>
      <c r="H102" s="353">
        <v>1320</v>
      </c>
      <c r="I102" s="38">
        <v>0</v>
      </c>
      <c r="J102" s="58">
        <v>9684.8078000000005</v>
      </c>
      <c r="K102" s="58">
        <v>7934.3554000000004</v>
      </c>
      <c r="L102" s="354">
        <v>2</v>
      </c>
      <c r="M102" s="352">
        <v>18.399999999999999</v>
      </c>
      <c r="N102" s="41" t="s">
        <v>481</v>
      </c>
      <c r="O102" s="41">
        <v>38</v>
      </c>
      <c r="P102" s="354">
        <v>2</v>
      </c>
      <c r="Q102" s="41">
        <v>18.399999999999999</v>
      </c>
      <c r="R102" s="41" t="s">
        <v>481</v>
      </c>
      <c r="S102" s="41">
        <v>38</v>
      </c>
      <c r="T102" s="46">
        <v>20.078740157480315</v>
      </c>
      <c r="U102" s="46">
        <v>110</v>
      </c>
      <c r="V102" s="47">
        <v>0.90673158390417541</v>
      </c>
    </row>
    <row r="103" spans="1:22" ht="12.75">
      <c r="A103" s="361">
        <f t="shared" si="8"/>
        <v>97</v>
      </c>
      <c r="B103" s="42" t="str">
        <f t="shared" ref="B103:B118" si="10">CONCATENATE( LEFT(CONCATENATE(D103," ",E103," ",G103," ",F103,$W$5),40)," ",FIXED(C103,0)," pto hp")</f>
        <v>INTERNATIONAL 5288  2WD_________________ 163 pto hp</v>
      </c>
      <c r="C103" s="352">
        <v>162.59625</v>
      </c>
      <c r="D103" s="42" t="s">
        <v>918</v>
      </c>
      <c r="E103" s="42" t="s">
        <v>937</v>
      </c>
      <c r="F103" s="42" t="s">
        <v>507</v>
      </c>
      <c r="G103" s="291"/>
      <c r="H103" s="353">
        <v>1420</v>
      </c>
      <c r="I103" s="38">
        <v>0</v>
      </c>
      <c r="J103" s="58">
        <v>4149.0572000000002</v>
      </c>
      <c r="K103" s="58">
        <v>12905.7284</v>
      </c>
      <c r="L103" s="354">
        <v>2</v>
      </c>
      <c r="M103" s="352">
        <v>14</v>
      </c>
      <c r="N103" s="354" t="s">
        <v>499</v>
      </c>
      <c r="O103" s="41">
        <v>16.100000000000001</v>
      </c>
      <c r="P103" s="354">
        <v>4</v>
      </c>
      <c r="Q103" s="41">
        <v>20.8</v>
      </c>
      <c r="R103" s="41" t="s">
        <v>481</v>
      </c>
      <c r="S103" s="41">
        <v>38</v>
      </c>
      <c r="T103" s="46">
        <v>20.472440944881892</v>
      </c>
      <c r="U103" s="46">
        <v>111.61417322834646</v>
      </c>
      <c r="V103" s="47">
        <v>0.91508376847060857</v>
      </c>
    </row>
    <row r="104" spans="1:22" ht="12.75">
      <c r="A104" s="361">
        <f t="shared" ref="A104:A135" si="11">A103+1</f>
        <v>98</v>
      </c>
      <c r="B104" s="42" t="str">
        <f t="shared" si="10"/>
        <v>INTERNATIONAL 3788  4WD_________________ 171 pto hp</v>
      </c>
      <c r="C104" s="352">
        <v>170.56179</v>
      </c>
      <c r="D104" s="42" t="s">
        <v>918</v>
      </c>
      <c r="E104" s="42">
        <v>3788</v>
      </c>
      <c r="F104" s="42" t="s">
        <v>606</v>
      </c>
      <c r="G104" s="291"/>
      <c r="H104" s="353">
        <v>1377</v>
      </c>
      <c r="I104" s="38">
        <v>0</v>
      </c>
      <c r="J104" s="58">
        <v>9869.994200000001</v>
      </c>
      <c r="K104" s="58">
        <v>8750.0573999999997</v>
      </c>
      <c r="L104" s="354">
        <v>2</v>
      </c>
      <c r="M104" s="352">
        <v>20.8</v>
      </c>
      <c r="N104" s="41" t="s">
        <v>481</v>
      </c>
      <c r="O104" s="41">
        <v>38</v>
      </c>
      <c r="P104" s="354">
        <v>2</v>
      </c>
      <c r="Q104" s="41">
        <v>20.8</v>
      </c>
      <c r="R104" s="41" t="s">
        <v>481</v>
      </c>
      <c r="S104" s="41">
        <v>38</v>
      </c>
      <c r="T104" s="46">
        <v>14.960629921259843</v>
      </c>
      <c r="U104" s="46">
        <v>110</v>
      </c>
      <c r="V104" s="47">
        <v>0.90036324998446349</v>
      </c>
    </row>
    <row r="105" spans="1:22" ht="12.75">
      <c r="A105" s="361">
        <f t="shared" si="11"/>
        <v>99</v>
      </c>
      <c r="B105" s="42" t="str">
        <f t="shared" si="10"/>
        <v>INTERNATIONAL 5488  2WD_________________ 187 pto hp</v>
      </c>
      <c r="C105" s="352">
        <v>187.21701000000002</v>
      </c>
      <c r="D105" s="42" t="s">
        <v>918</v>
      </c>
      <c r="E105" s="42" t="s">
        <v>938</v>
      </c>
      <c r="F105" s="42" t="s">
        <v>507</v>
      </c>
      <c r="G105" s="291"/>
      <c r="H105" s="353">
        <v>1441</v>
      </c>
      <c r="I105" s="38">
        <v>0</v>
      </c>
      <c r="J105" s="58">
        <v>4155.6710000000003</v>
      </c>
      <c r="K105" s="58">
        <v>13084.301000000001</v>
      </c>
      <c r="L105" s="354">
        <v>2</v>
      </c>
      <c r="M105" s="352">
        <v>14</v>
      </c>
      <c r="N105" s="354" t="s">
        <v>499</v>
      </c>
      <c r="O105" s="41">
        <v>16.100000000000001</v>
      </c>
      <c r="P105" s="354">
        <v>4</v>
      </c>
      <c r="Q105" s="41">
        <v>20.8</v>
      </c>
      <c r="R105" s="41" t="s">
        <v>481</v>
      </c>
      <c r="S105" s="41">
        <v>38</v>
      </c>
      <c r="T105" s="46">
        <v>21.45669291338583</v>
      </c>
      <c r="U105" s="46">
        <v>111.61417322834646</v>
      </c>
      <c r="V105" s="47">
        <v>0.94378118682640999</v>
      </c>
    </row>
    <row r="106" spans="1:22" ht="12.75">
      <c r="A106" s="361">
        <f t="shared" si="11"/>
        <v>100</v>
      </c>
      <c r="B106" s="42" t="str">
        <f t="shared" si="10"/>
        <v>JI CASE 1194  2WD_______________________ 43 pto hp</v>
      </c>
      <c r="C106" s="352">
        <v>43.086330000000004</v>
      </c>
      <c r="D106" s="42" t="s">
        <v>939</v>
      </c>
      <c r="E106" s="42" t="s">
        <v>940</v>
      </c>
      <c r="F106" s="42" t="s">
        <v>507</v>
      </c>
      <c r="G106" s="291"/>
      <c r="H106" s="353">
        <v>1378</v>
      </c>
      <c r="I106" s="38">
        <v>0</v>
      </c>
      <c r="J106" s="58">
        <v>1710.7696000000001</v>
      </c>
      <c r="K106" s="58">
        <v>2910.0720000000001</v>
      </c>
      <c r="L106" s="354">
        <v>2</v>
      </c>
      <c r="M106" s="352">
        <v>6</v>
      </c>
      <c r="N106" s="354" t="s">
        <v>499</v>
      </c>
      <c r="O106" s="41">
        <v>16</v>
      </c>
      <c r="P106" s="354">
        <v>2</v>
      </c>
      <c r="Q106" s="41">
        <v>13.6</v>
      </c>
      <c r="R106" s="354" t="s">
        <v>500</v>
      </c>
      <c r="S106" s="41">
        <v>28</v>
      </c>
      <c r="T106" s="46">
        <v>17.519685039370081</v>
      </c>
      <c r="U106" s="46">
        <v>77.00787401574803</v>
      </c>
      <c r="V106" s="47">
        <v>0.86940473833486054</v>
      </c>
    </row>
    <row r="107" spans="1:22" ht="12.75">
      <c r="A107" s="361">
        <f t="shared" si="11"/>
        <v>101</v>
      </c>
      <c r="B107" s="42" t="str">
        <f t="shared" si="10"/>
        <v>JI CASE 1290  MFWD______________________ 54 pto hp</v>
      </c>
      <c r="C107" s="352">
        <v>53.733869999999996</v>
      </c>
      <c r="D107" s="42" t="s">
        <v>939</v>
      </c>
      <c r="E107" s="42" t="s">
        <v>941</v>
      </c>
      <c r="F107" s="42" t="s">
        <v>497</v>
      </c>
      <c r="G107" s="291"/>
      <c r="H107" s="353">
        <v>1379</v>
      </c>
      <c r="I107" s="38" t="s">
        <v>499</v>
      </c>
      <c r="J107" s="58">
        <v>2755.75</v>
      </c>
      <c r="K107" s="58">
        <v>3816.1626000000001</v>
      </c>
      <c r="L107" s="354">
        <v>2</v>
      </c>
      <c r="M107" s="352">
        <v>9.5</v>
      </c>
      <c r="N107" s="354" t="s">
        <v>500</v>
      </c>
      <c r="O107" s="41">
        <v>24</v>
      </c>
      <c r="P107" s="354">
        <v>2</v>
      </c>
      <c r="Q107" s="41">
        <v>16.899999999999999</v>
      </c>
      <c r="R107" s="354" t="s">
        <v>500</v>
      </c>
      <c r="S107" s="41">
        <v>30</v>
      </c>
      <c r="T107" s="46">
        <v>17.913385826771655</v>
      </c>
      <c r="U107" s="46">
        <v>84.015748031496074</v>
      </c>
      <c r="V107" s="47">
        <v>0.90154018765525823</v>
      </c>
    </row>
    <row r="108" spans="1:22" ht="12.75">
      <c r="A108" s="361">
        <f t="shared" si="11"/>
        <v>102</v>
      </c>
      <c r="B108" s="42" t="str">
        <f t="shared" si="10"/>
        <v>JI CASE 1390  MFWD______________________ 61 pto hp</v>
      </c>
      <c r="C108" s="352">
        <v>60.586379999999998</v>
      </c>
      <c r="D108" s="42" t="s">
        <v>939</v>
      </c>
      <c r="E108" s="42" t="s">
        <v>942</v>
      </c>
      <c r="F108" s="42" t="s">
        <v>497</v>
      </c>
      <c r="G108" s="291"/>
      <c r="H108" s="353">
        <v>1380</v>
      </c>
      <c r="I108" s="38" t="s">
        <v>499</v>
      </c>
      <c r="J108" s="58">
        <v>2780.0006000000003</v>
      </c>
      <c r="K108" s="58">
        <v>3840.4132000000004</v>
      </c>
      <c r="L108" s="354">
        <v>2</v>
      </c>
      <c r="M108" s="352">
        <v>9.5</v>
      </c>
      <c r="N108" s="354" t="s">
        <v>500</v>
      </c>
      <c r="O108" s="41">
        <v>24</v>
      </c>
      <c r="P108" s="354">
        <v>2</v>
      </c>
      <c r="Q108" s="41">
        <v>16.899999999999999</v>
      </c>
      <c r="R108" s="354" t="s">
        <v>500</v>
      </c>
      <c r="S108" s="41">
        <v>30</v>
      </c>
      <c r="T108" s="46">
        <v>17.519685039370081</v>
      </c>
      <c r="U108" s="46">
        <v>84.015748031496074</v>
      </c>
      <c r="V108" s="47">
        <v>0.89682095439825138</v>
      </c>
    </row>
    <row r="109" spans="1:22" ht="12.75">
      <c r="A109" s="361">
        <f t="shared" si="11"/>
        <v>103</v>
      </c>
      <c r="B109" s="42" t="str">
        <f t="shared" si="10"/>
        <v>JI CASE 1490  MFWD______________________ 71 pto hp</v>
      </c>
      <c r="C109" s="352">
        <v>70.509779999999992</v>
      </c>
      <c r="D109" s="42" t="s">
        <v>939</v>
      </c>
      <c r="E109" s="42" t="s">
        <v>943</v>
      </c>
      <c r="F109" s="42" t="s">
        <v>497</v>
      </c>
      <c r="G109" s="291"/>
      <c r="H109" s="353">
        <v>1381</v>
      </c>
      <c r="I109" s="38" t="s">
        <v>499</v>
      </c>
      <c r="J109" s="58">
        <v>3174.6240000000003</v>
      </c>
      <c r="K109" s="58">
        <v>4530.4530000000004</v>
      </c>
      <c r="L109" s="354">
        <v>2</v>
      </c>
      <c r="M109" s="352">
        <v>12.4</v>
      </c>
      <c r="N109" s="41" t="s">
        <v>481</v>
      </c>
      <c r="O109" s="41">
        <v>24</v>
      </c>
      <c r="P109" s="354">
        <v>2</v>
      </c>
      <c r="Q109" s="41">
        <v>18.399999999999999</v>
      </c>
      <c r="R109" s="354" t="s">
        <v>500</v>
      </c>
      <c r="S109" s="41">
        <v>34</v>
      </c>
      <c r="T109" s="46">
        <v>20.078740157480315</v>
      </c>
      <c r="U109" s="46">
        <v>87.99212598425197</v>
      </c>
      <c r="V109" s="47">
        <v>0.9246944182778617</v>
      </c>
    </row>
    <row r="110" spans="1:22" ht="12.75">
      <c r="A110" s="361">
        <f t="shared" si="11"/>
        <v>104</v>
      </c>
      <c r="B110" s="42" t="str">
        <f t="shared" si="10"/>
        <v>JI CASE 1490  2WD_______________________ 71 pto hp</v>
      </c>
      <c r="C110" s="352">
        <v>70.912080000000003</v>
      </c>
      <c r="D110" s="42" t="s">
        <v>939</v>
      </c>
      <c r="E110" s="42" t="s">
        <v>943</v>
      </c>
      <c r="F110" s="42" t="s">
        <v>507</v>
      </c>
      <c r="G110" s="291"/>
      <c r="H110" s="353">
        <v>1382</v>
      </c>
      <c r="I110" s="38">
        <v>0</v>
      </c>
      <c r="J110" s="58">
        <v>2850.5478000000003</v>
      </c>
      <c r="K110" s="58">
        <v>5575.4333999999999</v>
      </c>
      <c r="L110" s="354">
        <v>2</v>
      </c>
      <c r="M110" s="352">
        <v>11</v>
      </c>
      <c r="N110" s="354" t="s">
        <v>499</v>
      </c>
      <c r="O110" s="41">
        <v>15</v>
      </c>
      <c r="P110" s="354">
        <v>2</v>
      </c>
      <c r="Q110" s="41">
        <v>18.399999999999999</v>
      </c>
      <c r="R110" s="354" t="s">
        <v>500</v>
      </c>
      <c r="S110" s="41">
        <v>34</v>
      </c>
      <c r="T110" s="46">
        <v>22.047244094488189</v>
      </c>
      <c r="U110" s="46">
        <v>87.99212598425197</v>
      </c>
      <c r="V110" s="47">
        <v>0.91655180040685014</v>
      </c>
    </row>
    <row r="111" spans="1:22" ht="12.75">
      <c r="A111" s="361">
        <f t="shared" si="11"/>
        <v>105</v>
      </c>
      <c r="B111" s="42" t="str">
        <f t="shared" si="10"/>
        <v>JI CASE 1690  MFWD______________________ 90 pto hp</v>
      </c>
      <c r="C111" s="352">
        <v>90.383400000000009</v>
      </c>
      <c r="D111" s="42" t="s">
        <v>939</v>
      </c>
      <c r="E111" s="42" t="s">
        <v>944</v>
      </c>
      <c r="F111" s="42" t="s">
        <v>497</v>
      </c>
      <c r="G111" s="291"/>
      <c r="H111" s="353">
        <v>1383</v>
      </c>
      <c r="I111" s="38" t="s">
        <v>499</v>
      </c>
      <c r="J111" s="58">
        <v>3505.3140000000003</v>
      </c>
      <c r="K111" s="58">
        <v>5249.1526000000003</v>
      </c>
      <c r="L111" s="354">
        <v>2</v>
      </c>
      <c r="M111" s="352">
        <v>13.6</v>
      </c>
      <c r="N111" s="354" t="s">
        <v>500</v>
      </c>
      <c r="O111" s="41">
        <v>24</v>
      </c>
      <c r="P111" s="354">
        <v>2</v>
      </c>
      <c r="Q111" s="41">
        <v>18.399999999999999</v>
      </c>
      <c r="R111" s="354" t="s">
        <v>500</v>
      </c>
      <c r="S111" s="41">
        <v>34</v>
      </c>
      <c r="T111" s="46">
        <v>20.472440944881892</v>
      </c>
      <c r="U111" s="46">
        <v>100.51181102362206</v>
      </c>
      <c r="V111" s="47">
        <v>0.86777475103207469</v>
      </c>
    </row>
    <row r="112" spans="1:22" ht="12.75">
      <c r="A112" s="361">
        <f t="shared" si="11"/>
        <v>106</v>
      </c>
      <c r="B112" s="42" t="str">
        <f t="shared" si="10"/>
        <v>JI CASE 2094-12 SP  2WD_________________ 110 pto hp</v>
      </c>
      <c r="C112" s="352">
        <v>110.4984</v>
      </c>
      <c r="D112" s="42" t="s">
        <v>939</v>
      </c>
      <c r="E112" s="42" t="s">
        <v>945</v>
      </c>
      <c r="F112" s="42" t="s">
        <v>507</v>
      </c>
      <c r="G112" s="291"/>
      <c r="H112" s="353">
        <v>1525</v>
      </c>
      <c r="I112" s="38">
        <v>0</v>
      </c>
      <c r="J112" s="58">
        <v>3269.4218000000001</v>
      </c>
      <c r="K112" s="58">
        <v>10919.383800000001</v>
      </c>
      <c r="L112" s="354">
        <v>2</v>
      </c>
      <c r="M112" s="352">
        <v>11</v>
      </c>
      <c r="N112" s="354" t="s">
        <v>499</v>
      </c>
      <c r="O112" s="41">
        <v>16</v>
      </c>
      <c r="P112" s="354">
        <v>4</v>
      </c>
      <c r="Q112" s="41">
        <v>18.399999999999999</v>
      </c>
      <c r="R112" s="354" t="s">
        <v>500</v>
      </c>
      <c r="S112" s="41">
        <v>38</v>
      </c>
      <c r="T112" s="46">
        <v>19.488188976377955</v>
      </c>
      <c r="U112" s="46">
        <v>110</v>
      </c>
      <c r="V112" s="47">
        <v>0.96525795359443611</v>
      </c>
    </row>
    <row r="113" spans="1:22" ht="12.75">
      <c r="A113" s="361">
        <f t="shared" si="11"/>
        <v>107</v>
      </c>
      <c r="B113" s="42" t="str">
        <f t="shared" si="10"/>
        <v>STEIGER CR-1225-20 SP  4WD______________ 209 pto hp</v>
      </c>
      <c r="C113" s="352">
        <v>208.60596000000001</v>
      </c>
      <c r="D113" s="42" t="s">
        <v>946</v>
      </c>
      <c r="E113" s="42" t="s">
        <v>947</v>
      </c>
      <c r="F113" s="42" t="s">
        <v>606</v>
      </c>
      <c r="G113" s="291"/>
      <c r="H113" s="353">
        <v>1577</v>
      </c>
      <c r="I113" s="38">
        <v>0</v>
      </c>
      <c r="J113" s="58">
        <v>16223.651400000001</v>
      </c>
      <c r="K113" s="58">
        <v>12965.2526</v>
      </c>
      <c r="L113" s="354">
        <v>4</v>
      </c>
      <c r="M113" s="352">
        <v>23.1</v>
      </c>
      <c r="N113" s="354" t="s">
        <v>500</v>
      </c>
      <c r="O113" s="41">
        <v>34</v>
      </c>
      <c r="P113" s="354">
        <v>4</v>
      </c>
      <c r="Q113" s="41">
        <v>23.1</v>
      </c>
      <c r="R113" s="354" t="s">
        <v>500</v>
      </c>
      <c r="S113" s="41">
        <v>34</v>
      </c>
      <c r="T113" s="46">
        <v>14.566929133858268</v>
      </c>
      <c r="U113" s="46">
        <v>130</v>
      </c>
      <c r="V113" s="47">
        <v>0.94003688723609458</v>
      </c>
    </row>
    <row r="114" spans="1:22" ht="12.75">
      <c r="A114" s="361">
        <f t="shared" si="11"/>
        <v>108</v>
      </c>
      <c r="B114" s="42" t="str">
        <f t="shared" si="10"/>
        <v>STEIGER BEARCAT 1000-12 SP  4WD_________ 218 pto hp</v>
      </c>
      <c r="C114" s="352">
        <v>217.99296000000001</v>
      </c>
      <c r="D114" s="42" t="s">
        <v>946</v>
      </c>
      <c r="E114" s="42" t="s">
        <v>948</v>
      </c>
      <c r="F114" s="42" t="s">
        <v>606</v>
      </c>
      <c r="G114" s="291"/>
      <c r="H114" s="353">
        <v>1592</v>
      </c>
      <c r="I114" s="38">
        <v>0</v>
      </c>
      <c r="J114" s="58">
        <v>15694.547400000001</v>
      </c>
      <c r="K114" s="58">
        <v>12879.273200000001</v>
      </c>
      <c r="L114" s="354">
        <v>4</v>
      </c>
      <c r="M114" s="352">
        <v>23.1</v>
      </c>
      <c r="N114" s="354" t="s">
        <v>500</v>
      </c>
      <c r="O114" s="41">
        <v>34</v>
      </c>
      <c r="P114" s="354">
        <v>4</v>
      </c>
      <c r="Q114" s="41">
        <v>23.1</v>
      </c>
      <c r="R114" s="354" t="s">
        <v>500</v>
      </c>
      <c r="S114" s="41">
        <v>34</v>
      </c>
      <c r="T114" s="46">
        <v>19.094488188976378</v>
      </c>
      <c r="U114" s="46">
        <v>130</v>
      </c>
      <c r="V114" s="47">
        <v>0.95624213760872845</v>
      </c>
    </row>
    <row r="115" spans="1:22" ht="12.75">
      <c r="A115" s="361">
        <f t="shared" si="11"/>
        <v>109</v>
      </c>
      <c r="B115" s="42" t="str">
        <f t="shared" si="10"/>
        <v>STEIGER CR-1280-20 SP  4WD______________ 258 pto hp</v>
      </c>
      <c r="C115" s="352">
        <v>258.15591000000001</v>
      </c>
      <c r="D115" s="42" t="s">
        <v>946</v>
      </c>
      <c r="E115" s="42" t="s">
        <v>949</v>
      </c>
      <c r="F115" s="42" t="s">
        <v>606</v>
      </c>
      <c r="G115" s="291"/>
      <c r="H115" s="353">
        <v>1578</v>
      </c>
      <c r="I115" s="38">
        <v>0</v>
      </c>
      <c r="J115" s="58">
        <v>16499.2264</v>
      </c>
      <c r="K115" s="58">
        <v>13099.733200000001</v>
      </c>
      <c r="L115" s="354">
        <v>4</v>
      </c>
      <c r="M115" s="352" t="s">
        <v>950</v>
      </c>
      <c r="N115" s="354" t="s">
        <v>500</v>
      </c>
      <c r="O115" s="41">
        <v>34</v>
      </c>
      <c r="P115" s="354">
        <v>4</v>
      </c>
      <c r="Q115" s="41">
        <v>23.1</v>
      </c>
      <c r="R115" s="354" t="s">
        <v>500</v>
      </c>
      <c r="S115" s="41">
        <v>34</v>
      </c>
      <c r="T115" s="46">
        <v>14.566929133858268</v>
      </c>
      <c r="U115" s="46">
        <v>130</v>
      </c>
      <c r="V115" s="47">
        <v>0.94315516960692891</v>
      </c>
    </row>
    <row r="116" spans="1:22" ht="12.75">
      <c r="A116" s="361">
        <f t="shared" si="11"/>
        <v>110</v>
      </c>
      <c r="B116" s="42" t="str">
        <f t="shared" si="10"/>
        <v>STEIGER COUGAR 1000-12 SP  4WD__________ 260 pto hp</v>
      </c>
      <c r="C116" s="352">
        <v>259.95285000000001</v>
      </c>
      <c r="D116" s="42" t="s">
        <v>946</v>
      </c>
      <c r="E116" s="42" t="s">
        <v>951</v>
      </c>
      <c r="F116" s="42" t="s">
        <v>606</v>
      </c>
      <c r="G116" s="291"/>
      <c r="H116" s="353">
        <v>1593</v>
      </c>
      <c r="I116" s="38">
        <v>0</v>
      </c>
      <c r="J116" s="58">
        <v>15709.979600000001</v>
      </c>
      <c r="K116" s="58">
        <v>12740.383400000001</v>
      </c>
      <c r="L116" s="354">
        <v>4</v>
      </c>
      <c r="M116" s="352">
        <v>23.1</v>
      </c>
      <c r="N116" s="354" t="s">
        <v>500</v>
      </c>
      <c r="O116" s="41">
        <v>34</v>
      </c>
      <c r="P116" s="354">
        <v>4</v>
      </c>
      <c r="Q116" s="41">
        <v>23.1</v>
      </c>
      <c r="R116" s="354" t="s">
        <v>500</v>
      </c>
      <c r="S116" s="41">
        <v>34</v>
      </c>
      <c r="T116" s="46">
        <v>19.094488188976378</v>
      </c>
      <c r="U116" s="46">
        <v>130</v>
      </c>
      <c r="V116" s="47">
        <v>0.93684348963719821</v>
      </c>
    </row>
    <row r="117" spans="1:22" ht="12.75">
      <c r="A117" s="361">
        <f t="shared" si="11"/>
        <v>111</v>
      </c>
      <c r="B117" s="42" t="str">
        <f t="shared" si="10"/>
        <v>STEIGER CP-1325  4WD____________________ 299 pto hp</v>
      </c>
      <c r="C117" s="352">
        <v>299.09663999999998</v>
      </c>
      <c r="D117" s="42" t="s">
        <v>946</v>
      </c>
      <c r="E117" s="42" t="s">
        <v>952</v>
      </c>
      <c r="F117" s="42" t="s">
        <v>606</v>
      </c>
      <c r="G117" s="291"/>
      <c r="H117" s="353">
        <v>1453</v>
      </c>
      <c r="I117" s="38">
        <v>0</v>
      </c>
      <c r="J117" s="58">
        <v>18900.035800000001</v>
      </c>
      <c r="K117" s="58">
        <v>16560.9552</v>
      </c>
      <c r="L117" s="354">
        <v>4</v>
      </c>
      <c r="M117" s="352">
        <v>23.1</v>
      </c>
      <c r="N117" s="354" t="s">
        <v>500</v>
      </c>
      <c r="O117" s="41">
        <v>34</v>
      </c>
      <c r="P117" s="354">
        <v>4</v>
      </c>
      <c r="Q117" s="41">
        <v>23.1</v>
      </c>
      <c r="R117" s="354" t="s">
        <v>500</v>
      </c>
      <c r="S117" s="41">
        <v>34</v>
      </c>
      <c r="T117" s="46">
        <v>13.582677165354331</v>
      </c>
      <c r="U117" s="46">
        <v>141.49606299212599</v>
      </c>
      <c r="V117" s="47">
        <v>0.94609211582240771</v>
      </c>
    </row>
    <row r="118" spans="1:22" ht="12.75">
      <c r="A118" s="361">
        <f t="shared" si="11"/>
        <v>112</v>
      </c>
      <c r="B118" s="42" t="str">
        <f t="shared" si="10"/>
        <v>STEIGER PNTHR KP1325  4WD_______________ 301 pto hp</v>
      </c>
      <c r="C118" s="352">
        <v>301.20201000000003</v>
      </c>
      <c r="D118" s="42" t="s">
        <v>946</v>
      </c>
      <c r="E118" s="42" t="s">
        <v>953</v>
      </c>
      <c r="F118" s="42" t="s">
        <v>606</v>
      </c>
      <c r="G118" s="291"/>
      <c r="H118" s="353">
        <v>1465</v>
      </c>
      <c r="I118" s="38">
        <v>0</v>
      </c>
      <c r="J118" s="58">
        <v>18498.798600000002</v>
      </c>
      <c r="K118" s="58">
        <v>16710.868000000002</v>
      </c>
      <c r="L118" s="354">
        <v>4</v>
      </c>
      <c r="M118" s="352">
        <v>23.1</v>
      </c>
      <c r="N118" s="354" t="s">
        <v>500</v>
      </c>
      <c r="O118" s="41">
        <v>34</v>
      </c>
      <c r="P118" s="354">
        <v>4</v>
      </c>
      <c r="Q118" s="41">
        <v>23.1</v>
      </c>
      <c r="R118" s="354" t="s">
        <v>500</v>
      </c>
      <c r="S118" s="41">
        <v>34</v>
      </c>
      <c r="T118" s="46">
        <v>13.582677165354331</v>
      </c>
      <c r="U118" s="46">
        <v>141.49606299212599</v>
      </c>
      <c r="V118" s="47">
        <v>0.94913404157256798</v>
      </c>
    </row>
    <row r="119" spans="1:22" ht="12.75">
      <c r="A119" s="361">
        <f t="shared" si="11"/>
        <v>113</v>
      </c>
      <c r="B119" s="42" t="str">
        <f>CONCATENATE( LEFT(CONCATENATE(D119," ",E119," ",G119," ",F119,$W$5),40)," ",FIXED(C119,0)," pto hp")</f>
        <v>STEIGER PNTHR KP1360  4WD_______________ 326 pto hp</v>
      </c>
      <c r="C119" s="352">
        <v>326.11779000000001</v>
      </c>
      <c r="D119" s="42" t="s">
        <v>946</v>
      </c>
      <c r="E119" s="42" t="s">
        <v>954</v>
      </c>
      <c r="F119" s="42" t="s">
        <v>606</v>
      </c>
      <c r="G119" s="291"/>
      <c r="H119" s="353">
        <v>1456</v>
      </c>
      <c r="I119" s="38">
        <v>0</v>
      </c>
      <c r="J119" s="58">
        <v>18840.511600000002</v>
      </c>
      <c r="K119" s="58">
        <v>16640.320800000001</v>
      </c>
      <c r="L119" s="354">
        <v>4</v>
      </c>
      <c r="M119" s="352">
        <v>23.1</v>
      </c>
      <c r="N119" s="354" t="s">
        <v>500</v>
      </c>
      <c r="O119" s="41">
        <v>34</v>
      </c>
      <c r="P119" s="354">
        <v>4</v>
      </c>
      <c r="Q119" s="41">
        <v>23.1</v>
      </c>
      <c r="R119" s="354" t="s">
        <v>500</v>
      </c>
      <c r="S119" s="41">
        <v>34</v>
      </c>
      <c r="T119" s="46">
        <v>19.488188976377955</v>
      </c>
      <c r="U119" s="46">
        <v>141.49606299212599</v>
      </c>
      <c r="V119" s="47">
        <v>0.95836703830398384</v>
      </c>
    </row>
    <row r="120" spans="1:22" ht="12.75">
      <c r="A120" s="361">
        <f t="shared" si="11"/>
        <v>114</v>
      </c>
      <c r="B120" s="42" t="str">
        <f>CONCATENATE( LEFT(CONCATENATE(D120," ",E120," ",G120," ",F120,$W$5),40)," ",FIXED(C120,0)," pto hp")</f>
        <v>STEIGER CP-1360  4WD____________________ 334 pto hp</v>
      </c>
      <c r="C120" s="352">
        <v>334.32470999999998</v>
      </c>
      <c r="D120" s="42" t="s">
        <v>946</v>
      </c>
      <c r="E120" s="42" t="s">
        <v>955</v>
      </c>
      <c r="F120" s="42" t="s">
        <v>606</v>
      </c>
      <c r="G120" s="291"/>
      <c r="H120" s="353">
        <v>1455</v>
      </c>
      <c r="I120" s="38">
        <v>0</v>
      </c>
      <c r="J120" s="58">
        <v>18719.258600000001</v>
      </c>
      <c r="K120" s="58">
        <v>16541.113799999999</v>
      </c>
      <c r="L120" s="354">
        <v>4</v>
      </c>
      <c r="M120" s="352">
        <v>23.1</v>
      </c>
      <c r="N120" s="354" t="s">
        <v>500</v>
      </c>
      <c r="O120" s="41">
        <v>34</v>
      </c>
      <c r="P120" s="354">
        <v>4</v>
      </c>
      <c r="Q120" s="41">
        <v>23.1</v>
      </c>
      <c r="R120" s="354" t="s">
        <v>500</v>
      </c>
      <c r="S120" s="41">
        <v>34</v>
      </c>
      <c r="T120" s="46">
        <v>19.488188976377955</v>
      </c>
      <c r="U120" s="46">
        <v>141.49606299212599</v>
      </c>
      <c r="V120" s="47">
        <v>0.9374605191946962</v>
      </c>
    </row>
    <row r="121" spans="1:22" ht="12.75">
      <c r="A121" s="361">
        <f t="shared" si="11"/>
        <v>115</v>
      </c>
      <c r="B121" s="42" t="str">
        <f t="shared" ref="B121:B133" si="12">CONCATENATE( LEFT(CONCATENATE(D121," ",E121," ",G121," ",F121,$W$5),40)," ",FIXED(C121,0)," estimated pto hp")</f>
        <v>STEIGER PANTHER-III-PTA-325/PANTHER-VI-C 232 estimated pto hp</v>
      </c>
      <c r="C121" s="355">
        <v>232.05599999999998</v>
      </c>
      <c r="D121" s="42" t="s">
        <v>946</v>
      </c>
      <c r="E121" s="42" t="s">
        <v>956</v>
      </c>
      <c r="F121" s="42" t="s">
        <v>606</v>
      </c>
      <c r="G121" s="291"/>
      <c r="H121" s="353">
        <v>1355</v>
      </c>
      <c r="I121" s="38">
        <v>0</v>
      </c>
      <c r="J121" s="58">
        <v>17859.464599999999</v>
      </c>
      <c r="K121" s="58">
        <v>12960.843400000002</v>
      </c>
      <c r="L121" s="354">
        <v>4</v>
      </c>
      <c r="M121" s="352">
        <v>23.1</v>
      </c>
      <c r="N121" s="354" t="s">
        <v>500</v>
      </c>
      <c r="O121" s="41">
        <v>34</v>
      </c>
      <c r="P121" s="354">
        <v>4</v>
      </c>
      <c r="Q121" s="41">
        <v>23.1</v>
      </c>
      <c r="R121" s="354" t="s">
        <v>500</v>
      </c>
      <c r="S121" s="41">
        <v>34</v>
      </c>
      <c r="T121" s="46">
        <v>14.566929133858268</v>
      </c>
      <c r="U121" s="46">
        <v>132.51968503937007</v>
      </c>
      <c r="V121" s="47">
        <v>0.92</v>
      </c>
    </row>
    <row r="122" spans="1:22" ht="12.75">
      <c r="A122" s="361">
        <f t="shared" si="11"/>
        <v>116</v>
      </c>
      <c r="B122" s="42" t="str">
        <f t="shared" si="12"/>
        <v>STEIGER ST280  4WD______________________ 232 estimated pto hp</v>
      </c>
      <c r="C122" s="355">
        <v>232.05599999999998</v>
      </c>
      <c r="D122" s="42" t="s">
        <v>946</v>
      </c>
      <c r="E122" s="42" t="s">
        <v>957</v>
      </c>
      <c r="F122" s="42" t="s">
        <v>606</v>
      </c>
      <c r="G122" s="291"/>
      <c r="H122" s="353">
        <v>1401</v>
      </c>
      <c r="I122" s="38">
        <v>0</v>
      </c>
      <c r="J122" s="58">
        <v>17980.7176</v>
      </c>
      <c r="K122" s="58">
        <v>12500.082</v>
      </c>
      <c r="L122" s="354">
        <v>4</v>
      </c>
      <c r="M122" s="352">
        <v>23.1</v>
      </c>
      <c r="N122" s="354" t="s">
        <v>500</v>
      </c>
      <c r="O122" s="41">
        <v>34</v>
      </c>
      <c r="P122" s="354">
        <v>4</v>
      </c>
      <c r="Q122" s="41">
        <v>23.1</v>
      </c>
      <c r="R122" s="354" t="s">
        <v>500</v>
      </c>
      <c r="S122" s="41">
        <v>34</v>
      </c>
      <c r="T122" s="46">
        <v>18.503937007874018</v>
      </c>
      <c r="U122" s="46">
        <v>127.99212598425197</v>
      </c>
      <c r="V122" s="47">
        <v>0.92</v>
      </c>
    </row>
    <row r="123" spans="1:22" ht="12.75">
      <c r="A123" s="361">
        <f t="shared" si="11"/>
        <v>117</v>
      </c>
      <c r="B123" s="42" t="str">
        <f t="shared" si="12"/>
        <v>STEIGER PTA 280  4WD____________________ 191 estimated pto hp</v>
      </c>
      <c r="C123" s="355">
        <v>190.99519999999998</v>
      </c>
      <c r="D123" s="42" t="s">
        <v>946</v>
      </c>
      <c r="E123" s="42" t="s">
        <v>958</v>
      </c>
      <c r="F123" s="42" t="s">
        <v>606</v>
      </c>
      <c r="G123" s="291"/>
      <c r="H123" s="353">
        <v>1402</v>
      </c>
      <c r="I123" s="38">
        <v>0</v>
      </c>
      <c r="J123" s="58">
        <v>17760.257600000001</v>
      </c>
      <c r="K123" s="58">
        <v>13020.367600000001</v>
      </c>
      <c r="L123" s="354">
        <v>4</v>
      </c>
      <c r="M123" s="352">
        <v>23.1</v>
      </c>
      <c r="N123" s="354" t="s">
        <v>500</v>
      </c>
      <c r="O123" s="41">
        <v>34</v>
      </c>
      <c r="P123" s="354">
        <v>4</v>
      </c>
      <c r="Q123" s="41">
        <v>23.1</v>
      </c>
      <c r="R123" s="354" t="s">
        <v>500</v>
      </c>
      <c r="S123" s="41">
        <v>34</v>
      </c>
      <c r="T123" s="46">
        <v>18.503937007874018</v>
      </c>
      <c r="U123" s="46">
        <v>132.48031496062993</v>
      </c>
      <c r="V123" s="47">
        <v>0.92</v>
      </c>
    </row>
    <row r="124" spans="1:22" ht="12.75">
      <c r="A124" s="361">
        <f t="shared" si="11"/>
        <v>118</v>
      </c>
      <c r="B124" s="42" t="str">
        <f t="shared" si="12"/>
        <v>STEIGER ST-280/CM280  4WD_______________ 210 estimated pto hp</v>
      </c>
      <c r="C124" s="355">
        <v>209.67760000000001</v>
      </c>
      <c r="D124" s="42" t="s">
        <v>946</v>
      </c>
      <c r="E124" s="42" t="s">
        <v>959</v>
      </c>
      <c r="F124" s="42" t="s">
        <v>606</v>
      </c>
      <c r="G124" s="291"/>
      <c r="H124" s="353">
        <v>1412</v>
      </c>
      <c r="I124" s="38">
        <v>0</v>
      </c>
      <c r="J124" s="58">
        <v>18379.750200000002</v>
      </c>
      <c r="K124" s="58">
        <v>12259.7806</v>
      </c>
      <c r="L124" s="354">
        <v>4</v>
      </c>
      <c r="M124" s="352">
        <v>23.1</v>
      </c>
      <c r="N124" s="354" t="s">
        <v>500</v>
      </c>
      <c r="O124" s="41">
        <v>34</v>
      </c>
      <c r="P124" s="354">
        <v>4</v>
      </c>
      <c r="Q124" s="41">
        <v>23.1</v>
      </c>
      <c r="R124" s="354" t="s">
        <v>500</v>
      </c>
      <c r="S124" s="41">
        <v>34</v>
      </c>
      <c r="T124" s="46">
        <v>17.519685039370081</v>
      </c>
      <c r="U124" s="46">
        <v>127.99212598425197</v>
      </c>
      <c r="V124" s="47">
        <v>0.92</v>
      </c>
    </row>
    <row r="125" spans="1:22" ht="12.75">
      <c r="A125" s="361">
        <f t="shared" si="11"/>
        <v>119</v>
      </c>
      <c r="B125" s="42" t="str">
        <f t="shared" si="12"/>
        <v>STEIGER PTA 280/CS-280  4WD_____________ 204 estimated pto hp</v>
      </c>
      <c r="C125" s="355">
        <v>203.8168</v>
      </c>
      <c r="D125" s="42" t="s">
        <v>946</v>
      </c>
      <c r="E125" s="42" t="s">
        <v>960</v>
      </c>
      <c r="F125" s="42" t="s">
        <v>606</v>
      </c>
      <c r="G125" s="291"/>
      <c r="H125" s="353">
        <v>1413</v>
      </c>
      <c r="I125" s="38">
        <v>0</v>
      </c>
      <c r="J125" s="58">
        <v>17980.7176</v>
      </c>
      <c r="K125" s="58">
        <v>12799.9076</v>
      </c>
      <c r="L125" s="354">
        <v>4</v>
      </c>
      <c r="M125" s="352">
        <v>23.1</v>
      </c>
      <c r="N125" s="354" t="s">
        <v>500</v>
      </c>
      <c r="O125" s="41">
        <v>34</v>
      </c>
      <c r="P125" s="354">
        <v>4</v>
      </c>
      <c r="Q125" s="41">
        <v>23.1</v>
      </c>
      <c r="R125" s="354" t="s">
        <v>500</v>
      </c>
      <c r="S125" s="41">
        <v>34</v>
      </c>
      <c r="T125" s="46">
        <v>17.519685039370081</v>
      </c>
      <c r="U125" s="46">
        <v>132.48031496062993</v>
      </c>
      <c r="V125" s="47">
        <v>0.92</v>
      </c>
    </row>
    <row r="126" spans="1:22" ht="12.75">
      <c r="A126" s="361">
        <f t="shared" si="11"/>
        <v>120</v>
      </c>
      <c r="B126" s="42" t="str">
        <f t="shared" si="12"/>
        <v>STEIGER ST-225/CM-225  4WD______________ 164 estimated pto hp</v>
      </c>
      <c r="C126" s="355">
        <v>163.8648</v>
      </c>
      <c r="D126" s="42" t="s">
        <v>946</v>
      </c>
      <c r="E126" s="42" t="s">
        <v>961</v>
      </c>
      <c r="F126" s="42" t="s">
        <v>606</v>
      </c>
      <c r="G126" s="291"/>
      <c r="H126" s="353">
        <v>1414</v>
      </c>
      <c r="I126" s="38">
        <v>0</v>
      </c>
      <c r="J126" s="58">
        <v>16940.146400000001</v>
      </c>
      <c r="K126" s="58">
        <v>12599.289000000001</v>
      </c>
      <c r="L126" s="354">
        <v>4</v>
      </c>
      <c r="M126" s="352">
        <v>23.1</v>
      </c>
      <c r="N126" s="354" t="s">
        <v>500</v>
      </c>
      <c r="O126" s="41">
        <v>34</v>
      </c>
      <c r="P126" s="354">
        <v>4</v>
      </c>
      <c r="Q126" s="41">
        <v>23.1</v>
      </c>
      <c r="R126" s="354" t="s">
        <v>500</v>
      </c>
      <c r="S126" s="41">
        <v>34</v>
      </c>
      <c r="T126" s="46">
        <v>17.913385826771655</v>
      </c>
      <c r="U126" s="46">
        <v>127.99212598425197</v>
      </c>
      <c r="V126" s="47">
        <v>0.92</v>
      </c>
    </row>
    <row r="127" spans="1:22" ht="12.75">
      <c r="A127" s="361">
        <f t="shared" si="11"/>
        <v>121</v>
      </c>
      <c r="B127" s="42" t="str">
        <f t="shared" si="12"/>
        <v>STEIGER ST-250/CM-250  4WD______________ 186 estimated pto hp</v>
      </c>
      <c r="C127" s="355">
        <v>185.85599999999999</v>
      </c>
      <c r="D127" s="42" t="s">
        <v>946</v>
      </c>
      <c r="E127" s="42" t="s">
        <v>962</v>
      </c>
      <c r="F127" s="42" t="s">
        <v>606</v>
      </c>
      <c r="G127" s="291"/>
      <c r="H127" s="353">
        <v>1452</v>
      </c>
      <c r="I127" s="38">
        <v>0</v>
      </c>
      <c r="J127" s="58">
        <v>17389.8848</v>
      </c>
      <c r="K127" s="58">
        <v>12575.038400000001</v>
      </c>
      <c r="L127" s="354">
        <v>4</v>
      </c>
      <c r="M127" s="352">
        <v>23.1</v>
      </c>
      <c r="N127" s="354" t="s">
        <v>500</v>
      </c>
      <c r="O127" s="41">
        <v>34</v>
      </c>
      <c r="P127" s="354">
        <v>4</v>
      </c>
      <c r="Q127" s="41">
        <v>23.1</v>
      </c>
      <c r="R127" s="354" t="s">
        <v>500</v>
      </c>
      <c r="S127" s="41">
        <v>34</v>
      </c>
      <c r="T127" s="46">
        <v>16.929133858267718</v>
      </c>
      <c r="U127" s="46">
        <v>127.99212598425197</v>
      </c>
      <c r="V127" s="47">
        <v>0.92</v>
      </c>
    </row>
    <row r="128" spans="1:22" ht="12.75">
      <c r="A128" s="361">
        <f t="shared" si="11"/>
        <v>122</v>
      </c>
      <c r="B128" s="42" t="str">
        <f t="shared" si="12"/>
        <v>STEIGER KP-1400  4WD____________________ 287 estimated pto hp</v>
      </c>
      <c r="C128" s="355">
        <v>287.32</v>
      </c>
      <c r="D128" s="42" t="s">
        <v>946</v>
      </c>
      <c r="E128" s="42" t="s">
        <v>963</v>
      </c>
      <c r="F128" s="42" t="s">
        <v>606</v>
      </c>
      <c r="G128" s="291"/>
      <c r="H128" s="353">
        <v>1463</v>
      </c>
      <c r="I128" s="38">
        <v>0</v>
      </c>
      <c r="J128" s="58">
        <v>21064.953000000001</v>
      </c>
      <c r="K128" s="58">
        <v>15469.6782</v>
      </c>
      <c r="L128" s="354">
        <v>4</v>
      </c>
      <c r="M128" s="352">
        <v>30.5</v>
      </c>
      <c r="N128" s="354" t="s">
        <v>500</v>
      </c>
      <c r="O128" s="41">
        <v>32</v>
      </c>
      <c r="P128" s="354">
        <v>4</v>
      </c>
      <c r="Q128" s="41">
        <v>30.5</v>
      </c>
      <c r="R128" s="354" t="s">
        <v>500</v>
      </c>
      <c r="S128" s="41">
        <v>32</v>
      </c>
      <c r="T128" s="46">
        <v>20.472440944881892</v>
      </c>
      <c r="U128" s="46">
        <v>141.49606299212599</v>
      </c>
      <c r="V128" s="47">
        <v>0.92</v>
      </c>
    </row>
    <row r="129" spans="1:22" ht="12.75">
      <c r="A129" s="361">
        <f t="shared" si="11"/>
        <v>123</v>
      </c>
      <c r="B129" s="42" t="str">
        <f t="shared" si="12"/>
        <v>STEIGER CP-1400  4WD____________________ 287 estimated pto hp</v>
      </c>
      <c r="C129" s="355">
        <v>287.32</v>
      </c>
      <c r="D129" s="42" t="s">
        <v>946</v>
      </c>
      <c r="E129" s="42" t="s">
        <v>964</v>
      </c>
      <c r="F129" s="42" t="s">
        <v>606</v>
      </c>
      <c r="G129" s="291"/>
      <c r="H129" s="353">
        <v>1464</v>
      </c>
      <c r="I129" s="38">
        <v>0</v>
      </c>
      <c r="J129" s="58">
        <v>21056.134600000001</v>
      </c>
      <c r="K129" s="58">
        <v>15394.721800000001</v>
      </c>
      <c r="L129" s="354">
        <v>4</v>
      </c>
      <c r="M129" s="352">
        <v>30.5</v>
      </c>
      <c r="N129" s="354" t="s">
        <v>500</v>
      </c>
      <c r="O129" s="41">
        <v>32</v>
      </c>
      <c r="P129" s="354">
        <v>4</v>
      </c>
      <c r="Q129" s="41">
        <v>30.5</v>
      </c>
      <c r="R129" s="354" t="s">
        <v>500</v>
      </c>
      <c r="S129" s="41">
        <v>32</v>
      </c>
      <c r="T129" s="46">
        <v>20.472440944881892</v>
      </c>
      <c r="U129" s="46">
        <v>141.49606299212599</v>
      </c>
      <c r="V129" s="47">
        <v>0.92</v>
      </c>
    </row>
    <row r="130" spans="1:22" ht="12.75">
      <c r="A130" s="361">
        <f t="shared" si="11"/>
        <v>124</v>
      </c>
      <c r="B130" s="42" t="str">
        <f t="shared" si="12"/>
        <v>STEIGER KM-225-20 SP  4WD_______________ 165 estimated pto hp</v>
      </c>
      <c r="C130" s="355">
        <v>165.46639999999999</v>
      </c>
      <c r="D130" s="42" t="s">
        <v>946</v>
      </c>
      <c r="E130" s="42" t="s">
        <v>965</v>
      </c>
      <c r="F130" s="42" t="s">
        <v>606</v>
      </c>
      <c r="G130" s="291"/>
      <c r="H130" s="353">
        <v>1542</v>
      </c>
      <c r="I130" s="38">
        <v>0</v>
      </c>
      <c r="J130" s="58">
        <v>16400.019400000001</v>
      </c>
      <c r="K130" s="58">
        <v>11999.6378</v>
      </c>
      <c r="L130" s="354">
        <v>4</v>
      </c>
      <c r="M130" s="352">
        <v>23.1</v>
      </c>
      <c r="N130" s="354" t="s">
        <v>500</v>
      </c>
      <c r="O130" s="41">
        <v>34</v>
      </c>
      <c r="P130" s="354">
        <v>4</v>
      </c>
      <c r="Q130" s="41">
        <v>23.1</v>
      </c>
      <c r="R130" s="354" t="s">
        <v>500</v>
      </c>
      <c r="S130" s="41">
        <v>34</v>
      </c>
      <c r="T130" s="46">
        <v>18.503937007874018</v>
      </c>
      <c r="U130" s="46">
        <v>129.01574803149606</v>
      </c>
      <c r="V130" s="47">
        <v>0.92</v>
      </c>
    </row>
    <row r="131" spans="1:22" ht="12.75">
      <c r="A131" s="361">
        <f t="shared" si="11"/>
        <v>125</v>
      </c>
      <c r="B131" s="42" t="str">
        <f t="shared" si="12"/>
        <v>STEIGER KM-325-20 SP  4WD_______________ 243 estimated pto hp</v>
      </c>
      <c r="C131" s="355">
        <v>242.97680000000003</v>
      </c>
      <c r="D131" s="42" t="s">
        <v>946</v>
      </c>
      <c r="E131" s="42" t="s">
        <v>966</v>
      </c>
      <c r="F131" s="42" t="s">
        <v>606</v>
      </c>
      <c r="G131" s="291"/>
      <c r="H131" s="353">
        <v>1543</v>
      </c>
      <c r="I131" s="38">
        <v>0</v>
      </c>
      <c r="J131" s="58">
        <v>17960.876200000002</v>
      </c>
      <c r="K131" s="58">
        <v>11799.019200000001</v>
      </c>
      <c r="L131" s="354">
        <v>4</v>
      </c>
      <c r="M131" s="352">
        <v>23.1</v>
      </c>
      <c r="N131" s="354" t="s">
        <v>500</v>
      </c>
      <c r="O131" s="41">
        <v>34</v>
      </c>
      <c r="P131" s="354">
        <v>4</v>
      </c>
      <c r="Q131" s="41">
        <v>23.1</v>
      </c>
      <c r="R131" s="354" t="s">
        <v>500</v>
      </c>
      <c r="S131" s="41">
        <v>34</v>
      </c>
      <c r="T131" s="46">
        <v>17.913385826771655</v>
      </c>
      <c r="U131" s="46">
        <v>129.01574803149606</v>
      </c>
      <c r="V131" s="47">
        <v>0.92</v>
      </c>
    </row>
    <row r="132" spans="1:22" ht="12.75">
      <c r="A132" s="361">
        <f t="shared" si="11"/>
        <v>126</v>
      </c>
      <c r="B132" s="42" t="str">
        <f t="shared" si="12"/>
        <v>STEIGER CM-360-20 SP  4WD_______________ 277 estimated pto hp</v>
      </c>
      <c r="C132" s="355">
        <v>277.30560000000003</v>
      </c>
      <c r="D132" s="42" t="s">
        <v>946</v>
      </c>
      <c r="E132" s="42" t="s">
        <v>967</v>
      </c>
      <c r="F132" s="42" t="s">
        <v>606</v>
      </c>
      <c r="G132" s="291"/>
      <c r="H132" s="353">
        <v>1544</v>
      </c>
      <c r="I132" s="38">
        <v>0</v>
      </c>
      <c r="J132" s="58">
        <v>18359.908800000001</v>
      </c>
      <c r="K132" s="58">
        <v>11565.331600000001</v>
      </c>
      <c r="L132" s="354">
        <v>4</v>
      </c>
      <c r="M132" s="352">
        <v>23.1</v>
      </c>
      <c r="N132" s="354" t="s">
        <v>500</v>
      </c>
      <c r="O132" s="41">
        <v>34</v>
      </c>
      <c r="P132" s="354">
        <v>4</v>
      </c>
      <c r="Q132" s="41">
        <v>23.1</v>
      </c>
      <c r="R132" s="354" t="s">
        <v>500</v>
      </c>
      <c r="S132" s="41">
        <v>34</v>
      </c>
      <c r="T132" s="46">
        <v>18.503937007874018</v>
      </c>
      <c r="U132" s="46">
        <v>129.01574803149606</v>
      </c>
      <c r="V132" s="47">
        <v>0.92</v>
      </c>
    </row>
    <row r="133" spans="1:22" ht="12.75">
      <c r="A133" s="361">
        <f t="shared" si="11"/>
        <v>127</v>
      </c>
      <c r="B133" s="42" t="str">
        <f t="shared" si="12"/>
        <v>STEIGER SM-325-20 SP  4WD_______________ 238 estimated pto hp</v>
      </c>
      <c r="C133" s="355">
        <v>238.38319999999999</v>
      </c>
      <c r="D133" s="42" t="s">
        <v>946</v>
      </c>
      <c r="E133" s="42" t="s">
        <v>968</v>
      </c>
      <c r="F133" s="42" t="s">
        <v>606</v>
      </c>
      <c r="G133" s="291"/>
      <c r="H133" s="353">
        <v>1550</v>
      </c>
      <c r="I133" s="38">
        <v>0</v>
      </c>
      <c r="J133" s="58">
        <v>17120.923600000002</v>
      </c>
      <c r="K133" s="58">
        <v>11779.177800000001</v>
      </c>
      <c r="L133" s="354">
        <v>4</v>
      </c>
      <c r="M133" s="352">
        <v>23.1</v>
      </c>
      <c r="N133" s="354" t="s">
        <v>500</v>
      </c>
      <c r="O133" s="41">
        <v>34</v>
      </c>
      <c r="P133" s="354">
        <v>4</v>
      </c>
      <c r="Q133" s="41">
        <v>23.1</v>
      </c>
      <c r="R133" s="354" t="s">
        <v>500</v>
      </c>
      <c r="S133" s="41">
        <v>34</v>
      </c>
      <c r="T133" s="46">
        <v>17.519685039370081</v>
      </c>
      <c r="U133" s="46">
        <v>129.01574803149606</v>
      </c>
      <c r="V133" s="47">
        <v>0.92</v>
      </c>
    </row>
    <row r="134" spans="1:22">
      <c r="A134" s="361">
        <f t="shared" si="11"/>
        <v>128</v>
      </c>
      <c r="B134"/>
      <c r="C134"/>
      <c r="D134"/>
      <c r="E134"/>
      <c r="F134"/>
      <c r="G134"/>
      <c r="H134"/>
      <c r="I134"/>
      <c r="J134"/>
      <c r="K134"/>
      <c r="L134"/>
      <c r="M134"/>
      <c r="N134"/>
      <c r="O134"/>
      <c r="P134"/>
      <c r="Q134"/>
      <c r="R134"/>
      <c r="S134"/>
      <c r="T134"/>
      <c r="U134"/>
      <c r="V134"/>
    </row>
    <row r="135" spans="1:22">
      <c r="A135" s="361">
        <f t="shared" si="11"/>
        <v>129</v>
      </c>
      <c r="B135"/>
      <c r="C135"/>
      <c r="D135"/>
      <c r="E135"/>
      <c r="F135"/>
      <c r="G135"/>
      <c r="H135"/>
      <c r="I135"/>
      <c r="J135"/>
      <c r="K135"/>
      <c r="L135"/>
      <c r="M135"/>
      <c r="N135"/>
      <c r="O135"/>
      <c r="P135"/>
      <c r="Q135"/>
      <c r="R135"/>
      <c r="S135"/>
      <c r="T135"/>
      <c r="U135"/>
      <c r="V135"/>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9"/>
  <sheetViews>
    <sheetView workbookViewId="0">
      <selection activeCell="B7" sqref="B7:V156"/>
    </sheetView>
  </sheetViews>
  <sheetFormatPr defaultRowHeight="12"/>
  <cols>
    <col min="1" max="1" width="9" style="367"/>
    <col min="2" max="2" width="53.375" style="367" customWidth="1"/>
    <col min="3" max="16384" width="9" style="367"/>
  </cols>
  <sheetData>
    <row r="1" spans="1:26" s="49" customFormat="1" ht="16.5" thickTop="1">
      <c r="A1" s="356"/>
      <c r="B1" s="50" t="s">
        <v>472</v>
      </c>
      <c r="C1" s="357"/>
      <c r="D1" s="51"/>
      <c r="F1" s="51"/>
      <c r="G1" s="51"/>
      <c r="H1" s="51"/>
      <c r="J1" s="51"/>
      <c r="K1" s="51"/>
      <c r="L1" s="52" t="s">
        <v>473</v>
      </c>
      <c r="M1" s="53"/>
      <c r="N1" s="53"/>
      <c r="P1" s="52" t="s">
        <v>474</v>
      </c>
      <c r="Q1" s="53"/>
      <c r="R1" s="53"/>
      <c r="T1" s="51" t="s">
        <v>475</v>
      </c>
      <c r="U1" s="51" t="s">
        <v>476</v>
      </c>
      <c r="V1" s="51" t="s">
        <v>477</v>
      </c>
    </row>
    <row r="2" spans="1:26" s="27" customFormat="1" ht="12.75">
      <c r="A2" s="40">
        <v>1</v>
      </c>
      <c r="B2" s="382" t="s">
        <v>969</v>
      </c>
      <c r="C2" s="40">
        <v>3</v>
      </c>
      <c r="D2" s="27">
        <v>4</v>
      </c>
      <c r="E2" s="27">
        <v>5</v>
      </c>
      <c r="F2" s="27">
        <v>6</v>
      </c>
      <c r="G2" s="27">
        <v>7</v>
      </c>
      <c r="H2" s="27">
        <v>8</v>
      </c>
      <c r="I2" s="27">
        <v>9</v>
      </c>
      <c r="J2" s="27">
        <v>10</v>
      </c>
      <c r="K2" s="27">
        <v>11</v>
      </c>
      <c r="L2" s="27">
        <v>12</v>
      </c>
      <c r="M2" s="27">
        <v>13</v>
      </c>
      <c r="N2" s="27">
        <v>14</v>
      </c>
      <c r="O2" s="27">
        <v>15</v>
      </c>
      <c r="P2" s="27">
        <v>16</v>
      </c>
      <c r="Q2" s="27">
        <v>17</v>
      </c>
      <c r="R2" s="27">
        <v>18</v>
      </c>
      <c r="S2" s="27">
        <v>19</v>
      </c>
      <c r="T2" s="27">
        <v>20</v>
      </c>
      <c r="U2" s="27">
        <v>21</v>
      </c>
      <c r="V2" s="27">
        <v>22</v>
      </c>
    </row>
    <row r="3" spans="1:26" s="29" customFormat="1" ht="38.25">
      <c r="A3" s="43"/>
      <c r="C3" s="358" t="s">
        <v>478</v>
      </c>
      <c r="D3" s="34"/>
      <c r="E3" s="32"/>
      <c r="F3" s="32"/>
      <c r="G3" s="32" t="s">
        <v>479</v>
      </c>
      <c r="H3" s="32" t="s">
        <v>480</v>
      </c>
      <c r="I3" s="32" t="s">
        <v>481</v>
      </c>
      <c r="J3" s="54" t="s">
        <v>482</v>
      </c>
      <c r="K3" s="54"/>
      <c r="L3" s="29" t="s">
        <v>483</v>
      </c>
      <c r="N3" s="29" t="s">
        <v>484</v>
      </c>
      <c r="P3" s="32" t="s">
        <v>483</v>
      </c>
      <c r="R3" s="29" t="s">
        <v>484</v>
      </c>
      <c r="T3" s="32" t="s">
        <v>485</v>
      </c>
      <c r="U3" s="32" t="s">
        <v>486</v>
      </c>
      <c r="V3" s="32" t="s">
        <v>487</v>
      </c>
    </row>
    <row r="4" spans="1:26" s="29" customFormat="1" ht="12.75">
      <c r="A4" s="43"/>
      <c r="C4" s="358"/>
      <c r="D4" s="34"/>
      <c r="E4" s="32"/>
      <c r="F4" s="32"/>
      <c r="G4" s="32"/>
      <c r="H4" s="32"/>
      <c r="I4" s="32"/>
      <c r="J4" s="54"/>
      <c r="K4" s="54"/>
      <c r="P4" s="32"/>
      <c r="T4" s="32"/>
      <c r="U4" s="32"/>
      <c r="V4" s="32"/>
    </row>
    <row r="5" spans="1:26" s="55" customFormat="1" ht="13.5" thickBot="1">
      <c r="A5" s="359"/>
      <c r="B5" s="55" t="s">
        <v>422</v>
      </c>
      <c r="C5" s="360" t="s">
        <v>423</v>
      </c>
      <c r="D5" s="57" t="s">
        <v>425</v>
      </c>
      <c r="E5" s="56" t="s">
        <v>300</v>
      </c>
      <c r="F5" s="56" t="s">
        <v>428</v>
      </c>
      <c r="G5" s="56" t="s">
        <v>430</v>
      </c>
      <c r="H5" s="56" t="s">
        <v>433</v>
      </c>
      <c r="I5" s="56"/>
      <c r="J5" s="56" t="s">
        <v>488</v>
      </c>
      <c r="K5" s="56" t="s">
        <v>489</v>
      </c>
      <c r="L5" s="55" t="s">
        <v>490</v>
      </c>
      <c r="M5" s="55" t="s">
        <v>491</v>
      </c>
      <c r="N5" s="55" t="s">
        <v>492</v>
      </c>
      <c r="O5" s="55" t="s">
        <v>493</v>
      </c>
      <c r="P5" s="56" t="s">
        <v>490</v>
      </c>
      <c r="Q5" s="55" t="s">
        <v>491</v>
      </c>
      <c r="R5" s="55" t="s">
        <v>492</v>
      </c>
      <c r="S5" s="55" t="s">
        <v>493</v>
      </c>
      <c r="T5" s="56" t="s">
        <v>494</v>
      </c>
      <c r="U5" s="56" t="s">
        <v>465</v>
      </c>
      <c r="V5" s="56" t="s">
        <v>467</v>
      </c>
      <c r="W5" t="s">
        <v>420</v>
      </c>
    </row>
    <row r="6" spans="1:26">
      <c r="X6" s="368" t="s">
        <v>432</v>
      </c>
    </row>
    <row r="7" spans="1:26" ht="12.75">
      <c r="A7" s="369">
        <v>1</v>
      </c>
      <c r="B7" s="42" t="str">
        <f t="shared" ref="B7:B22" si="0">CONCATENATE( LEFT(CONCATENATE(D7," ",E7," ",G7," ",F7,$W$5),40)," ",FIXED(C7,0),"pto hp")</f>
        <v>FORD 1510(12X4)  2WD____________________ 20pto hp</v>
      </c>
      <c r="C7" s="352">
        <v>19.726110000000002</v>
      </c>
      <c r="D7" s="42" t="s">
        <v>970</v>
      </c>
      <c r="E7" s="42" t="s">
        <v>971</v>
      </c>
      <c r="F7" s="42" t="s">
        <v>507</v>
      </c>
      <c r="G7" s="291"/>
      <c r="H7" s="353">
        <v>1500</v>
      </c>
      <c r="I7" s="38">
        <v>0</v>
      </c>
      <c r="J7" s="58">
        <v>753.97320000000002</v>
      </c>
      <c r="K7" s="58">
        <v>1474.8774000000001</v>
      </c>
      <c r="L7" s="354">
        <v>2</v>
      </c>
      <c r="M7" s="352">
        <v>4</v>
      </c>
      <c r="N7" s="354" t="s">
        <v>499</v>
      </c>
      <c r="O7" s="41">
        <v>15</v>
      </c>
      <c r="P7" s="354">
        <v>2</v>
      </c>
      <c r="Q7" s="41">
        <v>9.5</v>
      </c>
      <c r="R7" s="354" t="s">
        <v>500</v>
      </c>
      <c r="S7" s="41">
        <v>24</v>
      </c>
      <c r="T7" s="46">
        <v>12.598425196850394</v>
      </c>
      <c r="U7" s="46">
        <v>62.99212598425197</v>
      </c>
      <c r="V7" s="47">
        <v>0.88509389126692772</v>
      </c>
      <c r="X7" s="370">
        <v>0.8</v>
      </c>
      <c r="Y7" s="367">
        <f t="array" ref="Y7:Y20">FREQUENCY(V7:V129,X7:X20)</f>
        <v>4</v>
      </c>
      <c r="Z7" s="371">
        <f t="shared" ref="Z7:Z20" si="1">Y7/$Y$21</f>
        <v>3.2520325203252036E-2</v>
      </c>
    </row>
    <row r="8" spans="1:26" ht="12.75">
      <c r="A8" s="369">
        <f t="shared" ref="A8:A39" si="2">A7+1</f>
        <v>2</v>
      </c>
      <c r="B8" s="42" t="str">
        <f t="shared" si="0"/>
        <v>FORD 1510(12X4)  2WD____________________ 20pto hp</v>
      </c>
      <c r="C8" s="352">
        <v>19.980899999999998</v>
      </c>
      <c r="D8" s="42" t="s">
        <v>970</v>
      </c>
      <c r="E8" s="42" t="s">
        <v>971</v>
      </c>
      <c r="F8" s="42" t="s">
        <v>507</v>
      </c>
      <c r="G8" s="291"/>
      <c r="H8" s="353">
        <v>1501</v>
      </c>
      <c r="I8" s="38">
        <v>0</v>
      </c>
      <c r="J8" s="58">
        <v>789.24680000000001</v>
      </c>
      <c r="K8" s="58">
        <v>1494.7188000000001</v>
      </c>
      <c r="L8" s="354">
        <v>2</v>
      </c>
      <c r="M8" s="352">
        <v>4</v>
      </c>
      <c r="N8" s="354" t="s">
        <v>499</v>
      </c>
      <c r="O8" s="41">
        <v>15</v>
      </c>
      <c r="P8" s="354">
        <v>2</v>
      </c>
      <c r="Q8" s="41">
        <v>9.5</v>
      </c>
      <c r="R8" s="354" t="s">
        <v>500</v>
      </c>
      <c r="S8" s="41">
        <v>24</v>
      </c>
      <c r="T8" s="46">
        <v>12.992125984251969</v>
      </c>
      <c r="U8" s="46">
        <v>62.99212598425197</v>
      </c>
      <c r="V8" s="47">
        <v>0.88192331784962752</v>
      </c>
      <c r="X8" s="370">
        <v>0.82</v>
      </c>
      <c r="Y8" s="367">
        <v>0</v>
      </c>
      <c r="Z8" s="371">
        <f t="shared" si="1"/>
        <v>0</v>
      </c>
    </row>
    <row r="9" spans="1:26" ht="12.75">
      <c r="A9" s="369">
        <f t="shared" si="2"/>
        <v>3</v>
      </c>
      <c r="B9" s="42" t="str">
        <f t="shared" si="0"/>
        <v>FORD 1700-12 SP  2WD____________________ 23pto hp</v>
      </c>
      <c r="C9" s="352">
        <v>23.266350000000003</v>
      </c>
      <c r="D9" s="42" t="s">
        <v>970</v>
      </c>
      <c r="E9" s="42" t="s">
        <v>972</v>
      </c>
      <c r="F9" s="42" t="s">
        <v>507</v>
      </c>
      <c r="G9" s="291"/>
      <c r="H9" s="353">
        <v>1325</v>
      </c>
      <c r="I9" s="38">
        <v>0</v>
      </c>
      <c r="J9" s="58">
        <v>910.49980000000005</v>
      </c>
      <c r="K9" s="58">
        <v>1704.1558</v>
      </c>
      <c r="L9" s="354">
        <v>2</v>
      </c>
      <c r="M9" s="352">
        <v>4</v>
      </c>
      <c r="N9" s="354" t="s">
        <v>499</v>
      </c>
      <c r="O9" s="41">
        <v>15</v>
      </c>
      <c r="P9" s="354">
        <v>2</v>
      </c>
      <c r="Q9" s="41">
        <v>11.2</v>
      </c>
      <c r="R9" s="354" t="s">
        <v>500</v>
      </c>
      <c r="S9" s="41">
        <v>24</v>
      </c>
      <c r="T9" s="46">
        <v>15.551181102362206</v>
      </c>
      <c r="U9" s="46">
        <v>60.236220472440948</v>
      </c>
      <c r="V9" s="47">
        <v>0.87447949274148895</v>
      </c>
      <c r="X9" s="370">
        <v>0.84</v>
      </c>
      <c r="Y9" s="367">
        <v>0</v>
      </c>
      <c r="Z9" s="371">
        <f t="shared" si="1"/>
        <v>0</v>
      </c>
    </row>
    <row r="10" spans="1:26" ht="12.75">
      <c r="A10" s="369">
        <f t="shared" si="2"/>
        <v>4</v>
      </c>
      <c r="B10" s="42" t="str">
        <f t="shared" si="0"/>
        <v>FORD 1710(12X4)  2WD____________________ 24pto hp</v>
      </c>
      <c r="C10" s="352">
        <v>23.789339999999996</v>
      </c>
      <c r="D10" s="42" t="s">
        <v>970</v>
      </c>
      <c r="E10" s="42" t="s">
        <v>973</v>
      </c>
      <c r="F10" s="42" t="s">
        <v>507</v>
      </c>
      <c r="G10" s="291"/>
      <c r="H10" s="353">
        <v>1503</v>
      </c>
      <c r="I10" s="38">
        <v>0</v>
      </c>
      <c r="J10" s="58">
        <v>899.47680000000003</v>
      </c>
      <c r="K10" s="58">
        <v>1569.6752000000001</v>
      </c>
      <c r="L10" s="354">
        <v>2</v>
      </c>
      <c r="M10" s="352">
        <v>5</v>
      </c>
      <c r="N10" s="354" t="s">
        <v>499</v>
      </c>
      <c r="O10" s="41">
        <v>15</v>
      </c>
      <c r="P10" s="354">
        <v>2</v>
      </c>
      <c r="Q10" s="41">
        <v>11.2</v>
      </c>
      <c r="R10" s="354" t="s">
        <v>500</v>
      </c>
      <c r="S10" s="41">
        <v>24</v>
      </c>
      <c r="T10" s="46">
        <v>13.582677165354331</v>
      </c>
      <c r="U10" s="46">
        <v>62.99212598425197</v>
      </c>
      <c r="V10" s="47">
        <v>0.93069166864404573</v>
      </c>
      <c r="X10" s="370">
        <v>0.86</v>
      </c>
      <c r="Y10" s="367">
        <v>6</v>
      </c>
      <c r="Z10" s="371">
        <f t="shared" si="1"/>
        <v>4.878048780487805E-2</v>
      </c>
    </row>
    <row r="11" spans="1:26" ht="12.75">
      <c r="A11" s="369">
        <f t="shared" si="2"/>
        <v>5</v>
      </c>
      <c r="B11" s="42" t="str">
        <f t="shared" si="0"/>
        <v>FORD 1710(12X4)  2WD____________________ 24pto hp</v>
      </c>
      <c r="C11" s="352">
        <v>23.883209999999998</v>
      </c>
      <c r="D11" s="42" t="s">
        <v>970</v>
      </c>
      <c r="E11" s="42" t="s">
        <v>973</v>
      </c>
      <c r="F11" s="42" t="s">
        <v>507</v>
      </c>
      <c r="G11" s="291"/>
      <c r="H11" s="353">
        <v>1502</v>
      </c>
      <c r="I11" s="38">
        <v>0</v>
      </c>
      <c r="J11" s="58">
        <v>899.47680000000003</v>
      </c>
      <c r="K11" s="58">
        <v>1569.6752000000001</v>
      </c>
      <c r="L11" s="354">
        <v>2</v>
      </c>
      <c r="M11" s="352">
        <v>5</v>
      </c>
      <c r="N11" s="354" t="s">
        <v>499</v>
      </c>
      <c r="O11" s="41">
        <v>15</v>
      </c>
      <c r="P11" s="354">
        <v>2</v>
      </c>
      <c r="Q11" s="41">
        <v>11.2</v>
      </c>
      <c r="R11" s="354" t="s">
        <v>500</v>
      </c>
      <c r="S11" s="41">
        <v>24</v>
      </c>
      <c r="T11" s="46">
        <v>13.582677165354331</v>
      </c>
      <c r="U11" s="46">
        <v>62.99212598425197</v>
      </c>
      <c r="V11" s="47">
        <v>0.90440104156853296</v>
      </c>
      <c r="X11" s="370">
        <v>0.88</v>
      </c>
      <c r="Y11" s="367">
        <v>13</v>
      </c>
      <c r="Z11" s="371">
        <f t="shared" si="1"/>
        <v>0.10569105691056911</v>
      </c>
    </row>
    <row r="12" spans="1:26" ht="12.75">
      <c r="A12" s="369">
        <f t="shared" si="2"/>
        <v>6</v>
      </c>
      <c r="B12" s="42" t="str">
        <f t="shared" si="0"/>
        <v>FORD 1900-12 SP  2WD____________________ 27pto hp</v>
      </c>
      <c r="C12" s="352">
        <v>26.873639999999998</v>
      </c>
      <c r="D12" s="42" t="s">
        <v>970</v>
      </c>
      <c r="E12" s="42" t="s">
        <v>974</v>
      </c>
      <c r="F12" s="42" t="s">
        <v>507</v>
      </c>
      <c r="G12" s="291"/>
      <c r="H12" s="353">
        <v>1326</v>
      </c>
      <c r="I12" s="38">
        <v>0</v>
      </c>
      <c r="J12" s="58">
        <v>1159.6196</v>
      </c>
      <c r="K12" s="58">
        <v>1774.7030000000002</v>
      </c>
      <c r="L12" s="354">
        <v>2</v>
      </c>
      <c r="M12" s="352">
        <v>5</v>
      </c>
      <c r="N12" s="354" t="s">
        <v>499</v>
      </c>
      <c r="O12" s="41">
        <v>15</v>
      </c>
      <c r="P12" s="354">
        <v>2</v>
      </c>
      <c r="Q12" s="41">
        <v>12.4</v>
      </c>
      <c r="R12" s="354" t="s">
        <v>500</v>
      </c>
      <c r="S12" s="41">
        <v>24</v>
      </c>
      <c r="T12" s="46">
        <v>16.929133858267718</v>
      </c>
      <c r="U12" s="46">
        <v>62.99212598425197</v>
      </c>
      <c r="V12" s="47">
        <v>0.8874364860379409</v>
      </c>
      <c r="X12" s="370">
        <v>0.9</v>
      </c>
      <c r="Y12" s="367">
        <v>20</v>
      </c>
      <c r="Z12" s="371">
        <f t="shared" si="1"/>
        <v>0.16260162601626016</v>
      </c>
    </row>
    <row r="13" spans="1:26" ht="12.75">
      <c r="A13" s="369">
        <f t="shared" si="2"/>
        <v>7</v>
      </c>
      <c r="B13" s="42" t="str">
        <f t="shared" si="0"/>
        <v>FORD 1910 (12X4)  2WD___________________ 29pto hp</v>
      </c>
      <c r="C13" s="352">
        <v>28.523069999999997</v>
      </c>
      <c r="D13" s="42" t="s">
        <v>970</v>
      </c>
      <c r="E13" s="42" t="s">
        <v>975</v>
      </c>
      <c r="F13" s="42" t="s">
        <v>507</v>
      </c>
      <c r="G13" s="291"/>
      <c r="H13" s="353">
        <v>1508</v>
      </c>
      <c r="I13" s="38">
        <v>0</v>
      </c>
      <c r="J13" s="58">
        <v>1144.1874</v>
      </c>
      <c r="K13" s="58">
        <v>1895.9560000000001</v>
      </c>
      <c r="L13" s="354">
        <v>2</v>
      </c>
      <c r="M13" s="352">
        <v>5.5</v>
      </c>
      <c r="N13" s="354" t="s">
        <v>499</v>
      </c>
      <c r="O13" s="41">
        <v>16</v>
      </c>
      <c r="P13" s="354">
        <v>2</v>
      </c>
      <c r="Q13" s="41">
        <v>13.6</v>
      </c>
      <c r="R13" s="354" t="s">
        <v>500</v>
      </c>
      <c r="S13" s="41">
        <v>24</v>
      </c>
      <c r="T13" s="46">
        <v>15.94488188976378</v>
      </c>
      <c r="U13" s="46">
        <v>66.2992125984252</v>
      </c>
      <c r="V13" s="47">
        <v>0.93125186602151044</v>
      </c>
      <c r="X13" s="370">
        <v>0.91999999999999904</v>
      </c>
      <c r="Y13" s="367">
        <v>24</v>
      </c>
      <c r="Z13" s="371">
        <f t="shared" si="1"/>
        <v>0.1951219512195122</v>
      </c>
    </row>
    <row r="14" spans="1:26" ht="12.75">
      <c r="A14" s="369">
        <f t="shared" si="2"/>
        <v>8</v>
      </c>
      <c r="B14" s="42" t="str">
        <f t="shared" si="0"/>
        <v>FORD 1910 (12X4)  2WD___________________ 29pto hp</v>
      </c>
      <c r="C14" s="352">
        <v>28.603529999999996</v>
      </c>
      <c r="D14" s="42" t="s">
        <v>970</v>
      </c>
      <c r="E14" s="42" t="s">
        <v>975</v>
      </c>
      <c r="F14" s="42" t="s">
        <v>507</v>
      </c>
      <c r="G14" s="291"/>
      <c r="H14" s="353">
        <v>1507</v>
      </c>
      <c r="I14" s="38">
        <v>0</v>
      </c>
      <c r="J14" s="58">
        <v>1100.0954000000002</v>
      </c>
      <c r="K14" s="58">
        <v>1880.5238000000002</v>
      </c>
      <c r="L14" s="354">
        <v>2</v>
      </c>
      <c r="M14" s="352">
        <v>5.5</v>
      </c>
      <c r="N14" s="354" t="s">
        <v>499</v>
      </c>
      <c r="O14" s="41">
        <v>16</v>
      </c>
      <c r="P14" s="354">
        <v>2</v>
      </c>
      <c r="Q14" s="41">
        <v>13.6</v>
      </c>
      <c r="R14" s="354" t="s">
        <v>500</v>
      </c>
      <c r="S14" s="41">
        <v>24</v>
      </c>
      <c r="T14" s="46">
        <v>15.94488188976378</v>
      </c>
      <c r="U14" s="46">
        <v>66.2992125984252</v>
      </c>
      <c r="V14" s="47">
        <v>0.93581343168369679</v>
      </c>
      <c r="X14" s="370">
        <v>0.93999999999999895</v>
      </c>
      <c r="Y14" s="367">
        <v>31</v>
      </c>
      <c r="Z14" s="371">
        <f t="shared" si="1"/>
        <v>0.25203252032520324</v>
      </c>
    </row>
    <row r="15" spans="1:26" ht="12.75">
      <c r="A15" s="369">
        <f t="shared" si="2"/>
        <v>9</v>
      </c>
      <c r="B15" s="42" t="str">
        <f t="shared" si="0"/>
        <v>FORD 3230 (8X2)-8 SP  MFWD______________ 32pto hp</v>
      </c>
      <c r="C15" s="352">
        <v>32.331510000000002</v>
      </c>
      <c r="D15" s="42" t="s">
        <v>970</v>
      </c>
      <c r="E15" s="42" t="s">
        <v>976</v>
      </c>
      <c r="F15" s="42" t="s">
        <v>497</v>
      </c>
      <c r="G15" s="291"/>
      <c r="H15" s="353">
        <v>5080</v>
      </c>
      <c r="I15" s="38" t="s">
        <v>499</v>
      </c>
      <c r="J15" s="58">
        <v>2213.4184</v>
      </c>
      <c r="K15" s="58">
        <v>3324.5368000000003</v>
      </c>
      <c r="L15" s="354">
        <v>2</v>
      </c>
      <c r="M15" s="352">
        <v>8.3000000000000007</v>
      </c>
      <c r="N15" s="354" t="s">
        <v>500</v>
      </c>
      <c r="O15" s="41">
        <v>24</v>
      </c>
      <c r="P15" s="354">
        <v>2</v>
      </c>
      <c r="Q15" s="41">
        <v>13.6</v>
      </c>
      <c r="R15" s="354" t="s">
        <v>500</v>
      </c>
      <c r="S15" s="41">
        <v>28</v>
      </c>
      <c r="T15" s="46">
        <v>14.960629921259843</v>
      </c>
      <c r="U15" s="46">
        <v>84.094488188976385</v>
      </c>
      <c r="V15" s="47">
        <v>0.87037507807524417</v>
      </c>
      <c r="X15" s="370">
        <v>0.95999999999999897</v>
      </c>
      <c r="Y15" s="367">
        <v>17</v>
      </c>
      <c r="Z15" s="371">
        <f t="shared" si="1"/>
        <v>0.13821138211382114</v>
      </c>
    </row>
    <row r="16" spans="1:26" ht="12.75">
      <c r="A16" s="369">
        <f t="shared" si="2"/>
        <v>10</v>
      </c>
      <c r="B16" s="42" t="str">
        <f t="shared" si="0"/>
        <v>FORD 2810(8X2)-8 SP  2WD________________ 33pto hp</v>
      </c>
      <c r="C16" s="352">
        <v>32.827680000000001</v>
      </c>
      <c r="D16" s="42" t="s">
        <v>970</v>
      </c>
      <c r="E16" s="42" t="s">
        <v>977</v>
      </c>
      <c r="F16" s="42" t="s">
        <v>507</v>
      </c>
      <c r="G16" s="291"/>
      <c r="H16" s="353">
        <v>1573</v>
      </c>
      <c r="I16" s="38">
        <v>0</v>
      </c>
      <c r="J16" s="58">
        <v>1706.3604</v>
      </c>
      <c r="K16" s="58">
        <v>2934.3226</v>
      </c>
      <c r="L16" s="354">
        <v>2</v>
      </c>
      <c r="M16" s="352">
        <v>6</v>
      </c>
      <c r="N16" s="354" t="s">
        <v>499</v>
      </c>
      <c r="O16" s="41">
        <v>16</v>
      </c>
      <c r="P16" s="354">
        <v>2</v>
      </c>
      <c r="Q16" s="41">
        <v>13.6</v>
      </c>
      <c r="R16" s="354" t="s">
        <v>500</v>
      </c>
      <c r="S16" s="41">
        <v>28</v>
      </c>
      <c r="T16" s="46">
        <v>16.929133858267718</v>
      </c>
      <c r="U16" s="46">
        <v>77.519685039370088</v>
      </c>
      <c r="V16" s="47">
        <v>0.92835301415377736</v>
      </c>
      <c r="X16" s="370">
        <v>0.97999999999999898</v>
      </c>
      <c r="Y16" s="367">
        <v>7</v>
      </c>
      <c r="Z16" s="371">
        <f t="shared" si="1"/>
        <v>5.6910569105691054E-2</v>
      </c>
    </row>
    <row r="17" spans="1:26" ht="12.75">
      <c r="A17" s="369">
        <f t="shared" si="2"/>
        <v>11</v>
      </c>
      <c r="B17" s="42" t="str">
        <f t="shared" si="0"/>
        <v>FORD 2110 (12X4)  2WD___________________ 35pto hp</v>
      </c>
      <c r="C17" s="352">
        <v>34.785539999999997</v>
      </c>
      <c r="D17" s="42" t="s">
        <v>970</v>
      </c>
      <c r="E17" s="42" t="s">
        <v>978</v>
      </c>
      <c r="F17" s="42" t="s">
        <v>507</v>
      </c>
      <c r="G17" s="291"/>
      <c r="H17" s="353">
        <v>1509</v>
      </c>
      <c r="I17" s="38">
        <v>0</v>
      </c>
      <c r="J17" s="58">
        <v>1349.2152000000001</v>
      </c>
      <c r="K17" s="58">
        <v>2286.1702</v>
      </c>
      <c r="L17" s="354">
        <v>2</v>
      </c>
      <c r="M17" s="352">
        <v>6</v>
      </c>
      <c r="N17" s="354" t="s">
        <v>499</v>
      </c>
      <c r="O17" s="41">
        <v>16</v>
      </c>
      <c r="P17" s="354">
        <v>2</v>
      </c>
      <c r="Q17" s="41">
        <v>13.6</v>
      </c>
      <c r="R17" s="354" t="s">
        <v>500</v>
      </c>
      <c r="S17" s="41">
        <v>28</v>
      </c>
      <c r="T17" s="46">
        <v>16.535433070866144</v>
      </c>
      <c r="U17" s="46">
        <v>73.385826771653541</v>
      </c>
      <c r="V17" s="47">
        <v>0.89630284245633041</v>
      </c>
      <c r="X17" s="370">
        <v>0.999999999999999</v>
      </c>
      <c r="Y17" s="367">
        <v>0</v>
      </c>
      <c r="Z17" s="371">
        <f t="shared" si="1"/>
        <v>0</v>
      </c>
    </row>
    <row r="18" spans="1:26" ht="12.75">
      <c r="A18" s="369">
        <f t="shared" si="2"/>
        <v>12</v>
      </c>
      <c r="B18" s="42" t="str">
        <f t="shared" si="0"/>
        <v>FORD 2110 (12X4)  2WD___________________ 35pto hp</v>
      </c>
      <c r="C18" s="352">
        <v>35.107379999999999</v>
      </c>
      <c r="D18" s="42" t="s">
        <v>970</v>
      </c>
      <c r="E18" s="42" t="s">
        <v>978</v>
      </c>
      <c r="F18" s="42" t="s">
        <v>507</v>
      </c>
      <c r="G18" s="291"/>
      <c r="H18" s="353">
        <v>1510</v>
      </c>
      <c r="I18" s="38">
        <v>0</v>
      </c>
      <c r="J18" s="58">
        <v>1360.2382</v>
      </c>
      <c r="K18" s="58">
        <v>2299.3978000000002</v>
      </c>
      <c r="L18" s="354">
        <v>2</v>
      </c>
      <c r="M18" s="352">
        <v>6</v>
      </c>
      <c r="N18" s="354" t="s">
        <v>499</v>
      </c>
      <c r="O18" s="41">
        <v>16</v>
      </c>
      <c r="P18" s="354">
        <v>2</v>
      </c>
      <c r="Q18" s="41">
        <v>13.6</v>
      </c>
      <c r="R18" s="354" t="s">
        <v>500</v>
      </c>
      <c r="S18" s="41">
        <v>28</v>
      </c>
      <c r="T18" s="46">
        <v>16.535433070866144</v>
      </c>
      <c r="U18" s="46">
        <v>73.385826771653541</v>
      </c>
      <c r="V18" s="47">
        <v>0.92688604334873592</v>
      </c>
      <c r="X18" s="370">
        <v>1.02</v>
      </c>
      <c r="Y18" s="367">
        <v>0</v>
      </c>
      <c r="Z18" s="371">
        <f t="shared" si="1"/>
        <v>0</v>
      </c>
    </row>
    <row r="19" spans="1:26" ht="12.75">
      <c r="A19" s="369">
        <f t="shared" si="2"/>
        <v>13</v>
      </c>
      <c r="B19" s="42" t="str">
        <f t="shared" si="0"/>
        <v>FORD 2910 (8X4)  2WD____________________ 36pto hp</v>
      </c>
      <c r="C19" s="352">
        <v>36.394739999999999</v>
      </c>
      <c r="D19" s="42" t="s">
        <v>970</v>
      </c>
      <c r="E19" s="42" t="s">
        <v>979</v>
      </c>
      <c r="F19" s="42" t="s">
        <v>507</v>
      </c>
      <c r="G19" s="291"/>
      <c r="H19" s="353">
        <v>1492</v>
      </c>
      <c r="I19" s="38">
        <v>0</v>
      </c>
      <c r="J19" s="58">
        <v>1699.7466000000002</v>
      </c>
      <c r="K19" s="58">
        <v>2949.7548000000002</v>
      </c>
      <c r="L19" s="354">
        <v>2</v>
      </c>
      <c r="M19" s="352">
        <v>6</v>
      </c>
      <c r="N19" s="354" t="s">
        <v>499</v>
      </c>
      <c r="O19" s="41">
        <v>16</v>
      </c>
      <c r="P19" s="354">
        <v>2</v>
      </c>
      <c r="Q19" s="41">
        <v>13.6</v>
      </c>
      <c r="R19" s="354" t="s">
        <v>500</v>
      </c>
      <c r="S19" s="41">
        <v>28</v>
      </c>
      <c r="T19" s="46">
        <v>16.535433070866144</v>
      </c>
      <c r="U19" s="46">
        <v>77.519685039370088</v>
      </c>
      <c r="V19" s="47">
        <v>0.89410009634745402</v>
      </c>
      <c r="X19" s="370">
        <v>1.04</v>
      </c>
      <c r="Y19" s="367">
        <v>1</v>
      </c>
      <c r="Z19" s="371">
        <f t="shared" si="1"/>
        <v>8.130081300813009E-3</v>
      </c>
    </row>
    <row r="20" spans="1:26" ht="12.75">
      <c r="A20" s="369">
        <f t="shared" si="2"/>
        <v>14</v>
      </c>
      <c r="B20" s="42" t="str">
        <f t="shared" si="0"/>
        <v>FORD 2910 (8X2)  2WD____________________ 37pto hp</v>
      </c>
      <c r="C20" s="352">
        <v>36.622709999999998</v>
      </c>
      <c r="D20" s="42" t="s">
        <v>970</v>
      </c>
      <c r="E20" s="42" t="s">
        <v>980</v>
      </c>
      <c r="F20" s="42" t="s">
        <v>507</v>
      </c>
      <c r="G20" s="291"/>
      <c r="H20" s="353">
        <v>1491</v>
      </c>
      <c r="I20" s="38">
        <v>0</v>
      </c>
      <c r="J20" s="58">
        <v>1684.3144</v>
      </c>
      <c r="K20" s="58">
        <v>2945.3456000000001</v>
      </c>
      <c r="L20" s="354">
        <v>2</v>
      </c>
      <c r="M20" s="352">
        <v>6</v>
      </c>
      <c r="N20" s="354" t="s">
        <v>499</v>
      </c>
      <c r="O20" s="41">
        <v>16</v>
      </c>
      <c r="P20" s="354">
        <v>2</v>
      </c>
      <c r="Q20" s="41">
        <v>13.6</v>
      </c>
      <c r="R20" s="354" t="s">
        <v>500</v>
      </c>
      <c r="S20" s="41">
        <v>28</v>
      </c>
      <c r="T20" s="46">
        <v>16.535433070866144</v>
      </c>
      <c r="U20" s="46">
        <v>77.519685039370088</v>
      </c>
      <c r="V20" s="47">
        <v>0.85871986667968181</v>
      </c>
      <c r="X20" s="370">
        <v>1.06</v>
      </c>
      <c r="Y20" s="367">
        <v>0</v>
      </c>
      <c r="Z20" s="371">
        <f t="shared" si="1"/>
        <v>0</v>
      </c>
    </row>
    <row r="21" spans="1:26" ht="12.75">
      <c r="A21" s="369">
        <f t="shared" si="2"/>
        <v>15</v>
      </c>
      <c r="B21" s="42" t="str">
        <f t="shared" si="0"/>
        <v>FORD 2610 (8X2)  2WD____________________ 37pto hp</v>
      </c>
      <c r="C21" s="352">
        <v>36.68976</v>
      </c>
      <c r="D21" s="42" t="s">
        <v>970</v>
      </c>
      <c r="E21" s="42" t="s">
        <v>981</v>
      </c>
      <c r="F21" s="42" t="s">
        <v>507</v>
      </c>
      <c r="G21" s="291"/>
      <c r="H21" s="353">
        <v>1421</v>
      </c>
      <c r="I21" s="38">
        <v>0</v>
      </c>
      <c r="J21" s="58">
        <v>1675.4960000000001</v>
      </c>
      <c r="K21" s="58">
        <v>2484.5842000000002</v>
      </c>
      <c r="L21" s="354">
        <v>2</v>
      </c>
      <c r="M21" s="352">
        <v>5.5</v>
      </c>
      <c r="N21" s="354" t="s">
        <v>499</v>
      </c>
      <c r="O21" s="41">
        <v>16</v>
      </c>
      <c r="P21" s="354">
        <v>2</v>
      </c>
      <c r="Q21" s="41">
        <v>14.9</v>
      </c>
      <c r="R21" s="354" t="s">
        <v>500</v>
      </c>
      <c r="S21" s="41">
        <v>24</v>
      </c>
      <c r="T21" s="46">
        <v>16.535433070866144</v>
      </c>
      <c r="U21" s="46">
        <v>75.787401574803155</v>
      </c>
      <c r="V21" s="47">
        <v>0.89781291947781994</v>
      </c>
      <c r="Y21" s="367">
        <f>SUM(Y7:Y20)</f>
        <v>123</v>
      </c>
    </row>
    <row r="22" spans="1:26" ht="12.75">
      <c r="A22" s="369">
        <f t="shared" si="2"/>
        <v>16</v>
      </c>
      <c r="B22" s="42" t="str">
        <f t="shared" si="0"/>
        <v>FORD 3430 (8X2)-8 SP  MFWD______________ 38pto hp</v>
      </c>
      <c r="C22" s="352">
        <v>38.486699999999999</v>
      </c>
      <c r="D22" s="42" t="s">
        <v>970</v>
      </c>
      <c r="E22" s="42" t="s">
        <v>982</v>
      </c>
      <c r="F22" s="42" t="s">
        <v>497</v>
      </c>
      <c r="G22" s="291"/>
      <c r="H22" s="353">
        <v>5081</v>
      </c>
      <c r="I22" s="38" t="s">
        <v>499</v>
      </c>
      <c r="J22" s="58">
        <v>2228.8506000000002</v>
      </c>
      <c r="K22" s="58">
        <v>3364.2196000000004</v>
      </c>
      <c r="L22" s="354">
        <v>2</v>
      </c>
      <c r="M22" s="352">
        <v>8.3000000000000007</v>
      </c>
      <c r="N22" s="354" t="s">
        <v>500</v>
      </c>
      <c r="O22" s="41">
        <v>24</v>
      </c>
      <c r="P22" s="354">
        <v>2</v>
      </c>
      <c r="Q22" s="41">
        <v>13.6</v>
      </c>
      <c r="R22" s="354" t="s">
        <v>500</v>
      </c>
      <c r="S22" s="41">
        <v>28</v>
      </c>
      <c r="T22" s="46">
        <v>14.960629921259843</v>
      </c>
      <c r="U22" s="46">
        <v>84.094488188976385</v>
      </c>
      <c r="V22" s="47">
        <v>0.88932090896405835</v>
      </c>
    </row>
    <row r="23" spans="1:26" ht="12.75">
      <c r="A23" s="369">
        <f t="shared" si="2"/>
        <v>17</v>
      </c>
      <c r="B23" s="42" t="str">
        <f t="shared" ref="B23:B38" si="3">CONCATENATE( LEFT(CONCATENATE(D23," ",E23," ",G23," ",F23,$W$5),40)," ",FIXED(C23,0),"pto hp")</f>
        <v>FORD 3430 (8X8)-8 SP  MFWD______________ 39pto hp</v>
      </c>
      <c r="C23" s="352">
        <v>39.023099999999999</v>
      </c>
      <c r="D23" s="42" t="s">
        <v>970</v>
      </c>
      <c r="E23" s="42" t="s">
        <v>983</v>
      </c>
      <c r="F23" s="42" t="s">
        <v>497</v>
      </c>
      <c r="G23" s="291"/>
      <c r="H23" s="353">
        <v>5102</v>
      </c>
      <c r="I23" s="38">
        <v>0</v>
      </c>
      <c r="J23" s="58">
        <v>2272.9426000000003</v>
      </c>
      <c r="K23" s="58">
        <v>3350.9920000000002</v>
      </c>
      <c r="L23" s="354">
        <v>2</v>
      </c>
      <c r="M23" s="352">
        <v>8.3000000000000007</v>
      </c>
      <c r="N23" s="354" t="s">
        <v>500</v>
      </c>
      <c r="O23" s="41">
        <v>24</v>
      </c>
      <c r="P23" s="354">
        <v>2</v>
      </c>
      <c r="Q23" s="41">
        <v>13.6</v>
      </c>
      <c r="R23" s="41" t="s">
        <v>481</v>
      </c>
      <c r="S23" s="41">
        <v>28</v>
      </c>
      <c r="T23" s="46">
        <v>7.4803149606299213</v>
      </c>
      <c r="U23" s="46">
        <v>84.094488188976385</v>
      </c>
      <c r="V23" s="47">
        <v>0.90036760624181922</v>
      </c>
    </row>
    <row r="24" spans="1:26" ht="12.75">
      <c r="A24" s="369">
        <f t="shared" si="2"/>
        <v>18</v>
      </c>
      <c r="B24" s="42" t="str">
        <f t="shared" si="3"/>
        <v>FORD 3610 (8X2)  2WD____________________ 42pto hp</v>
      </c>
      <c r="C24" s="352">
        <v>42.254910000000002</v>
      </c>
      <c r="D24" s="42" t="s">
        <v>970</v>
      </c>
      <c r="E24" s="42" t="s">
        <v>984</v>
      </c>
      <c r="F24" s="42" t="s">
        <v>507</v>
      </c>
      <c r="G24" s="291"/>
      <c r="H24" s="353">
        <v>1422</v>
      </c>
      <c r="I24" s="38">
        <v>0</v>
      </c>
      <c r="J24" s="58">
        <v>1679.9052000000001</v>
      </c>
      <c r="K24" s="58">
        <v>2590.4050000000002</v>
      </c>
      <c r="L24" s="354">
        <v>2</v>
      </c>
      <c r="M24" s="352">
        <v>6.5</v>
      </c>
      <c r="N24" s="354" t="s">
        <v>499</v>
      </c>
      <c r="O24" s="41">
        <v>16</v>
      </c>
      <c r="P24" s="354">
        <v>2</v>
      </c>
      <c r="Q24" s="41">
        <v>16.899999999999999</v>
      </c>
      <c r="R24" s="354" t="s">
        <v>500</v>
      </c>
      <c r="S24" s="41">
        <v>24</v>
      </c>
      <c r="T24" s="46">
        <v>17.913385826771655</v>
      </c>
      <c r="U24" s="46">
        <v>75.787401574803155</v>
      </c>
      <c r="V24" s="47">
        <v>0.91746894189497885</v>
      </c>
    </row>
    <row r="25" spans="1:26" ht="12.75">
      <c r="A25" s="369">
        <f t="shared" si="2"/>
        <v>19</v>
      </c>
      <c r="B25" s="42" t="str">
        <f t="shared" si="3"/>
        <v>FORD 3610 (8X4)  2WD____________________ 42pto hp</v>
      </c>
      <c r="C25" s="352">
        <v>42.469470000000001</v>
      </c>
      <c r="D25" s="42" t="s">
        <v>970</v>
      </c>
      <c r="E25" s="42" t="s">
        <v>985</v>
      </c>
      <c r="F25" s="42" t="s">
        <v>507</v>
      </c>
      <c r="G25" s="291"/>
      <c r="H25" s="353">
        <v>1423</v>
      </c>
      <c r="I25" s="38">
        <v>0</v>
      </c>
      <c r="J25" s="58">
        <v>1684.3144</v>
      </c>
      <c r="K25" s="58">
        <v>2610.2464</v>
      </c>
      <c r="L25" s="354">
        <v>2</v>
      </c>
      <c r="M25" s="352">
        <v>6.5</v>
      </c>
      <c r="N25" s="354" t="s">
        <v>499</v>
      </c>
      <c r="O25" s="41">
        <v>16</v>
      </c>
      <c r="P25" s="354">
        <v>2</v>
      </c>
      <c r="Q25" s="41">
        <v>16.899999999999999</v>
      </c>
      <c r="R25" s="354" t="s">
        <v>500</v>
      </c>
      <c r="S25" s="41">
        <v>24</v>
      </c>
      <c r="T25" s="46">
        <v>17.913385826771655</v>
      </c>
      <c r="U25" s="46">
        <v>75.787401574803155</v>
      </c>
      <c r="V25" s="47">
        <v>0.87159590680590593</v>
      </c>
    </row>
    <row r="26" spans="1:26" ht="12.75">
      <c r="A26" s="369">
        <f t="shared" si="2"/>
        <v>20</v>
      </c>
      <c r="B26" s="42" t="str">
        <f t="shared" si="3"/>
        <v>FORD 3910 (8X2)  2WD____________________ 43pto hp</v>
      </c>
      <c r="C26" s="352">
        <v>42.616979999999998</v>
      </c>
      <c r="D26" s="42" t="s">
        <v>970</v>
      </c>
      <c r="E26" s="42" t="s">
        <v>986</v>
      </c>
      <c r="F26" s="42" t="s">
        <v>507</v>
      </c>
      <c r="G26" s="291"/>
      <c r="H26" s="353">
        <v>1493</v>
      </c>
      <c r="I26" s="38">
        <v>0</v>
      </c>
      <c r="J26" s="58">
        <v>1695.3374000000001</v>
      </c>
      <c r="K26" s="58">
        <v>2985.0284000000001</v>
      </c>
      <c r="L26" s="354">
        <v>2</v>
      </c>
      <c r="M26" s="352">
        <v>6.5</v>
      </c>
      <c r="N26" s="354" t="s">
        <v>499</v>
      </c>
      <c r="O26" s="41">
        <v>16</v>
      </c>
      <c r="P26" s="354">
        <v>2</v>
      </c>
      <c r="Q26" s="41">
        <v>16.899999999999999</v>
      </c>
      <c r="R26" s="354" t="s">
        <v>500</v>
      </c>
      <c r="S26" s="41">
        <v>24</v>
      </c>
      <c r="T26" s="46">
        <v>17.519685039370081</v>
      </c>
      <c r="U26" s="46">
        <v>77.519685039370088</v>
      </c>
      <c r="V26" s="47">
        <v>0.90358603796205417</v>
      </c>
    </row>
    <row r="27" spans="1:26" ht="12.75">
      <c r="A27" s="369">
        <f t="shared" si="2"/>
        <v>21</v>
      </c>
      <c r="B27" s="42" t="str">
        <f t="shared" si="3"/>
        <v>FORD 3910 (8X4)  2WD____________________ 43pto hp</v>
      </c>
      <c r="C27" s="352">
        <v>42.67062</v>
      </c>
      <c r="D27" s="42" t="s">
        <v>970</v>
      </c>
      <c r="E27" s="42" t="s">
        <v>987</v>
      </c>
      <c r="F27" s="42" t="s">
        <v>507</v>
      </c>
      <c r="G27" s="291"/>
      <c r="H27" s="353">
        <v>1494</v>
      </c>
      <c r="I27" s="38">
        <v>0</v>
      </c>
      <c r="J27" s="58">
        <v>1715.1788000000001</v>
      </c>
      <c r="K27" s="58">
        <v>2985.0284000000001</v>
      </c>
      <c r="L27" s="354">
        <v>2</v>
      </c>
      <c r="M27" s="352">
        <v>6.5</v>
      </c>
      <c r="N27" s="354" t="s">
        <v>499</v>
      </c>
      <c r="O27" s="41">
        <v>16</v>
      </c>
      <c r="P27" s="354">
        <v>2</v>
      </c>
      <c r="Q27" s="41">
        <v>16.899999999999999</v>
      </c>
      <c r="R27" s="354" t="s">
        <v>500</v>
      </c>
      <c r="S27" s="41">
        <v>24</v>
      </c>
      <c r="T27" s="46">
        <v>16.929133858267718</v>
      </c>
      <c r="U27" s="46">
        <v>77.519685039370088</v>
      </c>
      <c r="V27" s="47">
        <v>0.88826229154164393</v>
      </c>
    </row>
    <row r="28" spans="1:26" ht="12.75">
      <c r="A28" s="369">
        <f t="shared" si="2"/>
        <v>22</v>
      </c>
      <c r="B28" s="42" t="str">
        <f t="shared" si="3"/>
        <v>FORD 3930 (8X8)-8 SP  MFWD______________ 44pto hp</v>
      </c>
      <c r="C28" s="352">
        <v>44.253</v>
      </c>
      <c r="D28" s="42" t="s">
        <v>970</v>
      </c>
      <c r="E28" s="42" t="s">
        <v>988</v>
      </c>
      <c r="F28" s="42" t="s">
        <v>497</v>
      </c>
      <c r="G28" s="291"/>
      <c r="H28" s="353">
        <v>5103</v>
      </c>
      <c r="I28" s="38">
        <v>0</v>
      </c>
      <c r="J28" s="58">
        <v>2272.9426000000003</v>
      </c>
      <c r="K28" s="58">
        <v>3350.9920000000002</v>
      </c>
      <c r="L28" s="354">
        <v>2</v>
      </c>
      <c r="M28" s="352">
        <v>8.3000000000000007</v>
      </c>
      <c r="N28" s="354" t="s">
        <v>500</v>
      </c>
      <c r="O28" s="41">
        <v>24</v>
      </c>
      <c r="P28" s="354">
        <v>2</v>
      </c>
      <c r="Q28" s="41">
        <v>13.6</v>
      </c>
      <c r="R28" s="41" t="s">
        <v>481</v>
      </c>
      <c r="S28" s="41">
        <v>28</v>
      </c>
      <c r="T28" s="46">
        <v>7.4803149606299213</v>
      </c>
      <c r="U28" s="46">
        <v>84.094488188976385</v>
      </c>
      <c r="V28" s="47">
        <v>0.85747736754448167</v>
      </c>
    </row>
    <row r="29" spans="1:26" ht="12.75">
      <c r="A29" s="369">
        <f t="shared" si="2"/>
        <v>23</v>
      </c>
      <c r="B29" s="42" t="str">
        <f t="shared" si="3"/>
        <v>FORD 3930-8 SP 8X2   MFWD_______________ 46pto hp</v>
      </c>
      <c r="C29" s="352">
        <v>45.580590000000001</v>
      </c>
      <c r="D29" s="42" t="s">
        <v>970</v>
      </c>
      <c r="E29" s="42" t="s">
        <v>989</v>
      </c>
      <c r="F29" s="42" t="s">
        <v>497</v>
      </c>
      <c r="G29" s="291"/>
      <c r="H29" s="353">
        <v>5189</v>
      </c>
      <c r="I29" s="38" t="s">
        <v>529</v>
      </c>
      <c r="J29" s="58">
        <v>2173.7356</v>
      </c>
      <c r="K29" s="58">
        <v>3370.8334</v>
      </c>
      <c r="L29" s="354">
        <v>2</v>
      </c>
      <c r="M29" s="352">
        <v>8.3000000000000007</v>
      </c>
      <c r="N29" s="354" t="s">
        <v>500</v>
      </c>
      <c r="O29" s="41">
        <v>24</v>
      </c>
      <c r="P29" s="354">
        <v>2</v>
      </c>
      <c r="Q29" s="41">
        <v>14.9</v>
      </c>
      <c r="R29" s="354" t="s">
        <v>500</v>
      </c>
      <c r="S29" s="41">
        <v>28</v>
      </c>
      <c r="T29" s="46">
        <v>15.94488188976378</v>
      </c>
      <c r="U29" s="46">
        <v>84.094488188976385</v>
      </c>
      <c r="V29" s="47">
        <v>0.88539347026347737</v>
      </c>
    </row>
    <row r="30" spans="1:26" ht="12.75">
      <c r="A30" s="369">
        <f t="shared" si="2"/>
        <v>24</v>
      </c>
      <c r="B30" s="42" t="str">
        <f t="shared" si="3"/>
        <v>FORD 3930 (8X2)-8 SP  MFWD______________ 46pto hp</v>
      </c>
      <c r="C30" s="352">
        <v>45.848789999999994</v>
      </c>
      <c r="D30" s="42" t="s">
        <v>970</v>
      </c>
      <c r="E30" s="42" t="s">
        <v>990</v>
      </c>
      <c r="F30" s="42" t="s">
        <v>497</v>
      </c>
      <c r="G30" s="291"/>
      <c r="H30" s="353">
        <v>5082</v>
      </c>
      <c r="I30" s="38" t="s">
        <v>499</v>
      </c>
      <c r="J30" s="58">
        <v>2233.2598000000003</v>
      </c>
      <c r="K30" s="58">
        <v>3357.6058000000003</v>
      </c>
      <c r="L30" s="354">
        <v>2</v>
      </c>
      <c r="M30" s="352">
        <v>8.3000000000000007</v>
      </c>
      <c r="N30" s="354" t="s">
        <v>500</v>
      </c>
      <c r="O30" s="41">
        <v>24</v>
      </c>
      <c r="P30" s="354">
        <v>2</v>
      </c>
      <c r="Q30" s="41">
        <v>13.6</v>
      </c>
      <c r="R30" s="354" t="s">
        <v>500</v>
      </c>
      <c r="S30" s="41">
        <v>28</v>
      </c>
      <c r="T30" s="46">
        <v>14.566929133858268</v>
      </c>
      <c r="U30" s="46">
        <v>84.094488188976385</v>
      </c>
      <c r="V30" s="47">
        <v>0.87667732549963906</v>
      </c>
    </row>
    <row r="31" spans="1:26" ht="12.75">
      <c r="A31" s="369">
        <f t="shared" si="2"/>
        <v>25</v>
      </c>
      <c r="B31" s="42" t="str">
        <f t="shared" si="3"/>
        <v>FORD 3930-8 SP 8X8   MFWD_______________ 46pto hp</v>
      </c>
      <c r="C31" s="352">
        <v>46.224269999999997</v>
      </c>
      <c r="D31" s="42" t="s">
        <v>970</v>
      </c>
      <c r="E31" s="42" t="s">
        <v>991</v>
      </c>
      <c r="F31" s="42" t="s">
        <v>497</v>
      </c>
      <c r="G31" s="291"/>
      <c r="H31" s="353">
        <v>5190</v>
      </c>
      <c r="I31" s="38" t="s">
        <v>529</v>
      </c>
      <c r="J31" s="58">
        <v>2222.2368000000001</v>
      </c>
      <c r="K31" s="58">
        <v>3388.4702000000002</v>
      </c>
      <c r="L31" s="354">
        <v>2</v>
      </c>
      <c r="M31" s="352">
        <v>8.3000000000000007</v>
      </c>
      <c r="N31" s="354" t="s">
        <v>500</v>
      </c>
      <c r="O31" s="41">
        <v>24</v>
      </c>
      <c r="P31" s="354">
        <v>2</v>
      </c>
      <c r="Q31" s="41">
        <v>14.9</v>
      </c>
      <c r="R31" s="354" t="s">
        <v>500</v>
      </c>
      <c r="S31" s="41">
        <v>28</v>
      </c>
      <c r="T31" s="46">
        <v>16.535433070866144</v>
      </c>
      <c r="U31" s="46">
        <v>84.094488188976385</v>
      </c>
      <c r="V31" s="47">
        <v>0.86978994812477095</v>
      </c>
    </row>
    <row r="32" spans="1:26" ht="12.75">
      <c r="A32" s="369">
        <f t="shared" si="2"/>
        <v>26</v>
      </c>
      <c r="B32" s="42" t="str">
        <f t="shared" si="3"/>
        <v>FORD 4110 (8X2)  2WD____________________ 48pto hp</v>
      </c>
      <c r="C32" s="352">
        <v>48.329639999999998</v>
      </c>
      <c r="D32" s="42" t="s">
        <v>970</v>
      </c>
      <c r="E32" s="42" t="s">
        <v>992</v>
      </c>
      <c r="F32" s="42" t="s">
        <v>507</v>
      </c>
      <c r="G32" s="291"/>
      <c r="H32" s="353">
        <v>1424</v>
      </c>
      <c r="I32" s="38">
        <v>0</v>
      </c>
      <c r="J32" s="58">
        <v>1679.9052000000001</v>
      </c>
      <c r="K32" s="58">
        <v>2969.5962</v>
      </c>
      <c r="L32" s="354">
        <v>2</v>
      </c>
      <c r="M32" s="352">
        <v>7.5</v>
      </c>
      <c r="N32" s="354" t="s">
        <v>499</v>
      </c>
      <c r="O32" s="41">
        <v>16</v>
      </c>
      <c r="P32" s="354">
        <v>2</v>
      </c>
      <c r="Q32" s="41">
        <v>16.899999999999999</v>
      </c>
      <c r="R32" s="354" t="s">
        <v>500</v>
      </c>
      <c r="S32" s="41">
        <v>24</v>
      </c>
      <c r="T32" s="46">
        <v>15.551181102362206</v>
      </c>
      <c r="U32" s="46">
        <v>77.519685039370088</v>
      </c>
      <c r="V32" s="47">
        <v>0.90817750539610675</v>
      </c>
    </row>
    <row r="33" spans="1:22" ht="12.75">
      <c r="A33" s="369">
        <f t="shared" si="2"/>
        <v>27</v>
      </c>
      <c r="B33" s="42" t="str">
        <f t="shared" si="3"/>
        <v>FORD 4110 (8X4)  2WD____________________ 49pto hp</v>
      </c>
      <c r="C33" s="352">
        <v>49.254929999999995</v>
      </c>
      <c r="D33" s="42" t="s">
        <v>970</v>
      </c>
      <c r="E33" s="42" t="s">
        <v>993</v>
      </c>
      <c r="F33" s="42" t="s">
        <v>507</v>
      </c>
      <c r="G33" s="291"/>
      <c r="H33" s="353">
        <v>1425</v>
      </c>
      <c r="I33" s="38">
        <v>0</v>
      </c>
      <c r="J33" s="58">
        <v>1704.1558</v>
      </c>
      <c r="K33" s="58">
        <v>3011.4836</v>
      </c>
      <c r="L33" s="354">
        <v>2</v>
      </c>
      <c r="M33" s="352">
        <v>7.5</v>
      </c>
      <c r="N33" s="354" t="s">
        <v>499</v>
      </c>
      <c r="O33" s="41">
        <v>16</v>
      </c>
      <c r="P33" s="354">
        <v>2</v>
      </c>
      <c r="Q33" s="41">
        <v>16.899999999999999</v>
      </c>
      <c r="R33" s="354" t="s">
        <v>500</v>
      </c>
      <c r="S33" s="41">
        <v>24</v>
      </c>
      <c r="T33" s="46">
        <v>15.551181102362206</v>
      </c>
      <c r="U33" s="46">
        <v>77.519685039370088</v>
      </c>
      <c r="V33" s="47">
        <v>0.87355777435937942</v>
      </c>
    </row>
    <row r="34" spans="1:22" ht="12.75">
      <c r="A34" s="369">
        <f t="shared" si="2"/>
        <v>28</v>
      </c>
      <c r="B34" s="42" t="str">
        <f t="shared" si="3"/>
        <v>FORD 4610(8X4)  2WD_____________________ 52pto hp</v>
      </c>
      <c r="C34" s="352">
        <v>52.32582</v>
      </c>
      <c r="D34" s="42" t="s">
        <v>970</v>
      </c>
      <c r="E34" s="42" t="s">
        <v>994</v>
      </c>
      <c r="F34" s="42" t="s">
        <v>507</v>
      </c>
      <c r="G34" s="291"/>
      <c r="H34" s="353">
        <v>1427</v>
      </c>
      <c r="I34" s="38">
        <v>0</v>
      </c>
      <c r="J34" s="58">
        <v>1715.1788000000001</v>
      </c>
      <c r="K34" s="58">
        <v>3430.3576000000003</v>
      </c>
      <c r="L34" s="354">
        <v>2</v>
      </c>
      <c r="M34" s="352">
        <v>7.5</v>
      </c>
      <c r="N34" s="354" t="s">
        <v>499</v>
      </c>
      <c r="O34" s="41">
        <v>16</v>
      </c>
      <c r="P34" s="354">
        <v>2</v>
      </c>
      <c r="Q34" s="41">
        <v>16.899999999999999</v>
      </c>
      <c r="R34" s="354" t="s">
        <v>500</v>
      </c>
      <c r="S34" s="41">
        <v>30</v>
      </c>
      <c r="T34" s="46">
        <v>21.062992125984252</v>
      </c>
      <c r="U34" s="46">
        <v>84.488188976377955</v>
      </c>
      <c r="V34" s="47">
        <v>0.89191665358078043</v>
      </c>
    </row>
    <row r="35" spans="1:22" ht="12.75">
      <c r="A35" s="369">
        <f t="shared" si="2"/>
        <v>29</v>
      </c>
      <c r="B35" s="42" t="str">
        <f t="shared" si="3"/>
        <v>FORD 4610(8X2)  2WD_____________________ 53pto hp</v>
      </c>
      <c r="C35" s="352">
        <v>52.513559999999991</v>
      </c>
      <c r="D35" s="42" t="s">
        <v>970</v>
      </c>
      <c r="E35" s="42" t="s">
        <v>995</v>
      </c>
      <c r="F35" s="42" t="s">
        <v>507</v>
      </c>
      <c r="G35" s="291"/>
      <c r="H35" s="353">
        <v>1426</v>
      </c>
      <c r="I35" s="38">
        <v>0</v>
      </c>
      <c r="J35" s="58">
        <v>1684.3144</v>
      </c>
      <c r="K35" s="58">
        <v>3410.5162</v>
      </c>
      <c r="L35" s="354">
        <v>2</v>
      </c>
      <c r="M35" s="352">
        <v>7.5</v>
      </c>
      <c r="N35" s="354" t="s">
        <v>499</v>
      </c>
      <c r="O35" s="41">
        <v>16</v>
      </c>
      <c r="P35" s="354">
        <v>2</v>
      </c>
      <c r="Q35" s="41">
        <v>16.899999999999999</v>
      </c>
      <c r="R35" s="354" t="s">
        <v>500</v>
      </c>
      <c r="S35" s="41">
        <v>30</v>
      </c>
      <c r="T35" s="46">
        <v>21.062992125984252</v>
      </c>
      <c r="U35" s="46">
        <v>84.488188976377955</v>
      </c>
      <c r="V35" s="47">
        <v>0.91157922392369284</v>
      </c>
    </row>
    <row r="36" spans="1:22" ht="12.75">
      <c r="A36" s="369">
        <f t="shared" si="2"/>
        <v>30</v>
      </c>
      <c r="B36" s="42" t="str">
        <f t="shared" si="3"/>
        <v>FORD 4630 (8X2)-8 SP  MFWD______________ 55pto hp</v>
      </c>
      <c r="C36" s="352">
        <v>55.410119999999999</v>
      </c>
      <c r="D36" s="42" t="s">
        <v>970</v>
      </c>
      <c r="E36" s="42" t="s">
        <v>996</v>
      </c>
      <c r="F36" s="42" t="s">
        <v>497</v>
      </c>
      <c r="G36" s="291"/>
      <c r="H36" s="353">
        <v>5083</v>
      </c>
      <c r="I36" s="38" t="s">
        <v>499</v>
      </c>
      <c r="J36" s="58">
        <v>2235.4644000000003</v>
      </c>
      <c r="K36" s="58">
        <v>3492.0864000000001</v>
      </c>
      <c r="L36" s="354">
        <v>2</v>
      </c>
      <c r="M36" s="352">
        <v>8.3000000000000007</v>
      </c>
      <c r="N36" s="354" t="s">
        <v>500</v>
      </c>
      <c r="O36" s="41">
        <v>24</v>
      </c>
      <c r="P36" s="354">
        <v>2</v>
      </c>
      <c r="Q36" s="41">
        <v>14.9</v>
      </c>
      <c r="R36" s="354" t="s">
        <v>500</v>
      </c>
      <c r="S36" s="41">
        <v>28</v>
      </c>
      <c r="T36" s="46">
        <v>16.535433070866144</v>
      </c>
      <c r="U36" s="46">
        <v>84.094488188976385</v>
      </c>
      <c r="V36" s="47">
        <v>0.90665455764827507</v>
      </c>
    </row>
    <row r="37" spans="1:22" ht="12.75">
      <c r="A37" s="369">
        <f t="shared" si="2"/>
        <v>31</v>
      </c>
      <c r="B37" s="42" t="str">
        <f t="shared" si="3"/>
        <v>FORD 4630-16 SP 16X8 PPS   MFWD_________ 57pto hp</v>
      </c>
      <c r="C37" s="352">
        <v>56.818169999999995</v>
      </c>
      <c r="D37" s="42" t="s">
        <v>970</v>
      </c>
      <c r="E37" s="42" t="s">
        <v>997</v>
      </c>
      <c r="F37" s="42" t="s">
        <v>497</v>
      </c>
      <c r="G37" s="291"/>
      <c r="H37" s="353">
        <v>5191</v>
      </c>
      <c r="I37" s="38" t="s">
        <v>529</v>
      </c>
      <c r="J37" s="58">
        <v>2308.2162000000003</v>
      </c>
      <c r="K37" s="58">
        <v>3538.3830000000003</v>
      </c>
      <c r="L37" s="354">
        <v>2</v>
      </c>
      <c r="M37" s="352">
        <v>11.2</v>
      </c>
      <c r="N37" s="354" t="s">
        <v>500</v>
      </c>
      <c r="O37" s="41">
        <v>24</v>
      </c>
      <c r="P37" s="354">
        <v>2</v>
      </c>
      <c r="Q37" s="41">
        <v>16.899999999999999</v>
      </c>
      <c r="R37" s="354" t="s">
        <v>500</v>
      </c>
      <c r="S37" s="41">
        <v>30</v>
      </c>
      <c r="T37" s="46">
        <v>19.094488188976378</v>
      </c>
      <c r="U37" s="46">
        <v>84.094488188976385</v>
      </c>
      <c r="V37" s="47">
        <v>0.92357208399488533</v>
      </c>
    </row>
    <row r="38" spans="1:22" ht="12.75">
      <c r="A38" s="369">
        <f t="shared" si="2"/>
        <v>32</v>
      </c>
      <c r="B38" s="42" t="str">
        <f t="shared" si="3"/>
        <v>FORD 4630 (8X8)-8 SP  MFWD______________ 57pto hp</v>
      </c>
      <c r="C38" s="352">
        <v>57.126600000000003</v>
      </c>
      <c r="D38" s="42" t="s">
        <v>970</v>
      </c>
      <c r="E38" s="42" t="s">
        <v>998</v>
      </c>
      <c r="F38" s="42" t="s">
        <v>497</v>
      </c>
      <c r="G38" s="291"/>
      <c r="H38" s="353">
        <v>5104</v>
      </c>
      <c r="I38" s="38">
        <v>0</v>
      </c>
      <c r="J38" s="58">
        <v>2279.5563999999999</v>
      </c>
      <c r="K38" s="58">
        <v>3505.3140000000003</v>
      </c>
      <c r="L38" s="354">
        <v>2</v>
      </c>
      <c r="M38" s="352">
        <v>8.3000000000000007</v>
      </c>
      <c r="N38" s="354" t="s">
        <v>500</v>
      </c>
      <c r="O38" s="41">
        <v>24</v>
      </c>
      <c r="P38" s="354">
        <v>2</v>
      </c>
      <c r="Q38" s="41">
        <v>14.9</v>
      </c>
      <c r="R38" s="41" t="s">
        <v>481</v>
      </c>
      <c r="S38" s="41">
        <v>28</v>
      </c>
      <c r="T38" s="46">
        <v>7.4803149606299213</v>
      </c>
      <c r="U38" s="46">
        <v>84.094488188976385</v>
      </c>
      <c r="V38" s="47">
        <v>0.85348606002732097</v>
      </c>
    </row>
    <row r="39" spans="1:22" ht="12.75">
      <c r="A39" s="369">
        <f t="shared" si="2"/>
        <v>33</v>
      </c>
      <c r="B39" s="42" t="str">
        <f t="shared" ref="B39:B54" si="4">CONCATENATE( LEFT(CONCATENATE(D39," ",E39," ",G39," ",F39,$W$5),40)," ",FIXED(C39,0),"pto hp")</f>
        <v>FORD 4835-12 SP   2WD___________________ 57pto hp</v>
      </c>
      <c r="C39" s="352">
        <v>57.27411</v>
      </c>
      <c r="D39" s="42" t="s">
        <v>970</v>
      </c>
      <c r="E39" s="42" t="s">
        <v>999</v>
      </c>
      <c r="F39" s="42" t="s">
        <v>507</v>
      </c>
      <c r="G39" s="291"/>
      <c r="H39" s="353">
        <v>5244</v>
      </c>
      <c r="I39" s="38" t="s">
        <v>500</v>
      </c>
      <c r="J39" s="58">
        <v>2579.3820000000001</v>
      </c>
      <c r="K39" s="58">
        <v>4508.4070000000002</v>
      </c>
      <c r="L39" s="354">
        <v>2</v>
      </c>
      <c r="M39" s="352">
        <v>7.5</v>
      </c>
      <c r="N39" s="354" t="s">
        <v>499</v>
      </c>
      <c r="O39" s="41">
        <v>16</v>
      </c>
      <c r="P39" s="354">
        <v>2</v>
      </c>
      <c r="Q39" s="41">
        <v>480</v>
      </c>
      <c r="R39" s="291" t="s">
        <v>614</v>
      </c>
      <c r="S39" s="41">
        <v>30</v>
      </c>
      <c r="T39" s="46">
        <v>29.7244094488189</v>
      </c>
      <c r="U39" s="46">
        <v>92.204724409448829</v>
      </c>
      <c r="V39" s="47">
        <v>0.91621983607734236</v>
      </c>
    </row>
    <row r="40" spans="1:22" ht="12.75">
      <c r="A40" s="369">
        <f t="shared" ref="A40:A71" si="5">A39+1</f>
        <v>34</v>
      </c>
      <c r="B40" s="42" t="str">
        <f t="shared" si="4"/>
        <v>FORD 4835-12 SP   MFWD__________________ 57pto hp</v>
      </c>
      <c r="C40" s="352">
        <v>57.27411</v>
      </c>
      <c r="D40" s="42" t="s">
        <v>970</v>
      </c>
      <c r="E40" s="42" t="s">
        <v>999</v>
      </c>
      <c r="F40" s="42" t="s">
        <v>497</v>
      </c>
      <c r="G40" s="291"/>
      <c r="H40" s="353">
        <v>5244</v>
      </c>
      <c r="I40" s="38" t="s">
        <v>532</v>
      </c>
      <c r="J40" s="58">
        <v>2976.21</v>
      </c>
      <c r="K40" s="58">
        <v>4706.8209999999999</v>
      </c>
      <c r="L40" s="354">
        <v>2</v>
      </c>
      <c r="M40" s="352">
        <v>320</v>
      </c>
      <c r="N40" s="291" t="s">
        <v>614</v>
      </c>
      <c r="O40" s="41">
        <v>24</v>
      </c>
      <c r="P40" s="354">
        <v>2</v>
      </c>
      <c r="Q40" s="41">
        <v>480</v>
      </c>
      <c r="R40" s="291" t="s">
        <v>614</v>
      </c>
      <c r="S40" s="41">
        <v>30</v>
      </c>
      <c r="T40" s="46">
        <v>18.700787401574804</v>
      </c>
      <c r="U40" s="46">
        <v>92.204724409448829</v>
      </c>
      <c r="V40" s="47">
        <v>0.93754922245491545</v>
      </c>
    </row>
    <row r="41" spans="1:22" ht="12.75">
      <c r="A41" s="369">
        <f t="shared" si="5"/>
        <v>35</v>
      </c>
      <c r="B41" s="42" t="str">
        <f t="shared" si="4"/>
        <v>FORD 5610(16X4)  MFWD___________________ 63pto hp</v>
      </c>
      <c r="C41" s="352">
        <v>62.544240000000002</v>
      </c>
      <c r="D41" s="42" t="s">
        <v>970</v>
      </c>
      <c r="E41" s="42" t="s">
        <v>1000</v>
      </c>
      <c r="F41" s="42" t="s">
        <v>497</v>
      </c>
      <c r="G41" s="291"/>
      <c r="H41" s="353">
        <v>1428</v>
      </c>
      <c r="I41" s="38" t="s">
        <v>499</v>
      </c>
      <c r="J41" s="58">
        <v>2630.0878000000002</v>
      </c>
      <c r="K41" s="58">
        <v>4744.2992000000004</v>
      </c>
      <c r="L41" s="354">
        <v>2</v>
      </c>
      <c r="M41" s="352">
        <v>13.6</v>
      </c>
      <c r="N41" s="354" t="s">
        <v>500</v>
      </c>
      <c r="O41" s="41">
        <v>24</v>
      </c>
      <c r="P41" s="354">
        <v>2</v>
      </c>
      <c r="Q41" s="41">
        <v>18.399999999999999</v>
      </c>
      <c r="R41" s="354" t="s">
        <v>500</v>
      </c>
      <c r="S41" s="41">
        <v>34</v>
      </c>
      <c r="T41" s="46">
        <v>20.472440944881892</v>
      </c>
      <c r="U41" s="46">
        <v>88.779527559055126</v>
      </c>
      <c r="V41" s="47">
        <v>0.92077526546312161</v>
      </c>
    </row>
    <row r="42" spans="1:22" ht="12.75">
      <c r="A42" s="369">
        <f t="shared" si="5"/>
        <v>36</v>
      </c>
      <c r="B42" s="42" t="str">
        <f t="shared" si="4"/>
        <v>FORD 5610(16X8)  2WD____________________ 63pto hp</v>
      </c>
      <c r="C42" s="352">
        <v>62.571059999999996</v>
      </c>
      <c r="D42" s="42" t="s">
        <v>970</v>
      </c>
      <c r="E42" s="42" t="s">
        <v>1001</v>
      </c>
      <c r="F42" s="42" t="s">
        <v>507</v>
      </c>
      <c r="G42" s="291"/>
      <c r="H42" s="353">
        <v>1429</v>
      </c>
      <c r="I42" s="38">
        <v>0</v>
      </c>
      <c r="J42" s="58">
        <v>2114.2114000000001</v>
      </c>
      <c r="K42" s="58">
        <v>4301.1746000000003</v>
      </c>
      <c r="L42" s="354">
        <v>2</v>
      </c>
      <c r="M42" s="352">
        <v>7.5</v>
      </c>
      <c r="N42" s="354" t="s">
        <v>499</v>
      </c>
      <c r="O42" s="41">
        <v>18</v>
      </c>
      <c r="P42" s="354">
        <v>2</v>
      </c>
      <c r="Q42" s="41">
        <v>18.399999999999999</v>
      </c>
      <c r="R42" s="354" t="s">
        <v>500</v>
      </c>
      <c r="S42" s="41">
        <v>34</v>
      </c>
      <c r="T42" s="46">
        <v>20.472440944881892</v>
      </c>
      <c r="U42" s="46">
        <v>87.519685039370088</v>
      </c>
      <c r="V42" s="47">
        <v>0.91537007165414286</v>
      </c>
    </row>
    <row r="43" spans="1:22" ht="12.75">
      <c r="A43" s="369">
        <f t="shared" si="5"/>
        <v>37</v>
      </c>
      <c r="B43" s="42" t="str">
        <f t="shared" si="4"/>
        <v>FORD 5030-16 SP 16X8 PPS   MFWD_________ 64pto hp</v>
      </c>
      <c r="C43" s="352">
        <v>63.563399999999994</v>
      </c>
      <c r="D43" s="42" t="s">
        <v>970</v>
      </c>
      <c r="E43" s="42" t="s">
        <v>1002</v>
      </c>
      <c r="F43" s="42" t="s">
        <v>497</v>
      </c>
      <c r="G43" s="291"/>
      <c r="H43" s="353">
        <v>5192</v>
      </c>
      <c r="I43" s="38" t="s">
        <v>532</v>
      </c>
      <c r="J43" s="58">
        <v>2466.9474</v>
      </c>
      <c r="K43" s="58">
        <v>3686.0912000000003</v>
      </c>
      <c r="L43" s="354">
        <v>2</v>
      </c>
      <c r="M43" s="352">
        <v>11.2</v>
      </c>
      <c r="N43" s="354" t="s">
        <v>500</v>
      </c>
      <c r="O43" s="41">
        <v>24</v>
      </c>
      <c r="P43" s="354">
        <v>2</v>
      </c>
      <c r="Q43" s="41">
        <v>16.899999999999999</v>
      </c>
      <c r="R43" s="354" t="s">
        <v>500</v>
      </c>
      <c r="S43" s="41">
        <v>30</v>
      </c>
      <c r="T43" s="46">
        <v>18.503937007874018</v>
      </c>
      <c r="U43" s="46">
        <v>84.094488188976385</v>
      </c>
      <c r="V43" s="47">
        <v>0.94768117875755298</v>
      </c>
    </row>
    <row r="44" spans="1:22" ht="12.75">
      <c r="A44" s="369">
        <f t="shared" si="5"/>
        <v>38</v>
      </c>
      <c r="B44" s="42" t="str">
        <f t="shared" si="4"/>
        <v>FORD 5640 (16X4)-16 SP  MFWD____________ 66pto hp</v>
      </c>
      <c r="C44" s="352">
        <v>66.258809999999997</v>
      </c>
      <c r="D44" s="42" t="s">
        <v>970</v>
      </c>
      <c r="E44" s="42" t="s">
        <v>1003</v>
      </c>
      <c r="F44" s="42" t="s">
        <v>497</v>
      </c>
      <c r="G44" s="291"/>
      <c r="H44" s="353">
        <v>5105</v>
      </c>
      <c r="I44" s="38" t="s">
        <v>499</v>
      </c>
      <c r="J44" s="58">
        <v>3240.7620000000002</v>
      </c>
      <c r="K44" s="58">
        <v>4995.6235999999999</v>
      </c>
      <c r="L44" s="354">
        <v>2</v>
      </c>
      <c r="M44" s="352">
        <v>14.9</v>
      </c>
      <c r="N44" s="354" t="s">
        <v>500</v>
      </c>
      <c r="O44" s="41">
        <v>24</v>
      </c>
      <c r="P44" s="354">
        <v>2</v>
      </c>
      <c r="Q44" s="41">
        <v>18.399999999999999</v>
      </c>
      <c r="R44" s="41" t="s">
        <v>481</v>
      </c>
      <c r="S44" s="41">
        <v>34</v>
      </c>
      <c r="T44" s="46">
        <v>16.929133858267718</v>
      </c>
      <c r="U44" s="46">
        <v>92.99212598425197</v>
      </c>
      <c r="V44" s="47">
        <v>0.97879895600379863</v>
      </c>
    </row>
    <row r="45" spans="1:22" ht="12.75">
      <c r="A45" s="369">
        <f t="shared" si="5"/>
        <v>39</v>
      </c>
      <c r="B45" s="42" t="str">
        <f t="shared" si="4"/>
        <v>FORD 5635-24 SP   2WD___________________ 67pto hp</v>
      </c>
      <c r="C45" s="352">
        <v>66.661109999999994</v>
      </c>
      <c r="D45" s="42" t="s">
        <v>970</v>
      </c>
      <c r="E45" s="42" t="s">
        <v>1004</v>
      </c>
      <c r="F45" s="42" t="s">
        <v>507</v>
      </c>
      <c r="G45" s="291"/>
      <c r="H45" s="353">
        <v>5245</v>
      </c>
      <c r="I45" s="38" t="s">
        <v>500</v>
      </c>
      <c r="J45" s="58">
        <v>2689.6120000000001</v>
      </c>
      <c r="K45" s="58">
        <v>5015.4650000000001</v>
      </c>
      <c r="L45" s="354">
        <v>2</v>
      </c>
      <c r="M45" s="352">
        <v>9.5</v>
      </c>
      <c r="N45" s="354" t="s">
        <v>499</v>
      </c>
      <c r="O45" s="41">
        <v>15</v>
      </c>
      <c r="P45" s="354">
        <v>2</v>
      </c>
      <c r="Q45" s="41">
        <v>480</v>
      </c>
      <c r="R45" s="291" t="s">
        <v>614</v>
      </c>
      <c r="S45" s="41">
        <v>34</v>
      </c>
      <c r="T45" s="46">
        <v>29.921259842519685</v>
      </c>
      <c r="U45" s="46">
        <v>92.204724409448829</v>
      </c>
      <c r="V45" s="47">
        <v>0.9188874000756071</v>
      </c>
    </row>
    <row r="46" spans="1:22" ht="12.75">
      <c r="A46" s="369">
        <f t="shared" si="5"/>
        <v>40</v>
      </c>
      <c r="B46" s="42" t="str">
        <f t="shared" si="4"/>
        <v>FORD 5635-24 SP   MFWD__________________ 67pto hp</v>
      </c>
      <c r="C46" s="352">
        <v>66.661109999999994</v>
      </c>
      <c r="D46" s="42" t="s">
        <v>970</v>
      </c>
      <c r="E46" s="42" t="s">
        <v>1004</v>
      </c>
      <c r="F46" s="42" t="s">
        <v>497</v>
      </c>
      <c r="G46" s="291"/>
      <c r="H46" s="353">
        <v>5245</v>
      </c>
      <c r="I46" s="38" t="s">
        <v>532</v>
      </c>
      <c r="J46" s="58">
        <v>3086.44</v>
      </c>
      <c r="K46" s="58">
        <v>5213.8789999999999</v>
      </c>
      <c r="L46" s="354">
        <v>2</v>
      </c>
      <c r="M46" s="352">
        <v>380</v>
      </c>
      <c r="N46" s="291" t="s">
        <v>614</v>
      </c>
      <c r="O46" s="41">
        <v>24</v>
      </c>
      <c r="P46" s="354">
        <v>2</v>
      </c>
      <c r="Q46" s="41">
        <v>480</v>
      </c>
      <c r="R46" s="291" t="s">
        <v>614</v>
      </c>
      <c r="S46" s="41">
        <v>34</v>
      </c>
      <c r="T46" s="46">
        <v>18.897637795275593</v>
      </c>
      <c r="U46" s="46">
        <v>92.204724409448829</v>
      </c>
      <c r="V46" s="47">
        <v>0.91450865672897075</v>
      </c>
    </row>
    <row r="47" spans="1:22" ht="12.75">
      <c r="A47" s="369">
        <f t="shared" si="5"/>
        <v>41</v>
      </c>
      <c r="B47" s="42" t="str">
        <f t="shared" si="4"/>
        <v>FORD 5640-12 SP 12x12  MFWD_____________ 68pto hp</v>
      </c>
      <c r="C47" s="352">
        <v>67.988700000000009</v>
      </c>
      <c r="D47" s="42" t="s">
        <v>970</v>
      </c>
      <c r="E47" s="42" t="s">
        <v>1005</v>
      </c>
      <c r="F47" s="42" t="s">
        <v>497</v>
      </c>
      <c r="G47" s="291"/>
      <c r="H47" s="353">
        <v>5160</v>
      </c>
      <c r="I47" s="38" t="s">
        <v>500</v>
      </c>
      <c r="J47" s="58">
        <v>3910.9604000000004</v>
      </c>
      <c r="K47" s="58">
        <v>5564.4104000000007</v>
      </c>
      <c r="L47" s="354">
        <v>2</v>
      </c>
      <c r="M47" s="352">
        <v>14.9</v>
      </c>
      <c r="N47" s="41" t="s">
        <v>481</v>
      </c>
      <c r="O47" s="41">
        <v>28</v>
      </c>
      <c r="P47" s="354">
        <v>2</v>
      </c>
      <c r="Q47" s="41">
        <v>18.399999999999999</v>
      </c>
      <c r="R47" s="41" t="s">
        <v>481</v>
      </c>
      <c r="S47" s="41">
        <v>34</v>
      </c>
      <c r="T47" s="46">
        <v>16.73228346456693</v>
      </c>
      <c r="U47" s="46">
        <v>92.99212598425197</v>
      </c>
      <c r="V47" s="47">
        <v>0.89999057474535005</v>
      </c>
    </row>
    <row r="48" spans="1:22" ht="12.75">
      <c r="A48" s="369">
        <f t="shared" si="5"/>
        <v>42</v>
      </c>
      <c r="B48" s="42" t="str">
        <f t="shared" si="4"/>
        <v>FORD 6610(16X4)  MFWD___________________ 72pto hp</v>
      </c>
      <c r="C48" s="352">
        <v>72.132390000000001</v>
      </c>
      <c r="D48" s="42" t="s">
        <v>970</v>
      </c>
      <c r="E48" s="42" t="s">
        <v>1006</v>
      </c>
      <c r="F48" s="42" t="s">
        <v>497</v>
      </c>
      <c r="G48" s="291"/>
      <c r="H48" s="353">
        <v>1430</v>
      </c>
      <c r="I48" s="38" t="s">
        <v>499</v>
      </c>
      <c r="J48" s="58">
        <v>2645.52</v>
      </c>
      <c r="K48" s="58">
        <v>4783.982</v>
      </c>
      <c r="L48" s="354">
        <v>2</v>
      </c>
      <c r="M48" s="352">
        <v>13.6</v>
      </c>
      <c r="N48" s="354" t="s">
        <v>500</v>
      </c>
      <c r="O48" s="41">
        <v>24</v>
      </c>
      <c r="P48" s="354">
        <v>2</v>
      </c>
      <c r="Q48" s="41">
        <v>18.399999999999999</v>
      </c>
      <c r="R48" s="354" t="s">
        <v>500</v>
      </c>
      <c r="S48" s="41">
        <v>34</v>
      </c>
      <c r="T48" s="46">
        <v>20.078740157480315</v>
      </c>
      <c r="U48" s="46">
        <v>88.818897637795274</v>
      </c>
      <c r="V48" s="47">
        <v>0.91243637173558534</v>
      </c>
    </row>
    <row r="49" spans="1:22" ht="12.75">
      <c r="A49" s="369">
        <f t="shared" si="5"/>
        <v>43</v>
      </c>
      <c r="B49" s="42" t="str">
        <f t="shared" si="4"/>
        <v>FORD 6610(16X8)  2WD____________________ 72pto hp</v>
      </c>
      <c r="C49" s="352">
        <v>72.293309999999991</v>
      </c>
      <c r="D49" s="42" t="s">
        <v>970</v>
      </c>
      <c r="E49" s="42" t="s">
        <v>1007</v>
      </c>
      <c r="F49" s="42" t="s">
        <v>507</v>
      </c>
      <c r="G49" s="291"/>
      <c r="H49" s="353">
        <v>1431</v>
      </c>
      <c r="I49" s="38">
        <v>0</v>
      </c>
      <c r="J49" s="58">
        <v>2180.3494000000001</v>
      </c>
      <c r="K49" s="58">
        <v>4669.3428000000004</v>
      </c>
      <c r="L49" s="354">
        <v>2</v>
      </c>
      <c r="M49" s="352">
        <v>7.5</v>
      </c>
      <c r="N49" s="354" t="s">
        <v>499</v>
      </c>
      <c r="O49" s="41">
        <v>18</v>
      </c>
      <c r="P49" s="354">
        <v>2</v>
      </c>
      <c r="Q49" s="41">
        <v>18.399999999999999</v>
      </c>
      <c r="R49" s="354" t="s">
        <v>500</v>
      </c>
      <c r="S49" s="41">
        <v>34</v>
      </c>
      <c r="T49" s="46">
        <v>21.062992125984252</v>
      </c>
      <c r="U49" s="46">
        <v>87.519685039370088</v>
      </c>
      <c r="V49" s="47">
        <v>0.91773285724427267</v>
      </c>
    </row>
    <row r="50" spans="1:22" ht="12.75">
      <c r="A50" s="369">
        <f t="shared" si="5"/>
        <v>44</v>
      </c>
      <c r="B50" s="42" t="str">
        <f t="shared" si="4"/>
        <v>FORD 6635-24 SP   2WD___________________ 76pto hp</v>
      </c>
      <c r="C50" s="352">
        <v>76.061520000000002</v>
      </c>
      <c r="D50" s="42" t="s">
        <v>970</v>
      </c>
      <c r="E50" s="42" t="s">
        <v>1008</v>
      </c>
      <c r="F50" s="42" t="s">
        <v>507</v>
      </c>
      <c r="G50" s="291"/>
      <c r="H50" s="353">
        <v>5246</v>
      </c>
      <c r="I50" s="38" t="s">
        <v>500</v>
      </c>
      <c r="J50" s="58">
        <v>2865.98</v>
      </c>
      <c r="K50" s="58">
        <v>5015.4650000000001</v>
      </c>
      <c r="L50" s="354">
        <v>2</v>
      </c>
      <c r="M50" s="352">
        <v>9.5</v>
      </c>
      <c r="N50" s="354" t="s">
        <v>499</v>
      </c>
      <c r="O50" s="41">
        <v>15</v>
      </c>
      <c r="P50" s="354">
        <v>2</v>
      </c>
      <c r="Q50" s="41">
        <v>480</v>
      </c>
      <c r="R50" s="41" t="s">
        <v>481</v>
      </c>
      <c r="S50" s="41">
        <v>34</v>
      </c>
      <c r="T50" s="46">
        <v>29.921259842519685</v>
      </c>
      <c r="U50" s="46">
        <v>92.204724409448829</v>
      </c>
      <c r="V50" s="47">
        <v>0.93778995909797402</v>
      </c>
    </row>
    <row r="51" spans="1:22" ht="12.75">
      <c r="A51" s="369">
        <f t="shared" si="5"/>
        <v>45</v>
      </c>
      <c r="B51" s="42" t="str">
        <f t="shared" si="4"/>
        <v>FORD 6635-24 SP   MFWD__________________ 76pto hp</v>
      </c>
      <c r="C51" s="352">
        <v>76.061520000000002</v>
      </c>
      <c r="D51" s="42" t="s">
        <v>970</v>
      </c>
      <c r="E51" s="42" t="s">
        <v>1008</v>
      </c>
      <c r="F51" s="42" t="s">
        <v>497</v>
      </c>
      <c r="G51" s="291"/>
      <c r="H51" s="353">
        <v>5246</v>
      </c>
      <c r="I51" s="38" t="s">
        <v>532</v>
      </c>
      <c r="J51" s="58">
        <v>3262.808</v>
      </c>
      <c r="K51" s="58">
        <v>5213.8789999999999</v>
      </c>
      <c r="L51" s="354">
        <v>2</v>
      </c>
      <c r="M51" s="352">
        <v>380</v>
      </c>
      <c r="N51" s="291" t="s">
        <v>614</v>
      </c>
      <c r="O51" s="41">
        <v>24</v>
      </c>
      <c r="P51" s="354">
        <v>2</v>
      </c>
      <c r="Q51" s="41">
        <v>480</v>
      </c>
      <c r="R51" s="291" t="s">
        <v>614</v>
      </c>
      <c r="S51" s="41">
        <v>34</v>
      </c>
      <c r="T51" s="46">
        <v>18.897637795275593</v>
      </c>
      <c r="U51" s="46">
        <v>92.204724409448829</v>
      </c>
      <c r="V51" s="47">
        <v>0.94248033021804556</v>
      </c>
    </row>
    <row r="52" spans="1:22" ht="12.75">
      <c r="A52" s="369">
        <f t="shared" si="5"/>
        <v>46</v>
      </c>
      <c r="B52" s="42" t="str">
        <f t="shared" si="4"/>
        <v>FORD 6640 (16X4)-16 SP  MFWD____________ 77pto hp</v>
      </c>
      <c r="C52" s="352">
        <v>76.745429999999999</v>
      </c>
      <c r="D52" s="42" t="s">
        <v>970</v>
      </c>
      <c r="E52" s="42" t="s">
        <v>1009</v>
      </c>
      <c r="F52" s="42" t="s">
        <v>497</v>
      </c>
      <c r="G52" s="291"/>
      <c r="H52" s="353">
        <v>5106</v>
      </c>
      <c r="I52" s="38" t="s">
        <v>499</v>
      </c>
      <c r="J52" s="58">
        <v>3273.8310000000001</v>
      </c>
      <c r="K52" s="58">
        <v>5026.4880000000003</v>
      </c>
      <c r="L52" s="354">
        <v>2</v>
      </c>
      <c r="M52" s="352">
        <v>14.9</v>
      </c>
      <c r="N52" s="354" t="s">
        <v>500</v>
      </c>
      <c r="O52" s="41">
        <v>24</v>
      </c>
      <c r="P52" s="354">
        <v>2</v>
      </c>
      <c r="Q52" s="41">
        <v>18.399999999999999</v>
      </c>
      <c r="R52" s="41" t="s">
        <v>481</v>
      </c>
      <c r="S52" s="41">
        <v>34</v>
      </c>
      <c r="T52" s="46">
        <v>16.929133858267718</v>
      </c>
      <c r="U52" s="46">
        <v>92.99212598425197</v>
      </c>
      <c r="V52" s="47">
        <v>0.9463368310924446</v>
      </c>
    </row>
    <row r="53" spans="1:22" ht="12.75">
      <c r="A53" s="369">
        <f t="shared" si="5"/>
        <v>47</v>
      </c>
      <c r="B53" s="42" t="str">
        <f t="shared" si="4"/>
        <v>FORD 6640-12 SP 12x12  MFWD_____________ 77pto hp</v>
      </c>
      <c r="C53" s="352">
        <v>76.973399999999998</v>
      </c>
      <c r="D53" s="42" t="s">
        <v>970</v>
      </c>
      <c r="E53" s="42" t="s">
        <v>1010</v>
      </c>
      <c r="F53" s="42" t="s">
        <v>497</v>
      </c>
      <c r="G53" s="291"/>
      <c r="H53" s="353">
        <v>5161</v>
      </c>
      <c r="I53" s="38" t="s">
        <v>500</v>
      </c>
      <c r="J53" s="58">
        <v>3783.0936000000002</v>
      </c>
      <c r="K53" s="58">
        <v>5692.2772000000004</v>
      </c>
      <c r="L53" s="354">
        <v>2</v>
      </c>
      <c r="M53" s="352">
        <v>13.6</v>
      </c>
      <c r="N53" s="41" t="s">
        <v>481</v>
      </c>
      <c r="O53" s="41">
        <v>28</v>
      </c>
      <c r="P53" s="354">
        <v>2</v>
      </c>
      <c r="Q53" s="41">
        <v>16.899999999999999</v>
      </c>
      <c r="R53" s="41" t="s">
        <v>481</v>
      </c>
      <c r="S53" s="41">
        <v>38</v>
      </c>
      <c r="T53" s="46">
        <v>17.322834645669293</v>
      </c>
      <c r="U53" s="46">
        <v>92.99212598425197</v>
      </c>
      <c r="V53" s="47">
        <v>0.92134320322239771</v>
      </c>
    </row>
    <row r="54" spans="1:22" ht="12.75">
      <c r="A54" s="369">
        <f t="shared" si="5"/>
        <v>48</v>
      </c>
      <c r="B54" s="42" t="str">
        <f t="shared" si="4"/>
        <v>FORD 7740-12 SP 12x12  MFWD_____________ 86pto hp</v>
      </c>
      <c r="C54" s="352">
        <v>86.226299999999995</v>
      </c>
      <c r="D54" s="42" t="s">
        <v>970</v>
      </c>
      <c r="E54" s="42" t="s">
        <v>1011</v>
      </c>
      <c r="F54" s="42" t="s">
        <v>497</v>
      </c>
      <c r="G54" s="291"/>
      <c r="H54" s="353">
        <v>5162</v>
      </c>
      <c r="I54" s="38" t="s">
        <v>500</v>
      </c>
      <c r="J54" s="58">
        <v>3988.1214</v>
      </c>
      <c r="K54" s="58">
        <v>5851.0084000000006</v>
      </c>
      <c r="L54" s="354">
        <v>2</v>
      </c>
      <c r="M54" s="352">
        <v>14.9</v>
      </c>
      <c r="N54" s="41" t="s">
        <v>481</v>
      </c>
      <c r="O54" s="41">
        <v>28</v>
      </c>
      <c r="P54" s="354">
        <v>2</v>
      </c>
      <c r="Q54" s="41">
        <v>18.399999999999999</v>
      </c>
      <c r="R54" s="41" t="s">
        <v>481</v>
      </c>
      <c r="S54" s="41">
        <v>38</v>
      </c>
      <c r="T54" s="46">
        <v>18.503937007874018</v>
      </c>
      <c r="U54" s="46">
        <v>92.99212598425197</v>
      </c>
      <c r="V54" s="47">
        <v>0.93029871647300444</v>
      </c>
    </row>
    <row r="55" spans="1:22" ht="12.75">
      <c r="A55" s="369">
        <f t="shared" si="5"/>
        <v>49</v>
      </c>
      <c r="B55" s="42" t="str">
        <f t="shared" ref="B55:B70" si="6">CONCATENATE( LEFT(CONCATENATE(D55," ",E55," ",G55," ",F55,$W$5),40)," ",FIXED(C55,0),"pto hp")</f>
        <v>FORD 7710(16X8)  2WD____________________ 87pto hp</v>
      </c>
      <c r="C55" s="352">
        <v>86.615189999999998</v>
      </c>
      <c r="D55" s="42" t="s">
        <v>970</v>
      </c>
      <c r="E55" s="42" t="s">
        <v>1012</v>
      </c>
      <c r="F55" s="42" t="s">
        <v>507</v>
      </c>
      <c r="G55" s="291"/>
      <c r="H55" s="353">
        <v>1433</v>
      </c>
      <c r="I55" s="38">
        <v>0</v>
      </c>
      <c r="J55" s="58">
        <v>2641.1107999999999</v>
      </c>
      <c r="K55" s="58">
        <v>6009.7395999999999</v>
      </c>
      <c r="L55" s="354">
        <v>2</v>
      </c>
      <c r="M55" s="352">
        <v>7.5</v>
      </c>
      <c r="N55" s="354" t="s">
        <v>499</v>
      </c>
      <c r="O55" s="41">
        <v>18</v>
      </c>
      <c r="P55" s="354">
        <v>2</v>
      </c>
      <c r="Q55" s="41">
        <v>18.399999999999999</v>
      </c>
      <c r="R55" s="354" t="s">
        <v>500</v>
      </c>
      <c r="S55" s="41">
        <v>34</v>
      </c>
      <c r="T55" s="46">
        <v>20.472440944881892</v>
      </c>
      <c r="U55" s="46">
        <v>101.57480314960631</v>
      </c>
      <c r="V55" s="47">
        <v>0.90278153975757136</v>
      </c>
    </row>
    <row r="56" spans="1:22" ht="12.75">
      <c r="A56" s="369">
        <f t="shared" si="5"/>
        <v>50</v>
      </c>
      <c r="B56" s="42" t="str">
        <f t="shared" si="6"/>
        <v>FORD 7740 (16X4)-16 SP  MFWD____________ 87pto hp</v>
      </c>
      <c r="C56" s="352">
        <v>86.856569999999991</v>
      </c>
      <c r="D56" s="42" t="s">
        <v>970</v>
      </c>
      <c r="E56" s="42" t="s">
        <v>1013</v>
      </c>
      <c r="F56" s="42" t="s">
        <v>497</v>
      </c>
      <c r="G56" s="291"/>
      <c r="H56" s="353">
        <v>5107</v>
      </c>
      <c r="I56" s="38" t="s">
        <v>499</v>
      </c>
      <c r="J56" s="58">
        <v>3346.5828000000001</v>
      </c>
      <c r="K56" s="58">
        <v>5500.4769999999999</v>
      </c>
      <c r="L56" s="354">
        <v>2</v>
      </c>
      <c r="M56" s="352">
        <v>14.9</v>
      </c>
      <c r="N56" s="354" t="s">
        <v>500</v>
      </c>
      <c r="O56" s="41">
        <v>24</v>
      </c>
      <c r="P56" s="354">
        <v>2</v>
      </c>
      <c r="Q56" s="41">
        <v>18.399999999999999</v>
      </c>
      <c r="R56" s="41" t="s">
        <v>481</v>
      </c>
      <c r="S56" s="41">
        <v>34</v>
      </c>
      <c r="T56" s="46">
        <v>19.094488188976378</v>
      </c>
      <c r="U56" s="46">
        <v>92.99212598425197</v>
      </c>
      <c r="V56" s="47">
        <v>0.95752765239943949</v>
      </c>
    </row>
    <row r="57" spans="1:22" ht="12.75">
      <c r="A57" s="369">
        <f t="shared" si="5"/>
        <v>51</v>
      </c>
      <c r="B57" s="42" t="str">
        <f t="shared" si="6"/>
        <v>FORD 7610(16X4)  MFWD___________________ 87pto hp</v>
      </c>
      <c r="C57" s="352">
        <v>86.95044</v>
      </c>
      <c r="D57" s="42" t="s">
        <v>970</v>
      </c>
      <c r="E57" s="42" t="s">
        <v>1014</v>
      </c>
      <c r="F57" s="42" t="s">
        <v>497</v>
      </c>
      <c r="G57" s="291"/>
      <c r="H57" s="353">
        <v>1432</v>
      </c>
      <c r="I57" s="38" t="s">
        <v>499</v>
      </c>
      <c r="J57" s="58">
        <v>2976.21</v>
      </c>
      <c r="K57" s="58">
        <v>5604.0932000000003</v>
      </c>
      <c r="L57" s="354">
        <v>2</v>
      </c>
      <c r="M57" s="352">
        <v>13.6</v>
      </c>
      <c r="N57" s="354" t="s">
        <v>500</v>
      </c>
      <c r="O57" s="41">
        <v>24</v>
      </c>
      <c r="P57" s="354">
        <v>2</v>
      </c>
      <c r="Q57" s="41">
        <v>18.399999999999999</v>
      </c>
      <c r="R57" s="354" t="s">
        <v>500</v>
      </c>
      <c r="S57" s="41">
        <v>34</v>
      </c>
      <c r="T57" s="46">
        <v>20.078740157480315</v>
      </c>
      <c r="U57" s="46">
        <v>88.779527559055126</v>
      </c>
      <c r="V57" s="47">
        <v>0.93137865413658383</v>
      </c>
    </row>
    <row r="58" spans="1:22" ht="12.75">
      <c r="A58" s="369">
        <f t="shared" si="5"/>
        <v>52</v>
      </c>
      <c r="B58" s="42" t="str">
        <f t="shared" si="6"/>
        <v>FORD 7740-16 SP 16X8 PPS   MFWD_________ 87pto hp</v>
      </c>
      <c r="C58" s="352">
        <v>86.95044</v>
      </c>
      <c r="D58" s="42" t="s">
        <v>970</v>
      </c>
      <c r="E58" s="42" t="s">
        <v>1015</v>
      </c>
      <c r="F58" s="42" t="s">
        <v>497</v>
      </c>
      <c r="G58" s="291"/>
      <c r="H58" s="353">
        <v>5193</v>
      </c>
      <c r="I58" s="38" t="s">
        <v>532</v>
      </c>
      <c r="J58" s="58">
        <v>3933.0064000000002</v>
      </c>
      <c r="K58" s="58">
        <v>6159.6523999999999</v>
      </c>
      <c r="L58" s="354">
        <v>2</v>
      </c>
      <c r="M58" s="352">
        <v>14.9</v>
      </c>
      <c r="N58" s="354" t="s">
        <v>500</v>
      </c>
      <c r="O58" s="41">
        <v>28</v>
      </c>
      <c r="P58" s="354">
        <v>2</v>
      </c>
      <c r="Q58" s="41">
        <v>18.399999999999999</v>
      </c>
      <c r="R58" s="41" t="s">
        <v>481</v>
      </c>
      <c r="S58" s="41">
        <v>38</v>
      </c>
      <c r="T58" s="46">
        <v>19.488188976377955</v>
      </c>
      <c r="U58" s="46">
        <v>93.937007874015748</v>
      </c>
      <c r="V58" s="47">
        <v>0.94306595803310467</v>
      </c>
    </row>
    <row r="59" spans="1:22" ht="12.75">
      <c r="A59" s="369">
        <f t="shared" si="5"/>
        <v>53</v>
      </c>
      <c r="B59" s="42" t="str">
        <f t="shared" si="6"/>
        <v>FORD 7840-16 SP  MFWD___________________ 90pto hp</v>
      </c>
      <c r="C59" s="352">
        <v>90.383400000000009</v>
      </c>
      <c r="D59" s="42" t="s">
        <v>970</v>
      </c>
      <c r="E59" s="42" t="s">
        <v>1016</v>
      </c>
      <c r="F59" s="42" t="s">
        <v>497</v>
      </c>
      <c r="G59" s="291"/>
      <c r="H59" s="353">
        <v>5163</v>
      </c>
      <c r="I59" s="38" t="s">
        <v>500</v>
      </c>
      <c r="J59" s="58">
        <v>4177.7170000000006</v>
      </c>
      <c r="K59" s="58">
        <v>6543.2528000000002</v>
      </c>
      <c r="L59" s="354">
        <v>2</v>
      </c>
      <c r="M59" s="352">
        <v>14.9</v>
      </c>
      <c r="N59" s="41" t="s">
        <v>481</v>
      </c>
      <c r="O59" s="41">
        <v>28</v>
      </c>
      <c r="P59" s="354">
        <v>2</v>
      </c>
      <c r="Q59" s="41">
        <v>18.399999999999999</v>
      </c>
      <c r="R59" s="41" t="s">
        <v>481</v>
      </c>
      <c r="S59" s="41">
        <v>38</v>
      </c>
      <c r="T59" s="46">
        <v>18.700787401574804</v>
      </c>
      <c r="U59" s="46">
        <v>103.26771653543308</v>
      </c>
      <c r="V59" s="47">
        <v>0.89827544869067955</v>
      </c>
    </row>
    <row r="60" spans="1:22" ht="12.75">
      <c r="A60" s="369">
        <f t="shared" si="5"/>
        <v>54</v>
      </c>
      <c r="B60" s="42" t="str">
        <f t="shared" si="6"/>
        <v>FORD 8210-16 SP  MFWD___________________ 100pto hp</v>
      </c>
      <c r="C60" s="352">
        <v>100.17270000000001</v>
      </c>
      <c r="D60" s="42" t="s">
        <v>970</v>
      </c>
      <c r="E60" s="42" t="s">
        <v>1017</v>
      </c>
      <c r="F60" s="42" t="s">
        <v>497</v>
      </c>
      <c r="G60" s="291"/>
      <c r="H60" s="353">
        <v>5054</v>
      </c>
      <c r="I60" s="38">
        <v>0</v>
      </c>
      <c r="J60" s="58">
        <v>3694.9096000000004</v>
      </c>
      <c r="K60" s="58">
        <v>6194.9260000000004</v>
      </c>
      <c r="L60" s="354">
        <v>2</v>
      </c>
      <c r="M60" s="352">
        <v>14.9</v>
      </c>
      <c r="N60" s="41" t="s">
        <v>481</v>
      </c>
      <c r="O60" s="41">
        <v>28</v>
      </c>
      <c r="P60" s="354">
        <v>2</v>
      </c>
      <c r="Q60" s="41">
        <v>18.399999999999999</v>
      </c>
      <c r="R60" s="41" t="s">
        <v>481</v>
      </c>
      <c r="S60" s="41">
        <v>38</v>
      </c>
      <c r="T60" s="46">
        <v>18.110236220472441</v>
      </c>
      <c r="U60" s="46">
        <v>109.84251968503938</v>
      </c>
      <c r="V60" s="47">
        <v>0.97345398011148243</v>
      </c>
    </row>
    <row r="61" spans="1:22" ht="12.75">
      <c r="A61" s="369">
        <f t="shared" si="5"/>
        <v>55</v>
      </c>
      <c r="B61" s="42" t="str">
        <f t="shared" si="6"/>
        <v>FORD 8240-16 SP PPS  MFWD_______________ 101pto hp</v>
      </c>
      <c r="C61" s="352">
        <v>100.8432</v>
      </c>
      <c r="D61" s="42" t="s">
        <v>970</v>
      </c>
      <c r="E61" s="42" t="s">
        <v>1018</v>
      </c>
      <c r="F61" s="42" t="s">
        <v>497</v>
      </c>
      <c r="G61" s="291"/>
      <c r="H61" s="353">
        <v>5164</v>
      </c>
      <c r="I61" s="38" t="s">
        <v>500</v>
      </c>
      <c r="J61" s="58">
        <v>4336.4481999999998</v>
      </c>
      <c r="K61" s="58">
        <v>6587.3448000000008</v>
      </c>
      <c r="L61" s="354">
        <v>2</v>
      </c>
      <c r="M61" s="352">
        <v>14.9</v>
      </c>
      <c r="N61" s="41" t="s">
        <v>481</v>
      </c>
      <c r="O61" s="41">
        <v>28</v>
      </c>
      <c r="P61" s="354">
        <v>2</v>
      </c>
      <c r="Q61" s="41">
        <v>18.399999999999999</v>
      </c>
      <c r="R61" s="41" t="s">
        <v>481</v>
      </c>
      <c r="S61" s="41">
        <v>34</v>
      </c>
      <c r="T61" s="46">
        <v>16.929133858267718</v>
      </c>
      <c r="U61" s="46">
        <v>103.26771653543308</v>
      </c>
      <c r="V61" s="47">
        <v>0.90694721567204784</v>
      </c>
    </row>
    <row r="62" spans="1:22" ht="12.75">
      <c r="A62" s="369">
        <f t="shared" si="5"/>
        <v>56</v>
      </c>
      <c r="B62" s="42" t="str">
        <f t="shared" si="6"/>
        <v>FORD TW-5/8530  2WD_____________________ 106pto hp</v>
      </c>
      <c r="C62" s="352">
        <v>105.73784999999999</v>
      </c>
      <c r="D62" s="42" t="s">
        <v>970</v>
      </c>
      <c r="E62" s="42" t="s">
        <v>1019</v>
      </c>
      <c r="F62" s="42" t="s">
        <v>507</v>
      </c>
      <c r="G62" s="291"/>
      <c r="H62" s="353">
        <v>1514</v>
      </c>
      <c r="I62" s="38">
        <v>0</v>
      </c>
      <c r="J62" s="58">
        <v>3450.1990000000001</v>
      </c>
      <c r="K62" s="58">
        <v>9640.7157999999999</v>
      </c>
      <c r="L62" s="354">
        <v>2</v>
      </c>
      <c r="M62" s="352">
        <v>11</v>
      </c>
      <c r="N62" s="354" t="s">
        <v>499</v>
      </c>
      <c r="O62" s="41">
        <v>16</v>
      </c>
      <c r="P62" s="354">
        <v>4</v>
      </c>
      <c r="Q62" s="41">
        <v>18.399999999999999</v>
      </c>
      <c r="R62" s="354" t="s">
        <v>500</v>
      </c>
      <c r="S62" s="41">
        <v>38</v>
      </c>
      <c r="T62" s="46">
        <v>19.488188976377955</v>
      </c>
      <c r="U62" s="46">
        <v>109.68503937007874</v>
      </c>
      <c r="V62" s="47">
        <v>0.94696203610844876</v>
      </c>
    </row>
    <row r="63" spans="1:22" ht="12.75">
      <c r="A63" s="369">
        <f t="shared" si="5"/>
        <v>57</v>
      </c>
      <c r="B63" s="42" t="str">
        <f t="shared" si="6"/>
        <v>FORD TW-10  2WD_________________________ 110pto hp</v>
      </c>
      <c r="C63" s="352">
        <v>110.2302</v>
      </c>
      <c r="D63" s="42" t="s">
        <v>970</v>
      </c>
      <c r="E63" s="42" t="s">
        <v>1020</v>
      </c>
      <c r="F63" s="42" t="s">
        <v>507</v>
      </c>
      <c r="G63" s="291"/>
      <c r="H63" s="353">
        <v>1301</v>
      </c>
      <c r="I63" s="38">
        <v>0</v>
      </c>
      <c r="J63" s="58">
        <v>3280.4448000000002</v>
      </c>
      <c r="K63" s="58">
        <v>9585.6008000000002</v>
      </c>
      <c r="L63" s="354">
        <v>2</v>
      </c>
      <c r="M63" s="352">
        <v>11</v>
      </c>
      <c r="N63" s="354" t="s">
        <v>499</v>
      </c>
      <c r="O63" s="41">
        <v>16</v>
      </c>
      <c r="P63" s="354">
        <v>4</v>
      </c>
      <c r="Q63" s="41">
        <v>18.399999999999999</v>
      </c>
      <c r="R63" s="354" t="s">
        <v>500</v>
      </c>
      <c r="S63" s="41">
        <v>38</v>
      </c>
      <c r="T63" s="46">
        <v>21.45669291338583</v>
      </c>
      <c r="U63" s="46">
        <v>109.64566929133859</v>
      </c>
      <c r="V63" s="47">
        <v>0.92523817600974312</v>
      </c>
    </row>
    <row r="64" spans="1:22" ht="12.75">
      <c r="A64" s="369">
        <f t="shared" si="5"/>
        <v>58</v>
      </c>
      <c r="B64" s="42" t="str">
        <f t="shared" si="6"/>
        <v>FORD 8340-16 SP PPS  MFWD_______________ 110pto hp</v>
      </c>
      <c r="C64" s="352">
        <v>110.3643</v>
      </c>
      <c r="D64" s="42" t="s">
        <v>970</v>
      </c>
      <c r="E64" s="42" t="s">
        <v>1021</v>
      </c>
      <c r="F64" s="42" t="s">
        <v>497</v>
      </c>
      <c r="G64" s="291"/>
      <c r="H64" s="353">
        <v>5165</v>
      </c>
      <c r="I64" s="38" t="s">
        <v>500</v>
      </c>
      <c r="J64" s="58">
        <v>4506.2024000000001</v>
      </c>
      <c r="K64" s="58">
        <v>7405.2514000000001</v>
      </c>
      <c r="L64" s="354">
        <v>2</v>
      </c>
      <c r="M64" s="352">
        <v>16.899999999999999</v>
      </c>
      <c r="N64" s="41" t="s">
        <v>481</v>
      </c>
      <c r="O64" s="41">
        <v>28</v>
      </c>
      <c r="P64" s="354">
        <v>2</v>
      </c>
      <c r="Q64" s="41">
        <v>20.8</v>
      </c>
      <c r="R64" s="41" t="s">
        <v>481</v>
      </c>
      <c r="S64" s="41">
        <v>38</v>
      </c>
      <c r="T64" s="46">
        <v>20.472440944881892</v>
      </c>
      <c r="U64" s="46">
        <v>103.26771653543308</v>
      </c>
      <c r="V64" s="47">
        <v>0.92861991138879585</v>
      </c>
    </row>
    <row r="65" spans="1:22" ht="12.75">
      <c r="A65" s="369">
        <f t="shared" si="5"/>
        <v>59</v>
      </c>
      <c r="B65" s="42" t="str">
        <f t="shared" si="6"/>
        <v>FORD TW-15/8630  MFWD___________________ 121pto hp</v>
      </c>
      <c r="C65" s="352">
        <v>121.25322</v>
      </c>
      <c r="D65" s="42" t="s">
        <v>970</v>
      </c>
      <c r="E65" s="42" t="s">
        <v>1022</v>
      </c>
      <c r="F65" s="42" t="s">
        <v>497</v>
      </c>
      <c r="G65" s="291"/>
      <c r="H65" s="353">
        <v>1536</v>
      </c>
      <c r="I65" s="38" t="s">
        <v>499</v>
      </c>
      <c r="J65" s="58">
        <v>4270.3101999999999</v>
      </c>
      <c r="K65" s="58">
        <v>10099.2726</v>
      </c>
      <c r="L65" s="354">
        <v>2</v>
      </c>
      <c r="M65" s="352">
        <v>14.9</v>
      </c>
      <c r="N65" s="354" t="s">
        <v>500</v>
      </c>
      <c r="O65" s="41">
        <v>28</v>
      </c>
      <c r="P65" s="354">
        <v>4</v>
      </c>
      <c r="Q65" s="41">
        <v>18.399999999999999</v>
      </c>
      <c r="R65" s="354" t="s">
        <v>500</v>
      </c>
      <c r="S65" s="41">
        <v>38</v>
      </c>
      <c r="T65" s="46">
        <v>22.047244094488189</v>
      </c>
      <c r="U65" s="46">
        <v>105</v>
      </c>
      <c r="V65" s="47">
        <v>0.94294514516921812</v>
      </c>
    </row>
    <row r="66" spans="1:22" ht="12.75">
      <c r="A66" s="369">
        <f t="shared" si="5"/>
        <v>60</v>
      </c>
      <c r="B66" s="42" t="str">
        <f t="shared" si="6"/>
        <v>FORD TW-15-16 SP  2WD___________________ 121pto hp</v>
      </c>
      <c r="C66" s="352">
        <v>121.40073</v>
      </c>
      <c r="D66" s="42" t="s">
        <v>970</v>
      </c>
      <c r="E66" s="42" t="s">
        <v>1023</v>
      </c>
      <c r="F66" s="42" t="s">
        <v>507</v>
      </c>
      <c r="G66" s="291"/>
      <c r="H66" s="353">
        <v>1515</v>
      </c>
      <c r="I66" s="38">
        <v>0</v>
      </c>
      <c r="J66" s="58">
        <v>3494.2910000000002</v>
      </c>
      <c r="K66" s="58">
        <v>9759.7641999999996</v>
      </c>
      <c r="L66" s="354">
        <v>2</v>
      </c>
      <c r="M66" s="352">
        <v>11</v>
      </c>
      <c r="N66" s="354" t="s">
        <v>499</v>
      </c>
      <c r="O66" s="41">
        <v>16</v>
      </c>
      <c r="P66" s="354">
        <v>4</v>
      </c>
      <c r="Q66" s="41">
        <v>18.399999999999999</v>
      </c>
      <c r="R66" s="354" t="s">
        <v>500</v>
      </c>
      <c r="S66" s="41">
        <v>38</v>
      </c>
      <c r="T66" s="46">
        <v>22.047244094488189</v>
      </c>
      <c r="U66" s="46">
        <v>109.68503937007874</v>
      </c>
      <c r="V66" s="47">
        <v>0.94295706191944373</v>
      </c>
    </row>
    <row r="67" spans="1:22" ht="12.75">
      <c r="A67" s="369">
        <f t="shared" si="5"/>
        <v>61</v>
      </c>
      <c r="B67" s="42" t="str">
        <f t="shared" si="6"/>
        <v>FORD 8630-PS 18 SP  MFWD________________ 122pto hp</v>
      </c>
      <c r="C67" s="352">
        <v>121.7628</v>
      </c>
      <c r="D67" s="42" t="s">
        <v>970</v>
      </c>
      <c r="E67" s="42" t="s">
        <v>1024</v>
      </c>
      <c r="F67" s="42" t="s">
        <v>497</v>
      </c>
      <c r="G67" s="291"/>
      <c r="H67" s="353">
        <v>5084</v>
      </c>
      <c r="I67" s="38" t="s">
        <v>499</v>
      </c>
      <c r="J67" s="58">
        <v>4711.2302</v>
      </c>
      <c r="K67" s="58">
        <v>9444.5064000000002</v>
      </c>
      <c r="L67" s="354">
        <v>2</v>
      </c>
      <c r="M67" s="352">
        <v>14.9</v>
      </c>
      <c r="N67" s="41" t="s">
        <v>481</v>
      </c>
      <c r="O67" s="41">
        <v>28</v>
      </c>
      <c r="P67" s="354">
        <v>4</v>
      </c>
      <c r="Q67" s="41">
        <v>18.399999999999999</v>
      </c>
      <c r="R67" s="41" t="s">
        <v>481</v>
      </c>
      <c r="S67" s="41">
        <v>38</v>
      </c>
      <c r="T67" s="46">
        <v>19.488188976377955</v>
      </c>
      <c r="U67" s="46">
        <v>105</v>
      </c>
      <c r="V67" s="47">
        <v>0.92337259353786572</v>
      </c>
    </row>
    <row r="68" spans="1:22" ht="12.75">
      <c r="A68" s="369">
        <f t="shared" si="5"/>
        <v>62</v>
      </c>
      <c r="B68" s="42" t="str">
        <f t="shared" si="6"/>
        <v>FORD TW-20  2WD_________________________ 136pto hp</v>
      </c>
      <c r="C68" s="352">
        <v>135.58850999999999</v>
      </c>
      <c r="D68" s="42" t="s">
        <v>970</v>
      </c>
      <c r="E68" s="42" t="s">
        <v>1025</v>
      </c>
      <c r="F68" s="42" t="s">
        <v>507</v>
      </c>
      <c r="G68" s="291"/>
      <c r="H68" s="353">
        <v>1300</v>
      </c>
      <c r="I68" s="38">
        <v>0</v>
      </c>
      <c r="J68" s="58">
        <v>3500.9048000000003</v>
      </c>
      <c r="K68" s="58">
        <v>9735.5136000000002</v>
      </c>
      <c r="L68" s="354">
        <v>2</v>
      </c>
      <c r="M68" s="352">
        <v>11</v>
      </c>
      <c r="N68" s="354" t="s">
        <v>499</v>
      </c>
      <c r="O68" s="41">
        <v>16</v>
      </c>
      <c r="P68" s="354">
        <v>4</v>
      </c>
      <c r="Q68" s="41">
        <v>18.399999999999999</v>
      </c>
      <c r="R68" s="354" t="s">
        <v>500</v>
      </c>
      <c r="S68" s="41">
        <v>38</v>
      </c>
      <c r="T68" s="46">
        <v>21.062992125984252</v>
      </c>
      <c r="U68" s="46">
        <v>109.64566929133859</v>
      </c>
      <c r="V68" s="47">
        <v>0.92999987460071132</v>
      </c>
    </row>
    <row r="69" spans="1:22" ht="12.75">
      <c r="A69" s="369">
        <f t="shared" si="5"/>
        <v>63</v>
      </c>
      <c r="B69" s="42" t="str">
        <f t="shared" si="6"/>
        <v>FORD TW-25/8730  2WD____________________ 141pto hp</v>
      </c>
      <c r="C69" s="352">
        <v>140.68430999999998</v>
      </c>
      <c r="D69" s="42" t="s">
        <v>970</v>
      </c>
      <c r="E69" s="42" t="s">
        <v>1026</v>
      </c>
      <c r="F69" s="42" t="s">
        <v>507</v>
      </c>
      <c r="G69" s="291"/>
      <c r="H69" s="353">
        <v>1516</v>
      </c>
      <c r="I69" s="38">
        <v>0</v>
      </c>
      <c r="J69" s="58">
        <v>4519.43</v>
      </c>
      <c r="K69" s="58">
        <v>10914.974600000001</v>
      </c>
      <c r="L69" s="354">
        <v>2</v>
      </c>
      <c r="M69" s="352">
        <v>14</v>
      </c>
      <c r="N69" s="354" t="s">
        <v>499</v>
      </c>
      <c r="O69" s="41">
        <v>16.100000000000001</v>
      </c>
      <c r="P69" s="354">
        <v>4</v>
      </c>
      <c r="Q69" s="41">
        <v>20.8</v>
      </c>
      <c r="R69" s="354" t="s">
        <v>500</v>
      </c>
      <c r="S69" s="41">
        <v>38</v>
      </c>
      <c r="T69" s="46">
        <v>21.062992125984252</v>
      </c>
      <c r="U69" s="46">
        <v>109.68503937007874</v>
      </c>
      <c r="V69" s="47">
        <v>0.95932632545990504</v>
      </c>
    </row>
    <row r="70" spans="1:22" ht="12.75">
      <c r="A70" s="369">
        <f t="shared" si="5"/>
        <v>64</v>
      </c>
      <c r="B70" s="42" t="str">
        <f t="shared" si="6"/>
        <v>FORD 8730-PS 18 SP  MFWD________________ 141pto hp</v>
      </c>
      <c r="C70" s="352">
        <v>140.76477</v>
      </c>
      <c r="D70" s="42" t="s">
        <v>970</v>
      </c>
      <c r="E70" s="42" t="s">
        <v>1027</v>
      </c>
      <c r="F70" s="42" t="s">
        <v>497</v>
      </c>
      <c r="G70" s="291"/>
      <c r="H70" s="353">
        <v>5085</v>
      </c>
      <c r="I70" s="38" t="s">
        <v>499</v>
      </c>
      <c r="J70" s="58">
        <v>5791.4841999999999</v>
      </c>
      <c r="K70" s="58">
        <v>9620.8744000000006</v>
      </c>
      <c r="L70" s="354">
        <v>2</v>
      </c>
      <c r="M70" s="352">
        <v>16.899999999999999</v>
      </c>
      <c r="N70" s="354" t="s">
        <v>500</v>
      </c>
      <c r="O70" s="41">
        <v>28</v>
      </c>
      <c r="P70" s="354">
        <v>4</v>
      </c>
      <c r="Q70" s="41">
        <v>18.399999999999999</v>
      </c>
      <c r="R70" s="41" t="s">
        <v>481</v>
      </c>
      <c r="S70" s="41">
        <v>42</v>
      </c>
      <c r="T70" s="46">
        <v>21.062992125984252</v>
      </c>
      <c r="U70" s="46">
        <v>110.78740157480316</v>
      </c>
      <c r="V70" s="47">
        <v>0.94902431332207038</v>
      </c>
    </row>
    <row r="71" spans="1:22" ht="12.75">
      <c r="A71" s="369">
        <f t="shared" si="5"/>
        <v>65</v>
      </c>
      <c r="B71" s="42" t="str">
        <f>CONCATENATE( LEFT(CONCATENATE(D71," ",E71," ",G71," ",F71,$W$5),40)," ",FIXED(C71,0),"pto hp")</f>
        <v>FORD TW-35-16 SP  2WD___________________ 170pto hp</v>
      </c>
      <c r="C71" s="352">
        <v>170.30699999999999</v>
      </c>
      <c r="D71" s="42" t="s">
        <v>970</v>
      </c>
      <c r="E71" s="42" t="s">
        <v>1028</v>
      </c>
      <c r="F71" s="42" t="s">
        <v>507</v>
      </c>
      <c r="G71" s="291"/>
      <c r="H71" s="353">
        <v>1517</v>
      </c>
      <c r="I71" s="38">
        <v>0</v>
      </c>
      <c r="J71" s="58">
        <v>4609.8186000000005</v>
      </c>
      <c r="K71" s="58">
        <v>11569.740800000001</v>
      </c>
      <c r="L71" s="354">
        <v>2</v>
      </c>
      <c r="M71" s="352">
        <v>14</v>
      </c>
      <c r="N71" s="354" t="s">
        <v>499</v>
      </c>
      <c r="O71" s="41">
        <v>16.100000000000001</v>
      </c>
      <c r="P71" s="354">
        <v>4</v>
      </c>
      <c r="Q71" s="41">
        <v>20.8</v>
      </c>
      <c r="R71" s="354" t="s">
        <v>500</v>
      </c>
      <c r="S71" s="41">
        <v>38</v>
      </c>
      <c r="T71" s="46">
        <v>24.409448818897641</v>
      </c>
      <c r="U71" s="46">
        <v>110.4724409448819</v>
      </c>
      <c r="V71" s="47">
        <v>0.92316593928389101</v>
      </c>
    </row>
    <row r="72" spans="1:22" ht="12.75">
      <c r="A72" s="369">
        <f t="shared" ref="A72:A103" si="7">A71+1</f>
        <v>66</v>
      </c>
      <c r="B72" s="42" t="str">
        <f>CONCATENATE( LEFT(CONCATENATE(D72," ",E72," ",G72," ",F72,$W$5),40)," ",FIXED(C72,0),"pto hp")</f>
        <v>FORD 8830-PS 18 SP  MFWD________________ 171pto hp</v>
      </c>
      <c r="C72" s="352">
        <v>171.03113999999999</v>
      </c>
      <c r="D72" s="42" t="s">
        <v>970</v>
      </c>
      <c r="E72" s="42" t="s">
        <v>1029</v>
      </c>
      <c r="F72" s="42" t="s">
        <v>497</v>
      </c>
      <c r="G72" s="291"/>
      <c r="H72" s="353">
        <v>5086</v>
      </c>
      <c r="I72" s="38" t="s">
        <v>499</v>
      </c>
      <c r="J72" s="58">
        <v>5831.1670000000004</v>
      </c>
      <c r="K72" s="58">
        <v>9894.2448000000004</v>
      </c>
      <c r="L72" s="354">
        <v>2</v>
      </c>
      <c r="M72" s="352">
        <v>16.899999999999999</v>
      </c>
      <c r="N72" s="354" t="s">
        <v>500</v>
      </c>
      <c r="O72" s="41">
        <v>28</v>
      </c>
      <c r="P72" s="354">
        <v>4</v>
      </c>
      <c r="Q72" s="41">
        <v>20.8</v>
      </c>
      <c r="R72" s="41" t="s">
        <v>481</v>
      </c>
      <c r="S72" s="41">
        <v>38</v>
      </c>
      <c r="T72" s="46">
        <v>20.472440944881892</v>
      </c>
      <c r="U72" s="46">
        <v>110.78740157480316</v>
      </c>
      <c r="V72" s="47">
        <v>0.9137580506162859</v>
      </c>
    </row>
    <row r="73" spans="1:22" ht="12.75">
      <c r="A73" s="369">
        <f t="shared" si="7"/>
        <v>67</v>
      </c>
      <c r="B73" s="42" t="str">
        <f>CONCATENATE( LEFT(CONCATENATE(D73," ",E73," ",G73," ",F73,$W$5),40)," ",FIXED(C73,0),"pto hp")</f>
        <v>FORD TW-35/8830  MFWD___________________ 171pto hp</v>
      </c>
      <c r="C73" s="352">
        <v>171.11159999999998</v>
      </c>
      <c r="D73" s="42" t="s">
        <v>970</v>
      </c>
      <c r="E73" s="42" t="s">
        <v>1030</v>
      </c>
      <c r="F73" s="42" t="s">
        <v>497</v>
      </c>
      <c r="G73" s="291"/>
      <c r="H73" s="353">
        <v>1537</v>
      </c>
      <c r="I73" s="38" t="s">
        <v>499</v>
      </c>
      <c r="J73" s="58">
        <v>5489.4540000000006</v>
      </c>
      <c r="K73" s="58">
        <v>11651.311000000002</v>
      </c>
      <c r="L73" s="354">
        <v>2</v>
      </c>
      <c r="M73" s="352">
        <v>16.899999999999999</v>
      </c>
      <c r="N73" s="354" t="s">
        <v>500</v>
      </c>
      <c r="O73" s="41">
        <v>28</v>
      </c>
      <c r="P73" s="354">
        <v>4</v>
      </c>
      <c r="Q73" s="41">
        <v>20.8</v>
      </c>
      <c r="R73" s="354" t="s">
        <v>500</v>
      </c>
      <c r="S73" s="41">
        <v>38</v>
      </c>
      <c r="T73" s="46">
        <v>24.409448818897641</v>
      </c>
      <c r="U73" s="46">
        <v>110.98425196850394</v>
      </c>
      <c r="V73" s="47">
        <v>0.92046771056259602</v>
      </c>
    </row>
    <row r="74" spans="1:22" ht="12.75">
      <c r="A74" s="369">
        <f t="shared" si="7"/>
        <v>68</v>
      </c>
      <c r="B74" s="42" t="str">
        <f>CONCATENATE( LEFT(CONCATENATE(D74," ",E74," ",G74," ",F74,$W$5),40)," ",FIXED(C74,0),"pto hp")</f>
        <v>FORD-VERSATILE 9030-HYDRO  4WD__________ 104pto hp</v>
      </c>
      <c r="C74" s="352">
        <v>103.65929999999999</v>
      </c>
      <c r="D74" s="42" t="s">
        <v>1031</v>
      </c>
      <c r="E74" s="42" t="s">
        <v>1032</v>
      </c>
      <c r="F74" s="42" t="s">
        <v>606</v>
      </c>
      <c r="G74" s="291"/>
      <c r="H74" s="353">
        <v>5118</v>
      </c>
      <c r="I74" s="38" t="s">
        <v>556</v>
      </c>
      <c r="J74" s="58">
        <v>7343.5226000000002</v>
      </c>
      <c r="K74" s="58">
        <v>4327.6298000000006</v>
      </c>
      <c r="L74" s="354">
        <v>2</v>
      </c>
      <c r="M74" s="352">
        <v>16.899999999999999</v>
      </c>
      <c r="N74" s="354" t="s">
        <v>500</v>
      </c>
      <c r="O74" s="41">
        <v>28</v>
      </c>
      <c r="P74" s="354">
        <v>2</v>
      </c>
      <c r="Q74" s="41">
        <v>16.899999999999999</v>
      </c>
      <c r="R74" s="354" t="s">
        <v>500</v>
      </c>
      <c r="S74" s="41">
        <v>28</v>
      </c>
      <c r="T74" s="46">
        <v>19.370078740157481</v>
      </c>
      <c r="U74" s="46">
        <v>88.976377952755911</v>
      </c>
      <c r="V74" s="47">
        <v>0.75194358775282044</v>
      </c>
    </row>
    <row r="75" spans="1:22" ht="12.75">
      <c r="A75" s="369">
        <f t="shared" si="7"/>
        <v>69</v>
      </c>
      <c r="B75" s="42" t="str">
        <f>CONCATENATE( LEFT(CONCATENATE(D75," ",E75," ",G75," ",F75,$W$5),40)," ",FIXED(C75,0),"pto hp")</f>
        <v>FORD-VERSATILE 276-HYDRO  4WD___________ 107pto hp</v>
      </c>
      <c r="C75" s="352">
        <v>106.74359999999999</v>
      </c>
      <c r="D75" s="42" t="s">
        <v>1031</v>
      </c>
      <c r="E75" s="42" t="s">
        <v>1033</v>
      </c>
      <c r="F75" s="42" t="s">
        <v>606</v>
      </c>
      <c r="G75" s="291"/>
      <c r="H75" s="353">
        <v>5078</v>
      </c>
      <c r="I75" s="38" t="s">
        <v>500</v>
      </c>
      <c r="J75" s="58">
        <v>5445.3620000000001</v>
      </c>
      <c r="K75" s="58">
        <v>3972.6892000000003</v>
      </c>
      <c r="L75" s="354">
        <v>2</v>
      </c>
      <c r="M75" s="352">
        <v>16.899999999999999</v>
      </c>
      <c r="N75" s="354" t="s">
        <v>500</v>
      </c>
      <c r="O75" s="41">
        <v>28</v>
      </c>
      <c r="P75" s="354">
        <v>2</v>
      </c>
      <c r="Q75" s="41">
        <v>16.899999999999999</v>
      </c>
      <c r="R75" s="354" t="s">
        <v>500</v>
      </c>
      <c r="S75" s="41">
        <v>28</v>
      </c>
      <c r="T75" s="46">
        <v>20.472440944881892</v>
      </c>
      <c r="U75" s="46">
        <v>85.826771653543318</v>
      </c>
      <c r="V75" s="47">
        <v>0.75148501845746463</v>
      </c>
    </row>
    <row r="76" spans="1:22" ht="12.75">
      <c r="A76" s="369">
        <f t="shared" si="7"/>
        <v>70</v>
      </c>
      <c r="B76" s="42" t="str">
        <f t="shared" ref="B76:B93" si="8">CONCATENATE( LEFT(CONCATENATE(D76," ",E76," ",G76," ",F76,$W$5),40)," ",FIXED(C76,0),"pto hp")</f>
        <v>FORD-VERSATILE 846-15 SP  4WD___________ 211pto hp</v>
      </c>
      <c r="C76" s="352">
        <v>211.47569999999999</v>
      </c>
      <c r="D76" s="42" t="s">
        <v>1031</v>
      </c>
      <c r="E76" s="42" t="s">
        <v>1034</v>
      </c>
      <c r="F76" s="42" t="s">
        <v>606</v>
      </c>
      <c r="G76" s="291"/>
      <c r="H76" s="353">
        <v>5119</v>
      </c>
      <c r="I76" s="38" t="s">
        <v>500</v>
      </c>
      <c r="J76" s="58">
        <v>14303.444800000001</v>
      </c>
      <c r="K76" s="58">
        <v>9971.4058000000005</v>
      </c>
      <c r="L76" s="354">
        <v>4</v>
      </c>
      <c r="M76" s="352">
        <v>18.399999999999999</v>
      </c>
      <c r="N76" s="41" t="s">
        <v>481</v>
      </c>
      <c r="O76" s="41">
        <v>38</v>
      </c>
      <c r="P76" s="354">
        <v>4</v>
      </c>
      <c r="Q76" s="41">
        <v>18.399999999999999</v>
      </c>
      <c r="R76" s="41" t="s">
        <v>481</v>
      </c>
      <c r="S76" s="41">
        <v>38</v>
      </c>
      <c r="T76" s="46">
        <v>17.519685039370081</v>
      </c>
      <c r="U76" s="46">
        <v>129.9212598425197</v>
      </c>
      <c r="V76" s="47">
        <v>0.9748740028389179</v>
      </c>
    </row>
    <row r="77" spans="1:22" ht="12.75">
      <c r="A77" s="369">
        <f t="shared" si="7"/>
        <v>71</v>
      </c>
      <c r="B77" s="42" t="str">
        <f>CONCATENATE( LEFT(CONCATENATE(D77," ",E77," ",G77," ",F77,$W$5),40)," ",FIXED(C77,0)," estimated pto hp")</f>
        <v>FORD-VERSATILE 946-12 SP  4WD___________ 235 estimated pto hp</v>
      </c>
      <c r="C77" s="355">
        <v>234.60800000000003</v>
      </c>
      <c r="D77" s="42" t="s">
        <v>1031</v>
      </c>
      <c r="E77" s="42" t="s">
        <v>1035</v>
      </c>
      <c r="F77" s="42" t="s">
        <v>606</v>
      </c>
      <c r="G77" s="291"/>
      <c r="H77" s="353">
        <v>5120</v>
      </c>
      <c r="I77" s="38" t="s">
        <v>500</v>
      </c>
      <c r="J77" s="58">
        <v>16291.994000000001</v>
      </c>
      <c r="K77" s="58">
        <v>10396.893600000001</v>
      </c>
      <c r="L77" s="354">
        <v>4</v>
      </c>
      <c r="M77" s="352">
        <v>20.8</v>
      </c>
      <c r="N77" s="41" t="s">
        <v>481</v>
      </c>
      <c r="O77" s="41">
        <v>42</v>
      </c>
      <c r="P77" s="354">
        <v>4</v>
      </c>
      <c r="Q77" s="41">
        <v>20.8</v>
      </c>
      <c r="R77" s="41" t="s">
        <v>481</v>
      </c>
      <c r="S77" s="41">
        <v>42</v>
      </c>
      <c r="T77" s="46">
        <v>22.519685039370081</v>
      </c>
      <c r="U77" s="46">
        <v>130</v>
      </c>
      <c r="V77" s="47">
        <v>0.92</v>
      </c>
    </row>
    <row r="78" spans="1:22" ht="12.75">
      <c r="A78" s="369">
        <f t="shared" si="7"/>
        <v>72</v>
      </c>
      <c r="B78" s="42" t="str">
        <f t="shared" si="8"/>
        <v>NEW HOLLAND TN-55D &amp; 55S, 8-SP   2WD____ 43pto hp</v>
      </c>
      <c r="C78" s="352">
        <v>43.046100000000003</v>
      </c>
      <c r="D78" s="42" t="s">
        <v>969</v>
      </c>
      <c r="E78" s="42" t="s">
        <v>1036</v>
      </c>
      <c r="F78" s="42" t="s">
        <v>507</v>
      </c>
      <c r="G78" s="291"/>
      <c r="H78" s="353">
        <v>5330</v>
      </c>
      <c r="I78" s="38" t="s">
        <v>500</v>
      </c>
      <c r="J78" s="58">
        <v>1995.163</v>
      </c>
      <c r="K78" s="58">
        <v>3703.7280000000001</v>
      </c>
      <c r="L78" s="354">
        <v>2</v>
      </c>
      <c r="M78" s="352">
        <v>7.5</v>
      </c>
      <c r="N78" s="354" t="s">
        <v>499</v>
      </c>
      <c r="O78" s="41">
        <v>16</v>
      </c>
      <c r="P78" s="354">
        <v>2</v>
      </c>
      <c r="Q78" s="41">
        <v>14.9</v>
      </c>
      <c r="R78" s="41" t="s">
        <v>481</v>
      </c>
      <c r="S78" s="41">
        <v>28</v>
      </c>
      <c r="T78" s="46">
        <v>27.362204724409452</v>
      </c>
      <c r="U78" s="46">
        <v>83.858267716535437</v>
      </c>
      <c r="V78" s="47">
        <v>0.85389284410798549</v>
      </c>
    </row>
    <row r="79" spans="1:22" ht="12.75">
      <c r="A79" s="369">
        <f t="shared" si="7"/>
        <v>73</v>
      </c>
      <c r="B79" s="42" t="str">
        <f t="shared" si="8"/>
        <v>NEW HOLLAND TN-55D &amp; 55S, 8-SP   MFWD___ 43pto hp</v>
      </c>
      <c r="C79" s="352">
        <v>43.046100000000003</v>
      </c>
      <c r="D79" s="42" t="s">
        <v>969</v>
      </c>
      <c r="E79" s="42" t="s">
        <v>1036</v>
      </c>
      <c r="F79" s="42" t="s">
        <v>497</v>
      </c>
      <c r="G79" s="291"/>
      <c r="H79" s="353">
        <v>5330</v>
      </c>
      <c r="I79" s="38" t="s">
        <v>500</v>
      </c>
      <c r="J79" s="58">
        <v>2336.8760000000002</v>
      </c>
      <c r="K79" s="58">
        <v>4221.8090000000002</v>
      </c>
      <c r="L79" s="354">
        <v>2</v>
      </c>
      <c r="M79" s="352">
        <v>11.2</v>
      </c>
      <c r="N79" s="41" t="s">
        <v>481</v>
      </c>
      <c r="O79" s="41">
        <v>20</v>
      </c>
      <c r="P79" s="354">
        <v>2</v>
      </c>
      <c r="Q79" s="41">
        <v>14.9</v>
      </c>
      <c r="R79" s="41" t="s">
        <v>481</v>
      </c>
      <c r="S79" s="41">
        <v>28</v>
      </c>
      <c r="T79" s="46">
        <v>17.913385826771655</v>
      </c>
      <c r="U79" s="46">
        <v>81.2992125984252</v>
      </c>
      <c r="V79" s="47">
        <v>0.8865416881474083</v>
      </c>
    </row>
    <row r="80" spans="1:22" ht="12.75">
      <c r="A80" s="369">
        <f t="shared" si="7"/>
        <v>74</v>
      </c>
      <c r="B80" s="42" t="str">
        <f t="shared" si="8"/>
        <v>NEW HOLLAND TN-65D &amp; 65S, 8-SP   2WD____ 53pto hp</v>
      </c>
      <c r="C80" s="352">
        <v>52.701299999999996</v>
      </c>
      <c r="D80" s="42" t="s">
        <v>969</v>
      </c>
      <c r="E80" s="42" t="s">
        <v>1037</v>
      </c>
      <c r="F80" s="42" t="s">
        <v>507</v>
      </c>
      <c r="G80" s="291"/>
      <c r="H80" s="353">
        <v>5331</v>
      </c>
      <c r="I80" s="38" t="s">
        <v>500</v>
      </c>
      <c r="J80" s="58">
        <v>1995.163</v>
      </c>
      <c r="K80" s="58">
        <v>3813.9580000000001</v>
      </c>
      <c r="L80" s="354">
        <v>2</v>
      </c>
      <c r="M80" s="352">
        <v>7.5</v>
      </c>
      <c r="N80" s="354" t="s">
        <v>499</v>
      </c>
      <c r="O80" s="41">
        <v>16</v>
      </c>
      <c r="P80" s="354">
        <v>2</v>
      </c>
      <c r="Q80" s="41">
        <v>16.899999999999999</v>
      </c>
      <c r="R80" s="41" t="s">
        <v>481</v>
      </c>
      <c r="S80" s="41">
        <v>30</v>
      </c>
      <c r="T80" s="46">
        <v>27.362204724409452</v>
      </c>
      <c r="U80" s="46">
        <v>83.858267716535437</v>
      </c>
      <c r="V80" s="47">
        <v>0.87592074886505966</v>
      </c>
    </row>
    <row r="81" spans="1:22" ht="12.75">
      <c r="A81" s="369">
        <f t="shared" si="7"/>
        <v>75</v>
      </c>
      <c r="B81" s="42" t="str">
        <f t="shared" si="8"/>
        <v>NEW HOLLAND TN-65D &amp; 65S, 8-SP   MFWD___ 53pto hp</v>
      </c>
      <c r="C81" s="352">
        <v>52.701299999999996</v>
      </c>
      <c r="D81" s="42" t="s">
        <v>969</v>
      </c>
      <c r="E81" s="42" t="s">
        <v>1037</v>
      </c>
      <c r="F81" s="42" t="s">
        <v>497</v>
      </c>
      <c r="G81" s="291"/>
      <c r="H81" s="353">
        <v>5331</v>
      </c>
      <c r="I81" s="38" t="s">
        <v>500</v>
      </c>
      <c r="J81" s="58">
        <v>2380.9680000000003</v>
      </c>
      <c r="K81" s="58">
        <v>4243.8550000000005</v>
      </c>
      <c r="L81" s="354">
        <v>2</v>
      </c>
      <c r="M81" s="352">
        <v>380</v>
      </c>
      <c r="N81" s="291" t="s">
        <v>614</v>
      </c>
      <c r="O81" s="41">
        <v>20</v>
      </c>
      <c r="P81" s="354">
        <v>2</v>
      </c>
      <c r="Q81" s="41">
        <v>480</v>
      </c>
      <c r="R81" s="291" t="s">
        <v>614</v>
      </c>
      <c r="S81" s="41">
        <v>30</v>
      </c>
      <c r="T81" s="46">
        <v>17.913385826771655</v>
      </c>
      <c r="U81" s="46">
        <v>81.2992125984252</v>
      </c>
      <c r="V81" s="47">
        <v>0.87592074886505966</v>
      </c>
    </row>
    <row r="82" spans="1:22" ht="12.75">
      <c r="A82" s="369">
        <f t="shared" si="7"/>
        <v>76</v>
      </c>
      <c r="B82" s="42" t="str">
        <f t="shared" si="8"/>
        <v>NEW HOLLAND TL-70D 24-SP   2WD__________ 59pto hp</v>
      </c>
      <c r="C82" s="352">
        <v>58.869899999999994</v>
      </c>
      <c r="D82" s="42" t="s">
        <v>969</v>
      </c>
      <c r="E82" s="42" t="s">
        <v>1038</v>
      </c>
      <c r="F82" s="42" t="s">
        <v>507</v>
      </c>
      <c r="G82" s="291"/>
      <c r="H82" s="353">
        <v>5347</v>
      </c>
      <c r="I82" s="38" t="s">
        <v>500</v>
      </c>
      <c r="J82" s="58">
        <v>2678.5889999999999</v>
      </c>
      <c r="K82" s="58">
        <v>5147.741</v>
      </c>
      <c r="L82" s="354">
        <v>2</v>
      </c>
      <c r="M82" s="352">
        <v>7.5</v>
      </c>
      <c r="N82" s="354" t="s">
        <v>499</v>
      </c>
      <c r="O82" s="41">
        <v>16</v>
      </c>
      <c r="P82" s="354">
        <v>2</v>
      </c>
      <c r="Q82" s="41">
        <v>480</v>
      </c>
      <c r="R82" s="291" t="s">
        <v>614</v>
      </c>
      <c r="S82" s="41">
        <v>30</v>
      </c>
      <c r="T82" s="46">
        <v>29.133858267716537</v>
      </c>
      <c r="U82" s="46">
        <v>92.204724409448829</v>
      </c>
      <c r="V82" s="47">
        <v>0.84290310704828142</v>
      </c>
    </row>
    <row r="83" spans="1:22" ht="12.75">
      <c r="A83" s="369">
        <f t="shared" si="7"/>
        <v>77</v>
      </c>
      <c r="B83" s="42" t="str">
        <f t="shared" si="8"/>
        <v>NEW HOLLAND TL-70D 24-SP   MFWD_________ 59pto hp</v>
      </c>
      <c r="C83" s="352">
        <v>58.869899999999994</v>
      </c>
      <c r="D83" s="42" t="s">
        <v>969</v>
      </c>
      <c r="E83" s="42" t="s">
        <v>1038</v>
      </c>
      <c r="F83" s="42" t="s">
        <v>497</v>
      </c>
      <c r="G83" s="291"/>
      <c r="H83" s="353">
        <v>5347</v>
      </c>
      <c r="I83" s="38" t="s">
        <v>500</v>
      </c>
      <c r="J83" s="58">
        <v>3428.1530000000002</v>
      </c>
      <c r="K83" s="58">
        <v>4982.3960000000006</v>
      </c>
      <c r="L83" s="354">
        <v>2</v>
      </c>
      <c r="M83" s="352">
        <v>320</v>
      </c>
      <c r="N83" s="291" t="s">
        <v>614</v>
      </c>
      <c r="O83" s="41">
        <v>24</v>
      </c>
      <c r="P83" s="354">
        <v>2</v>
      </c>
      <c r="Q83" s="41">
        <v>480</v>
      </c>
      <c r="R83" s="291" t="s">
        <v>614</v>
      </c>
      <c r="S83" s="41">
        <v>30</v>
      </c>
      <c r="T83" s="46">
        <v>16.929133858267718</v>
      </c>
      <c r="U83" s="46">
        <v>91.102362204724415</v>
      </c>
      <c r="V83" s="47">
        <v>0.86677617979692567</v>
      </c>
    </row>
    <row r="84" spans="1:22" ht="12.75">
      <c r="A84" s="369">
        <f t="shared" si="7"/>
        <v>78</v>
      </c>
      <c r="B84" s="42" t="str">
        <f t="shared" si="8"/>
        <v>NEW HOLLAND TN-75D &amp; 75S, 8-SP   2WD____ 64pto hp</v>
      </c>
      <c r="C84" s="352">
        <v>63.831600000000002</v>
      </c>
      <c r="D84" s="42" t="s">
        <v>969</v>
      </c>
      <c r="E84" s="42" t="s">
        <v>1039</v>
      </c>
      <c r="F84" s="42" t="s">
        <v>507</v>
      </c>
      <c r="G84" s="291"/>
      <c r="H84" s="353">
        <v>5332</v>
      </c>
      <c r="I84" s="38" t="s">
        <v>500</v>
      </c>
      <c r="J84" s="58">
        <v>1995.163</v>
      </c>
      <c r="K84" s="58">
        <v>3813.9580000000001</v>
      </c>
      <c r="L84" s="354">
        <v>2</v>
      </c>
      <c r="M84" s="352">
        <v>7.5</v>
      </c>
      <c r="N84" s="354" t="s">
        <v>499</v>
      </c>
      <c r="O84" s="41">
        <v>16</v>
      </c>
      <c r="P84" s="354">
        <v>2</v>
      </c>
      <c r="Q84" s="41">
        <v>16.899999999999999</v>
      </c>
      <c r="R84" s="41" t="s">
        <v>481</v>
      </c>
      <c r="S84" s="41">
        <v>30</v>
      </c>
      <c r="T84" s="46">
        <v>27.362204724409452</v>
      </c>
      <c r="U84" s="46">
        <v>83.858267716535437</v>
      </c>
      <c r="V84" s="47">
        <v>0.90610039287496846</v>
      </c>
    </row>
    <row r="85" spans="1:22" ht="12.75">
      <c r="A85" s="369">
        <f t="shared" si="7"/>
        <v>79</v>
      </c>
      <c r="B85" s="42" t="str">
        <f t="shared" si="8"/>
        <v>NEW HOLLAND TN-75D &amp; 75S, 8-SP   MFWD___ 64pto hp</v>
      </c>
      <c r="C85" s="352">
        <v>63.831600000000002</v>
      </c>
      <c r="D85" s="42" t="s">
        <v>969</v>
      </c>
      <c r="E85" s="42" t="s">
        <v>1039</v>
      </c>
      <c r="F85" s="42" t="s">
        <v>497</v>
      </c>
      <c r="G85" s="291"/>
      <c r="H85" s="353">
        <v>5332</v>
      </c>
      <c r="I85" s="38" t="s">
        <v>500</v>
      </c>
      <c r="J85" s="58">
        <v>2380.9680000000003</v>
      </c>
      <c r="K85" s="58">
        <v>4243.8550000000005</v>
      </c>
      <c r="L85" s="354">
        <v>2</v>
      </c>
      <c r="M85" s="352">
        <v>380</v>
      </c>
      <c r="N85" s="291" t="s">
        <v>614</v>
      </c>
      <c r="O85" s="41">
        <v>20</v>
      </c>
      <c r="P85" s="354">
        <v>2</v>
      </c>
      <c r="Q85" s="41">
        <v>480</v>
      </c>
      <c r="R85" s="291" t="s">
        <v>614</v>
      </c>
      <c r="S85" s="41">
        <v>30</v>
      </c>
      <c r="T85" s="46">
        <v>18.110236220472441</v>
      </c>
      <c r="U85" s="46">
        <v>81.2992125984252</v>
      </c>
      <c r="V85" s="47">
        <v>0.93150507678735062</v>
      </c>
    </row>
    <row r="86" spans="1:22" ht="12.75">
      <c r="A86" s="369">
        <f t="shared" si="7"/>
        <v>80</v>
      </c>
      <c r="B86" s="42" t="str">
        <f t="shared" si="8"/>
        <v>NEW HOLLAND TL-80D 24-SP   2WD__________ 68pto hp</v>
      </c>
      <c r="C86" s="352">
        <v>67.988700000000009</v>
      </c>
      <c r="D86" s="42" t="s">
        <v>969</v>
      </c>
      <c r="E86" s="42" t="s">
        <v>1040</v>
      </c>
      <c r="F86" s="42" t="s">
        <v>507</v>
      </c>
      <c r="G86" s="291"/>
      <c r="H86" s="353">
        <v>5348</v>
      </c>
      <c r="I86" s="38" t="s">
        <v>500</v>
      </c>
      <c r="J86" s="58">
        <v>2678.5889999999999</v>
      </c>
      <c r="K86" s="58">
        <v>5147.741</v>
      </c>
      <c r="L86" s="354">
        <v>2</v>
      </c>
      <c r="M86" s="352">
        <v>7.5</v>
      </c>
      <c r="N86" s="354" t="s">
        <v>499</v>
      </c>
      <c r="O86" s="41">
        <v>16</v>
      </c>
      <c r="P86" s="354">
        <v>2</v>
      </c>
      <c r="Q86" s="41">
        <v>480</v>
      </c>
      <c r="R86" s="291" t="s">
        <v>614</v>
      </c>
      <c r="S86" s="41">
        <v>30</v>
      </c>
      <c r="T86" s="46">
        <v>29.527559055118111</v>
      </c>
      <c r="U86" s="46">
        <v>92.204724409448829</v>
      </c>
      <c r="V86" s="47">
        <v>0.88090950248926481</v>
      </c>
    </row>
    <row r="87" spans="1:22" ht="12.75">
      <c r="A87" s="369">
        <f t="shared" si="7"/>
        <v>81</v>
      </c>
      <c r="B87" s="42" t="str">
        <f t="shared" si="8"/>
        <v>NEW HOLLAND TL-80D 24-SP   MFWD_________ 68pto hp</v>
      </c>
      <c r="C87" s="352">
        <v>67.988700000000009</v>
      </c>
      <c r="D87" s="42" t="s">
        <v>969</v>
      </c>
      <c r="E87" s="42" t="s">
        <v>1040</v>
      </c>
      <c r="F87" s="42" t="s">
        <v>497</v>
      </c>
      <c r="G87" s="291"/>
      <c r="H87" s="353">
        <v>5348</v>
      </c>
      <c r="I87" s="38" t="s">
        <v>500</v>
      </c>
      <c r="J87" s="58">
        <v>3428.1530000000002</v>
      </c>
      <c r="K87" s="58">
        <v>4982.3960000000006</v>
      </c>
      <c r="L87" s="354">
        <v>2</v>
      </c>
      <c r="M87" s="352">
        <v>320</v>
      </c>
      <c r="N87" s="291" t="s">
        <v>614</v>
      </c>
      <c r="O87" s="41">
        <v>24</v>
      </c>
      <c r="P87" s="354">
        <v>2</v>
      </c>
      <c r="Q87" s="41">
        <v>480</v>
      </c>
      <c r="R87" s="291" t="s">
        <v>614</v>
      </c>
      <c r="S87" s="41">
        <v>30</v>
      </c>
      <c r="T87" s="46">
        <v>16.929133858267718</v>
      </c>
      <c r="U87" s="46">
        <v>91.102362204724415</v>
      </c>
      <c r="V87" s="47">
        <v>0.8713689663612223</v>
      </c>
    </row>
    <row r="88" spans="1:22" ht="12.75">
      <c r="A88" s="369">
        <f t="shared" si="7"/>
        <v>82</v>
      </c>
      <c r="B88" s="42" t="str">
        <f t="shared" si="8"/>
        <v>NEW HOLLAND TS90-24 SP  MFWD____________ 77pto hp</v>
      </c>
      <c r="C88" s="352">
        <v>77.241600000000005</v>
      </c>
      <c r="D88" s="42" t="s">
        <v>969</v>
      </c>
      <c r="E88" s="42" t="s">
        <v>1041</v>
      </c>
      <c r="F88" s="42" t="s">
        <v>497</v>
      </c>
      <c r="G88" s="291"/>
      <c r="H88" s="353">
        <v>5294</v>
      </c>
      <c r="I88" s="38" t="s">
        <v>529</v>
      </c>
      <c r="J88" s="58">
        <v>3858.05</v>
      </c>
      <c r="K88" s="58">
        <v>5815.7348000000002</v>
      </c>
      <c r="L88" s="354">
        <v>2</v>
      </c>
      <c r="M88" s="352">
        <v>14.9</v>
      </c>
      <c r="N88" s="41" t="s">
        <v>481</v>
      </c>
      <c r="O88" s="41">
        <v>24</v>
      </c>
      <c r="P88" s="354">
        <v>2</v>
      </c>
      <c r="Q88" s="41">
        <v>18.399999999999999</v>
      </c>
      <c r="R88" s="41" t="s">
        <v>481</v>
      </c>
      <c r="S88" s="41">
        <v>34</v>
      </c>
      <c r="T88" s="46">
        <v>19.488188976377955</v>
      </c>
      <c r="U88" s="46">
        <v>92.99212598425197</v>
      </c>
      <c r="V88" s="47">
        <v>0.91954370477860403</v>
      </c>
    </row>
    <row r="89" spans="1:22" ht="12.75">
      <c r="A89" s="369">
        <f t="shared" si="7"/>
        <v>83</v>
      </c>
      <c r="B89" s="42" t="str">
        <f t="shared" si="8"/>
        <v>NEW HOLLAND TL-90D 24-SP   2WD__________ 78pto hp</v>
      </c>
      <c r="C89" s="352">
        <v>78.180299999999988</v>
      </c>
      <c r="D89" s="42" t="s">
        <v>969</v>
      </c>
      <c r="E89" s="42" t="s">
        <v>1042</v>
      </c>
      <c r="F89" s="42" t="s">
        <v>507</v>
      </c>
      <c r="G89" s="291"/>
      <c r="H89" s="353">
        <v>5349</v>
      </c>
      <c r="I89" s="38" t="s">
        <v>500</v>
      </c>
      <c r="J89" s="58">
        <v>3119.509</v>
      </c>
      <c r="K89" s="58">
        <v>4872.1660000000002</v>
      </c>
      <c r="L89" s="354">
        <v>2</v>
      </c>
      <c r="M89" s="352">
        <v>7.5</v>
      </c>
      <c r="N89" s="354" t="s">
        <v>499</v>
      </c>
      <c r="O89" s="41">
        <v>18</v>
      </c>
      <c r="P89" s="354">
        <v>2</v>
      </c>
      <c r="Q89" s="41">
        <v>480</v>
      </c>
      <c r="R89" s="291" t="s">
        <v>614</v>
      </c>
      <c r="S89" s="41">
        <v>34</v>
      </c>
      <c r="T89" s="46">
        <v>27.165354330708663</v>
      </c>
      <c r="U89" s="46">
        <v>92.204724409448829</v>
      </c>
      <c r="V89" s="47">
        <v>0.89329201650336254</v>
      </c>
    </row>
    <row r="90" spans="1:22" ht="12.75">
      <c r="A90" s="369">
        <f t="shared" si="7"/>
        <v>84</v>
      </c>
      <c r="B90" s="42" t="str">
        <f t="shared" si="8"/>
        <v>NEW HOLLAND TL-90D 24-SP   MFWD_________ 78pto hp</v>
      </c>
      <c r="C90" s="352">
        <v>78.180299999999988</v>
      </c>
      <c r="D90" s="42" t="s">
        <v>969</v>
      </c>
      <c r="E90" s="42" t="s">
        <v>1042</v>
      </c>
      <c r="F90" s="42" t="s">
        <v>497</v>
      </c>
      <c r="G90" s="291"/>
      <c r="H90" s="353">
        <v>5349</v>
      </c>
      <c r="I90" s="38" t="s">
        <v>500</v>
      </c>
      <c r="J90" s="58">
        <v>3560.4290000000001</v>
      </c>
      <c r="K90" s="58">
        <v>5026.4880000000003</v>
      </c>
      <c r="L90" s="354">
        <v>2</v>
      </c>
      <c r="M90" s="352">
        <v>380</v>
      </c>
      <c r="N90" s="291" t="s">
        <v>614</v>
      </c>
      <c r="O90" s="41">
        <v>24</v>
      </c>
      <c r="P90" s="354">
        <v>2</v>
      </c>
      <c r="Q90" s="41">
        <v>480</v>
      </c>
      <c r="R90" s="291" t="s">
        <v>614</v>
      </c>
      <c r="S90" s="41">
        <v>34</v>
      </c>
      <c r="T90" s="46">
        <v>18.897637795275593</v>
      </c>
      <c r="U90" s="46">
        <v>91.102362204724415</v>
      </c>
      <c r="V90" s="47">
        <v>0.86425311194210785</v>
      </c>
    </row>
    <row r="91" spans="1:22" ht="12.75">
      <c r="A91" s="369">
        <f t="shared" si="7"/>
        <v>85</v>
      </c>
      <c r="B91" s="42" t="str">
        <f t="shared" si="8"/>
        <v>NEW HOLLAND TL-100D 24-SP   2WD_________ 83pto hp</v>
      </c>
      <c r="C91" s="352">
        <v>83.141999999999996</v>
      </c>
      <c r="D91" s="42" t="s">
        <v>969</v>
      </c>
      <c r="E91" s="42" t="s">
        <v>1043</v>
      </c>
      <c r="F91" s="42" t="s">
        <v>507</v>
      </c>
      <c r="G91" s="291"/>
      <c r="H91" s="353">
        <v>5350</v>
      </c>
      <c r="I91" s="38" t="s">
        <v>500</v>
      </c>
      <c r="J91" s="58">
        <v>3141.5550000000003</v>
      </c>
      <c r="K91" s="58">
        <v>5158.7640000000001</v>
      </c>
      <c r="L91" s="354">
        <v>2</v>
      </c>
      <c r="M91" s="352">
        <v>7.5</v>
      </c>
      <c r="N91" s="354" t="s">
        <v>499</v>
      </c>
      <c r="O91" s="41">
        <v>20</v>
      </c>
      <c r="P91" s="354">
        <v>2</v>
      </c>
      <c r="Q91" s="41">
        <v>480</v>
      </c>
      <c r="R91" s="291" t="s">
        <v>614</v>
      </c>
      <c r="S91" s="41">
        <v>34</v>
      </c>
      <c r="T91" s="46">
        <v>27.559055118110237</v>
      </c>
      <c r="U91" s="46">
        <v>92.204724409448829</v>
      </c>
      <c r="V91" s="47">
        <v>0.92970216373550429</v>
      </c>
    </row>
    <row r="92" spans="1:22" ht="12.75">
      <c r="A92" s="369">
        <f t="shared" si="7"/>
        <v>86</v>
      </c>
      <c r="B92" s="42" t="str">
        <f t="shared" si="8"/>
        <v>NEW HOLLAND TL-100D 24-SP   MFWD________ 83pto hp</v>
      </c>
      <c r="C92" s="352">
        <v>83.141999999999996</v>
      </c>
      <c r="D92" s="42" t="s">
        <v>969</v>
      </c>
      <c r="E92" s="42" t="s">
        <v>1043</v>
      </c>
      <c r="F92" s="42" t="s">
        <v>497</v>
      </c>
      <c r="G92" s="291"/>
      <c r="H92" s="353">
        <v>5350</v>
      </c>
      <c r="I92" s="38" t="s">
        <v>500</v>
      </c>
      <c r="J92" s="58">
        <v>3648.6130000000003</v>
      </c>
      <c r="K92" s="58">
        <v>5313.0860000000002</v>
      </c>
      <c r="L92" s="354">
        <v>2</v>
      </c>
      <c r="M92" s="352">
        <v>380</v>
      </c>
      <c r="N92" s="291" t="s">
        <v>614</v>
      </c>
      <c r="O92" s="41">
        <v>24</v>
      </c>
      <c r="P92" s="354">
        <v>2</v>
      </c>
      <c r="Q92" s="41">
        <v>480</v>
      </c>
      <c r="R92" s="291" t="s">
        <v>614</v>
      </c>
      <c r="S92" s="41">
        <v>34</v>
      </c>
      <c r="T92" s="46">
        <v>19.685039370078741</v>
      </c>
      <c r="U92" s="46">
        <v>91.102362204724415</v>
      </c>
      <c r="V92" s="47">
        <v>0.89069368134100757</v>
      </c>
    </row>
    <row r="93" spans="1:22" ht="12.75">
      <c r="A93" s="369">
        <f t="shared" si="7"/>
        <v>87</v>
      </c>
      <c r="B93" s="42" t="str">
        <f t="shared" si="8"/>
        <v>NEW HOLLAND TS100-16 SP  MFWD___________ 85pto hp</v>
      </c>
      <c r="C93" s="352">
        <v>85.421700000000001</v>
      </c>
      <c r="D93" s="42" t="s">
        <v>969</v>
      </c>
      <c r="E93" s="42" t="s">
        <v>1044</v>
      </c>
      <c r="F93" s="42" t="s">
        <v>497</v>
      </c>
      <c r="G93" s="291"/>
      <c r="H93" s="353">
        <v>5295</v>
      </c>
      <c r="I93" s="38" t="s">
        <v>529</v>
      </c>
      <c r="J93" s="58">
        <v>3730.1832000000004</v>
      </c>
      <c r="K93" s="58">
        <v>5912.7372000000005</v>
      </c>
      <c r="L93" s="354">
        <v>2</v>
      </c>
      <c r="M93" s="352">
        <v>13.6</v>
      </c>
      <c r="N93" s="41" t="s">
        <v>481</v>
      </c>
      <c r="O93" s="41">
        <v>28</v>
      </c>
      <c r="P93" s="354">
        <v>2</v>
      </c>
      <c r="Q93" s="41">
        <v>16.899999999999999</v>
      </c>
      <c r="R93" s="41" t="s">
        <v>481</v>
      </c>
      <c r="S93" s="41">
        <v>38</v>
      </c>
      <c r="T93" s="46">
        <v>19.88188976377953</v>
      </c>
      <c r="U93" s="46">
        <v>92.99212598425197</v>
      </c>
      <c r="V93" s="47">
        <v>0.90615622734510537</v>
      </c>
    </row>
    <row r="94" spans="1:22" ht="12.75">
      <c r="A94" s="369">
        <f t="shared" si="7"/>
        <v>88</v>
      </c>
      <c r="B94" s="42" t="str">
        <f t="shared" ref="B94:B109" si="9">CONCATENATE( LEFT(CONCATENATE(D94," ",E94," ",G94," ",F94,$W$5),40)," ",FIXED(C94,0),"pto hp")</f>
        <v>NEW HOLLAND 8160-23 SP, PPS  MFWD_______ 88pto hp</v>
      </c>
      <c r="C94" s="352">
        <v>88.371900000000011</v>
      </c>
      <c r="D94" s="42" t="s">
        <v>969</v>
      </c>
      <c r="E94" s="42" t="s">
        <v>1045</v>
      </c>
      <c r="F94" s="42" t="s">
        <v>497</v>
      </c>
      <c r="G94" s="291"/>
      <c r="H94" s="353">
        <v>5248</v>
      </c>
      <c r="I94" s="38" t="s">
        <v>529</v>
      </c>
      <c r="J94" s="58">
        <v>4490.7701999999999</v>
      </c>
      <c r="K94" s="58">
        <v>6761.5082000000002</v>
      </c>
      <c r="L94" s="354">
        <v>2</v>
      </c>
      <c r="M94" s="352">
        <v>14.9</v>
      </c>
      <c r="N94" s="41" t="s">
        <v>481</v>
      </c>
      <c r="O94" s="41">
        <v>28</v>
      </c>
      <c r="P94" s="354">
        <v>2</v>
      </c>
      <c r="Q94" s="41">
        <v>18.399999999999999</v>
      </c>
      <c r="R94" s="41" t="s">
        <v>481</v>
      </c>
      <c r="S94" s="41">
        <v>38</v>
      </c>
      <c r="T94" s="46">
        <v>20.078740157480315</v>
      </c>
      <c r="U94" s="46">
        <v>107.20472440944883</v>
      </c>
      <c r="V94" s="47">
        <v>0.8661185347439686</v>
      </c>
    </row>
    <row r="95" spans="1:22" ht="12.75">
      <c r="A95" s="369">
        <f t="shared" si="7"/>
        <v>89</v>
      </c>
      <c r="B95" s="42" t="str">
        <f t="shared" si="9"/>
        <v>NEW HOLLAND 8160-18 SP, PPS  MFWD_______ 90pto hp</v>
      </c>
      <c r="C95" s="352">
        <v>89.712900000000005</v>
      </c>
      <c r="D95" s="42" t="s">
        <v>969</v>
      </c>
      <c r="E95" s="42" t="s">
        <v>1046</v>
      </c>
      <c r="F95" s="42" t="s">
        <v>497</v>
      </c>
      <c r="G95" s="291"/>
      <c r="H95" s="353">
        <v>5247</v>
      </c>
      <c r="I95" s="38" t="s">
        <v>529</v>
      </c>
      <c r="J95" s="58">
        <v>4519.43</v>
      </c>
      <c r="K95" s="58">
        <v>6975.3544000000002</v>
      </c>
      <c r="L95" s="354">
        <v>2</v>
      </c>
      <c r="M95" s="352">
        <v>14.9</v>
      </c>
      <c r="N95" s="41" t="s">
        <v>481</v>
      </c>
      <c r="O95" s="41">
        <v>28</v>
      </c>
      <c r="P95" s="354">
        <v>2</v>
      </c>
      <c r="Q95" s="41">
        <v>18.399999999999999</v>
      </c>
      <c r="R95" s="41" t="s">
        <v>481</v>
      </c>
      <c r="S95" s="41">
        <v>38</v>
      </c>
      <c r="T95" s="46">
        <v>18.110236220472441</v>
      </c>
      <c r="U95" s="46">
        <v>107.20472440944883</v>
      </c>
      <c r="V95" s="47">
        <v>0.88088811115265486</v>
      </c>
    </row>
    <row r="96" spans="1:22" ht="12.75">
      <c r="A96" s="369">
        <f t="shared" si="7"/>
        <v>90</v>
      </c>
      <c r="B96" s="42" t="str">
        <f t="shared" si="9"/>
        <v>NEW HOLLAND TM-115, 18-SP  MFWD_________ 94pto hp</v>
      </c>
      <c r="C96" s="352">
        <v>94.004099999999994</v>
      </c>
      <c r="D96" s="42" t="s">
        <v>969</v>
      </c>
      <c r="E96" s="42" t="s">
        <v>1047</v>
      </c>
      <c r="F96" s="42" t="s">
        <v>497</v>
      </c>
      <c r="G96" s="291"/>
      <c r="H96" s="353">
        <v>5342</v>
      </c>
      <c r="I96" s="38" t="s">
        <v>529</v>
      </c>
      <c r="J96" s="58">
        <v>4724.4578000000001</v>
      </c>
      <c r="K96" s="58">
        <v>7200.2236000000003</v>
      </c>
      <c r="L96" s="354">
        <v>2</v>
      </c>
      <c r="M96" s="352">
        <v>14.9</v>
      </c>
      <c r="N96" s="41" t="s">
        <v>481</v>
      </c>
      <c r="O96" s="41">
        <v>28</v>
      </c>
      <c r="P96" s="354">
        <v>2</v>
      </c>
      <c r="Q96" s="41">
        <v>18.399999999999999</v>
      </c>
      <c r="R96" s="41" t="s">
        <v>481</v>
      </c>
      <c r="S96" s="41">
        <v>38</v>
      </c>
      <c r="T96" s="46">
        <v>16.73228346456693</v>
      </c>
      <c r="U96" s="46">
        <v>107.20472440944883</v>
      </c>
      <c r="V96" s="47">
        <v>0.87632750463414244</v>
      </c>
    </row>
    <row r="97" spans="1:22" ht="12.75">
      <c r="A97" s="369">
        <f t="shared" si="7"/>
        <v>91</v>
      </c>
      <c r="B97" s="42" t="str">
        <f t="shared" si="9"/>
        <v>NEW HOLLAND TS110-24 SP  MFWD___________ 98pto hp</v>
      </c>
      <c r="C97" s="352">
        <v>98.429400000000001</v>
      </c>
      <c r="D97" s="42" t="s">
        <v>969</v>
      </c>
      <c r="E97" s="42" t="s">
        <v>1048</v>
      </c>
      <c r="F97" s="42" t="s">
        <v>497</v>
      </c>
      <c r="G97" s="291"/>
      <c r="H97" s="353">
        <v>5296</v>
      </c>
      <c r="I97" s="38" t="s">
        <v>529</v>
      </c>
      <c r="J97" s="58">
        <v>3787.5028000000002</v>
      </c>
      <c r="K97" s="58">
        <v>6170.6754000000001</v>
      </c>
      <c r="L97" s="354">
        <v>2</v>
      </c>
      <c r="M97" s="352">
        <v>14.9</v>
      </c>
      <c r="N97" s="41" t="s">
        <v>481</v>
      </c>
      <c r="O97" s="41">
        <v>28</v>
      </c>
      <c r="P97" s="354">
        <v>2</v>
      </c>
      <c r="Q97" s="41">
        <v>18.399999999999999</v>
      </c>
      <c r="R97" s="41" t="s">
        <v>481</v>
      </c>
      <c r="S97" s="41">
        <v>38</v>
      </c>
      <c r="T97" s="46">
        <v>21.259842519685041</v>
      </c>
      <c r="U97" s="46">
        <v>92.99212598425197</v>
      </c>
      <c r="V97" s="47">
        <v>0.90832013001608669</v>
      </c>
    </row>
    <row r="98" spans="1:22" ht="12.75">
      <c r="A98" s="369">
        <f t="shared" si="7"/>
        <v>92</v>
      </c>
      <c r="B98" s="42" t="str">
        <f t="shared" si="9"/>
        <v>NEW HOLLAND TV-140, Hydro PS  4WD_______ 103pto hp</v>
      </c>
      <c r="C98" s="352">
        <v>103.25699999999999</v>
      </c>
      <c r="D98" s="42" t="s">
        <v>969</v>
      </c>
      <c r="E98" s="42" t="s">
        <v>1049</v>
      </c>
      <c r="F98" s="42" t="s">
        <v>606</v>
      </c>
      <c r="G98" s="291"/>
      <c r="H98" s="353">
        <v>5323</v>
      </c>
      <c r="I98" s="38" t="s">
        <v>817</v>
      </c>
      <c r="J98" s="58">
        <v>6981.9682000000003</v>
      </c>
      <c r="K98" s="58">
        <v>7896.8772000000008</v>
      </c>
      <c r="L98" s="354">
        <v>2</v>
      </c>
      <c r="M98" s="352">
        <v>480</v>
      </c>
      <c r="N98" s="291" t="s">
        <v>614</v>
      </c>
      <c r="O98" s="41">
        <v>34</v>
      </c>
      <c r="P98" s="354">
        <v>2</v>
      </c>
      <c r="Q98" s="41">
        <v>480</v>
      </c>
      <c r="R98" s="291" t="s">
        <v>614</v>
      </c>
      <c r="S98" s="41">
        <v>34</v>
      </c>
      <c r="T98" s="46">
        <v>19.212598425196852</v>
      </c>
      <c r="U98" s="46">
        <v>118.11023622047244</v>
      </c>
      <c r="V98" s="47">
        <v>0.85119548206796525</v>
      </c>
    </row>
    <row r="99" spans="1:22" ht="12.75">
      <c r="A99" s="369">
        <f t="shared" si="7"/>
        <v>93</v>
      </c>
      <c r="B99" s="42" t="str">
        <f t="shared" si="9"/>
        <v>NEW HOLLAND TM-125, 18-SP  MFWD_________ 106pto hp</v>
      </c>
      <c r="C99" s="352">
        <v>105.5367</v>
      </c>
      <c r="D99" s="42" t="s">
        <v>969</v>
      </c>
      <c r="E99" s="42" t="s">
        <v>1050</v>
      </c>
      <c r="F99" s="42" t="s">
        <v>497</v>
      </c>
      <c r="G99" s="291"/>
      <c r="H99" s="353">
        <v>5343</v>
      </c>
      <c r="I99" s="38" t="s">
        <v>529</v>
      </c>
      <c r="J99" s="58">
        <v>4744.2992000000004</v>
      </c>
      <c r="K99" s="58">
        <v>7186.9960000000001</v>
      </c>
      <c r="L99" s="354">
        <v>2</v>
      </c>
      <c r="M99" s="352">
        <v>14.9</v>
      </c>
      <c r="N99" s="41" t="s">
        <v>481</v>
      </c>
      <c r="O99" s="41">
        <v>28</v>
      </c>
      <c r="P99" s="354">
        <v>2</v>
      </c>
      <c r="Q99" s="41">
        <v>18.399999999999999</v>
      </c>
      <c r="R99" s="41" t="s">
        <v>481</v>
      </c>
      <c r="S99" s="41">
        <v>38</v>
      </c>
      <c r="T99" s="46">
        <v>16.929133858267718</v>
      </c>
      <c r="U99" s="46">
        <v>107.20472440944883</v>
      </c>
      <c r="V99" s="47">
        <v>0.89324633298435774</v>
      </c>
    </row>
    <row r="100" spans="1:22" ht="12.75">
      <c r="A100" s="369">
        <f t="shared" si="7"/>
        <v>94</v>
      </c>
      <c r="B100" s="42" t="str">
        <f t="shared" si="9"/>
        <v>NEW HOLLAND 8260-18 SP, PPS  MFWD_______ 107pto hp</v>
      </c>
      <c r="C100" s="352">
        <v>107.01179999999999</v>
      </c>
      <c r="D100" s="42" t="s">
        <v>969</v>
      </c>
      <c r="E100" s="42" t="s">
        <v>1051</v>
      </c>
      <c r="F100" s="42" t="s">
        <v>497</v>
      </c>
      <c r="G100" s="291"/>
      <c r="H100" s="353">
        <v>5249</v>
      </c>
      <c r="I100" s="38" t="s">
        <v>529</v>
      </c>
      <c r="J100" s="58">
        <v>4519.43</v>
      </c>
      <c r="K100" s="58">
        <v>6975.3544000000002</v>
      </c>
      <c r="L100" s="354">
        <v>2</v>
      </c>
      <c r="M100" s="352">
        <v>14.9</v>
      </c>
      <c r="N100" s="41" t="s">
        <v>481</v>
      </c>
      <c r="O100" s="41">
        <v>28</v>
      </c>
      <c r="P100" s="354">
        <v>2</v>
      </c>
      <c r="Q100" s="41">
        <v>18.399999999999999</v>
      </c>
      <c r="R100" s="41" t="s">
        <v>481</v>
      </c>
      <c r="S100" s="41">
        <v>38</v>
      </c>
      <c r="T100" s="46">
        <v>18.110236220472441</v>
      </c>
      <c r="U100" s="46">
        <v>107.20472440944883</v>
      </c>
      <c r="V100" s="47">
        <v>0.89103586101113486</v>
      </c>
    </row>
    <row r="101" spans="1:22" ht="12.75">
      <c r="A101" s="369">
        <f t="shared" si="7"/>
        <v>95</v>
      </c>
      <c r="B101" s="42" t="str">
        <f t="shared" si="9"/>
        <v>NEW HOLLAND 8260-23 SP, PPS  MFWD_______ 108pto hp</v>
      </c>
      <c r="C101" s="352">
        <v>107.6823</v>
      </c>
      <c r="D101" s="42" t="s">
        <v>969</v>
      </c>
      <c r="E101" s="42" t="s">
        <v>1052</v>
      </c>
      <c r="F101" s="42" t="s">
        <v>497</v>
      </c>
      <c r="G101" s="291"/>
      <c r="H101" s="353">
        <v>5250</v>
      </c>
      <c r="I101" s="38" t="s">
        <v>529</v>
      </c>
      <c r="J101" s="58">
        <v>4490.7701999999999</v>
      </c>
      <c r="K101" s="58">
        <v>6761.5082000000002</v>
      </c>
      <c r="L101" s="354">
        <v>2</v>
      </c>
      <c r="M101" s="352">
        <v>14.9</v>
      </c>
      <c r="N101" s="41" t="s">
        <v>481</v>
      </c>
      <c r="O101" s="41">
        <v>28</v>
      </c>
      <c r="P101" s="354">
        <v>2</v>
      </c>
      <c r="Q101" s="41">
        <v>18.399999999999999</v>
      </c>
      <c r="R101" s="41" t="s">
        <v>481</v>
      </c>
      <c r="S101" s="41">
        <v>38</v>
      </c>
      <c r="T101" s="46">
        <v>20.275590551181104</v>
      </c>
      <c r="U101" s="46">
        <v>107.20472440944883</v>
      </c>
      <c r="V101" s="47">
        <v>0.91560632150868426</v>
      </c>
    </row>
    <row r="102" spans="1:22" ht="12.75">
      <c r="A102" s="369">
        <f t="shared" si="7"/>
        <v>96</v>
      </c>
      <c r="B102" s="42" t="str">
        <f t="shared" si="9"/>
        <v>NEW HOLLAND TM-135, 18-SP  MFWD_________ 115pto hp</v>
      </c>
      <c r="C102" s="352">
        <v>114.9237</v>
      </c>
      <c r="D102" s="42" t="s">
        <v>969</v>
      </c>
      <c r="E102" s="42" t="s">
        <v>1053</v>
      </c>
      <c r="F102" s="42" t="s">
        <v>497</v>
      </c>
      <c r="G102" s="291"/>
      <c r="H102" s="353">
        <v>5344</v>
      </c>
      <c r="I102" s="38" t="s">
        <v>529</v>
      </c>
      <c r="J102" s="58">
        <v>4869.9614000000001</v>
      </c>
      <c r="K102" s="58">
        <v>8811.7862000000005</v>
      </c>
      <c r="L102" s="354">
        <v>2</v>
      </c>
      <c r="M102" s="352">
        <v>16.899999999999999</v>
      </c>
      <c r="N102" s="41" t="s">
        <v>481</v>
      </c>
      <c r="O102" s="41">
        <v>28</v>
      </c>
      <c r="P102" s="354">
        <v>2</v>
      </c>
      <c r="Q102" s="41">
        <v>20.8</v>
      </c>
      <c r="R102" s="41" t="s">
        <v>481</v>
      </c>
      <c r="S102" s="41">
        <v>38</v>
      </c>
      <c r="T102" s="46">
        <v>18.503937007874018</v>
      </c>
      <c r="U102" s="46">
        <v>107.20472440944883</v>
      </c>
      <c r="V102" s="47">
        <v>0.92376213228570059</v>
      </c>
    </row>
    <row r="103" spans="1:22" ht="12.75">
      <c r="A103" s="369">
        <f t="shared" si="7"/>
        <v>97</v>
      </c>
      <c r="B103" s="42" t="str">
        <f t="shared" si="9"/>
        <v>NEW HOLLAND 8360-18 SP, PPS  MFWD_______ 119pto hp</v>
      </c>
      <c r="C103" s="352">
        <v>119.349</v>
      </c>
      <c r="D103" s="42" t="s">
        <v>969</v>
      </c>
      <c r="E103" s="42" t="s">
        <v>1054</v>
      </c>
      <c r="F103" s="42" t="s">
        <v>497</v>
      </c>
      <c r="G103" s="291"/>
      <c r="H103" s="353">
        <v>5251</v>
      </c>
      <c r="I103" s="38" t="s">
        <v>529</v>
      </c>
      <c r="J103" s="58">
        <v>4916.2579999999998</v>
      </c>
      <c r="K103" s="58">
        <v>7056.9246000000003</v>
      </c>
      <c r="L103" s="354">
        <v>2</v>
      </c>
      <c r="M103" s="352">
        <v>14.9</v>
      </c>
      <c r="N103" s="41" t="s">
        <v>481</v>
      </c>
      <c r="O103" s="41">
        <v>28</v>
      </c>
      <c r="P103" s="354">
        <v>2</v>
      </c>
      <c r="Q103" s="41">
        <v>18.399999999999999</v>
      </c>
      <c r="R103" s="41" t="s">
        <v>481</v>
      </c>
      <c r="S103" s="41">
        <v>38</v>
      </c>
      <c r="T103" s="46">
        <v>20.078740157480315</v>
      </c>
      <c r="U103" s="46">
        <v>107.20472440944883</v>
      </c>
      <c r="V103" s="47">
        <v>0.91215565161723056</v>
      </c>
    </row>
    <row r="104" spans="1:22" ht="12.75">
      <c r="A104" s="369">
        <f t="shared" ref="A104:A129" si="10">A103+1</f>
        <v>98</v>
      </c>
      <c r="B104" s="42" t="str">
        <f t="shared" si="9"/>
        <v>NEW HOLLAND 8360-23 SP, PPS  MFWD_______ 121pto hp</v>
      </c>
      <c r="C104" s="352">
        <v>121.2264</v>
      </c>
      <c r="D104" s="42" t="s">
        <v>969</v>
      </c>
      <c r="E104" s="42" t="s">
        <v>1055</v>
      </c>
      <c r="F104" s="42" t="s">
        <v>497</v>
      </c>
      <c r="G104" s="291"/>
      <c r="H104" s="353">
        <v>5252</v>
      </c>
      <c r="I104" s="38" t="s">
        <v>529</v>
      </c>
      <c r="J104" s="58">
        <v>4836.8924000000006</v>
      </c>
      <c r="K104" s="58">
        <v>7178.1776</v>
      </c>
      <c r="L104" s="354">
        <v>2</v>
      </c>
      <c r="M104" s="352">
        <v>14.9</v>
      </c>
      <c r="N104" s="41" t="s">
        <v>481</v>
      </c>
      <c r="O104" s="41">
        <v>28</v>
      </c>
      <c r="P104" s="354">
        <v>2</v>
      </c>
      <c r="Q104" s="41">
        <v>18.399999999999999</v>
      </c>
      <c r="R104" s="41" t="s">
        <v>481</v>
      </c>
      <c r="S104" s="41">
        <v>38</v>
      </c>
      <c r="T104" s="46">
        <v>18.110236220472441</v>
      </c>
      <c r="U104" s="46">
        <v>107.20472440944883</v>
      </c>
      <c r="V104" s="47">
        <v>0.92478295246009201</v>
      </c>
    </row>
    <row r="105" spans="1:22" ht="12.75">
      <c r="A105" s="369">
        <f t="shared" si="10"/>
        <v>99</v>
      </c>
      <c r="B105" s="42" t="str">
        <f t="shared" si="9"/>
        <v>NEW HOLLAND TM-150, 18-SP  MFWD_________ 124pto hp</v>
      </c>
      <c r="C105" s="352">
        <v>124.0425</v>
      </c>
      <c r="D105" s="42" t="s">
        <v>969</v>
      </c>
      <c r="E105" s="42" t="s">
        <v>1056</v>
      </c>
      <c r="F105" s="42" t="s">
        <v>497</v>
      </c>
      <c r="G105" s="291"/>
      <c r="H105" s="353">
        <v>5345</v>
      </c>
      <c r="I105" s="38" t="s">
        <v>529</v>
      </c>
      <c r="J105" s="58">
        <v>5242.5388000000003</v>
      </c>
      <c r="K105" s="58">
        <v>8884.5380000000005</v>
      </c>
      <c r="L105" s="354">
        <v>2</v>
      </c>
      <c r="M105" s="352">
        <v>16.899999999999999</v>
      </c>
      <c r="N105" s="41" t="s">
        <v>481</v>
      </c>
      <c r="O105" s="41">
        <v>28</v>
      </c>
      <c r="P105" s="354">
        <v>2</v>
      </c>
      <c r="Q105" s="41">
        <v>20.8</v>
      </c>
      <c r="R105" s="41" t="s">
        <v>481</v>
      </c>
      <c r="S105" s="41">
        <v>38</v>
      </c>
      <c r="T105" s="46">
        <v>18.503937007874018</v>
      </c>
      <c r="U105" s="46">
        <v>107.20472440944883</v>
      </c>
      <c r="V105" s="47">
        <v>0.91511791130873288</v>
      </c>
    </row>
    <row r="106" spans="1:22" ht="12.75">
      <c r="A106" s="369">
        <f t="shared" si="10"/>
        <v>100</v>
      </c>
      <c r="B106" s="42" t="str">
        <f t="shared" si="9"/>
        <v>NEW HOLLAND TM-165, 18-SP  MFWD_________ 143pto hp</v>
      </c>
      <c r="C106" s="352">
        <v>143.48699999999999</v>
      </c>
      <c r="D106" s="42" t="s">
        <v>969</v>
      </c>
      <c r="E106" s="42" t="s">
        <v>1057</v>
      </c>
      <c r="F106" s="42" t="s">
        <v>497</v>
      </c>
      <c r="G106" s="291"/>
      <c r="H106" s="353">
        <v>5346</v>
      </c>
      <c r="I106" s="38" t="s">
        <v>529</v>
      </c>
      <c r="J106" s="58">
        <v>5275.6078000000007</v>
      </c>
      <c r="K106" s="58">
        <v>9345.2993999999999</v>
      </c>
      <c r="L106" s="354">
        <v>2</v>
      </c>
      <c r="M106" s="352">
        <v>16.899999999999999</v>
      </c>
      <c r="N106" s="41" t="s">
        <v>481</v>
      </c>
      <c r="O106" s="41">
        <v>28</v>
      </c>
      <c r="P106" s="354">
        <v>2</v>
      </c>
      <c r="Q106" s="41">
        <v>20.8</v>
      </c>
      <c r="R106" s="41" t="s">
        <v>481</v>
      </c>
      <c r="S106" s="41">
        <v>38</v>
      </c>
      <c r="T106" s="46">
        <v>18.30708661417323</v>
      </c>
      <c r="U106" s="46">
        <v>107.20472440944883</v>
      </c>
      <c r="V106" s="47">
        <v>0.94179357806027819</v>
      </c>
    </row>
    <row r="107" spans="1:22" ht="12.75">
      <c r="A107" s="369">
        <f t="shared" si="10"/>
        <v>101</v>
      </c>
      <c r="B107" s="42" t="str">
        <f t="shared" si="9"/>
        <v>NEW HOLLAND 8560-18 SP, PPS  MFWD_______ 144pto hp</v>
      </c>
      <c r="C107" s="352">
        <v>143.62109999999998</v>
      </c>
      <c r="D107" s="42" t="s">
        <v>969</v>
      </c>
      <c r="E107" s="42" t="s">
        <v>1058</v>
      </c>
      <c r="F107" s="42" t="s">
        <v>497</v>
      </c>
      <c r="G107" s="291"/>
      <c r="H107" s="353">
        <v>5253</v>
      </c>
      <c r="I107" s="38" t="s">
        <v>529</v>
      </c>
      <c r="J107" s="58">
        <v>5066.1707999999999</v>
      </c>
      <c r="K107" s="58">
        <v>7608.0746000000008</v>
      </c>
      <c r="L107" s="354">
        <v>2</v>
      </c>
      <c r="M107" s="352">
        <v>14.9</v>
      </c>
      <c r="N107" s="41" t="s">
        <v>481</v>
      </c>
      <c r="O107" s="41">
        <v>28</v>
      </c>
      <c r="P107" s="354">
        <v>2</v>
      </c>
      <c r="Q107" s="41">
        <v>18.399999999999999</v>
      </c>
      <c r="R107" s="41" t="s">
        <v>481</v>
      </c>
      <c r="S107" s="41">
        <v>38</v>
      </c>
      <c r="T107" s="46">
        <v>17.716535433070867</v>
      </c>
      <c r="U107" s="46">
        <v>107.20472440944883</v>
      </c>
      <c r="V107" s="47">
        <v>0.90327765021803719</v>
      </c>
    </row>
    <row r="108" spans="1:22" ht="12.75">
      <c r="A108" s="369">
        <f t="shared" si="10"/>
        <v>102</v>
      </c>
      <c r="B108" s="42" t="str">
        <f t="shared" si="9"/>
        <v>NEW HOLLAND 8670-16 SP  MFWD____________ 148pto hp</v>
      </c>
      <c r="C108" s="352">
        <v>147.64409999999998</v>
      </c>
      <c r="D108" s="42" t="s">
        <v>969</v>
      </c>
      <c r="E108" s="42" t="s">
        <v>1059</v>
      </c>
      <c r="F108" s="42" t="s">
        <v>497</v>
      </c>
      <c r="G108" s="291"/>
      <c r="H108" s="353">
        <v>5218</v>
      </c>
      <c r="I108" s="38" t="s">
        <v>500</v>
      </c>
      <c r="J108" s="58">
        <v>5981.0798000000004</v>
      </c>
      <c r="K108" s="58">
        <v>10987.726400000001</v>
      </c>
      <c r="L108" s="354">
        <v>2</v>
      </c>
      <c r="M108" s="352">
        <v>14.9</v>
      </c>
      <c r="N108" s="41" t="s">
        <v>481</v>
      </c>
      <c r="O108" s="41">
        <v>28</v>
      </c>
      <c r="P108" s="354">
        <v>4</v>
      </c>
      <c r="Q108" s="41">
        <v>20.8</v>
      </c>
      <c r="R108" s="41" t="s">
        <v>481</v>
      </c>
      <c r="S108" s="41">
        <v>38</v>
      </c>
      <c r="T108" s="46">
        <v>19.84251968503937</v>
      </c>
      <c r="U108" s="46">
        <v>118.30708661417323</v>
      </c>
      <c r="V108" s="47">
        <v>0.95261949951707281</v>
      </c>
    </row>
    <row r="109" spans="1:22" ht="12.75">
      <c r="A109" s="369">
        <f t="shared" si="10"/>
        <v>103</v>
      </c>
      <c r="B109" s="42" t="str">
        <f t="shared" si="9"/>
        <v>NEW HOLLAND 8770-16 SP  MFWD____________ 165pto hp</v>
      </c>
      <c r="C109" s="352">
        <v>164.80889999999999</v>
      </c>
      <c r="D109" s="42" t="s">
        <v>969</v>
      </c>
      <c r="E109" s="42" t="s">
        <v>1060</v>
      </c>
      <c r="F109" s="42" t="s">
        <v>497</v>
      </c>
      <c r="G109" s="291"/>
      <c r="H109" s="353">
        <v>5219</v>
      </c>
      <c r="I109" s="38" t="s">
        <v>500</v>
      </c>
      <c r="J109" s="58">
        <v>6435.2274000000007</v>
      </c>
      <c r="K109" s="58">
        <v>13015.958400000001</v>
      </c>
      <c r="L109" s="354">
        <v>2</v>
      </c>
      <c r="M109" s="352">
        <v>16.899999999999999</v>
      </c>
      <c r="N109" s="41" t="s">
        <v>481</v>
      </c>
      <c r="O109" s="41">
        <v>30</v>
      </c>
      <c r="P109" s="354">
        <v>4</v>
      </c>
      <c r="Q109" s="41">
        <v>20.8</v>
      </c>
      <c r="R109" s="41" t="s">
        <v>481</v>
      </c>
      <c r="S109" s="41">
        <v>42</v>
      </c>
      <c r="T109" s="46">
        <v>19.488188976377955</v>
      </c>
      <c r="U109" s="46">
        <v>122.63779527559056</v>
      </c>
      <c r="V109" s="47">
        <v>0.92883989324048077</v>
      </c>
    </row>
    <row r="110" spans="1:22" ht="12.75">
      <c r="A110" s="369">
        <f t="shared" si="10"/>
        <v>104</v>
      </c>
      <c r="B110" s="42" t="str">
        <f>CONCATENATE( LEFT(CONCATENATE(D110," ",E110," ",G110," ",F110,$W$5),40)," ",FIXED(C110,0),"pto hp")</f>
        <v>NEW HOLLAND 8870-16 SP  MFWD____________ 186pto hp</v>
      </c>
      <c r="C110" s="352">
        <v>185.86259999999999</v>
      </c>
      <c r="D110" s="42" t="s">
        <v>969</v>
      </c>
      <c r="E110" s="42" t="s">
        <v>1061</v>
      </c>
      <c r="F110" s="42" t="s">
        <v>497</v>
      </c>
      <c r="G110" s="291"/>
      <c r="H110" s="353">
        <v>5220</v>
      </c>
      <c r="I110" s="38" t="s">
        <v>500</v>
      </c>
      <c r="J110" s="58">
        <v>6340.4296000000004</v>
      </c>
      <c r="K110" s="58">
        <v>12863.841</v>
      </c>
      <c r="L110" s="354">
        <v>2</v>
      </c>
      <c r="M110" s="352">
        <v>16.899999999999999</v>
      </c>
      <c r="N110" s="41" t="s">
        <v>481</v>
      </c>
      <c r="O110" s="41">
        <v>30</v>
      </c>
      <c r="P110" s="354">
        <v>4</v>
      </c>
      <c r="Q110" s="41">
        <v>20.8</v>
      </c>
      <c r="R110" s="41" t="s">
        <v>481</v>
      </c>
      <c r="S110" s="41">
        <v>42</v>
      </c>
      <c r="T110" s="46">
        <v>19.56692913385827</v>
      </c>
      <c r="U110" s="46">
        <v>122.63779527559056</v>
      </c>
      <c r="V110" s="47">
        <v>0.9626407836698665</v>
      </c>
    </row>
    <row r="111" spans="1:22" ht="12.75">
      <c r="A111" s="369">
        <f t="shared" si="10"/>
        <v>105</v>
      </c>
      <c r="B111" s="42" t="str">
        <f>CONCATENATE( LEFT(CONCATENATE(D111," ",E111," ",G111," ",F111,$W$5),40)," ",FIXED(C111,0),"pto hp")</f>
        <v>NEW HOLLAND 9282-QuadraSync,12 SP  4WD__ 212pto hp</v>
      </c>
      <c r="C111" s="352">
        <v>211.7439</v>
      </c>
      <c r="D111" s="42" t="s">
        <v>969</v>
      </c>
      <c r="E111" s="42" t="s">
        <v>1062</v>
      </c>
      <c r="F111" s="42" t="s">
        <v>606</v>
      </c>
      <c r="G111" s="291"/>
      <c r="H111" s="353">
        <v>5281</v>
      </c>
      <c r="I111" s="38" t="s">
        <v>817</v>
      </c>
      <c r="J111" s="58">
        <v>15083.8732</v>
      </c>
      <c r="K111" s="58">
        <v>9887.6310000000012</v>
      </c>
      <c r="L111" s="354">
        <v>4</v>
      </c>
      <c r="M111" s="352">
        <v>20.8</v>
      </c>
      <c r="N111" s="41" t="s">
        <v>481</v>
      </c>
      <c r="O111" s="41">
        <v>38</v>
      </c>
      <c r="P111" s="354">
        <v>4</v>
      </c>
      <c r="Q111" s="41">
        <v>20.8</v>
      </c>
      <c r="R111" s="41" t="s">
        <v>481</v>
      </c>
      <c r="S111" s="41">
        <v>38</v>
      </c>
      <c r="T111" s="46">
        <v>17.204724409448819</v>
      </c>
      <c r="U111" s="46">
        <v>133.0708661417323</v>
      </c>
      <c r="V111" s="47">
        <v>1.0241847102318644</v>
      </c>
    </row>
    <row r="112" spans="1:22" ht="12.75">
      <c r="A112" s="369">
        <f t="shared" si="10"/>
        <v>106</v>
      </c>
      <c r="B112" s="42" t="str">
        <f>CONCATENATE( LEFT(CONCATENATE(D112," ",E112," ",G112," ",F112,$W$5),40)," ",FIXED(C112,0),"pto hp")</f>
        <v>NEW HOLLAND 8970-16 SP  MFWD____________ 212pto hp</v>
      </c>
      <c r="C112" s="352">
        <v>212.4144</v>
      </c>
      <c r="D112" s="42" t="s">
        <v>969</v>
      </c>
      <c r="E112" s="42" t="s">
        <v>1063</v>
      </c>
      <c r="F112" s="42" t="s">
        <v>497</v>
      </c>
      <c r="G112" s="291"/>
      <c r="H112" s="353">
        <v>5221</v>
      </c>
      <c r="I112" s="38" t="s">
        <v>500</v>
      </c>
      <c r="J112" s="58">
        <v>6532.2298000000001</v>
      </c>
      <c r="K112" s="58">
        <v>13093.119400000001</v>
      </c>
      <c r="L112" s="354">
        <v>2</v>
      </c>
      <c r="M112" s="352">
        <v>16.899999999999999</v>
      </c>
      <c r="N112" s="41" t="s">
        <v>481</v>
      </c>
      <c r="O112" s="41">
        <v>30</v>
      </c>
      <c r="P112" s="354">
        <v>4</v>
      </c>
      <c r="Q112" s="41">
        <v>20.8</v>
      </c>
      <c r="R112" s="41" t="s">
        <v>481</v>
      </c>
      <c r="S112" s="41">
        <v>42</v>
      </c>
      <c r="T112" s="46">
        <v>19.685039370078741</v>
      </c>
      <c r="U112" s="46">
        <v>122.63779527559056</v>
      </c>
      <c r="V112" s="47">
        <v>0.96445845886561765</v>
      </c>
    </row>
    <row r="113" spans="1:22" ht="12.75">
      <c r="A113" s="369">
        <f t="shared" si="10"/>
        <v>107</v>
      </c>
      <c r="B113" s="42" t="str">
        <f>CONCATENATE( LEFT(CONCATENATE(D113," ",E113," ",G113," ",F113,$W$5),40)," ",FIXED(C113,0),"pto hp")</f>
        <v>NEW HOLLAND 9482-QuadraSync,12 SP  4WD__ 274pto hp</v>
      </c>
      <c r="C113" s="352">
        <v>273.69810000000001</v>
      </c>
      <c r="D113" s="42" t="s">
        <v>969</v>
      </c>
      <c r="E113" s="42" t="s">
        <v>1064</v>
      </c>
      <c r="F113" s="42" t="s">
        <v>606</v>
      </c>
      <c r="G113" s="291"/>
      <c r="H113" s="353">
        <v>5282</v>
      </c>
      <c r="I113" s="38" t="s">
        <v>817</v>
      </c>
      <c r="J113" s="58">
        <v>18381.9548</v>
      </c>
      <c r="K113" s="58">
        <v>11783.587000000001</v>
      </c>
      <c r="L113" s="354">
        <v>4</v>
      </c>
      <c r="M113" s="352">
        <v>20.8</v>
      </c>
      <c r="N113" s="41" t="s">
        <v>481</v>
      </c>
      <c r="O113" s="41">
        <v>42</v>
      </c>
      <c r="P113" s="354">
        <v>4</v>
      </c>
      <c r="Q113" s="41">
        <v>20.8</v>
      </c>
      <c r="R113" s="41" t="s">
        <v>481</v>
      </c>
      <c r="S113" s="41">
        <v>42</v>
      </c>
      <c r="T113" s="46">
        <v>21.771653543307089</v>
      </c>
      <c r="U113" s="46">
        <v>133.0708661417323</v>
      </c>
      <c r="V113" s="47">
        <v>0.94442192505715772</v>
      </c>
    </row>
    <row r="114" spans="1:22" ht="12.75">
      <c r="A114" s="369">
        <f t="shared" si="10"/>
        <v>108</v>
      </c>
      <c r="B114" s="42" t="str">
        <f>CONCATENATE( LEFT(CONCATENATE(D114," ",E114," ",G114," ",F114,$W$5),40)," ",FIXED(C114,0),"pto hp")</f>
        <v>NEW HOLLAND 9682-QuadraSync,12 SP  4WD__ 320pto hp</v>
      </c>
      <c r="C114" s="352">
        <v>319.69439999999997</v>
      </c>
      <c r="D114" s="42" t="s">
        <v>969</v>
      </c>
      <c r="E114" s="42" t="s">
        <v>1065</v>
      </c>
      <c r="F114" s="42" t="s">
        <v>606</v>
      </c>
      <c r="G114" s="291"/>
      <c r="H114" s="353">
        <v>5283</v>
      </c>
      <c r="I114" s="38" t="s">
        <v>817</v>
      </c>
      <c r="J114" s="58">
        <v>20112.5658</v>
      </c>
      <c r="K114" s="58">
        <v>11915.863000000001</v>
      </c>
      <c r="L114" s="354">
        <v>4</v>
      </c>
      <c r="M114" s="352">
        <v>20.8</v>
      </c>
      <c r="N114" s="41" t="s">
        <v>481</v>
      </c>
      <c r="O114" s="41">
        <v>42</v>
      </c>
      <c r="P114" s="354">
        <v>4</v>
      </c>
      <c r="Q114" s="41">
        <v>20.8</v>
      </c>
      <c r="R114" s="41" t="s">
        <v>481</v>
      </c>
      <c r="S114" s="41">
        <v>42</v>
      </c>
      <c r="T114" s="46">
        <v>21.771653543307089</v>
      </c>
      <c r="U114" s="46">
        <v>133.0708661417323</v>
      </c>
      <c r="V114" s="47">
        <v>0.96274374460041767</v>
      </c>
    </row>
    <row r="115" spans="1:22" ht="12.75">
      <c r="A115" s="369">
        <f t="shared" si="10"/>
        <v>109</v>
      </c>
      <c r="B115" s="42" t="str">
        <f>CONCATENATE( LEFT(CONCATENATE(D115," ",E115," ",G115," ",F115,$W$5),40)," ",FIXED(C115,0)," estimated pto hp")</f>
        <v>NEW HOLLAND 9882-QuadraSync,12 SP  4WD__ 297 estimated pto hp</v>
      </c>
      <c r="C115" s="355">
        <v>297.26400000000001</v>
      </c>
      <c r="D115" s="42" t="s">
        <v>969</v>
      </c>
      <c r="E115" s="42" t="s">
        <v>1066</v>
      </c>
      <c r="F115" s="42" t="s">
        <v>606</v>
      </c>
      <c r="G115" s="291"/>
      <c r="H115" s="353">
        <v>5284</v>
      </c>
      <c r="I115" s="38" t="s">
        <v>500</v>
      </c>
      <c r="J115" s="58">
        <v>23800.8616</v>
      </c>
      <c r="K115" s="58">
        <v>18851.534600000003</v>
      </c>
      <c r="L115" s="354">
        <v>2</v>
      </c>
      <c r="M115" s="352">
        <v>710</v>
      </c>
      <c r="N115" s="291" t="s">
        <v>614</v>
      </c>
      <c r="O115" s="41">
        <v>38</v>
      </c>
      <c r="P115" s="354">
        <v>2</v>
      </c>
      <c r="Q115" s="41">
        <v>710</v>
      </c>
      <c r="R115" s="291" t="s">
        <v>614</v>
      </c>
      <c r="S115" s="41">
        <v>38</v>
      </c>
      <c r="T115" s="46">
        <v>21.062992125984252</v>
      </c>
      <c r="U115" s="46">
        <v>130</v>
      </c>
      <c r="V115" s="47">
        <v>0.92</v>
      </c>
    </row>
    <row r="116" spans="1:22" ht="12.75">
      <c r="A116" s="369">
        <f t="shared" si="10"/>
        <v>110</v>
      </c>
      <c r="B116" s="42" t="str">
        <f>CONCATENATE( LEFT(CONCATENATE(D116," ",E116," ",G116," ",F116,$W$5),40)," ",FIXED(C116,0),"pto hp")</f>
        <v>VERSATILE 256-HYDRO  4WD________________ 84pto hp</v>
      </c>
      <c r="C116" s="352">
        <v>84.362309999999994</v>
      </c>
      <c r="D116" s="42" t="s">
        <v>1067</v>
      </c>
      <c r="E116" s="42" t="s">
        <v>1068</v>
      </c>
      <c r="F116" s="42" t="s">
        <v>606</v>
      </c>
      <c r="G116" s="291"/>
      <c r="H116" s="353">
        <v>1518</v>
      </c>
      <c r="I116" s="38">
        <v>0</v>
      </c>
      <c r="J116" s="58">
        <v>4949.3270000000002</v>
      </c>
      <c r="K116" s="58">
        <v>4199.7629999999999</v>
      </c>
      <c r="L116" s="354">
        <v>2</v>
      </c>
      <c r="M116" s="352">
        <v>16.899999999999999</v>
      </c>
      <c r="N116" s="354" t="s">
        <v>500</v>
      </c>
      <c r="O116" s="41">
        <v>28</v>
      </c>
      <c r="P116" s="354">
        <v>2</v>
      </c>
      <c r="Q116" s="41">
        <v>16.899999999999999</v>
      </c>
      <c r="R116" s="354" t="s">
        <v>500</v>
      </c>
      <c r="S116" s="41">
        <v>28</v>
      </c>
      <c r="T116" s="46">
        <v>18.110236220472441</v>
      </c>
      <c r="U116" s="46">
        <v>85.984251968503941</v>
      </c>
      <c r="V116" s="47">
        <v>0.77682954787671332</v>
      </c>
    </row>
    <row r="117" spans="1:22" ht="12.75">
      <c r="A117" s="369">
        <f t="shared" si="10"/>
        <v>111</v>
      </c>
      <c r="B117" s="42" t="str">
        <f t="shared" ref="B117:B125" si="11">CONCATENATE( LEFT(CONCATENATE(D117," ",E117," ",G117," ",F117,$W$5),40)," ",FIXED(C117,0),"pto hp")</f>
        <v>VERSATILE 276-HYDRO  4WD________________ 100pto hp</v>
      </c>
      <c r="C117" s="352">
        <v>100.21293</v>
      </c>
      <c r="D117" s="42" t="s">
        <v>1067</v>
      </c>
      <c r="E117" s="42" t="s">
        <v>1033</v>
      </c>
      <c r="F117" s="42" t="s">
        <v>606</v>
      </c>
      <c r="G117" s="291"/>
      <c r="H117" s="353">
        <v>1565</v>
      </c>
      <c r="I117" s="38">
        <v>0</v>
      </c>
      <c r="J117" s="58">
        <v>5000.0328</v>
      </c>
      <c r="K117" s="58">
        <v>4199.7629999999999</v>
      </c>
      <c r="L117" s="354">
        <v>2</v>
      </c>
      <c r="M117" s="352">
        <v>16.899999999999999</v>
      </c>
      <c r="N117" s="354" t="s">
        <v>500</v>
      </c>
      <c r="O117" s="41">
        <v>28</v>
      </c>
      <c r="P117" s="354">
        <v>2</v>
      </c>
      <c r="Q117" s="41">
        <v>16.899999999999999</v>
      </c>
      <c r="R117" s="354" t="s">
        <v>500</v>
      </c>
      <c r="S117" s="41">
        <v>28</v>
      </c>
      <c r="T117" s="46">
        <v>17.913385826771655</v>
      </c>
      <c r="U117" s="46">
        <v>85.984251968503941</v>
      </c>
      <c r="V117" s="47">
        <v>0.75126519588327056</v>
      </c>
    </row>
    <row r="118" spans="1:22" ht="12.75">
      <c r="A118" s="369">
        <f t="shared" si="10"/>
        <v>112</v>
      </c>
      <c r="B118" s="42" t="str">
        <f t="shared" si="11"/>
        <v>VERSATILE 836-PS  4WD___________________ 181pto hp</v>
      </c>
      <c r="C118" s="352">
        <v>181.035</v>
      </c>
      <c r="D118" s="42" t="s">
        <v>1067</v>
      </c>
      <c r="E118" s="42" t="s">
        <v>1069</v>
      </c>
      <c r="F118" s="42" t="s">
        <v>606</v>
      </c>
      <c r="G118" s="291"/>
      <c r="H118" s="353">
        <v>1567</v>
      </c>
      <c r="I118" s="38">
        <v>0</v>
      </c>
      <c r="J118" s="58">
        <v>13930.867400000001</v>
      </c>
      <c r="K118" s="58">
        <v>10529.169600000001</v>
      </c>
      <c r="L118" s="354">
        <v>4</v>
      </c>
      <c r="M118" s="352">
        <v>18.399999999999999</v>
      </c>
      <c r="N118" s="354" t="s">
        <v>500</v>
      </c>
      <c r="O118" s="41">
        <v>38</v>
      </c>
      <c r="P118" s="354">
        <v>4</v>
      </c>
      <c r="Q118" s="41">
        <v>18.399999999999999</v>
      </c>
      <c r="R118" s="354" t="s">
        <v>500</v>
      </c>
      <c r="S118" s="41">
        <v>38</v>
      </c>
      <c r="T118" s="46">
        <v>17.913385826771655</v>
      </c>
      <c r="U118" s="46">
        <v>129.9212598425197</v>
      </c>
      <c r="V118" s="47">
        <v>0.94537490510644873</v>
      </c>
    </row>
    <row r="119" spans="1:22" ht="12.75">
      <c r="A119" s="369">
        <f t="shared" si="10"/>
        <v>113</v>
      </c>
      <c r="B119" s="42" t="str">
        <f t="shared" si="11"/>
        <v>VERSATILE 555-15 SP  4WD________________ 182pto hp</v>
      </c>
      <c r="C119" s="352">
        <v>182.24190000000002</v>
      </c>
      <c r="D119" s="42" t="s">
        <v>1067</v>
      </c>
      <c r="E119" s="42" t="s">
        <v>1070</v>
      </c>
      <c r="F119" s="42" t="s">
        <v>606</v>
      </c>
      <c r="G119" s="291"/>
      <c r="H119" s="353">
        <v>1331</v>
      </c>
      <c r="I119" s="38">
        <v>0</v>
      </c>
      <c r="J119" s="58">
        <v>12140.7322</v>
      </c>
      <c r="K119" s="58">
        <v>7508.8676000000005</v>
      </c>
      <c r="L119" s="354">
        <v>4</v>
      </c>
      <c r="M119" s="352">
        <v>18.399999999999999</v>
      </c>
      <c r="N119" s="354" t="s">
        <v>500</v>
      </c>
      <c r="O119" s="41">
        <v>38</v>
      </c>
      <c r="P119" s="354">
        <v>4</v>
      </c>
      <c r="Q119" s="41">
        <v>18.399999999999999</v>
      </c>
      <c r="R119" s="354" t="s">
        <v>500</v>
      </c>
      <c r="S119" s="41">
        <v>38</v>
      </c>
      <c r="T119" s="46">
        <v>18.503937007874018</v>
      </c>
      <c r="U119" s="46">
        <v>120</v>
      </c>
      <c r="V119" s="47">
        <v>0.89213174239175375</v>
      </c>
    </row>
    <row r="120" spans="1:22" ht="12.75">
      <c r="A120" s="369">
        <f t="shared" si="10"/>
        <v>114</v>
      </c>
      <c r="B120" s="42" t="str">
        <f t="shared" si="11"/>
        <v>VERSATILE 836-15 SP  4WD________________ 193pto hp</v>
      </c>
      <c r="C120" s="352">
        <v>192.54078000000001</v>
      </c>
      <c r="D120" s="42" t="s">
        <v>1067</v>
      </c>
      <c r="E120" s="42" t="s">
        <v>1071</v>
      </c>
      <c r="F120" s="42" t="s">
        <v>606</v>
      </c>
      <c r="G120" s="291"/>
      <c r="H120" s="353">
        <v>1566</v>
      </c>
      <c r="I120" s="38">
        <v>0</v>
      </c>
      <c r="J120" s="58">
        <v>14100.6216</v>
      </c>
      <c r="K120" s="58">
        <v>10560.034</v>
      </c>
      <c r="L120" s="354">
        <v>2</v>
      </c>
      <c r="M120" s="352">
        <v>18.399999999999999</v>
      </c>
      <c r="N120" s="354" t="s">
        <v>500</v>
      </c>
      <c r="O120" s="41">
        <v>38</v>
      </c>
      <c r="P120" s="354">
        <v>2</v>
      </c>
      <c r="Q120" s="41">
        <v>18.399999999999999</v>
      </c>
      <c r="R120" s="354" t="s">
        <v>500</v>
      </c>
      <c r="S120" s="41">
        <v>38</v>
      </c>
      <c r="T120" s="46">
        <v>17.913385826771655</v>
      </c>
      <c r="U120" s="46">
        <v>129.9212598425197</v>
      </c>
      <c r="V120" s="47">
        <v>0.9355406669160149</v>
      </c>
    </row>
    <row r="121" spans="1:22" ht="12.75">
      <c r="A121" s="369">
        <f t="shared" si="10"/>
        <v>115</v>
      </c>
      <c r="B121" s="42" t="str">
        <f t="shared" si="11"/>
        <v>VERSATILE 835  4WD______________________ 198pto hp</v>
      </c>
      <c r="C121" s="352">
        <v>198.22662</v>
      </c>
      <c r="D121" s="42" t="s">
        <v>1067</v>
      </c>
      <c r="E121" s="42" t="s">
        <v>1072</v>
      </c>
      <c r="F121" s="42" t="s">
        <v>606</v>
      </c>
      <c r="G121" s="291"/>
      <c r="H121" s="353">
        <v>1356</v>
      </c>
      <c r="I121" s="38">
        <v>0</v>
      </c>
      <c r="J121" s="58">
        <v>14658.385400000001</v>
      </c>
      <c r="K121" s="58">
        <v>9620.8744000000006</v>
      </c>
      <c r="L121" s="354">
        <v>4</v>
      </c>
      <c r="M121" s="352">
        <v>18.399999999999999</v>
      </c>
      <c r="N121" s="354" t="s">
        <v>500</v>
      </c>
      <c r="O121" s="41">
        <v>38</v>
      </c>
      <c r="P121" s="354">
        <v>4</v>
      </c>
      <c r="Q121" s="41">
        <v>18.399999999999999</v>
      </c>
      <c r="R121" s="354" t="s">
        <v>500</v>
      </c>
      <c r="S121" s="41">
        <v>38</v>
      </c>
      <c r="T121" s="46">
        <v>17.519685039370081</v>
      </c>
      <c r="U121" s="46">
        <v>130</v>
      </c>
      <c r="V121" s="47">
        <v>0.93482958095188273</v>
      </c>
    </row>
    <row r="122" spans="1:22" ht="12.75">
      <c r="A122" s="369">
        <f t="shared" si="10"/>
        <v>116</v>
      </c>
      <c r="B122" s="42" t="str">
        <f t="shared" si="11"/>
        <v>VERSATILE 835  4WD______________________ 200pto hp</v>
      </c>
      <c r="C122" s="352">
        <v>200.29176000000001</v>
      </c>
      <c r="D122" s="42" t="s">
        <v>1067</v>
      </c>
      <c r="E122" s="42" t="s">
        <v>1072</v>
      </c>
      <c r="F122" s="42" t="s">
        <v>606</v>
      </c>
      <c r="G122" s="291"/>
      <c r="H122" s="353">
        <v>1482</v>
      </c>
      <c r="I122" s="38">
        <v>0</v>
      </c>
      <c r="J122" s="58">
        <v>14526.109400000001</v>
      </c>
      <c r="K122" s="58">
        <v>9858.9712</v>
      </c>
      <c r="L122" s="354">
        <v>4</v>
      </c>
      <c r="M122" s="352">
        <v>18.399999999999999</v>
      </c>
      <c r="N122" s="354" t="s">
        <v>500</v>
      </c>
      <c r="O122" s="41">
        <v>38</v>
      </c>
      <c r="P122" s="354">
        <v>4</v>
      </c>
      <c r="Q122" s="41">
        <v>18.399999999999999</v>
      </c>
      <c r="R122" s="354" t="s">
        <v>500</v>
      </c>
      <c r="S122" s="41">
        <v>38</v>
      </c>
      <c r="T122" s="46">
        <v>16.929133858267718</v>
      </c>
      <c r="U122" s="46">
        <v>130</v>
      </c>
      <c r="V122" s="47">
        <v>0.96518658041109073</v>
      </c>
    </row>
    <row r="123" spans="1:22" ht="12.75">
      <c r="A123" s="369">
        <f t="shared" si="10"/>
        <v>117</v>
      </c>
      <c r="B123" s="42" t="str">
        <f t="shared" si="11"/>
        <v>VERSATILE 856-PS  4WD___________________ 209pto hp</v>
      </c>
      <c r="C123" s="352">
        <v>209.27645999999999</v>
      </c>
      <c r="D123" s="42" t="s">
        <v>1067</v>
      </c>
      <c r="E123" s="42" t="s">
        <v>1073</v>
      </c>
      <c r="F123" s="42" t="s">
        <v>606</v>
      </c>
      <c r="G123" s="291"/>
      <c r="H123" s="353">
        <v>1568</v>
      </c>
      <c r="I123" s="38">
        <v>0</v>
      </c>
      <c r="J123" s="58">
        <v>14219.67</v>
      </c>
      <c r="K123" s="58">
        <v>10859.8596</v>
      </c>
      <c r="L123" s="354">
        <v>4</v>
      </c>
      <c r="M123" s="352">
        <v>20.8</v>
      </c>
      <c r="N123" s="354" t="s">
        <v>500</v>
      </c>
      <c r="O123" s="41">
        <v>38</v>
      </c>
      <c r="P123" s="354">
        <v>4</v>
      </c>
      <c r="Q123" s="41">
        <v>20.8</v>
      </c>
      <c r="R123" s="354" t="s">
        <v>500</v>
      </c>
      <c r="S123" s="41">
        <v>38</v>
      </c>
      <c r="T123" s="46">
        <v>19.488188976377955</v>
      </c>
      <c r="U123" s="46">
        <v>129.9212598425197</v>
      </c>
      <c r="V123" s="47">
        <v>0.94234588453384005</v>
      </c>
    </row>
    <row r="124" spans="1:22" ht="12.75">
      <c r="A124" s="369">
        <f t="shared" si="10"/>
        <v>118</v>
      </c>
      <c r="B124" s="42" t="str">
        <f t="shared" si="11"/>
        <v>VERSATILE 875-12 SP  4WD________________ 247pto hp</v>
      </c>
      <c r="C124" s="352">
        <v>247.15970999999999</v>
      </c>
      <c r="D124" s="42" t="s">
        <v>1067</v>
      </c>
      <c r="E124" s="42" t="s">
        <v>1074</v>
      </c>
      <c r="F124" s="42" t="s">
        <v>606</v>
      </c>
      <c r="G124" s="291"/>
      <c r="H124" s="353">
        <v>1332</v>
      </c>
      <c r="I124" s="38">
        <v>0</v>
      </c>
      <c r="J124" s="58">
        <v>15421.177000000001</v>
      </c>
      <c r="K124" s="58">
        <v>9900.8586000000014</v>
      </c>
      <c r="L124" s="354">
        <v>4</v>
      </c>
      <c r="M124" s="352">
        <v>20.8</v>
      </c>
      <c r="N124" s="354" t="s">
        <v>500</v>
      </c>
      <c r="O124" s="41">
        <v>34</v>
      </c>
      <c r="P124" s="354">
        <v>4</v>
      </c>
      <c r="Q124" s="41">
        <v>20.8</v>
      </c>
      <c r="R124" s="354" t="s">
        <v>500</v>
      </c>
      <c r="S124" s="41">
        <v>34</v>
      </c>
      <c r="T124" s="46">
        <v>20.078740157480315</v>
      </c>
      <c r="U124" s="46">
        <v>130</v>
      </c>
      <c r="V124" s="47">
        <v>0.95156766929848391</v>
      </c>
    </row>
    <row r="125" spans="1:22" ht="12.75">
      <c r="A125" s="369">
        <f t="shared" si="10"/>
        <v>119</v>
      </c>
      <c r="B125" s="42" t="str">
        <f t="shared" si="11"/>
        <v>VERSATILE 875  4WD______________________ 253pto hp</v>
      </c>
      <c r="C125" s="352">
        <v>252.67121999999998</v>
      </c>
      <c r="D125" s="42" t="s">
        <v>1067</v>
      </c>
      <c r="E125" s="42" t="s">
        <v>1075</v>
      </c>
      <c r="F125" s="42" t="s">
        <v>606</v>
      </c>
      <c r="G125" s="291"/>
      <c r="H125" s="353">
        <v>1483</v>
      </c>
      <c r="I125" s="38">
        <v>0</v>
      </c>
      <c r="J125" s="58">
        <v>15154.420400000001</v>
      </c>
      <c r="K125" s="58">
        <v>10476.2592</v>
      </c>
      <c r="L125" s="354">
        <v>4</v>
      </c>
      <c r="M125" s="352">
        <v>20.8</v>
      </c>
      <c r="N125" s="354" t="s">
        <v>500</v>
      </c>
      <c r="O125" s="41">
        <v>38</v>
      </c>
      <c r="P125" s="354">
        <v>4</v>
      </c>
      <c r="Q125" s="41">
        <v>20.8</v>
      </c>
      <c r="R125" s="354" t="s">
        <v>500</v>
      </c>
      <c r="S125" s="41">
        <v>38</v>
      </c>
      <c r="T125" s="46">
        <v>19.488188976377955</v>
      </c>
      <c r="U125" s="46">
        <v>130</v>
      </c>
      <c r="V125" s="47">
        <v>0.95875046096919425</v>
      </c>
    </row>
    <row r="126" spans="1:22" ht="12.75">
      <c r="A126" s="369">
        <f t="shared" si="10"/>
        <v>120</v>
      </c>
      <c r="B126" s="42" t="str">
        <f>CONCATENATE( LEFT(CONCATENATE(D126," ",E126," ",G126," ",F126,$W$5),40)," ",FIXED(C126,0)," estimated pto hp")</f>
        <v>VERSATILE 895-12 SP  4WD________________ 221 estimated pto hp</v>
      </c>
      <c r="C126" s="355">
        <v>221.3288</v>
      </c>
      <c r="D126" s="42" t="s">
        <v>1067</v>
      </c>
      <c r="E126" s="42" t="s">
        <v>1076</v>
      </c>
      <c r="F126" s="42" t="s">
        <v>606</v>
      </c>
      <c r="G126" s="291"/>
      <c r="H126" s="353">
        <v>1335</v>
      </c>
      <c r="I126" s="38">
        <v>0</v>
      </c>
      <c r="J126" s="58">
        <v>15059.622600000001</v>
      </c>
      <c r="K126" s="58">
        <v>9559.1455999999998</v>
      </c>
      <c r="L126" s="354">
        <v>4</v>
      </c>
      <c r="M126" s="352">
        <v>24.5</v>
      </c>
      <c r="N126" s="354" t="s">
        <v>500</v>
      </c>
      <c r="O126" s="41">
        <v>32</v>
      </c>
      <c r="P126" s="354">
        <v>4</v>
      </c>
      <c r="Q126" s="41">
        <v>24.5</v>
      </c>
      <c r="R126" s="354" t="s">
        <v>500</v>
      </c>
      <c r="S126" s="41">
        <v>32</v>
      </c>
      <c r="T126" s="46">
        <v>19.094488188976378</v>
      </c>
      <c r="U126" s="46">
        <v>130</v>
      </c>
      <c r="V126" s="47">
        <v>0.92</v>
      </c>
    </row>
    <row r="127" spans="1:22" ht="12.75">
      <c r="A127" s="369">
        <f t="shared" si="10"/>
        <v>121</v>
      </c>
      <c r="B127" s="42" t="str">
        <f>CONCATENATE( LEFT(CONCATENATE(D127," ",E127," ",G127," ",F127,$W$5),40)," ",FIXED(C127,0)," estimated pto hp")</f>
        <v>VERSATILE 1150  4WD_____________________ 344 estimated pto hp</v>
      </c>
      <c r="C127" s="355">
        <v>343.80720000000002</v>
      </c>
      <c r="D127" s="42" t="s">
        <v>1067</v>
      </c>
      <c r="E127" s="42" t="s">
        <v>1077</v>
      </c>
      <c r="F127" s="42" t="s">
        <v>606</v>
      </c>
      <c r="G127" s="291"/>
      <c r="H127" s="353">
        <v>1462</v>
      </c>
      <c r="I127" s="38">
        <v>0</v>
      </c>
      <c r="J127" s="58">
        <v>23049.093000000001</v>
      </c>
      <c r="K127" s="58">
        <v>12090.026400000001</v>
      </c>
      <c r="L127" s="354">
        <v>4</v>
      </c>
      <c r="M127" s="352">
        <v>30.5</v>
      </c>
      <c r="N127" s="354" t="s">
        <v>500</v>
      </c>
      <c r="O127" s="41">
        <v>32</v>
      </c>
      <c r="P127" s="354">
        <v>4</v>
      </c>
      <c r="Q127" s="41" t="s">
        <v>1078</v>
      </c>
      <c r="R127" s="354" t="s">
        <v>500</v>
      </c>
      <c r="S127" s="41">
        <v>32</v>
      </c>
      <c r="T127" s="46">
        <v>17.913385826771655</v>
      </c>
      <c r="U127" s="46">
        <v>140.15748031496065</v>
      </c>
      <c r="V127" s="47">
        <v>0.92</v>
      </c>
    </row>
    <row r="128" spans="1:22" ht="12.75">
      <c r="A128" s="369">
        <f t="shared" si="10"/>
        <v>122</v>
      </c>
      <c r="B128" s="42" t="str">
        <f>CONCATENATE( LEFT(CONCATENATE(D128," ",E128," ",G128," ",F128,$W$5),40)," ",FIXED(C128,0)," estimated pto hp")</f>
        <v>VERSATILE 876-12 SP  4WD________________ 201 estimated pto hp</v>
      </c>
      <c r="C128" s="355">
        <v>200.93040000000002</v>
      </c>
      <c r="D128" s="42" t="s">
        <v>1067</v>
      </c>
      <c r="E128" s="42" t="s">
        <v>1079</v>
      </c>
      <c r="F128" s="42" t="s">
        <v>606</v>
      </c>
      <c r="G128" s="291"/>
      <c r="H128" s="353">
        <v>1569</v>
      </c>
      <c r="I128" s="38">
        <v>0</v>
      </c>
      <c r="J128" s="58">
        <v>14409.265600000001</v>
      </c>
      <c r="K128" s="58">
        <v>10551.215600000001</v>
      </c>
      <c r="L128" s="354">
        <v>4</v>
      </c>
      <c r="M128" s="352">
        <v>20.8</v>
      </c>
      <c r="N128" s="354" t="s">
        <v>500</v>
      </c>
      <c r="O128" s="41">
        <v>38</v>
      </c>
      <c r="P128" s="354">
        <v>4</v>
      </c>
      <c r="Q128" s="41">
        <v>20.8</v>
      </c>
      <c r="R128" s="354" t="s">
        <v>500</v>
      </c>
      <c r="S128" s="41">
        <v>38</v>
      </c>
      <c r="T128" s="46">
        <v>19.488188976377955</v>
      </c>
      <c r="U128" s="46">
        <v>129.9212598425197</v>
      </c>
      <c r="V128" s="47">
        <v>0.92</v>
      </c>
    </row>
    <row r="129" spans="1:22" ht="12.75">
      <c r="A129" s="369">
        <f t="shared" si="10"/>
        <v>123</v>
      </c>
      <c r="B129" s="42" t="str">
        <f>CONCATENATE( LEFT(CONCATENATE(D129," ",E129," ",G129," ",F129,$W$5),40)," ",FIXED(C129,0)," estimated pto hp")</f>
        <v>VERSATILE 936-12 SP  4WD________________ 224 estimated pto hp</v>
      </c>
      <c r="C129" s="355">
        <v>223.8896</v>
      </c>
      <c r="D129" s="42" t="s">
        <v>1067</v>
      </c>
      <c r="E129" s="42" t="s">
        <v>1080</v>
      </c>
      <c r="F129" s="42" t="s">
        <v>606</v>
      </c>
      <c r="G129" s="291"/>
      <c r="H129" s="353">
        <v>1570</v>
      </c>
      <c r="I129" s="38">
        <v>0</v>
      </c>
      <c r="J129" s="58">
        <v>16159.718000000001</v>
      </c>
      <c r="K129" s="58">
        <v>10965.680400000001</v>
      </c>
      <c r="L129" s="354">
        <v>4</v>
      </c>
      <c r="M129" s="352">
        <v>24.5</v>
      </c>
      <c r="N129" s="354" t="s">
        <v>500</v>
      </c>
      <c r="O129" s="41">
        <v>32</v>
      </c>
      <c r="P129" s="354">
        <v>4</v>
      </c>
      <c r="Q129" s="41">
        <v>24.5</v>
      </c>
      <c r="R129" s="354" t="s">
        <v>500</v>
      </c>
      <c r="S129" s="41">
        <v>38</v>
      </c>
      <c r="T129" s="46">
        <v>18.503937007874018</v>
      </c>
      <c r="U129" s="46">
        <v>129.9212598425197</v>
      </c>
      <c r="V129" s="47">
        <v>0.92</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8"/>
  <sheetViews>
    <sheetView topLeftCell="Q1" workbookViewId="0">
      <selection activeCell="B7" sqref="B7:V156"/>
    </sheetView>
  </sheetViews>
  <sheetFormatPr defaultRowHeight="12" outlineLevelRow="1"/>
  <cols>
    <col min="1" max="1" width="9" style="372"/>
    <col min="2" max="2" width="55.125" style="372" customWidth="1"/>
    <col min="3" max="16384" width="9" style="372"/>
  </cols>
  <sheetData>
    <row r="1" spans="1:26" s="49" customFormat="1" ht="16.5" thickTop="1">
      <c r="A1" s="356"/>
      <c r="B1" s="50" t="s">
        <v>472</v>
      </c>
      <c r="C1" s="357"/>
      <c r="D1" s="51"/>
      <c r="F1" s="51"/>
      <c r="G1" s="51"/>
      <c r="H1" s="51"/>
      <c r="J1" s="51"/>
      <c r="K1" s="51"/>
      <c r="L1" s="52" t="s">
        <v>473</v>
      </c>
      <c r="M1" s="53"/>
      <c r="N1" s="53"/>
      <c r="P1" s="52" t="s">
        <v>474</v>
      </c>
      <c r="Q1" s="53"/>
      <c r="R1" s="53"/>
      <c r="T1" s="51" t="s">
        <v>475</v>
      </c>
      <c r="U1" s="51" t="s">
        <v>476</v>
      </c>
      <c r="V1" s="51" t="s">
        <v>477</v>
      </c>
    </row>
    <row r="2" spans="1:26" s="27" customFormat="1" ht="12.75">
      <c r="A2" s="40">
        <v>1</v>
      </c>
      <c r="B2" s="382" t="s">
        <v>1081</v>
      </c>
      <c r="C2" s="40">
        <v>3</v>
      </c>
      <c r="D2" s="27">
        <v>4</v>
      </c>
      <c r="E2" s="27">
        <v>5</v>
      </c>
      <c r="F2" s="27">
        <v>6</v>
      </c>
      <c r="G2" s="27">
        <v>7</v>
      </c>
      <c r="H2" s="27">
        <v>8</v>
      </c>
      <c r="I2" s="27">
        <v>9</v>
      </c>
      <c r="J2" s="27">
        <v>10</v>
      </c>
      <c r="K2" s="27">
        <v>11</v>
      </c>
      <c r="L2" s="27">
        <v>12</v>
      </c>
      <c r="M2" s="27">
        <v>13</v>
      </c>
      <c r="N2" s="27">
        <v>14</v>
      </c>
      <c r="O2" s="27">
        <v>15</v>
      </c>
      <c r="P2" s="27">
        <v>16</v>
      </c>
      <c r="Q2" s="27">
        <v>17</v>
      </c>
      <c r="R2" s="27">
        <v>18</v>
      </c>
      <c r="S2" s="27">
        <v>19</v>
      </c>
      <c r="T2" s="27">
        <v>20</v>
      </c>
      <c r="U2" s="27">
        <v>21</v>
      </c>
      <c r="V2" s="27">
        <v>22</v>
      </c>
    </row>
    <row r="3" spans="1:26" s="29" customFormat="1" ht="38.25">
      <c r="A3" s="43"/>
      <c r="C3" s="358" t="s">
        <v>478</v>
      </c>
      <c r="D3" s="34"/>
      <c r="E3" s="32"/>
      <c r="F3" s="32"/>
      <c r="G3" s="32" t="s">
        <v>479</v>
      </c>
      <c r="H3" s="32" t="s">
        <v>480</v>
      </c>
      <c r="I3" s="32" t="s">
        <v>481</v>
      </c>
      <c r="J3" s="54" t="s">
        <v>482</v>
      </c>
      <c r="K3" s="54"/>
      <c r="L3" s="29" t="s">
        <v>483</v>
      </c>
      <c r="N3" s="29" t="s">
        <v>484</v>
      </c>
      <c r="P3" s="32" t="s">
        <v>483</v>
      </c>
      <c r="R3" s="29" t="s">
        <v>484</v>
      </c>
      <c r="T3" s="32" t="s">
        <v>485</v>
      </c>
      <c r="U3" s="32" t="s">
        <v>486</v>
      </c>
      <c r="V3" s="32" t="s">
        <v>487</v>
      </c>
    </row>
    <row r="4" spans="1:26" s="29" customFormat="1" ht="12.75">
      <c r="A4" s="43"/>
      <c r="C4" s="358"/>
      <c r="D4" s="34"/>
      <c r="E4" s="32"/>
      <c r="F4" s="32"/>
      <c r="G4" s="32"/>
      <c r="H4" s="32"/>
      <c r="I4" s="32"/>
      <c r="J4" s="54"/>
      <c r="K4" s="54"/>
      <c r="P4" s="32"/>
      <c r="T4" s="32"/>
      <c r="U4" s="32"/>
      <c r="V4" s="32"/>
    </row>
    <row r="5" spans="1:26" s="55" customFormat="1" ht="13.5" thickBot="1">
      <c r="A5" s="359"/>
      <c r="B5" s="55" t="s">
        <v>422</v>
      </c>
      <c r="C5" s="360" t="s">
        <v>423</v>
      </c>
      <c r="D5" s="57" t="s">
        <v>425</v>
      </c>
      <c r="E5" s="56" t="s">
        <v>300</v>
      </c>
      <c r="F5" s="56" t="s">
        <v>428</v>
      </c>
      <c r="G5" s="56" t="s">
        <v>430</v>
      </c>
      <c r="H5" s="56" t="s">
        <v>433</v>
      </c>
      <c r="I5" s="56"/>
      <c r="J5" s="56" t="s">
        <v>488</v>
      </c>
      <c r="K5" s="56" t="s">
        <v>489</v>
      </c>
      <c r="L5" s="55" t="s">
        <v>490</v>
      </c>
      <c r="M5" s="55" t="s">
        <v>491</v>
      </c>
      <c r="N5" s="55" t="s">
        <v>492</v>
      </c>
      <c r="O5" s="55" t="s">
        <v>493</v>
      </c>
      <c r="P5" s="56" t="s">
        <v>490</v>
      </c>
      <c r="Q5" s="55" t="s">
        <v>491</v>
      </c>
      <c r="R5" s="55" t="s">
        <v>492</v>
      </c>
      <c r="S5" s="55" t="s">
        <v>493</v>
      </c>
      <c r="T5" s="56" t="s">
        <v>494</v>
      </c>
      <c r="U5" s="56" t="s">
        <v>465</v>
      </c>
      <c r="V5" s="56" t="s">
        <v>467</v>
      </c>
      <c r="W5" t="s">
        <v>420</v>
      </c>
    </row>
    <row r="6" spans="1:26">
      <c r="X6" s="373" t="s">
        <v>432</v>
      </c>
    </row>
    <row r="7" spans="1:26" ht="12.75" outlineLevel="1">
      <c r="A7" s="374">
        <v>1</v>
      </c>
      <c r="B7" s="42" t="str">
        <f t="shared" ref="B7:B22" si="0">CONCATENATE( LEFT(CONCATENATE(D7," ",E7," ",G7," ",F7,$W$5),40)," ",FIXED(C7,0),"pto hp")</f>
        <v>MASSEY FERGUSON MF205-4  MFWD___________ 16pto hp</v>
      </c>
      <c r="C7" s="352">
        <v>16.40043</v>
      </c>
      <c r="D7" s="42" t="s">
        <v>1081</v>
      </c>
      <c r="E7" s="42" t="s">
        <v>1082</v>
      </c>
      <c r="F7" s="42" t="s">
        <v>497</v>
      </c>
      <c r="G7" s="291"/>
      <c r="H7" s="353">
        <v>1364</v>
      </c>
      <c r="I7" s="38" t="s">
        <v>499</v>
      </c>
      <c r="J7" s="58">
        <v>919.31820000000005</v>
      </c>
      <c r="K7" s="58">
        <v>1294.1002000000001</v>
      </c>
      <c r="L7" s="354">
        <v>2</v>
      </c>
      <c r="M7" s="352">
        <v>7</v>
      </c>
      <c r="N7" s="354" t="s">
        <v>500</v>
      </c>
      <c r="O7" s="41">
        <v>14</v>
      </c>
      <c r="P7" s="354">
        <v>2</v>
      </c>
      <c r="Q7" s="41">
        <v>8.3000000000000007</v>
      </c>
      <c r="R7" s="354" t="s">
        <v>500</v>
      </c>
      <c r="S7" s="41">
        <v>24</v>
      </c>
      <c r="T7" s="46">
        <v>11.41732283464567</v>
      </c>
      <c r="U7" s="46">
        <v>54.921259842519689</v>
      </c>
      <c r="V7" s="47">
        <v>0.84045258470563178</v>
      </c>
      <c r="X7" s="375">
        <v>0.8</v>
      </c>
      <c r="Y7" s="372">
        <f t="array" ref="Y7:Y20">FREQUENCY($V$7:$V$128,X7:X20)</f>
        <v>4</v>
      </c>
      <c r="Z7" s="376">
        <f t="shared" ref="Z7:Z20" si="1">Y7/$Y$21</f>
        <v>3.4188034188034191E-2</v>
      </c>
    </row>
    <row r="8" spans="1:26" ht="12.75" outlineLevel="1">
      <c r="A8" s="374">
        <f t="shared" ref="A8:A39" si="2">A7+1</f>
        <v>2</v>
      </c>
      <c r="B8" s="42" t="str">
        <f t="shared" si="0"/>
        <v>MASSEY FERGUSON MF205  2WD______________ 17pto hp</v>
      </c>
      <c r="C8" s="352">
        <v>16.561350000000001</v>
      </c>
      <c r="D8" s="42" t="s">
        <v>1081</v>
      </c>
      <c r="E8" s="42" t="s">
        <v>1083</v>
      </c>
      <c r="F8" s="42" t="s">
        <v>507</v>
      </c>
      <c r="G8" s="291"/>
      <c r="H8" s="353">
        <v>1363</v>
      </c>
      <c r="I8" s="38">
        <v>0</v>
      </c>
      <c r="J8" s="58">
        <v>698.85820000000001</v>
      </c>
      <c r="K8" s="58">
        <v>1205.9162000000001</v>
      </c>
      <c r="L8" s="354">
        <v>2</v>
      </c>
      <c r="M8" s="352">
        <v>4</v>
      </c>
      <c r="N8" s="354" t="s">
        <v>499</v>
      </c>
      <c r="O8" s="41">
        <v>15</v>
      </c>
      <c r="P8" s="354">
        <v>2</v>
      </c>
      <c r="Q8" s="354">
        <v>8.3000000000000007</v>
      </c>
      <c r="R8" s="354" t="s">
        <v>500</v>
      </c>
      <c r="S8" s="41">
        <v>24</v>
      </c>
      <c r="T8" s="46">
        <v>11.41732283464567</v>
      </c>
      <c r="U8" s="46">
        <v>55.314960629921266</v>
      </c>
      <c r="V8" s="47">
        <v>0.84011952609621265</v>
      </c>
      <c r="X8" s="375">
        <v>0.82</v>
      </c>
      <c r="Y8" s="372">
        <v>2</v>
      </c>
      <c r="Z8" s="376">
        <f t="shared" si="1"/>
        <v>1.7094017094017096E-2</v>
      </c>
    </row>
    <row r="9" spans="1:26" ht="12.75" outlineLevel="1">
      <c r="A9" s="374">
        <f t="shared" si="2"/>
        <v>3</v>
      </c>
      <c r="B9" s="42" t="str">
        <f t="shared" si="0"/>
        <v>MASSEY FERGUSON 1020-12 SP  MFWD________ 17pto hp</v>
      </c>
      <c r="C9" s="352">
        <v>17.070930000000001</v>
      </c>
      <c r="D9" s="42" t="s">
        <v>1081</v>
      </c>
      <c r="E9" s="42" t="s">
        <v>1084</v>
      </c>
      <c r="F9" s="42" t="s">
        <v>497</v>
      </c>
      <c r="G9" s="291"/>
      <c r="H9" s="353">
        <v>1552</v>
      </c>
      <c r="I9" s="38" t="s">
        <v>499</v>
      </c>
      <c r="J9" s="58">
        <v>939.15960000000007</v>
      </c>
      <c r="K9" s="58">
        <v>1289.691</v>
      </c>
      <c r="L9" s="354">
        <v>2</v>
      </c>
      <c r="M9" s="352">
        <v>7</v>
      </c>
      <c r="N9" s="354" t="s">
        <v>500</v>
      </c>
      <c r="O9" s="41">
        <v>14</v>
      </c>
      <c r="P9" s="354">
        <v>2</v>
      </c>
      <c r="Q9" s="41">
        <v>8.3000000000000007</v>
      </c>
      <c r="R9" s="354" t="s">
        <v>500</v>
      </c>
      <c r="S9" s="41">
        <v>24</v>
      </c>
      <c r="T9" s="46">
        <v>12.598425196850394</v>
      </c>
      <c r="U9" s="46">
        <v>56.692913385826778</v>
      </c>
      <c r="V9" s="47">
        <v>0.92396682389143248</v>
      </c>
      <c r="X9" s="375">
        <v>0.84</v>
      </c>
      <c r="Y9" s="372">
        <v>1</v>
      </c>
      <c r="Z9" s="376">
        <f t="shared" si="1"/>
        <v>8.5470085470085479E-3</v>
      </c>
    </row>
    <row r="10" spans="1:26" ht="12.75" outlineLevel="1">
      <c r="A10" s="374">
        <f t="shared" si="2"/>
        <v>4</v>
      </c>
      <c r="B10" s="42" t="str">
        <f t="shared" si="0"/>
        <v>MASSEY FERGUSON MF210-4  MFWD___________ 22pto hp</v>
      </c>
      <c r="C10" s="352">
        <v>21.764430000000001</v>
      </c>
      <c r="D10" s="42" t="s">
        <v>1081</v>
      </c>
      <c r="E10" s="42" t="s">
        <v>1085</v>
      </c>
      <c r="F10" s="42" t="s">
        <v>497</v>
      </c>
      <c r="G10" s="291"/>
      <c r="H10" s="353">
        <v>1366</v>
      </c>
      <c r="I10" s="38" t="s">
        <v>499</v>
      </c>
      <c r="J10" s="58">
        <v>1080.2540000000001</v>
      </c>
      <c r="K10" s="58">
        <v>1655.6546000000001</v>
      </c>
      <c r="L10" s="354">
        <v>2</v>
      </c>
      <c r="M10" s="352">
        <v>7</v>
      </c>
      <c r="N10" s="354" t="s">
        <v>500</v>
      </c>
      <c r="O10" s="41">
        <v>14</v>
      </c>
      <c r="P10" s="354">
        <v>2</v>
      </c>
      <c r="Q10" s="41">
        <v>11.2</v>
      </c>
      <c r="R10" s="354" t="s">
        <v>500</v>
      </c>
      <c r="S10" s="41">
        <v>24</v>
      </c>
      <c r="T10" s="46">
        <v>13.976377952755906</v>
      </c>
      <c r="U10" s="46">
        <v>59.4488188976378</v>
      </c>
      <c r="V10" s="47">
        <v>0.85535050613391728</v>
      </c>
      <c r="X10" s="375">
        <v>0.86</v>
      </c>
      <c r="Y10" s="372">
        <v>11</v>
      </c>
      <c r="Z10" s="376">
        <f t="shared" si="1"/>
        <v>9.4017094017094016E-2</v>
      </c>
    </row>
    <row r="11" spans="1:26" ht="12.75" outlineLevel="1">
      <c r="A11" s="374">
        <f t="shared" si="2"/>
        <v>5</v>
      </c>
      <c r="B11" s="42" t="str">
        <f t="shared" si="0"/>
        <v>MASSEY FERGUSON MF210  2WD______________ 22pto hp</v>
      </c>
      <c r="C11" s="352">
        <v>21.965579999999999</v>
      </c>
      <c r="D11" s="42" t="s">
        <v>1081</v>
      </c>
      <c r="E11" s="42" t="s">
        <v>1086</v>
      </c>
      <c r="F11" s="42" t="s">
        <v>507</v>
      </c>
      <c r="G11" s="291"/>
      <c r="H11" s="353">
        <v>1365</v>
      </c>
      <c r="I11" s="38">
        <v>0</v>
      </c>
      <c r="J11" s="58">
        <v>899.47680000000003</v>
      </c>
      <c r="K11" s="58">
        <v>1560.8568</v>
      </c>
      <c r="L11" s="354">
        <v>2</v>
      </c>
      <c r="M11" s="352">
        <v>5</v>
      </c>
      <c r="N11" s="354" t="s">
        <v>499</v>
      </c>
      <c r="O11" s="41">
        <v>15</v>
      </c>
      <c r="P11" s="354">
        <v>2</v>
      </c>
      <c r="Q11" s="41">
        <v>11.2</v>
      </c>
      <c r="R11" s="354" t="s">
        <v>500</v>
      </c>
      <c r="S11" s="41">
        <v>24</v>
      </c>
      <c r="T11" s="46">
        <v>12.598425196850394</v>
      </c>
      <c r="U11" s="46">
        <v>60.236220472440948</v>
      </c>
      <c r="V11" s="47">
        <v>0.85047064912836723</v>
      </c>
      <c r="X11" s="375">
        <v>0.88</v>
      </c>
      <c r="Y11" s="372">
        <v>16</v>
      </c>
      <c r="Z11" s="376">
        <f t="shared" si="1"/>
        <v>0.13675213675213677</v>
      </c>
    </row>
    <row r="12" spans="1:26" ht="12.75" outlineLevel="1">
      <c r="A12" s="374">
        <f t="shared" si="2"/>
        <v>6</v>
      </c>
      <c r="B12" s="42" t="str">
        <f t="shared" si="0"/>
        <v>MASSEY FERGUSON 1030-12 SP  MFWD________ 23pto hp</v>
      </c>
      <c r="C12" s="352">
        <v>23.346810000000001</v>
      </c>
      <c r="D12" s="42" t="s">
        <v>1081</v>
      </c>
      <c r="E12" s="42" t="s">
        <v>1087</v>
      </c>
      <c r="F12" s="42" t="s">
        <v>497</v>
      </c>
      <c r="G12" s="291"/>
      <c r="H12" s="353">
        <v>1553</v>
      </c>
      <c r="I12" s="38" t="s">
        <v>499</v>
      </c>
      <c r="J12" s="58">
        <v>1064.8218000000002</v>
      </c>
      <c r="K12" s="58">
        <v>1924.6158</v>
      </c>
      <c r="L12" s="354">
        <v>2</v>
      </c>
      <c r="M12" s="352">
        <v>7</v>
      </c>
      <c r="N12" s="354" t="s">
        <v>500</v>
      </c>
      <c r="O12" s="41">
        <v>14</v>
      </c>
      <c r="P12" s="354">
        <v>2</v>
      </c>
      <c r="Q12" s="41">
        <v>11.2</v>
      </c>
      <c r="R12" s="354" t="s">
        <v>500</v>
      </c>
      <c r="S12" s="41">
        <v>24</v>
      </c>
      <c r="T12" s="46">
        <v>13.976377952755906</v>
      </c>
      <c r="U12" s="46">
        <v>61.417322834645674</v>
      </c>
      <c r="V12" s="47">
        <v>0.83442153686439724</v>
      </c>
      <c r="X12" s="375">
        <v>0.9</v>
      </c>
      <c r="Y12" s="372">
        <v>19</v>
      </c>
      <c r="Z12" s="376">
        <f t="shared" si="1"/>
        <v>0.1623931623931624</v>
      </c>
    </row>
    <row r="13" spans="1:26" ht="12.75" outlineLevel="1">
      <c r="A13" s="374">
        <f t="shared" si="2"/>
        <v>7</v>
      </c>
      <c r="B13" s="42" t="str">
        <f t="shared" si="0"/>
        <v>MASSEY FERGUSON MF220  2WD______________ 26pto hp</v>
      </c>
      <c r="C13" s="352">
        <v>26.364059999999998</v>
      </c>
      <c r="D13" s="42" t="s">
        <v>1081</v>
      </c>
      <c r="E13" s="42" t="s">
        <v>1088</v>
      </c>
      <c r="F13" s="42" t="s">
        <v>507</v>
      </c>
      <c r="G13" s="291"/>
      <c r="H13" s="353">
        <v>1367</v>
      </c>
      <c r="I13" s="38">
        <v>0</v>
      </c>
      <c r="J13" s="58">
        <v>978.8424</v>
      </c>
      <c r="K13" s="58">
        <v>1785.7260000000001</v>
      </c>
      <c r="L13" s="354">
        <v>2</v>
      </c>
      <c r="M13" s="352">
        <v>5</v>
      </c>
      <c r="N13" s="354" t="s">
        <v>499</v>
      </c>
      <c r="O13" s="41">
        <v>15</v>
      </c>
      <c r="P13" s="354">
        <v>2</v>
      </c>
      <c r="Q13" s="41">
        <v>12.4</v>
      </c>
      <c r="R13" s="354" t="s">
        <v>500</v>
      </c>
      <c r="S13" s="41">
        <v>24</v>
      </c>
      <c r="T13" s="46">
        <v>13.976377952755906</v>
      </c>
      <c r="U13" s="46">
        <v>61.614173228346459</v>
      </c>
      <c r="V13" s="47">
        <v>0.93206330788857916</v>
      </c>
      <c r="X13" s="375">
        <v>0.91999999999999904</v>
      </c>
      <c r="Y13" s="372">
        <v>17</v>
      </c>
      <c r="Z13" s="376">
        <f t="shared" si="1"/>
        <v>0.14529914529914531</v>
      </c>
    </row>
    <row r="14" spans="1:26" ht="12.75" outlineLevel="1">
      <c r="A14" s="374">
        <f t="shared" si="2"/>
        <v>8</v>
      </c>
      <c r="B14" s="42" t="str">
        <f t="shared" si="0"/>
        <v>MASSEY FERGUSON MF220-4  MFWD___________ 26pto hp</v>
      </c>
      <c r="C14" s="352">
        <v>26.484749999999998</v>
      </c>
      <c r="D14" s="42" t="s">
        <v>1081</v>
      </c>
      <c r="E14" s="42" t="s">
        <v>1089</v>
      </c>
      <c r="F14" s="42" t="s">
        <v>497</v>
      </c>
      <c r="G14" s="291"/>
      <c r="H14" s="353">
        <v>1368</v>
      </c>
      <c r="I14" s="38" t="s">
        <v>499</v>
      </c>
      <c r="J14" s="58">
        <v>1274.2588000000001</v>
      </c>
      <c r="K14" s="58">
        <v>1904.7744</v>
      </c>
      <c r="L14" s="354">
        <v>2</v>
      </c>
      <c r="M14" s="352">
        <v>7</v>
      </c>
      <c r="N14" s="354" t="s">
        <v>481</v>
      </c>
      <c r="O14" s="41">
        <v>16</v>
      </c>
      <c r="P14" s="354">
        <v>2</v>
      </c>
      <c r="Q14" s="41">
        <v>12.4</v>
      </c>
      <c r="R14" s="354" t="s">
        <v>500</v>
      </c>
      <c r="S14" s="41">
        <v>24</v>
      </c>
      <c r="T14" s="46">
        <v>13.976377952755906</v>
      </c>
      <c r="U14" s="46">
        <v>62.5984251968504</v>
      </c>
      <c r="V14" s="47">
        <v>0.87556760736609518</v>
      </c>
      <c r="X14" s="375">
        <v>0.93999999999999895</v>
      </c>
      <c r="Y14" s="372">
        <v>13</v>
      </c>
      <c r="Z14" s="376">
        <f t="shared" si="1"/>
        <v>0.1111111111111111</v>
      </c>
    </row>
    <row r="15" spans="1:26" ht="12.75" outlineLevel="1">
      <c r="A15" s="374">
        <f t="shared" si="2"/>
        <v>9</v>
      </c>
      <c r="B15" s="42" t="str">
        <f t="shared" si="0"/>
        <v>MASSEY FERGUSON 1040-12 SP  MFWD________ 28pto hp</v>
      </c>
      <c r="C15" s="352">
        <v>27.73188</v>
      </c>
      <c r="D15" s="42" t="s">
        <v>1081</v>
      </c>
      <c r="E15" s="42" t="s">
        <v>1090</v>
      </c>
      <c r="F15" s="42" t="s">
        <v>497</v>
      </c>
      <c r="G15" s="291"/>
      <c r="H15" s="353">
        <v>1554</v>
      </c>
      <c r="I15" s="38" t="s">
        <v>499</v>
      </c>
      <c r="J15" s="58">
        <v>1609.3580000000002</v>
      </c>
      <c r="K15" s="58">
        <v>2189.1678000000002</v>
      </c>
      <c r="L15" s="354">
        <v>2</v>
      </c>
      <c r="M15" s="352">
        <v>8</v>
      </c>
      <c r="N15" s="354" t="s">
        <v>500</v>
      </c>
      <c r="O15" s="41">
        <v>16</v>
      </c>
      <c r="P15" s="354">
        <v>2</v>
      </c>
      <c r="Q15" s="41">
        <v>13.6</v>
      </c>
      <c r="R15" s="354" t="s">
        <v>500</v>
      </c>
      <c r="S15" s="41">
        <v>24</v>
      </c>
      <c r="T15" s="46">
        <v>14.960629921259843</v>
      </c>
      <c r="U15" s="46">
        <v>68.8976377952756</v>
      </c>
      <c r="V15" s="47">
        <v>0.81514146914689534</v>
      </c>
      <c r="X15" s="375">
        <v>0.95999999999999897</v>
      </c>
      <c r="Y15" s="372">
        <v>13</v>
      </c>
      <c r="Z15" s="376">
        <f t="shared" si="1"/>
        <v>0.1111111111111111</v>
      </c>
    </row>
    <row r="16" spans="1:26" ht="12.75" outlineLevel="1">
      <c r="A16" s="374">
        <f t="shared" si="2"/>
        <v>10</v>
      </c>
      <c r="B16" s="42" t="str">
        <f t="shared" si="0"/>
        <v>MASSEY FERGUSON MF240-8 SP  2WD_________ 35pto hp</v>
      </c>
      <c r="C16" s="352">
        <v>34.772129999999997</v>
      </c>
      <c r="D16" s="42" t="s">
        <v>1081</v>
      </c>
      <c r="E16" s="42" t="s">
        <v>1091</v>
      </c>
      <c r="F16" s="42" t="s">
        <v>507</v>
      </c>
      <c r="G16" s="291"/>
      <c r="H16" s="353">
        <v>1519</v>
      </c>
      <c r="I16" s="38">
        <v>0</v>
      </c>
      <c r="J16" s="58">
        <v>1549.8338000000001</v>
      </c>
      <c r="K16" s="58">
        <v>2665.3614000000002</v>
      </c>
      <c r="L16" s="354">
        <v>2</v>
      </c>
      <c r="M16" s="352">
        <v>6</v>
      </c>
      <c r="N16" s="354" t="s">
        <v>499</v>
      </c>
      <c r="O16" s="41">
        <v>16</v>
      </c>
      <c r="P16" s="354">
        <v>2</v>
      </c>
      <c r="Q16" s="41">
        <v>13.6</v>
      </c>
      <c r="R16" s="354" t="s">
        <v>500</v>
      </c>
      <c r="S16" s="41">
        <v>28</v>
      </c>
      <c r="T16" s="46">
        <v>13.976377952755906</v>
      </c>
      <c r="U16" s="46">
        <v>75.984251968503941</v>
      </c>
      <c r="V16" s="47">
        <v>0.89198493782854893</v>
      </c>
      <c r="X16" s="375">
        <v>0.97999999999999898</v>
      </c>
      <c r="Y16" s="372">
        <v>8</v>
      </c>
      <c r="Z16" s="376">
        <f t="shared" si="1"/>
        <v>6.8376068376068383E-2</v>
      </c>
    </row>
    <row r="17" spans="1:26" ht="12.75" outlineLevel="1">
      <c r="A17" s="374">
        <f t="shared" si="2"/>
        <v>11</v>
      </c>
      <c r="B17" s="42" t="str">
        <f t="shared" si="0"/>
        <v>MASSEY FERGUSON MF250-8 SP  2WD_________ 41pto hp</v>
      </c>
      <c r="C17" s="352">
        <v>40.86027</v>
      </c>
      <c r="D17" s="42" t="s">
        <v>1081</v>
      </c>
      <c r="E17" s="42" t="s">
        <v>1092</v>
      </c>
      <c r="F17" s="42" t="s">
        <v>507</v>
      </c>
      <c r="G17" s="291"/>
      <c r="H17" s="353">
        <v>1520</v>
      </c>
      <c r="I17" s="38">
        <v>0</v>
      </c>
      <c r="J17" s="58">
        <v>1545.4246000000001</v>
      </c>
      <c r="K17" s="58">
        <v>3040.1434000000004</v>
      </c>
      <c r="L17" s="354">
        <v>2</v>
      </c>
      <c r="M17" s="352">
        <v>6</v>
      </c>
      <c r="N17" s="354" t="s">
        <v>499</v>
      </c>
      <c r="O17" s="41">
        <v>16</v>
      </c>
      <c r="P17" s="354">
        <v>2</v>
      </c>
      <c r="Q17" s="41">
        <v>13.6</v>
      </c>
      <c r="R17" s="354" t="s">
        <v>500</v>
      </c>
      <c r="S17" s="41">
        <v>28</v>
      </c>
      <c r="T17" s="46">
        <v>17.519685039370081</v>
      </c>
      <c r="U17" s="46">
        <v>75.984251968503941</v>
      </c>
      <c r="V17" s="47">
        <v>0.91782806874997891</v>
      </c>
      <c r="X17" s="375">
        <v>0.999999999999999</v>
      </c>
      <c r="Y17" s="372">
        <v>4</v>
      </c>
      <c r="Z17" s="376">
        <f t="shared" si="1"/>
        <v>3.4188034188034191E-2</v>
      </c>
    </row>
    <row r="18" spans="1:26" ht="12.75" outlineLevel="1">
      <c r="A18" s="374">
        <f t="shared" si="2"/>
        <v>12</v>
      </c>
      <c r="B18" s="42" t="str">
        <f t="shared" si="0"/>
        <v>MASSEY FERGUSON 154-4  MFWD_____________ 43pto hp</v>
      </c>
      <c r="C18" s="352">
        <v>42.523110000000003</v>
      </c>
      <c r="D18" s="42" t="s">
        <v>1081</v>
      </c>
      <c r="E18" s="42" t="s">
        <v>1093</v>
      </c>
      <c r="F18" s="42" t="s">
        <v>497</v>
      </c>
      <c r="G18" s="291"/>
      <c r="H18" s="353">
        <v>1411</v>
      </c>
      <c r="I18" s="38" t="s">
        <v>499</v>
      </c>
      <c r="J18" s="58">
        <v>2180.3494000000001</v>
      </c>
      <c r="K18" s="58">
        <v>3123.9182000000001</v>
      </c>
      <c r="L18" s="354">
        <v>2</v>
      </c>
      <c r="M18" s="352">
        <v>9.5</v>
      </c>
      <c r="N18" s="354" t="s">
        <v>500</v>
      </c>
      <c r="O18" s="41">
        <v>20</v>
      </c>
      <c r="P18" s="354">
        <v>2</v>
      </c>
      <c r="Q18" s="41">
        <v>13.6</v>
      </c>
      <c r="R18" s="354" t="s">
        <v>500</v>
      </c>
      <c r="S18" s="41">
        <v>28</v>
      </c>
      <c r="T18" s="46">
        <v>21.45669291338583</v>
      </c>
      <c r="U18" s="46">
        <v>81.102362204724415</v>
      </c>
      <c r="V18" s="47">
        <v>0.90405530647319177</v>
      </c>
      <c r="X18" s="375">
        <v>1.02</v>
      </c>
      <c r="Y18" s="372">
        <v>3</v>
      </c>
      <c r="Z18" s="376">
        <f t="shared" si="1"/>
        <v>2.564102564102564E-2</v>
      </c>
    </row>
    <row r="19" spans="1:26" ht="12.75" outlineLevel="1">
      <c r="A19" s="374">
        <f t="shared" si="2"/>
        <v>13</v>
      </c>
      <c r="B19" s="42" t="str">
        <f t="shared" si="0"/>
        <v>MASSEY FERGUSON 240-8 SP  2WD___________ 43pto hp</v>
      </c>
      <c r="C19" s="352">
        <v>42.911999999999999</v>
      </c>
      <c r="D19" s="42" t="s">
        <v>1081</v>
      </c>
      <c r="E19" s="42" t="s">
        <v>1094</v>
      </c>
      <c r="F19" s="42" t="s">
        <v>507</v>
      </c>
      <c r="G19" s="291"/>
      <c r="H19" s="353">
        <v>5001</v>
      </c>
      <c r="I19" s="38" t="s">
        <v>556</v>
      </c>
      <c r="J19" s="58">
        <v>1455.0360000000001</v>
      </c>
      <c r="K19" s="58">
        <v>2065.7102</v>
      </c>
      <c r="L19" s="354">
        <v>2</v>
      </c>
      <c r="M19" s="352">
        <v>6</v>
      </c>
      <c r="N19" s="354" t="s">
        <v>499</v>
      </c>
      <c r="O19" s="41">
        <v>16</v>
      </c>
      <c r="P19" s="354">
        <v>2</v>
      </c>
      <c r="Q19" s="41">
        <v>12.4</v>
      </c>
      <c r="R19" s="354" t="s">
        <v>500</v>
      </c>
      <c r="S19" s="41">
        <v>28</v>
      </c>
      <c r="T19" s="46">
        <v>13.779527559055119</v>
      </c>
      <c r="U19" s="46">
        <v>74.488188976377955</v>
      </c>
      <c r="V19" s="47">
        <v>1.0051998307031862</v>
      </c>
      <c r="X19" s="375">
        <v>1.04</v>
      </c>
      <c r="Y19" s="372">
        <v>3</v>
      </c>
      <c r="Z19" s="376">
        <f t="shared" si="1"/>
        <v>2.564102564102564E-2</v>
      </c>
    </row>
    <row r="20" spans="1:26" ht="12.75" outlineLevel="1">
      <c r="A20" s="374">
        <f t="shared" si="2"/>
        <v>14</v>
      </c>
      <c r="B20" s="42" t="str">
        <f t="shared" si="0"/>
        <v>MASSEY FERGUSON MF254  MFWD_____________ 43pto hp</v>
      </c>
      <c r="C20" s="352">
        <v>43.354529999999997</v>
      </c>
      <c r="D20" s="42" t="s">
        <v>1081</v>
      </c>
      <c r="E20" s="42" t="s">
        <v>1095</v>
      </c>
      <c r="F20" s="42" t="s">
        <v>497</v>
      </c>
      <c r="G20" s="291"/>
      <c r="H20" s="353">
        <v>1478</v>
      </c>
      <c r="I20" s="38" t="s">
        <v>499</v>
      </c>
      <c r="J20" s="58">
        <v>2255.3058000000001</v>
      </c>
      <c r="K20" s="58">
        <v>3229.739</v>
      </c>
      <c r="L20" s="354">
        <v>2</v>
      </c>
      <c r="M20" s="352">
        <v>9.5</v>
      </c>
      <c r="N20" s="354" t="s">
        <v>500</v>
      </c>
      <c r="O20" s="41">
        <v>20</v>
      </c>
      <c r="P20" s="354">
        <v>2</v>
      </c>
      <c r="Q20" s="41">
        <v>13.6</v>
      </c>
      <c r="R20" s="354" t="s">
        <v>500</v>
      </c>
      <c r="S20" s="41">
        <v>28</v>
      </c>
      <c r="T20" s="46">
        <v>15.551181102362206</v>
      </c>
      <c r="U20" s="46">
        <v>81.102362204724415</v>
      </c>
      <c r="V20" s="47">
        <v>0.8470700599066423</v>
      </c>
      <c r="X20" s="375">
        <v>1.06</v>
      </c>
      <c r="Y20" s="372">
        <v>3</v>
      </c>
      <c r="Z20" s="376">
        <f t="shared" si="1"/>
        <v>2.564102564102564E-2</v>
      </c>
    </row>
    <row r="21" spans="1:26" ht="12.75" outlineLevel="1">
      <c r="A21" s="374">
        <f t="shared" si="2"/>
        <v>15</v>
      </c>
      <c r="B21" s="42" t="str">
        <f t="shared" si="0"/>
        <v>MASSEY FERGUSON 253-8 SP  MFWD__________ 46pto hp</v>
      </c>
      <c r="C21" s="352">
        <v>45.862200000000001</v>
      </c>
      <c r="D21" s="42" t="s">
        <v>1081</v>
      </c>
      <c r="E21" s="42" t="s">
        <v>1096</v>
      </c>
      <c r="F21" s="42" t="s">
        <v>497</v>
      </c>
      <c r="G21" s="291"/>
      <c r="H21" s="353">
        <v>5071</v>
      </c>
      <c r="I21" s="38">
        <v>0</v>
      </c>
      <c r="J21" s="58">
        <v>1604.9488000000001</v>
      </c>
      <c r="K21" s="58">
        <v>3097.4630000000002</v>
      </c>
      <c r="L21" s="354">
        <v>2</v>
      </c>
      <c r="M21" s="352">
        <v>6</v>
      </c>
      <c r="N21" s="354" t="s">
        <v>481</v>
      </c>
      <c r="O21" s="41">
        <v>16</v>
      </c>
      <c r="P21" s="354">
        <v>2</v>
      </c>
      <c r="Q21" s="41">
        <v>13.6</v>
      </c>
      <c r="R21" s="41" t="s">
        <v>481</v>
      </c>
      <c r="S21" s="41">
        <v>28</v>
      </c>
      <c r="T21" s="46">
        <v>16.141732283464567</v>
      </c>
      <c r="U21" s="46">
        <v>75.984251968503941</v>
      </c>
      <c r="V21" s="47">
        <v>0.8533200573704518</v>
      </c>
      <c r="Y21" s="372">
        <f>SUM(Y7:Y20)</f>
        <v>117</v>
      </c>
    </row>
    <row r="22" spans="1:26" ht="12.75" outlineLevel="1">
      <c r="A22" s="374">
        <f t="shared" si="2"/>
        <v>16</v>
      </c>
      <c r="B22" s="42" t="str">
        <f t="shared" si="0"/>
        <v>MASSEY FERGUSON 243, 8-SP  MFWD_________ 48pto hp</v>
      </c>
      <c r="C22" s="352">
        <v>47.605499999999999</v>
      </c>
      <c r="D22" s="42" t="s">
        <v>1081</v>
      </c>
      <c r="E22" s="42" t="s">
        <v>1097</v>
      </c>
      <c r="F22" s="42" t="s">
        <v>497</v>
      </c>
      <c r="G22" s="291"/>
      <c r="H22" s="353">
        <v>5316</v>
      </c>
      <c r="I22" s="38" t="s">
        <v>1098</v>
      </c>
      <c r="J22" s="58">
        <v>2131.8481999999999</v>
      </c>
      <c r="K22" s="58">
        <v>3163.6010000000001</v>
      </c>
      <c r="L22" s="354">
        <v>2</v>
      </c>
      <c r="M22" s="352">
        <v>300</v>
      </c>
      <c r="N22" s="291" t="s">
        <v>614</v>
      </c>
      <c r="O22" s="41">
        <v>20</v>
      </c>
      <c r="P22" s="354">
        <v>2</v>
      </c>
      <c r="Q22" s="41">
        <v>14.9</v>
      </c>
      <c r="R22" s="354" t="s">
        <v>500</v>
      </c>
      <c r="S22" s="41">
        <v>28</v>
      </c>
      <c r="T22" s="46">
        <v>18.30708661417323</v>
      </c>
      <c r="U22" s="46">
        <v>75.984251968503941</v>
      </c>
      <c r="V22" s="47">
        <v>0.85613546243095351</v>
      </c>
    </row>
    <row r="23" spans="1:26" ht="12.75" outlineLevel="1">
      <c r="A23" s="374">
        <f t="shared" si="2"/>
        <v>17</v>
      </c>
      <c r="B23" s="42" t="str">
        <f t="shared" ref="B23:B38" si="3">CONCATENATE( LEFT(CONCATENATE(D23," ",E23," ",G23," ",F23,$W$5),40)," ",FIXED(C23,0),"pto hp")</f>
        <v>MASSEY FERGUSON 253-8 SP  2WD___________ 50pto hp</v>
      </c>
      <c r="C23" s="352">
        <v>50.287500000000001</v>
      </c>
      <c r="D23" s="42" t="s">
        <v>1081</v>
      </c>
      <c r="E23" s="42" t="s">
        <v>1096</v>
      </c>
      <c r="F23" s="42" t="s">
        <v>507</v>
      </c>
      <c r="G23" s="291"/>
      <c r="H23" s="353">
        <v>5127</v>
      </c>
      <c r="I23" s="38">
        <v>0</v>
      </c>
      <c r="J23" s="58">
        <v>1624.7902000000001</v>
      </c>
      <c r="K23" s="58">
        <v>3326.7414000000003</v>
      </c>
      <c r="L23" s="354">
        <v>2</v>
      </c>
      <c r="M23" s="352">
        <v>6</v>
      </c>
      <c r="N23" s="354" t="s">
        <v>499</v>
      </c>
      <c r="O23" s="41">
        <v>16</v>
      </c>
      <c r="P23" s="354">
        <v>2</v>
      </c>
      <c r="Q23" s="41">
        <v>13.6</v>
      </c>
      <c r="R23" s="354" t="s">
        <v>500</v>
      </c>
      <c r="S23" s="41">
        <v>28</v>
      </c>
      <c r="T23" s="46">
        <v>16.535433070866144</v>
      </c>
      <c r="U23" s="46">
        <v>75.984251968503941</v>
      </c>
      <c r="V23" s="47">
        <v>0.89861673754291194</v>
      </c>
    </row>
    <row r="24" spans="1:26" ht="12.75" outlineLevel="1">
      <c r="A24" s="374">
        <f t="shared" si="2"/>
        <v>18</v>
      </c>
      <c r="B24" s="42" t="str">
        <f t="shared" si="3"/>
        <v>MASSEY FERGUSON 360-8 SP  MFWD__________ 52pto hp</v>
      </c>
      <c r="C24" s="352">
        <v>52.298999999999999</v>
      </c>
      <c r="D24" s="42" t="s">
        <v>1081</v>
      </c>
      <c r="E24" s="42" t="s">
        <v>1099</v>
      </c>
      <c r="F24" s="42" t="s">
        <v>497</v>
      </c>
      <c r="G24" s="291"/>
      <c r="H24" s="353">
        <v>5030</v>
      </c>
      <c r="I24" s="38" t="s">
        <v>556</v>
      </c>
      <c r="J24" s="58">
        <v>2330.2622000000001</v>
      </c>
      <c r="K24" s="58">
        <v>3150.3733999999999</v>
      </c>
      <c r="L24" s="354">
        <v>2</v>
      </c>
      <c r="M24" s="352">
        <v>8.3000000000000007</v>
      </c>
      <c r="N24" s="354" t="s">
        <v>500</v>
      </c>
      <c r="O24" s="41">
        <v>24</v>
      </c>
      <c r="P24" s="354">
        <v>2</v>
      </c>
      <c r="Q24" s="41">
        <v>13.6</v>
      </c>
      <c r="R24" s="354" t="s">
        <v>500</v>
      </c>
      <c r="S24" s="41">
        <v>28</v>
      </c>
      <c r="T24" s="46">
        <v>8.8582677165354333</v>
      </c>
      <c r="U24" s="46">
        <v>83.937007874015748</v>
      </c>
      <c r="V24" s="47">
        <v>0.84338339371896409</v>
      </c>
    </row>
    <row r="25" spans="1:26" ht="12.75" outlineLevel="1">
      <c r="A25" s="374">
        <f t="shared" si="2"/>
        <v>19</v>
      </c>
      <c r="B25" s="42" t="str">
        <f t="shared" si="3"/>
        <v>MASSEY FERGUSON 360-8 SP  2WD___________ 53pto hp</v>
      </c>
      <c r="C25" s="352">
        <v>52.701299999999996</v>
      </c>
      <c r="D25" s="42" t="s">
        <v>1081</v>
      </c>
      <c r="E25" s="42" t="s">
        <v>1099</v>
      </c>
      <c r="F25" s="42" t="s">
        <v>507</v>
      </c>
      <c r="G25" s="291"/>
      <c r="H25" s="353">
        <v>5029</v>
      </c>
      <c r="I25" s="38" t="s">
        <v>556</v>
      </c>
      <c r="J25" s="58">
        <v>1785.7260000000001</v>
      </c>
      <c r="K25" s="58">
        <v>3337.7644</v>
      </c>
      <c r="L25" s="354">
        <v>2</v>
      </c>
      <c r="M25" s="352">
        <v>6</v>
      </c>
      <c r="N25" s="354" t="s">
        <v>499</v>
      </c>
      <c r="O25" s="41">
        <v>16</v>
      </c>
      <c r="P25" s="354">
        <v>2</v>
      </c>
      <c r="Q25" s="41">
        <v>13.6</v>
      </c>
      <c r="R25" s="354" t="s">
        <v>500</v>
      </c>
      <c r="S25" s="41">
        <v>28</v>
      </c>
      <c r="T25" s="46">
        <v>15.354330708661418</v>
      </c>
      <c r="U25" s="46">
        <v>76.102362204724415</v>
      </c>
      <c r="V25" s="47">
        <v>0.84104802584232885</v>
      </c>
    </row>
    <row r="26" spans="1:26" ht="12.75" outlineLevel="1">
      <c r="A26" s="374">
        <f t="shared" si="2"/>
        <v>20</v>
      </c>
      <c r="B26" s="42" t="str">
        <f t="shared" si="3"/>
        <v>MASSEY FERGUSON 263, 8-SP  MFWD_________ 53pto hp</v>
      </c>
      <c r="C26" s="352">
        <v>52.969499999999996</v>
      </c>
      <c r="D26" s="42" t="s">
        <v>1081</v>
      </c>
      <c r="E26" s="42" t="s">
        <v>1100</v>
      </c>
      <c r="F26" s="42" t="s">
        <v>497</v>
      </c>
      <c r="G26" s="291"/>
      <c r="H26" s="353">
        <v>5317</v>
      </c>
      <c r="I26" s="38" t="s">
        <v>1098</v>
      </c>
      <c r="J26" s="58">
        <v>2085.5516000000002</v>
      </c>
      <c r="K26" s="58">
        <v>3190.0562</v>
      </c>
      <c r="L26" s="354">
        <v>2</v>
      </c>
      <c r="M26" s="352">
        <v>300</v>
      </c>
      <c r="N26" s="291" t="s">
        <v>614</v>
      </c>
      <c r="O26" s="41">
        <v>20</v>
      </c>
      <c r="P26" s="354">
        <v>2</v>
      </c>
      <c r="Q26" s="41">
        <v>14.9</v>
      </c>
      <c r="R26" s="354" t="s">
        <v>500</v>
      </c>
      <c r="S26" s="41">
        <v>28</v>
      </c>
      <c r="T26" s="46">
        <v>18.503937007874018</v>
      </c>
      <c r="U26" s="46">
        <v>75.984251968503941</v>
      </c>
      <c r="V26" s="47">
        <v>0.86536285669749269</v>
      </c>
    </row>
    <row r="27" spans="1:26" ht="12.75" outlineLevel="1">
      <c r="A27" s="374">
        <f t="shared" si="2"/>
        <v>21</v>
      </c>
      <c r="B27" s="42" t="str">
        <f t="shared" si="3"/>
        <v>MASSEY FERGUSON 362-8 SP  MFWD__________ 55pto hp</v>
      </c>
      <c r="C27" s="352">
        <v>55.115099999999998</v>
      </c>
      <c r="D27" s="42" t="s">
        <v>1081</v>
      </c>
      <c r="E27" s="42" t="s">
        <v>1101</v>
      </c>
      <c r="F27" s="42" t="s">
        <v>497</v>
      </c>
      <c r="G27" s="291"/>
      <c r="H27" s="353">
        <v>5073</v>
      </c>
      <c r="I27" s="38" t="s">
        <v>499</v>
      </c>
      <c r="J27" s="58">
        <v>2546.3130000000001</v>
      </c>
      <c r="K27" s="58">
        <v>3630.9762000000001</v>
      </c>
      <c r="L27" s="354">
        <v>2</v>
      </c>
      <c r="M27" s="352">
        <v>11.2</v>
      </c>
      <c r="N27" s="354" t="s">
        <v>500</v>
      </c>
      <c r="O27" s="41">
        <v>24</v>
      </c>
      <c r="P27" s="354">
        <v>2</v>
      </c>
      <c r="Q27" s="41">
        <v>14.9</v>
      </c>
      <c r="R27" s="41" t="s">
        <v>481</v>
      </c>
      <c r="S27" s="41">
        <v>28</v>
      </c>
      <c r="T27" s="46">
        <v>9.0551181102362204</v>
      </c>
      <c r="U27" s="46">
        <v>86.968503937007881</v>
      </c>
      <c r="V27" s="47">
        <v>0.86502021543416729</v>
      </c>
    </row>
    <row r="28" spans="1:26" ht="12.75" outlineLevel="1">
      <c r="A28" s="374">
        <f t="shared" si="2"/>
        <v>22</v>
      </c>
      <c r="B28" s="42" t="str">
        <f t="shared" si="3"/>
        <v>MASSEY FERGUSON MF274  MFWD_____________ 55pto hp</v>
      </c>
      <c r="C28" s="352">
        <v>55.383299999999998</v>
      </c>
      <c r="D28" s="42" t="s">
        <v>1081</v>
      </c>
      <c r="E28" s="42" t="s">
        <v>1102</v>
      </c>
      <c r="F28" s="42" t="s">
        <v>497</v>
      </c>
      <c r="G28" s="291"/>
      <c r="H28" s="353">
        <v>1479</v>
      </c>
      <c r="I28" s="38" t="s">
        <v>499</v>
      </c>
      <c r="J28" s="58">
        <v>2500.0164</v>
      </c>
      <c r="K28" s="58">
        <v>3485.4726000000001</v>
      </c>
      <c r="L28" s="354">
        <v>2</v>
      </c>
      <c r="M28" s="352">
        <v>11.2</v>
      </c>
      <c r="N28" s="354" t="s">
        <v>500</v>
      </c>
      <c r="O28" s="41">
        <v>24</v>
      </c>
      <c r="P28" s="354">
        <v>2</v>
      </c>
      <c r="Q28" s="41">
        <v>16.899999999999999</v>
      </c>
      <c r="R28" s="354" t="s">
        <v>500</v>
      </c>
      <c r="S28" s="41">
        <v>30</v>
      </c>
      <c r="T28" s="46">
        <v>17.519685039370081</v>
      </c>
      <c r="U28" s="46">
        <v>87.480314960629926</v>
      </c>
      <c r="V28" s="47">
        <v>0.91782960626095655</v>
      </c>
    </row>
    <row r="29" spans="1:26" ht="12.75" outlineLevel="1">
      <c r="A29" s="374">
        <f t="shared" si="2"/>
        <v>23</v>
      </c>
      <c r="B29" s="42" t="str">
        <f t="shared" si="3"/>
        <v>MASSEY FERGUSON 670/270-12 SP  MFWD_____ 56pto hp</v>
      </c>
      <c r="C29" s="352">
        <v>55.624679999999998</v>
      </c>
      <c r="D29" s="42" t="s">
        <v>1081</v>
      </c>
      <c r="E29" s="42" t="s">
        <v>1103</v>
      </c>
      <c r="F29" s="42" t="s">
        <v>497</v>
      </c>
      <c r="G29" s="291"/>
      <c r="H29" s="353">
        <v>1538</v>
      </c>
      <c r="I29" s="38" t="s">
        <v>499</v>
      </c>
      <c r="J29" s="58">
        <v>3240.7620000000002</v>
      </c>
      <c r="K29" s="58">
        <v>5478.4310000000005</v>
      </c>
      <c r="L29" s="354">
        <v>2</v>
      </c>
      <c r="M29" s="352">
        <v>11.2</v>
      </c>
      <c r="N29" s="354" t="s">
        <v>500</v>
      </c>
      <c r="O29" s="41">
        <v>24</v>
      </c>
      <c r="P29" s="354">
        <v>2</v>
      </c>
      <c r="Q29" s="41">
        <v>16.899999999999999</v>
      </c>
      <c r="R29" s="354" t="s">
        <v>500</v>
      </c>
      <c r="S29" s="41">
        <v>30</v>
      </c>
      <c r="T29" s="46">
        <v>16.929133858267718</v>
      </c>
      <c r="U29" s="46">
        <v>90</v>
      </c>
      <c r="V29" s="47">
        <v>0.89849287004218936</v>
      </c>
    </row>
    <row r="30" spans="1:26" ht="12.75" outlineLevel="1">
      <c r="A30" s="374">
        <f t="shared" si="2"/>
        <v>24</v>
      </c>
      <c r="B30" s="42" t="str">
        <f t="shared" si="3"/>
        <v>MASSEY FERGUSON MF270-8 SP  2WD_________ 56pto hp</v>
      </c>
      <c r="C30" s="352">
        <v>55.839239999999997</v>
      </c>
      <c r="D30" s="42" t="s">
        <v>1081</v>
      </c>
      <c r="E30" s="42" t="s">
        <v>1104</v>
      </c>
      <c r="F30" s="42" t="s">
        <v>507</v>
      </c>
      <c r="G30" s="291"/>
      <c r="H30" s="353">
        <v>1521</v>
      </c>
      <c r="I30" s="38">
        <v>0</v>
      </c>
      <c r="J30" s="58">
        <v>2204.6</v>
      </c>
      <c r="K30" s="58">
        <v>4695.7980000000007</v>
      </c>
      <c r="L30" s="354">
        <v>2</v>
      </c>
      <c r="M30" s="352">
        <v>7.5</v>
      </c>
      <c r="N30" s="354" t="s">
        <v>499</v>
      </c>
      <c r="O30" s="41">
        <v>15</v>
      </c>
      <c r="P30" s="354">
        <v>2</v>
      </c>
      <c r="Q30" s="41">
        <v>16.899999999999999</v>
      </c>
      <c r="R30" s="354" t="s">
        <v>500</v>
      </c>
      <c r="S30" s="41">
        <v>30</v>
      </c>
      <c r="T30" s="46">
        <v>19.488188976377955</v>
      </c>
      <c r="U30" s="46">
        <v>84.015748031496074</v>
      </c>
      <c r="V30" s="47">
        <v>0.89562126581255064</v>
      </c>
    </row>
    <row r="31" spans="1:26" ht="12.75" outlineLevel="1">
      <c r="A31" s="374">
        <f t="shared" si="2"/>
        <v>25</v>
      </c>
      <c r="B31" s="42" t="str">
        <f t="shared" si="3"/>
        <v>MASSEY FERGUSON 4225, 12-SP  MFWD_______ 56pto hp</v>
      </c>
      <c r="C31" s="352">
        <v>56.053799999999995</v>
      </c>
      <c r="D31" s="42" t="s">
        <v>1081</v>
      </c>
      <c r="E31" s="42" t="s">
        <v>1105</v>
      </c>
      <c r="F31" s="42" t="s">
        <v>497</v>
      </c>
      <c r="G31" s="291"/>
      <c r="H31" s="353">
        <v>5276</v>
      </c>
      <c r="I31" s="38" t="s">
        <v>529</v>
      </c>
      <c r="J31" s="58">
        <v>3064.3940000000002</v>
      </c>
      <c r="K31" s="58">
        <v>4728.8670000000002</v>
      </c>
      <c r="L31" s="354">
        <v>2</v>
      </c>
      <c r="M31" s="352">
        <v>360</v>
      </c>
      <c r="N31" s="291" t="s">
        <v>614</v>
      </c>
      <c r="O31" s="41">
        <v>24</v>
      </c>
      <c r="P31" s="354">
        <v>2</v>
      </c>
      <c r="Q31" s="41">
        <v>18.399999999999999</v>
      </c>
      <c r="R31" s="41" t="s">
        <v>481</v>
      </c>
      <c r="S31" s="41">
        <v>30</v>
      </c>
      <c r="T31" s="46">
        <v>19.291338582677167</v>
      </c>
      <c r="U31" s="46">
        <v>92.519685039370088</v>
      </c>
      <c r="V31" s="47">
        <v>0.81967584616825173</v>
      </c>
    </row>
    <row r="32" spans="1:26" ht="12.75" outlineLevel="1">
      <c r="A32" s="374">
        <f t="shared" si="2"/>
        <v>26</v>
      </c>
      <c r="B32" s="42" t="str">
        <f t="shared" si="3"/>
        <v>MASSEY FERGUSON 375-24 MULT SP  2WD_____ 62pto hp</v>
      </c>
      <c r="C32" s="352">
        <v>62.222399999999993</v>
      </c>
      <c r="D32" s="42" t="s">
        <v>1081</v>
      </c>
      <c r="E32" s="42" t="s">
        <v>1106</v>
      </c>
      <c r="F32" s="42" t="s">
        <v>507</v>
      </c>
      <c r="G32" s="291"/>
      <c r="H32" s="353">
        <v>5031</v>
      </c>
      <c r="I32" s="38" t="s">
        <v>556</v>
      </c>
      <c r="J32" s="58">
        <v>2477.9704000000002</v>
      </c>
      <c r="K32" s="58">
        <v>4107.1698000000006</v>
      </c>
      <c r="L32" s="354">
        <v>2</v>
      </c>
      <c r="M32" s="352">
        <v>7.5</v>
      </c>
      <c r="N32" s="354" t="s">
        <v>499</v>
      </c>
      <c r="O32" s="41">
        <v>16</v>
      </c>
      <c r="P32" s="354">
        <v>2</v>
      </c>
      <c r="Q32" s="41">
        <v>16.899999999999999</v>
      </c>
      <c r="R32" s="354" t="s">
        <v>500</v>
      </c>
      <c r="S32" s="41">
        <v>30</v>
      </c>
      <c r="T32" s="46">
        <v>18.897637795275593</v>
      </c>
      <c r="U32" s="46">
        <v>84.094488188976385</v>
      </c>
      <c r="V32" s="47">
        <v>0.87914806729895845</v>
      </c>
    </row>
    <row r="33" spans="1:22" ht="12.75" outlineLevel="1">
      <c r="A33" s="374">
        <f t="shared" si="2"/>
        <v>27</v>
      </c>
      <c r="B33" s="42" t="str">
        <f t="shared" si="3"/>
        <v>MASSEY FERGUSON 184-4  MFWD_____________ 62pto hp</v>
      </c>
      <c r="C33" s="352">
        <v>62.450369999999999</v>
      </c>
      <c r="D33" s="42" t="s">
        <v>1081</v>
      </c>
      <c r="E33" s="42" t="s">
        <v>1107</v>
      </c>
      <c r="F33" s="42" t="s">
        <v>497</v>
      </c>
      <c r="G33" s="291"/>
      <c r="H33" s="353">
        <v>1392</v>
      </c>
      <c r="I33" s="38" t="s">
        <v>510</v>
      </c>
      <c r="J33" s="58">
        <v>2500.0164</v>
      </c>
      <c r="K33" s="58">
        <v>3880.096</v>
      </c>
      <c r="L33" s="354">
        <v>2</v>
      </c>
      <c r="M33" s="352">
        <v>11.2</v>
      </c>
      <c r="N33" s="354" t="s">
        <v>500</v>
      </c>
      <c r="O33" s="41">
        <v>24</v>
      </c>
      <c r="P33" s="354">
        <v>2</v>
      </c>
      <c r="Q33" s="41">
        <v>16.899999999999999</v>
      </c>
      <c r="R33" s="354" t="s">
        <v>500</v>
      </c>
      <c r="S33" s="41">
        <v>30</v>
      </c>
      <c r="T33" s="46">
        <v>20.078740157480315</v>
      </c>
      <c r="U33" s="46">
        <v>87.00787401574803</v>
      </c>
      <c r="V33" s="47">
        <v>0.87264971043882189</v>
      </c>
    </row>
    <row r="34" spans="1:22" ht="12.75" outlineLevel="1">
      <c r="A34" s="374">
        <f t="shared" si="2"/>
        <v>28</v>
      </c>
      <c r="B34" s="42" t="str">
        <f t="shared" si="3"/>
        <v>MASSEY FERGUSON 184-4  MFWD_____________ 62pto hp</v>
      </c>
      <c r="C34" s="352">
        <v>62.450369999999999</v>
      </c>
      <c r="D34" s="42" t="s">
        <v>1081</v>
      </c>
      <c r="E34" s="42" t="s">
        <v>1107</v>
      </c>
      <c r="F34" s="42" t="s">
        <v>497</v>
      </c>
      <c r="G34" s="291"/>
      <c r="H34" s="353">
        <v>1392</v>
      </c>
      <c r="I34" s="38" t="s">
        <v>499</v>
      </c>
      <c r="J34" s="58">
        <v>2500.0164</v>
      </c>
      <c r="K34" s="58">
        <v>3880.096</v>
      </c>
      <c r="L34" s="354">
        <v>2</v>
      </c>
      <c r="M34" s="352">
        <v>11.2</v>
      </c>
      <c r="N34" s="354" t="s">
        <v>500</v>
      </c>
      <c r="O34" s="41">
        <v>24</v>
      </c>
      <c r="P34" s="354">
        <v>2</v>
      </c>
      <c r="Q34" s="41">
        <v>16.899999999999999</v>
      </c>
      <c r="R34" s="354" t="s">
        <v>500</v>
      </c>
      <c r="S34" s="41">
        <v>30</v>
      </c>
      <c r="T34" s="46">
        <v>20.078740157480315</v>
      </c>
      <c r="U34" s="46">
        <v>87.00787401574803</v>
      </c>
      <c r="V34" s="47">
        <v>0.88355566793885087</v>
      </c>
    </row>
    <row r="35" spans="1:22" ht="12.75" outlineLevel="1">
      <c r="A35" s="374">
        <f t="shared" si="2"/>
        <v>29</v>
      </c>
      <c r="B35" s="42" t="str">
        <f t="shared" si="3"/>
        <v>MASSEY FERGUSON 375-12 SYNC SP  MFWD____ 63pto hp</v>
      </c>
      <c r="C35" s="352">
        <v>62.892899999999997</v>
      </c>
      <c r="D35" s="42" t="s">
        <v>1081</v>
      </c>
      <c r="E35" s="42" t="s">
        <v>1108</v>
      </c>
      <c r="F35" s="42" t="s">
        <v>497</v>
      </c>
      <c r="G35" s="291"/>
      <c r="H35" s="353">
        <v>5032</v>
      </c>
      <c r="I35" s="38" t="s">
        <v>556</v>
      </c>
      <c r="J35" s="58">
        <v>2996.0514000000003</v>
      </c>
      <c r="K35" s="58">
        <v>4354.085</v>
      </c>
      <c r="L35" s="354">
        <v>2</v>
      </c>
      <c r="M35" s="352">
        <v>11.2</v>
      </c>
      <c r="N35" s="354" t="s">
        <v>500</v>
      </c>
      <c r="O35" s="41">
        <v>24</v>
      </c>
      <c r="P35" s="354">
        <v>2</v>
      </c>
      <c r="Q35" s="41">
        <v>16.899999999999999</v>
      </c>
      <c r="R35" s="354" t="s">
        <v>500</v>
      </c>
      <c r="S35" s="41">
        <v>30</v>
      </c>
      <c r="T35" s="46">
        <v>12.598425196850394</v>
      </c>
      <c r="U35" s="46">
        <v>92.519685039370088</v>
      </c>
      <c r="V35" s="47">
        <v>0.84571055221160407</v>
      </c>
    </row>
    <row r="36" spans="1:22" ht="12.75" outlineLevel="1">
      <c r="A36" s="374">
        <f t="shared" si="2"/>
        <v>30</v>
      </c>
      <c r="B36" s="42" t="str">
        <f t="shared" si="3"/>
        <v>MASSEY FERGUSON 4235, 18-SP  MFWD_______ 63pto hp</v>
      </c>
      <c r="C36" s="352">
        <v>63.161099999999998</v>
      </c>
      <c r="D36" s="42" t="s">
        <v>1081</v>
      </c>
      <c r="E36" s="42" t="s">
        <v>1109</v>
      </c>
      <c r="F36" s="42" t="s">
        <v>497</v>
      </c>
      <c r="G36" s="291"/>
      <c r="H36" s="353">
        <v>5277</v>
      </c>
      <c r="I36" s="38" t="s">
        <v>529</v>
      </c>
      <c r="J36" s="58">
        <v>3364.2196000000004</v>
      </c>
      <c r="K36" s="58">
        <v>4986.8052000000007</v>
      </c>
      <c r="L36" s="354">
        <v>2</v>
      </c>
      <c r="M36" s="352">
        <v>14.9</v>
      </c>
      <c r="N36" s="41" t="s">
        <v>481</v>
      </c>
      <c r="O36" s="41">
        <v>24</v>
      </c>
      <c r="P36" s="354">
        <v>2</v>
      </c>
      <c r="Q36" s="41">
        <v>18.399999999999999</v>
      </c>
      <c r="R36" s="41" t="s">
        <v>481</v>
      </c>
      <c r="S36" s="41">
        <v>34</v>
      </c>
      <c r="T36" s="46">
        <v>20.866141732283467</v>
      </c>
      <c r="U36" s="46">
        <v>92.519685039370088</v>
      </c>
      <c r="V36" s="47">
        <v>0.88319842092338141</v>
      </c>
    </row>
    <row r="37" spans="1:22" ht="12.75" outlineLevel="1">
      <c r="A37" s="374">
        <f t="shared" si="2"/>
        <v>31</v>
      </c>
      <c r="B37" s="42" t="str">
        <f t="shared" si="3"/>
        <v>MASSEY FERGUSON 690-12 SP  MFWD_________ 66pto hp</v>
      </c>
      <c r="C37" s="352">
        <v>65.682179999999988</v>
      </c>
      <c r="D37" s="42" t="s">
        <v>1081</v>
      </c>
      <c r="E37" s="42" t="s">
        <v>1110</v>
      </c>
      <c r="F37" s="42" t="s">
        <v>497</v>
      </c>
      <c r="G37" s="291"/>
      <c r="H37" s="353">
        <v>1539</v>
      </c>
      <c r="I37" s="38" t="s">
        <v>499</v>
      </c>
      <c r="J37" s="58">
        <v>3500.9048000000003</v>
      </c>
      <c r="K37" s="58">
        <v>4519.43</v>
      </c>
      <c r="L37" s="354">
        <v>2</v>
      </c>
      <c r="M37" s="352">
        <v>13.6</v>
      </c>
      <c r="N37" s="354" t="s">
        <v>500</v>
      </c>
      <c r="O37" s="41">
        <v>24</v>
      </c>
      <c r="P37" s="354">
        <v>2</v>
      </c>
      <c r="Q37" s="41">
        <v>18.399999999999999</v>
      </c>
      <c r="R37" s="354" t="s">
        <v>500</v>
      </c>
      <c r="S37" s="41">
        <v>30</v>
      </c>
      <c r="T37" s="46">
        <v>16.929133858267718</v>
      </c>
      <c r="U37" s="46">
        <v>90</v>
      </c>
      <c r="V37" s="47">
        <v>0.86213683874419267</v>
      </c>
    </row>
    <row r="38" spans="1:22" ht="12.75" outlineLevel="1">
      <c r="A38" s="374">
        <f t="shared" si="2"/>
        <v>32</v>
      </c>
      <c r="B38" s="42" t="str">
        <f t="shared" si="3"/>
        <v>MASSEY FERGUSON MF290-12 SP  2WD________ 66pto hp</v>
      </c>
      <c r="C38" s="352">
        <v>65.923559999999995</v>
      </c>
      <c r="D38" s="42" t="s">
        <v>1081</v>
      </c>
      <c r="E38" s="42" t="s">
        <v>1111</v>
      </c>
      <c r="F38" s="42" t="s">
        <v>507</v>
      </c>
      <c r="G38" s="291"/>
      <c r="H38" s="353">
        <v>1522</v>
      </c>
      <c r="I38" s="38">
        <v>0</v>
      </c>
      <c r="J38" s="58">
        <v>2215.623</v>
      </c>
      <c r="K38" s="58">
        <v>3725.7740000000003</v>
      </c>
      <c r="L38" s="354">
        <v>2</v>
      </c>
      <c r="M38" s="352">
        <v>7.5</v>
      </c>
      <c r="N38" s="354" t="s">
        <v>499</v>
      </c>
      <c r="O38" s="41">
        <v>16</v>
      </c>
      <c r="P38" s="354">
        <v>2</v>
      </c>
      <c r="Q38" s="41">
        <v>18.399999999999999</v>
      </c>
      <c r="R38" s="354" t="s">
        <v>500</v>
      </c>
      <c r="S38" s="41">
        <v>30</v>
      </c>
      <c r="T38" s="46">
        <v>15.94488188976378</v>
      </c>
      <c r="U38" s="46">
        <v>84.015748031496074</v>
      </c>
      <c r="V38" s="47">
        <v>0.90719320081326627</v>
      </c>
    </row>
    <row r="39" spans="1:22" ht="12.75" outlineLevel="1">
      <c r="A39" s="374">
        <f t="shared" si="2"/>
        <v>33</v>
      </c>
      <c r="B39" s="42" t="str">
        <f t="shared" ref="B39:B54" si="4">CONCATENATE( LEFT(CONCATENATE(D39," ",E39," ",G39," ",F39,$W$5),40)," ",FIXED(C39,0),"pto hp")</f>
        <v>MASSEY FERGUSON MF294  MFWD_____________ 67pto hp</v>
      </c>
      <c r="C39" s="352">
        <v>67.385249999999999</v>
      </c>
      <c r="D39" s="42" t="s">
        <v>1081</v>
      </c>
      <c r="E39" s="42" t="s">
        <v>1112</v>
      </c>
      <c r="F39" s="42" t="s">
        <v>497</v>
      </c>
      <c r="G39" s="291"/>
      <c r="H39" s="353">
        <v>1480</v>
      </c>
      <c r="I39" s="38" t="s">
        <v>499</v>
      </c>
      <c r="J39" s="58">
        <v>2689.6120000000001</v>
      </c>
      <c r="K39" s="58">
        <v>4030.0088000000001</v>
      </c>
      <c r="L39" s="354">
        <v>2</v>
      </c>
      <c r="M39" s="352">
        <v>12.4</v>
      </c>
      <c r="N39" s="354" t="s">
        <v>500</v>
      </c>
      <c r="O39" s="41">
        <v>24</v>
      </c>
      <c r="P39" s="354">
        <v>2</v>
      </c>
      <c r="Q39" s="41">
        <v>18.399999999999999</v>
      </c>
      <c r="R39" s="354" t="s">
        <v>500</v>
      </c>
      <c r="S39" s="41">
        <v>30</v>
      </c>
      <c r="T39" s="46">
        <v>18.503937007874018</v>
      </c>
      <c r="U39" s="46">
        <v>87.244094488188978</v>
      </c>
      <c r="V39" s="47">
        <v>0.90227460757361588</v>
      </c>
    </row>
    <row r="40" spans="1:22" ht="12.75" outlineLevel="1">
      <c r="A40" s="374">
        <f t="shared" ref="A40:A71" si="5">A39+1</f>
        <v>34</v>
      </c>
      <c r="B40" s="42" t="str">
        <f t="shared" si="4"/>
        <v>MASSEY FERGUSON 3060-32 SP  MFWD________ 70pto hp</v>
      </c>
      <c r="C40" s="352">
        <v>69.731999999999999</v>
      </c>
      <c r="D40" s="42" t="s">
        <v>1081</v>
      </c>
      <c r="E40" s="42" t="s">
        <v>1113</v>
      </c>
      <c r="F40" s="42" t="s">
        <v>497</v>
      </c>
      <c r="G40" s="291"/>
      <c r="H40" s="353">
        <v>5010</v>
      </c>
      <c r="I40" s="38">
        <v>0</v>
      </c>
      <c r="J40" s="58">
        <v>3240.7620000000002</v>
      </c>
      <c r="K40" s="58">
        <v>5742.9830000000002</v>
      </c>
      <c r="L40" s="354">
        <v>2</v>
      </c>
      <c r="M40" s="352">
        <v>12.4</v>
      </c>
      <c r="N40" s="354" t="s">
        <v>500</v>
      </c>
      <c r="O40" s="41">
        <v>24</v>
      </c>
      <c r="P40" s="354">
        <v>2</v>
      </c>
      <c r="Q40" s="41">
        <v>18.399999999999999</v>
      </c>
      <c r="R40" s="354" t="s">
        <v>500</v>
      </c>
      <c r="S40" s="41">
        <v>30</v>
      </c>
      <c r="T40" s="46">
        <v>19.291338582677167</v>
      </c>
      <c r="U40" s="46">
        <v>93.425196850393704</v>
      </c>
      <c r="V40" s="47">
        <v>0.89764519294720635</v>
      </c>
    </row>
    <row r="41" spans="1:22" ht="12.75" outlineLevel="1">
      <c r="A41" s="374">
        <f t="shared" si="5"/>
        <v>35</v>
      </c>
      <c r="B41" s="42" t="str">
        <f t="shared" si="4"/>
        <v>MASSEY FERGUSON 3060-32 SP  2WD_________ 70pto hp</v>
      </c>
      <c r="C41" s="352">
        <v>69.731999999999999</v>
      </c>
      <c r="D41" s="42" t="s">
        <v>1081</v>
      </c>
      <c r="E41" s="42" t="s">
        <v>1113</v>
      </c>
      <c r="F41" s="42" t="s">
        <v>507</v>
      </c>
      <c r="G41" s="291"/>
      <c r="H41" s="353">
        <v>5009</v>
      </c>
      <c r="I41" s="38">
        <v>0</v>
      </c>
      <c r="J41" s="58">
        <v>2733.7040000000002</v>
      </c>
      <c r="K41" s="58">
        <v>5687.8680000000004</v>
      </c>
      <c r="L41" s="354">
        <v>2</v>
      </c>
      <c r="M41" s="352">
        <v>7.5</v>
      </c>
      <c r="N41" s="354" t="s">
        <v>499</v>
      </c>
      <c r="O41" s="41">
        <v>16</v>
      </c>
      <c r="P41" s="354">
        <v>2</v>
      </c>
      <c r="Q41" s="41">
        <v>18.399999999999999</v>
      </c>
      <c r="R41" s="354" t="s">
        <v>500</v>
      </c>
      <c r="S41" s="41">
        <v>30</v>
      </c>
      <c r="T41" s="46">
        <v>29.527559055118111</v>
      </c>
      <c r="U41" s="46">
        <v>93.425196850393704</v>
      </c>
      <c r="V41" s="47">
        <v>0.8604371020478403</v>
      </c>
    </row>
    <row r="42" spans="1:22" ht="12.75" outlineLevel="1">
      <c r="A42" s="374">
        <f t="shared" si="5"/>
        <v>36</v>
      </c>
      <c r="B42" s="42" t="str">
        <f t="shared" si="4"/>
        <v>MASSEY FERGUSON 390-12 SYNC SP  MFWD____ 72pto hp</v>
      </c>
      <c r="C42" s="352">
        <v>71.609399999999994</v>
      </c>
      <c r="D42" s="42" t="s">
        <v>1081</v>
      </c>
      <c r="E42" s="42" t="s">
        <v>1114</v>
      </c>
      <c r="F42" s="42" t="s">
        <v>497</v>
      </c>
      <c r="G42" s="291"/>
      <c r="H42" s="353">
        <v>5034</v>
      </c>
      <c r="I42" s="38" t="s">
        <v>556</v>
      </c>
      <c r="J42" s="58">
        <v>3002.6652000000004</v>
      </c>
      <c r="K42" s="58">
        <v>4270.3101999999999</v>
      </c>
      <c r="L42" s="354">
        <v>2</v>
      </c>
      <c r="M42" s="352">
        <v>11.2</v>
      </c>
      <c r="N42" s="354" t="s">
        <v>500</v>
      </c>
      <c r="O42" s="41">
        <v>24</v>
      </c>
      <c r="P42" s="354">
        <v>2</v>
      </c>
      <c r="Q42" s="41">
        <v>16.899999999999999</v>
      </c>
      <c r="R42" s="354" t="s">
        <v>500</v>
      </c>
      <c r="S42" s="41">
        <v>30</v>
      </c>
      <c r="T42" s="46">
        <v>12.401574803149607</v>
      </c>
      <c r="U42" s="46">
        <v>92.519685039370088</v>
      </c>
      <c r="V42" s="47">
        <v>0.89524710594011558</v>
      </c>
    </row>
    <row r="43" spans="1:22" ht="12.75" outlineLevel="1">
      <c r="A43" s="374">
        <f t="shared" si="5"/>
        <v>37</v>
      </c>
      <c r="B43" s="42" t="str">
        <f t="shared" si="4"/>
        <v>MASSEY FERGUSON 390-12 MULT SP  2WD_____ 72pto hp</v>
      </c>
      <c r="C43" s="352">
        <v>72.414000000000001</v>
      </c>
      <c r="D43" s="42" t="s">
        <v>1081</v>
      </c>
      <c r="E43" s="42" t="s">
        <v>1115</v>
      </c>
      <c r="F43" s="42" t="s">
        <v>507</v>
      </c>
      <c r="G43" s="291"/>
      <c r="H43" s="353">
        <v>5033</v>
      </c>
      <c r="I43" s="38" t="s">
        <v>556</v>
      </c>
      <c r="J43" s="58">
        <v>2480.1750000000002</v>
      </c>
      <c r="K43" s="58">
        <v>4120.3973999999998</v>
      </c>
      <c r="L43" s="354">
        <v>2</v>
      </c>
      <c r="M43" s="352">
        <v>7.5</v>
      </c>
      <c r="N43" s="354" t="s">
        <v>499</v>
      </c>
      <c r="O43" s="41">
        <v>16</v>
      </c>
      <c r="P43" s="354">
        <v>2</v>
      </c>
      <c r="Q43" s="41">
        <v>16.899999999999999</v>
      </c>
      <c r="R43" s="354" t="s">
        <v>500</v>
      </c>
      <c r="S43" s="41">
        <v>30</v>
      </c>
      <c r="T43" s="46">
        <v>19.291338582677167</v>
      </c>
      <c r="U43" s="46">
        <v>84.094488188976385</v>
      </c>
      <c r="V43" s="47">
        <v>0.90022908814855107</v>
      </c>
    </row>
    <row r="44" spans="1:22" ht="12.75" outlineLevel="1">
      <c r="A44" s="374">
        <f t="shared" si="5"/>
        <v>38</v>
      </c>
      <c r="B44" s="42" t="str">
        <f t="shared" si="4"/>
        <v>MASSEY FERGUSON 4245, 12-SP  MFWD_______ 75pto hp</v>
      </c>
      <c r="C44" s="352">
        <v>75.230100000000007</v>
      </c>
      <c r="D44" s="42" t="s">
        <v>1081</v>
      </c>
      <c r="E44" s="42" t="s">
        <v>1116</v>
      </c>
      <c r="F44" s="42" t="s">
        <v>497</v>
      </c>
      <c r="G44" s="291"/>
      <c r="H44" s="353">
        <v>5278</v>
      </c>
      <c r="I44" s="38" t="s">
        <v>529</v>
      </c>
      <c r="J44" s="58">
        <v>3379.6518000000001</v>
      </c>
      <c r="K44" s="58">
        <v>5008.8512000000001</v>
      </c>
      <c r="L44" s="354">
        <v>2</v>
      </c>
      <c r="M44" s="352">
        <v>14.9</v>
      </c>
      <c r="N44" s="41" t="s">
        <v>481</v>
      </c>
      <c r="O44" s="41">
        <v>24</v>
      </c>
      <c r="P44" s="354">
        <v>2</v>
      </c>
      <c r="Q44" s="41">
        <v>18.399999999999999</v>
      </c>
      <c r="R44" s="41" t="s">
        <v>481</v>
      </c>
      <c r="S44" s="41">
        <v>34</v>
      </c>
      <c r="T44" s="46">
        <v>20.669291338582678</v>
      </c>
      <c r="U44" s="46">
        <v>92.519685039370088</v>
      </c>
      <c r="V44" s="47">
        <v>0.90820461921922624</v>
      </c>
    </row>
    <row r="45" spans="1:22" ht="12.75" outlineLevel="1">
      <c r="A45" s="374">
        <f t="shared" si="5"/>
        <v>39</v>
      </c>
      <c r="B45" s="42" t="str">
        <f t="shared" si="4"/>
        <v>MASSEY FERGUSON 6245, 32-SP  MFWD_______ 76pto hp</v>
      </c>
      <c r="C45" s="352">
        <v>75.766499999999994</v>
      </c>
      <c r="D45" s="42" t="s">
        <v>1081</v>
      </c>
      <c r="E45" s="42" t="s">
        <v>1117</v>
      </c>
      <c r="F45" s="42" t="s">
        <v>497</v>
      </c>
      <c r="G45" s="291"/>
      <c r="H45" s="353">
        <v>5300</v>
      </c>
      <c r="I45" s="38" t="s">
        <v>529</v>
      </c>
      <c r="J45" s="58">
        <v>3769.866</v>
      </c>
      <c r="K45" s="58">
        <v>5720.9369999999999</v>
      </c>
      <c r="L45" s="354">
        <v>2</v>
      </c>
      <c r="M45" s="352">
        <v>13.6</v>
      </c>
      <c r="N45" s="41" t="s">
        <v>481</v>
      </c>
      <c r="O45" s="41">
        <v>28</v>
      </c>
      <c r="P45" s="354">
        <v>2</v>
      </c>
      <c r="Q45" s="41">
        <v>16.899999999999999</v>
      </c>
      <c r="R45" s="41" t="s">
        <v>481</v>
      </c>
      <c r="S45" s="41">
        <v>38</v>
      </c>
      <c r="T45" s="46">
        <v>20.472440944881892</v>
      </c>
      <c r="U45" s="46">
        <v>97.007874015748044</v>
      </c>
      <c r="V45" s="47">
        <v>0.97026408126960484</v>
      </c>
    </row>
    <row r="46" spans="1:22" ht="12.75" outlineLevel="1">
      <c r="A46" s="374">
        <f t="shared" si="5"/>
        <v>40</v>
      </c>
      <c r="B46" s="42" t="str">
        <f t="shared" si="4"/>
        <v>MASSEY FERGUSON 698-12 SP  MFWD_________ 79pto hp</v>
      </c>
      <c r="C46" s="352">
        <v>78.837389999999999</v>
      </c>
      <c r="D46" s="42" t="s">
        <v>1081</v>
      </c>
      <c r="E46" s="42" t="s">
        <v>1118</v>
      </c>
      <c r="F46" s="42" t="s">
        <v>497</v>
      </c>
      <c r="G46" s="291"/>
      <c r="H46" s="353">
        <v>1540</v>
      </c>
      <c r="I46" s="38" t="s">
        <v>499</v>
      </c>
      <c r="J46" s="58">
        <v>3690.5004000000004</v>
      </c>
      <c r="K46" s="58">
        <v>6250.0410000000002</v>
      </c>
      <c r="L46" s="354">
        <v>2</v>
      </c>
      <c r="M46" s="352">
        <v>14.9</v>
      </c>
      <c r="N46" s="354" t="s">
        <v>500</v>
      </c>
      <c r="O46" s="41">
        <v>24</v>
      </c>
      <c r="P46" s="354">
        <v>2</v>
      </c>
      <c r="Q46" s="41">
        <v>18.399999999999999</v>
      </c>
      <c r="R46" s="354" t="s">
        <v>500</v>
      </c>
      <c r="S46" s="41">
        <v>34</v>
      </c>
      <c r="T46" s="46">
        <v>16.929133858267718</v>
      </c>
      <c r="U46" s="46">
        <v>95.984251968503941</v>
      </c>
      <c r="V46" s="47">
        <v>0.90271338977060966</v>
      </c>
    </row>
    <row r="47" spans="1:22" ht="12.75" outlineLevel="1">
      <c r="A47" s="374">
        <f t="shared" si="5"/>
        <v>41</v>
      </c>
      <c r="B47" s="42" t="str">
        <f t="shared" si="4"/>
        <v>MASSEY FERGUSON 298-12 SP  2WD__________ 79pto hp</v>
      </c>
      <c r="C47" s="352">
        <v>79.253100000000003</v>
      </c>
      <c r="D47" s="42" t="s">
        <v>1081</v>
      </c>
      <c r="E47" s="42" t="s">
        <v>1119</v>
      </c>
      <c r="F47" s="42" t="s">
        <v>507</v>
      </c>
      <c r="G47" s="291"/>
      <c r="H47" s="353">
        <v>1524</v>
      </c>
      <c r="I47" s="38">
        <v>0</v>
      </c>
      <c r="J47" s="58">
        <v>2614.6556</v>
      </c>
      <c r="K47" s="58">
        <v>5399.0654000000004</v>
      </c>
      <c r="L47" s="354">
        <v>2</v>
      </c>
      <c r="M47" s="352">
        <v>9.5</v>
      </c>
      <c r="N47" s="354" t="s">
        <v>499</v>
      </c>
      <c r="O47" s="41">
        <v>15</v>
      </c>
      <c r="P47" s="354">
        <v>2</v>
      </c>
      <c r="Q47" s="41">
        <v>18.399999999999999</v>
      </c>
      <c r="R47" s="354" t="s">
        <v>500</v>
      </c>
      <c r="S47" s="41">
        <v>34</v>
      </c>
      <c r="T47" s="46">
        <v>22.440944881889767</v>
      </c>
      <c r="U47" s="46">
        <v>95.984251968503941</v>
      </c>
      <c r="V47" s="47">
        <v>0.90193419665705288</v>
      </c>
    </row>
    <row r="48" spans="1:22" ht="12.75" outlineLevel="1">
      <c r="A48" s="374">
        <f t="shared" si="5"/>
        <v>42</v>
      </c>
      <c r="B48" s="42" t="str">
        <f t="shared" si="4"/>
        <v>MASSEY FERGUSON 298-8 SP  2WD___________ 80pto hp</v>
      </c>
      <c r="C48" s="352">
        <v>79.548119999999997</v>
      </c>
      <c r="D48" s="42" t="s">
        <v>1081</v>
      </c>
      <c r="E48" s="42" t="s">
        <v>1120</v>
      </c>
      <c r="F48" s="42" t="s">
        <v>507</v>
      </c>
      <c r="G48" s="291"/>
      <c r="H48" s="353">
        <v>1523</v>
      </c>
      <c r="I48" s="38">
        <v>0</v>
      </c>
      <c r="J48" s="58">
        <v>2614.6556</v>
      </c>
      <c r="K48" s="58">
        <v>5354.9733999999999</v>
      </c>
      <c r="L48" s="354">
        <v>2</v>
      </c>
      <c r="M48" s="352">
        <v>9.5</v>
      </c>
      <c r="N48" s="354" t="s">
        <v>499</v>
      </c>
      <c r="O48" s="41">
        <v>15</v>
      </c>
      <c r="P48" s="354">
        <v>2</v>
      </c>
      <c r="Q48" s="41">
        <v>18.399999999999999</v>
      </c>
      <c r="R48" s="354" t="s">
        <v>500</v>
      </c>
      <c r="S48" s="41">
        <v>34</v>
      </c>
      <c r="T48" s="46">
        <v>22.440944881889767</v>
      </c>
      <c r="U48" s="46">
        <v>95.984251968503941</v>
      </c>
      <c r="V48" s="47">
        <v>0.93079815391291765</v>
      </c>
    </row>
    <row r="49" spans="1:22" ht="12.75" outlineLevel="1">
      <c r="A49" s="374">
        <f t="shared" si="5"/>
        <v>43</v>
      </c>
      <c r="B49" s="42" t="str">
        <f t="shared" si="4"/>
        <v>MASSEY FERGUSON 390T-SYNC 12 SP  MFWD___ 80pto hp</v>
      </c>
      <c r="C49" s="352">
        <v>80.191800000000001</v>
      </c>
      <c r="D49" s="42" t="s">
        <v>1081</v>
      </c>
      <c r="E49" s="42" t="s">
        <v>1121</v>
      </c>
      <c r="F49" s="42" t="s">
        <v>497</v>
      </c>
      <c r="G49" s="291"/>
      <c r="H49" s="353">
        <v>5079</v>
      </c>
      <c r="I49" s="38" t="s">
        <v>499</v>
      </c>
      <c r="J49" s="58">
        <v>3090.8492000000001</v>
      </c>
      <c r="K49" s="58">
        <v>4437.8598000000002</v>
      </c>
      <c r="L49" s="354">
        <v>2</v>
      </c>
      <c r="M49" s="352">
        <v>11.2</v>
      </c>
      <c r="N49" s="354" t="s">
        <v>500</v>
      </c>
      <c r="O49" s="41">
        <v>24</v>
      </c>
      <c r="P49" s="354">
        <v>2</v>
      </c>
      <c r="Q49" s="41">
        <v>16.899999999999999</v>
      </c>
      <c r="R49" s="354" t="s">
        <v>500</v>
      </c>
      <c r="S49" s="41">
        <v>30</v>
      </c>
      <c r="T49" s="46">
        <v>12.401574803149607</v>
      </c>
      <c r="U49" s="46">
        <v>92.519685039370088</v>
      </c>
      <c r="V49" s="47">
        <v>0.87897374153574914</v>
      </c>
    </row>
    <row r="50" spans="1:22" ht="12.75" outlineLevel="1">
      <c r="A50" s="374">
        <f t="shared" si="5"/>
        <v>44</v>
      </c>
      <c r="B50" s="42" t="str">
        <f t="shared" si="4"/>
        <v>MASSEY FERGUSON 398-12 SP  MFWD_________ 80pto hp</v>
      </c>
      <c r="C50" s="352">
        <v>80.32589999999999</v>
      </c>
      <c r="D50" s="42" t="s">
        <v>1081</v>
      </c>
      <c r="E50" s="42" t="s">
        <v>1122</v>
      </c>
      <c r="F50" s="42" t="s">
        <v>497</v>
      </c>
      <c r="G50" s="291"/>
      <c r="H50" s="353">
        <v>5036</v>
      </c>
      <c r="I50" s="38">
        <v>0</v>
      </c>
      <c r="J50" s="58">
        <v>3251.7850000000003</v>
      </c>
      <c r="K50" s="58">
        <v>4508.4070000000002</v>
      </c>
      <c r="L50" s="354">
        <v>2</v>
      </c>
      <c r="M50" s="352">
        <v>14.9</v>
      </c>
      <c r="N50" s="354" t="s">
        <v>500</v>
      </c>
      <c r="O50" s="41">
        <v>24</v>
      </c>
      <c r="P50" s="354">
        <v>2</v>
      </c>
      <c r="Q50" s="41">
        <v>18.399999999999999</v>
      </c>
      <c r="R50" s="354" t="s">
        <v>500</v>
      </c>
      <c r="S50" s="41">
        <v>34</v>
      </c>
      <c r="T50" s="46">
        <v>14.173228346456694</v>
      </c>
      <c r="U50" s="46">
        <v>92.519685039370088</v>
      </c>
      <c r="V50" s="47">
        <v>0.87346873377282008</v>
      </c>
    </row>
    <row r="51" spans="1:22" ht="12.75" outlineLevel="1">
      <c r="A51" s="374">
        <f t="shared" si="5"/>
        <v>45</v>
      </c>
      <c r="B51" s="42" t="str">
        <f t="shared" si="4"/>
        <v>MASSEY FERGUSON 398-12 SP  2WD__________ 80pto hp</v>
      </c>
      <c r="C51" s="352">
        <v>80.32589999999999</v>
      </c>
      <c r="D51" s="42" t="s">
        <v>1081</v>
      </c>
      <c r="E51" s="42" t="s">
        <v>1122</v>
      </c>
      <c r="F51" s="42" t="s">
        <v>507</v>
      </c>
      <c r="G51" s="291"/>
      <c r="H51" s="353">
        <v>5035</v>
      </c>
      <c r="I51" s="38">
        <v>0</v>
      </c>
      <c r="J51" s="58">
        <v>2740.3178000000003</v>
      </c>
      <c r="K51" s="58">
        <v>4490.7701999999999</v>
      </c>
      <c r="L51" s="354">
        <v>2</v>
      </c>
      <c r="M51" s="352">
        <v>10</v>
      </c>
      <c r="N51" s="354" t="s">
        <v>499</v>
      </c>
      <c r="O51" s="41">
        <v>16</v>
      </c>
      <c r="P51" s="354">
        <v>2</v>
      </c>
      <c r="Q51" s="41">
        <v>18.399999999999999</v>
      </c>
      <c r="R51" s="354" t="s">
        <v>500</v>
      </c>
      <c r="S51" s="41">
        <v>34</v>
      </c>
      <c r="T51" s="46">
        <v>20.078740157480315</v>
      </c>
      <c r="U51" s="46">
        <v>90</v>
      </c>
      <c r="V51" s="47">
        <v>0.89904023753504436</v>
      </c>
    </row>
    <row r="52" spans="1:22" ht="12.75" outlineLevel="1">
      <c r="A52" s="374">
        <f t="shared" si="5"/>
        <v>46</v>
      </c>
      <c r="B52" s="42" t="str">
        <f t="shared" si="4"/>
        <v>MASSEY FERGUSON 3070-32 SP  MFWD________ 82pto hp</v>
      </c>
      <c r="C52" s="352">
        <v>82.203299999999999</v>
      </c>
      <c r="D52" s="42" t="s">
        <v>1081</v>
      </c>
      <c r="E52" s="42" t="s">
        <v>1123</v>
      </c>
      <c r="F52" s="42" t="s">
        <v>497</v>
      </c>
      <c r="G52" s="291"/>
      <c r="H52" s="353">
        <v>5012</v>
      </c>
      <c r="I52" s="38">
        <v>0</v>
      </c>
      <c r="J52" s="58">
        <v>3560.4290000000001</v>
      </c>
      <c r="K52" s="58">
        <v>5941.3969999999999</v>
      </c>
      <c r="L52" s="354">
        <v>2</v>
      </c>
      <c r="M52" s="352">
        <v>14.9</v>
      </c>
      <c r="N52" s="354" t="s">
        <v>500</v>
      </c>
      <c r="O52" s="41">
        <v>24</v>
      </c>
      <c r="P52" s="354">
        <v>2</v>
      </c>
      <c r="Q52" s="41">
        <v>18.399999999999999</v>
      </c>
      <c r="R52" s="354" t="s">
        <v>500</v>
      </c>
      <c r="S52" s="41">
        <v>34</v>
      </c>
      <c r="T52" s="46">
        <v>20.078740157480315</v>
      </c>
      <c r="U52" s="46">
        <v>96.929133858267718</v>
      </c>
      <c r="V52" s="47">
        <v>0.9534699747866372</v>
      </c>
    </row>
    <row r="53" spans="1:22" ht="12.75" outlineLevel="1">
      <c r="A53" s="374">
        <f t="shared" si="5"/>
        <v>47</v>
      </c>
      <c r="B53" s="42" t="str">
        <f t="shared" si="4"/>
        <v>MASSEY FERGUSON 3070-32 SP  2WD_________ 82pto hp</v>
      </c>
      <c r="C53" s="352">
        <v>82.203299999999999</v>
      </c>
      <c r="D53" s="42" t="s">
        <v>1081</v>
      </c>
      <c r="E53" s="42" t="s">
        <v>1123</v>
      </c>
      <c r="F53" s="42" t="s">
        <v>507</v>
      </c>
      <c r="G53" s="291"/>
      <c r="H53" s="353">
        <v>5011</v>
      </c>
      <c r="I53" s="38">
        <v>0</v>
      </c>
      <c r="J53" s="58">
        <v>3042.348</v>
      </c>
      <c r="K53" s="58">
        <v>5941.3969999999999</v>
      </c>
      <c r="L53" s="354">
        <v>2</v>
      </c>
      <c r="M53" s="352">
        <v>10</v>
      </c>
      <c r="N53" s="354" t="s">
        <v>499</v>
      </c>
      <c r="O53" s="41">
        <v>16</v>
      </c>
      <c r="P53" s="354">
        <v>2</v>
      </c>
      <c r="Q53" s="41">
        <v>18.399999999999999</v>
      </c>
      <c r="R53" s="354" t="s">
        <v>500</v>
      </c>
      <c r="S53" s="41">
        <v>34</v>
      </c>
      <c r="T53" s="46">
        <v>29.921259842519685</v>
      </c>
      <c r="U53" s="46">
        <v>96.929133858267718</v>
      </c>
      <c r="V53" s="47">
        <v>0.89297394880017478</v>
      </c>
    </row>
    <row r="54" spans="1:22" ht="12.75" outlineLevel="1">
      <c r="A54" s="374">
        <f t="shared" si="5"/>
        <v>48</v>
      </c>
      <c r="B54" s="42" t="str">
        <f t="shared" si="4"/>
        <v>MASSEY FERGUSON 3050-32 SP  MFWD________ 84pto hp</v>
      </c>
      <c r="C54" s="352">
        <v>84.483000000000004</v>
      </c>
      <c r="D54" s="42" t="s">
        <v>1081</v>
      </c>
      <c r="E54" s="42" t="s">
        <v>1124</v>
      </c>
      <c r="F54" s="42" t="s">
        <v>497</v>
      </c>
      <c r="G54" s="291"/>
      <c r="H54" s="353">
        <v>5008</v>
      </c>
      <c r="I54" s="38">
        <v>0</v>
      </c>
      <c r="J54" s="58">
        <v>3229.739</v>
      </c>
      <c r="K54" s="58">
        <v>5643.7759999999998</v>
      </c>
      <c r="L54" s="354">
        <v>2</v>
      </c>
      <c r="M54" s="352">
        <v>11.2</v>
      </c>
      <c r="N54" s="354" t="s">
        <v>500</v>
      </c>
      <c r="O54" s="41">
        <v>24</v>
      </c>
      <c r="P54" s="354">
        <v>2</v>
      </c>
      <c r="Q54" s="41">
        <v>16.899999999999999</v>
      </c>
      <c r="R54" s="354" t="s">
        <v>500</v>
      </c>
      <c r="S54" s="41">
        <v>30</v>
      </c>
      <c r="T54" s="46">
        <v>16.535433070866144</v>
      </c>
      <c r="U54" s="46">
        <v>93.425196850393704</v>
      </c>
      <c r="V54" s="47">
        <v>0.6986852624436517</v>
      </c>
    </row>
    <row r="55" spans="1:22" ht="12.75" outlineLevel="1">
      <c r="A55" s="374">
        <f t="shared" si="5"/>
        <v>49</v>
      </c>
      <c r="B55" s="42" t="str">
        <f t="shared" ref="B55:B70" si="6">CONCATENATE( LEFT(CONCATENATE(D55," ",E55," ",G55," ",F55,$W$5),40)," ",FIXED(C55,0),"pto hp")</f>
        <v>MASSEY FERGUSON 3050-32 SP  2WD_________ 84pto hp</v>
      </c>
      <c r="C55" s="352">
        <v>84.483000000000004</v>
      </c>
      <c r="D55" s="42" t="s">
        <v>1081</v>
      </c>
      <c r="E55" s="42" t="s">
        <v>1124</v>
      </c>
      <c r="F55" s="42" t="s">
        <v>507</v>
      </c>
      <c r="G55" s="291"/>
      <c r="H55" s="353">
        <v>5007</v>
      </c>
      <c r="I55" s="38">
        <v>0</v>
      </c>
      <c r="J55" s="58">
        <v>2700.6350000000002</v>
      </c>
      <c r="K55" s="58">
        <v>5709.9140000000007</v>
      </c>
      <c r="L55" s="354">
        <v>2</v>
      </c>
      <c r="M55" s="352">
        <v>7.5</v>
      </c>
      <c r="N55" s="354" t="s">
        <v>499</v>
      </c>
      <c r="O55" s="41">
        <v>16</v>
      </c>
      <c r="P55" s="354">
        <v>2</v>
      </c>
      <c r="Q55" s="41">
        <v>16.899999999999999</v>
      </c>
      <c r="R55" s="354" t="s">
        <v>500</v>
      </c>
      <c r="S55" s="41">
        <v>30</v>
      </c>
      <c r="T55" s="46">
        <v>29.527559055118111</v>
      </c>
      <c r="U55" s="46">
        <v>93.425196850393704</v>
      </c>
      <c r="V55" s="47">
        <v>0.69484633243022487</v>
      </c>
    </row>
    <row r="56" spans="1:22" ht="12.75" outlineLevel="1">
      <c r="A56" s="374">
        <f t="shared" si="5"/>
        <v>50</v>
      </c>
      <c r="B56" s="42" t="str">
        <f t="shared" si="6"/>
        <v>MASSEY FERGUSON 393-8 SP  MFWD__________ 85pto hp</v>
      </c>
      <c r="C56" s="352">
        <v>84.617099999999994</v>
      </c>
      <c r="D56" s="42" t="s">
        <v>1081</v>
      </c>
      <c r="E56" s="42" t="s">
        <v>1125</v>
      </c>
      <c r="F56" s="42" t="s">
        <v>497</v>
      </c>
      <c r="G56" s="291"/>
      <c r="H56" s="353">
        <v>5128</v>
      </c>
      <c r="I56" s="38" t="s">
        <v>499</v>
      </c>
      <c r="J56" s="58">
        <v>3242.9666000000002</v>
      </c>
      <c r="K56" s="58">
        <v>4204.1722</v>
      </c>
      <c r="L56" s="354">
        <v>2</v>
      </c>
      <c r="M56" s="352">
        <v>12.4</v>
      </c>
      <c r="N56" s="354" t="s">
        <v>500</v>
      </c>
      <c r="O56" s="41">
        <v>24</v>
      </c>
      <c r="P56" s="354">
        <v>2</v>
      </c>
      <c r="Q56" s="41">
        <v>18.399999999999999</v>
      </c>
      <c r="R56" s="354" t="s">
        <v>500</v>
      </c>
      <c r="S56" s="41">
        <v>30</v>
      </c>
      <c r="T56" s="46">
        <v>13.385826771653544</v>
      </c>
      <c r="U56" s="46">
        <v>92.519685039370088</v>
      </c>
      <c r="V56" s="47">
        <v>0.91349499447862548</v>
      </c>
    </row>
    <row r="57" spans="1:22" ht="12.75" outlineLevel="1">
      <c r="A57" s="374">
        <f t="shared" si="5"/>
        <v>51</v>
      </c>
      <c r="B57" s="42" t="str">
        <f t="shared" si="6"/>
        <v>MASSEY FERGUSON 6255, 32-SP  MFWD_______ 85pto hp</v>
      </c>
      <c r="C57" s="352">
        <v>85.287599999999998</v>
      </c>
      <c r="D57" s="42" t="s">
        <v>1081</v>
      </c>
      <c r="E57" s="42" t="s">
        <v>1126</v>
      </c>
      <c r="F57" s="42" t="s">
        <v>497</v>
      </c>
      <c r="G57" s="291"/>
      <c r="H57" s="353">
        <v>5301</v>
      </c>
      <c r="I57" s="38" t="s">
        <v>529</v>
      </c>
      <c r="J57" s="58">
        <v>3935.2110000000002</v>
      </c>
      <c r="K57" s="58">
        <v>6051.6270000000004</v>
      </c>
      <c r="L57" s="354">
        <v>2</v>
      </c>
      <c r="M57" s="352">
        <v>13.6</v>
      </c>
      <c r="N57" s="41" t="s">
        <v>481</v>
      </c>
      <c r="O57" s="41">
        <v>28</v>
      </c>
      <c r="P57" s="354">
        <v>2</v>
      </c>
      <c r="Q57" s="41">
        <v>16.899999999999999</v>
      </c>
      <c r="R57" s="41" t="s">
        <v>481</v>
      </c>
      <c r="S57" s="41">
        <v>38</v>
      </c>
      <c r="T57" s="46">
        <v>20.472440944881892</v>
      </c>
      <c r="U57" s="46">
        <v>100.51181102362206</v>
      </c>
      <c r="V57" s="47">
        <v>0.9405378532895311</v>
      </c>
    </row>
    <row r="58" spans="1:22" ht="12.75" outlineLevel="1">
      <c r="A58" s="374">
        <f t="shared" si="5"/>
        <v>52</v>
      </c>
      <c r="B58" s="42" t="str">
        <f t="shared" si="6"/>
        <v>MASSEY FERGUSON 699-12 SP  MFWD_________ 86pto hp</v>
      </c>
      <c r="C58" s="352">
        <v>85.797179999999997</v>
      </c>
      <c r="D58" s="42" t="s">
        <v>1081</v>
      </c>
      <c r="E58" s="42" t="s">
        <v>1127</v>
      </c>
      <c r="F58" s="42" t="s">
        <v>497</v>
      </c>
      <c r="G58" s="291"/>
      <c r="H58" s="353">
        <v>1541</v>
      </c>
      <c r="I58" s="38" t="s">
        <v>499</v>
      </c>
      <c r="J58" s="58">
        <v>3899.9374000000003</v>
      </c>
      <c r="K58" s="58">
        <v>6424.2044000000005</v>
      </c>
      <c r="L58" s="354">
        <v>2</v>
      </c>
      <c r="M58" s="352">
        <v>14.9</v>
      </c>
      <c r="N58" s="354" t="s">
        <v>500</v>
      </c>
      <c r="O58" s="41">
        <v>24</v>
      </c>
      <c r="P58" s="354">
        <v>2</v>
      </c>
      <c r="Q58" s="41">
        <v>18.399999999999999</v>
      </c>
      <c r="R58" s="354" t="s">
        <v>500</v>
      </c>
      <c r="S58" s="41">
        <v>34</v>
      </c>
      <c r="T58" s="46">
        <v>16.929133858267718</v>
      </c>
      <c r="U58" s="46">
        <v>101.41732283464567</v>
      </c>
      <c r="V58" s="47">
        <v>0.87358758587812968</v>
      </c>
    </row>
    <row r="59" spans="1:22" ht="12.75" outlineLevel="1">
      <c r="A59" s="374">
        <f t="shared" si="5"/>
        <v>53</v>
      </c>
      <c r="B59" s="42" t="str">
        <f t="shared" si="6"/>
        <v>MASSEY FERGUSON 6150-Dyna-32 SP  2WD____ 86pto hp</v>
      </c>
      <c r="C59" s="352">
        <v>86.092200000000005</v>
      </c>
      <c r="D59" s="42" t="s">
        <v>1081</v>
      </c>
      <c r="E59" s="42" t="s">
        <v>1128</v>
      </c>
      <c r="F59" s="42" t="s">
        <v>507</v>
      </c>
      <c r="G59" s="291"/>
      <c r="H59" s="353">
        <v>5171</v>
      </c>
      <c r="I59" s="38">
        <v>0</v>
      </c>
      <c r="J59" s="58">
        <v>3009.279</v>
      </c>
      <c r="K59" s="58">
        <v>5941.3969999999999</v>
      </c>
      <c r="L59" s="354">
        <v>2</v>
      </c>
      <c r="M59" s="352">
        <v>11</v>
      </c>
      <c r="N59" s="354" t="s">
        <v>499</v>
      </c>
      <c r="O59" s="41">
        <v>16</v>
      </c>
      <c r="P59" s="354">
        <v>2</v>
      </c>
      <c r="Q59" s="41">
        <v>480</v>
      </c>
      <c r="R59" s="291" t="s">
        <v>709</v>
      </c>
      <c r="S59" s="41">
        <v>38</v>
      </c>
      <c r="T59" s="46">
        <v>25.590551181102363</v>
      </c>
      <c r="U59" s="46">
        <v>100.51181102362206</v>
      </c>
      <c r="V59" s="47">
        <v>1.0560645321982585</v>
      </c>
    </row>
    <row r="60" spans="1:22" ht="12.75" outlineLevel="1">
      <c r="A60" s="374">
        <f t="shared" si="5"/>
        <v>54</v>
      </c>
      <c r="B60" s="42" t="str">
        <f t="shared" si="6"/>
        <v>MASSEY FERGUSON 3075-32 SP  MFWD________ 86pto hp</v>
      </c>
      <c r="C60" s="352">
        <v>86.092200000000005</v>
      </c>
      <c r="D60" s="42" t="s">
        <v>1081</v>
      </c>
      <c r="E60" s="42" t="s">
        <v>1129</v>
      </c>
      <c r="F60" s="42" t="s">
        <v>497</v>
      </c>
      <c r="G60" s="291"/>
      <c r="H60" s="353">
        <v>5171</v>
      </c>
      <c r="I60" s="38">
        <v>0</v>
      </c>
      <c r="J60" s="58">
        <v>3824.9810000000002</v>
      </c>
      <c r="K60" s="58">
        <v>6073.6730000000007</v>
      </c>
      <c r="L60" s="354">
        <v>2</v>
      </c>
      <c r="M60" s="352">
        <v>360</v>
      </c>
      <c r="N60" s="291" t="s">
        <v>614</v>
      </c>
      <c r="O60" s="41">
        <v>28</v>
      </c>
      <c r="P60" s="354">
        <v>2</v>
      </c>
      <c r="Q60" s="41">
        <v>480</v>
      </c>
      <c r="R60" s="291" t="s">
        <v>709</v>
      </c>
      <c r="S60" s="41">
        <v>38</v>
      </c>
      <c r="T60" s="46">
        <v>20.866141732283467</v>
      </c>
      <c r="U60" s="46">
        <v>100.51181102362206</v>
      </c>
      <c r="V60" s="47">
        <v>1.0234156881588354</v>
      </c>
    </row>
    <row r="61" spans="1:22" ht="12.75" outlineLevel="1">
      <c r="A61" s="374">
        <f t="shared" si="5"/>
        <v>55</v>
      </c>
      <c r="B61" s="42" t="str">
        <f t="shared" si="6"/>
        <v>MASSEY FERGUSON 396-12 SP  MFWD_________ 88pto hp</v>
      </c>
      <c r="C61" s="352">
        <v>88.371900000000011</v>
      </c>
      <c r="D61" s="42" t="s">
        <v>1081</v>
      </c>
      <c r="E61" s="42" t="s">
        <v>1130</v>
      </c>
      <c r="F61" s="42" t="s">
        <v>497</v>
      </c>
      <c r="G61" s="291"/>
      <c r="H61" s="353">
        <v>5129</v>
      </c>
      <c r="I61" s="38" t="s">
        <v>499</v>
      </c>
      <c r="J61" s="58">
        <v>3580.2704000000003</v>
      </c>
      <c r="K61" s="58">
        <v>5824.5532000000003</v>
      </c>
      <c r="L61" s="354">
        <v>2</v>
      </c>
      <c r="M61" s="352">
        <v>14.9</v>
      </c>
      <c r="N61" s="354" t="s">
        <v>500</v>
      </c>
      <c r="O61" s="41">
        <v>24</v>
      </c>
      <c r="P61" s="354">
        <v>2</v>
      </c>
      <c r="Q61" s="41">
        <v>18.399999999999999</v>
      </c>
      <c r="R61" s="354" t="s">
        <v>500</v>
      </c>
      <c r="S61" s="41">
        <v>34</v>
      </c>
      <c r="T61" s="46">
        <v>16.929133858267718</v>
      </c>
      <c r="U61" s="46">
        <v>103.93700787401575</v>
      </c>
      <c r="V61" s="47">
        <v>0.89792514760179809</v>
      </c>
    </row>
    <row r="62" spans="1:22" ht="12.75" outlineLevel="1">
      <c r="A62" s="374">
        <f t="shared" si="5"/>
        <v>56</v>
      </c>
      <c r="B62" s="42" t="str">
        <f t="shared" si="6"/>
        <v>MASSEY FERGUSON 399-12 SP  MFWD_________ 91pto hp</v>
      </c>
      <c r="C62" s="352">
        <v>90.517499999999998</v>
      </c>
      <c r="D62" s="42" t="s">
        <v>1081</v>
      </c>
      <c r="E62" s="42" t="s">
        <v>1131</v>
      </c>
      <c r="F62" s="42" t="s">
        <v>497</v>
      </c>
      <c r="G62" s="291"/>
      <c r="H62" s="353">
        <v>5038</v>
      </c>
      <c r="I62" s="38">
        <v>0</v>
      </c>
      <c r="J62" s="58">
        <v>3472.2450000000003</v>
      </c>
      <c r="K62" s="58">
        <v>4843.5061999999998</v>
      </c>
      <c r="L62" s="354">
        <v>2</v>
      </c>
      <c r="M62" s="352">
        <v>14.9</v>
      </c>
      <c r="N62" s="354" t="s">
        <v>500</v>
      </c>
      <c r="O62" s="41">
        <v>24</v>
      </c>
      <c r="P62" s="354">
        <v>2</v>
      </c>
      <c r="Q62" s="41">
        <v>18.399999999999999</v>
      </c>
      <c r="R62" s="354" t="s">
        <v>500</v>
      </c>
      <c r="S62" s="41">
        <v>34</v>
      </c>
      <c r="T62" s="46">
        <v>15.354330708661418</v>
      </c>
      <c r="U62" s="46">
        <v>103.74015748031496</v>
      </c>
      <c r="V62" s="47">
        <v>0.87783532973689571</v>
      </c>
    </row>
    <row r="63" spans="1:22" ht="12.75" outlineLevel="1">
      <c r="A63" s="374">
        <f t="shared" si="5"/>
        <v>57</v>
      </c>
      <c r="B63" s="42" t="str">
        <f t="shared" si="6"/>
        <v>MASSEY FERGUSON 399-12 SP  2WD__________ 91pto hp</v>
      </c>
      <c r="C63" s="352">
        <v>90.517499999999998</v>
      </c>
      <c r="D63" s="42" t="s">
        <v>1081</v>
      </c>
      <c r="E63" s="42" t="s">
        <v>1131</v>
      </c>
      <c r="F63" s="42" t="s">
        <v>507</v>
      </c>
      <c r="G63" s="291"/>
      <c r="H63" s="353">
        <v>5037</v>
      </c>
      <c r="I63" s="38">
        <v>0</v>
      </c>
      <c r="J63" s="58">
        <v>3009.279</v>
      </c>
      <c r="K63" s="58">
        <v>4830.2786000000006</v>
      </c>
      <c r="L63" s="354">
        <v>2</v>
      </c>
      <c r="M63" s="352">
        <v>10</v>
      </c>
      <c r="N63" s="354" t="s">
        <v>499</v>
      </c>
      <c r="O63" s="41">
        <v>16</v>
      </c>
      <c r="P63" s="354">
        <v>2</v>
      </c>
      <c r="Q63" s="41">
        <v>18.399999999999999</v>
      </c>
      <c r="R63" s="354" t="s">
        <v>500</v>
      </c>
      <c r="S63" s="41">
        <v>34</v>
      </c>
      <c r="T63" s="46">
        <v>20.078740157480315</v>
      </c>
      <c r="U63" s="46">
        <v>101.41732283464567</v>
      </c>
      <c r="V63" s="47">
        <v>0.92441434723313931</v>
      </c>
    </row>
    <row r="64" spans="1:22" ht="12.75" outlineLevel="1">
      <c r="A64" s="374">
        <f t="shared" si="5"/>
        <v>58</v>
      </c>
      <c r="B64" s="42" t="str">
        <f t="shared" si="6"/>
        <v>MASSEY FERGUSON 2640  MFWD______________ 91pto hp</v>
      </c>
      <c r="C64" s="352">
        <v>90.946619999999996</v>
      </c>
      <c r="D64" s="42" t="s">
        <v>1081</v>
      </c>
      <c r="E64" s="42" t="s">
        <v>1132</v>
      </c>
      <c r="F64" s="42" t="s">
        <v>497</v>
      </c>
      <c r="G64" s="291"/>
      <c r="H64" s="353">
        <v>1481</v>
      </c>
      <c r="I64" s="38" t="s">
        <v>499</v>
      </c>
      <c r="J64" s="58">
        <v>4519.43</v>
      </c>
      <c r="K64" s="58">
        <v>7914.5140000000001</v>
      </c>
      <c r="L64" s="354">
        <v>2</v>
      </c>
      <c r="M64" s="352">
        <v>13.6</v>
      </c>
      <c r="N64" s="354" t="s">
        <v>500</v>
      </c>
      <c r="O64" s="41">
        <v>28</v>
      </c>
      <c r="P64" s="354">
        <v>2</v>
      </c>
      <c r="Q64" s="41">
        <v>18.399999999999999</v>
      </c>
      <c r="R64" s="354" t="s">
        <v>500</v>
      </c>
      <c r="S64" s="41">
        <v>38</v>
      </c>
      <c r="T64" s="46">
        <v>23.031496062992126</v>
      </c>
      <c r="U64" s="46">
        <v>107.28346456692914</v>
      </c>
      <c r="V64" s="47">
        <v>0.88878984653231119</v>
      </c>
    </row>
    <row r="65" spans="1:22" ht="12.75" outlineLevel="1">
      <c r="A65" s="374">
        <f t="shared" si="5"/>
        <v>59</v>
      </c>
      <c r="B65" s="42" t="str">
        <f t="shared" si="6"/>
        <v>MASSEY FERGUSON 3505-16 SP  MFWD________ 92pto hp</v>
      </c>
      <c r="C65" s="352">
        <v>91.509839999999997</v>
      </c>
      <c r="D65" s="42" t="s">
        <v>1081</v>
      </c>
      <c r="E65" s="42" t="s">
        <v>1133</v>
      </c>
      <c r="F65" s="42" t="s">
        <v>497</v>
      </c>
      <c r="G65" s="291"/>
      <c r="H65" s="353">
        <v>1511</v>
      </c>
      <c r="I65" s="38" t="s">
        <v>499</v>
      </c>
      <c r="J65" s="58">
        <v>4510.6116000000002</v>
      </c>
      <c r="K65" s="58">
        <v>8423.7766000000011</v>
      </c>
      <c r="L65" s="354">
        <v>2</v>
      </c>
      <c r="M65" s="352">
        <v>13.6</v>
      </c>
      <c r="N65" s="354" t="s">
        <v>500</v>
      </c>
      <c r="O65" s="41">
        <v>28</v>
      </c>
      <c r="P65" s="354">
        <v>2</v>
      </c>
      <c r="Q65" s="41">
        <v>18.399999999999999</v>
      </c>
      <c r="R65" s="354" t="s">
        <v>500</v>
      </c>
      <c r="S65" s="41">
        <v>38</v>
      </c>
      <c r="T65" s="46">
        <v>24.015748031496063</v>
      </c>
      <c r="U65" s="46">
        <v>107.3228346456693</v>
      </c>
      <c r="V65" s="47">
        <v>0.87634941329363703</v>
      </c>
    </row>
    <row r="66" spans="1:22" ht="12.75" outlineLevel="1">
      <c r="A66" s="374">
        <f t="shared" si="5"/>
        <v>60</v>
      </c>
      <c r="B66" s="42" t="str">
        <f t="shared" si="6"/>
        <v>MASSEY FERGUSON 4263, 12-SP  MFWD_______ 94pto hp</v>
      </c>
      <c r="C66" s="352">
        <v>94.406400000000005</v>
      </c>
      <c r="D66" s="42" t="s">
        <v>1081</v>
      </c>
      <c r="E66" s="42" t="s">
        <v>1134</v>
      </c>
      <c r="F66" s="42" t="s">
        <v>497</v>
      </c>
      <c r="G66" s="291"/>
      <c r="H66" s="353">
        <v>5322</v>
      </c>
      <c r="I66" s="38" t="s">
        <v>529</v>
      </c>
      <c r="J66" s="58">
        <v>3780.8890000000001</v>
      </c>
      <c r="K66" s="58">
        <v>5462.9988000000003</v>
      </c>
      <c r="L66" s="354">
        <v>2</v>
      </c>
      <c r="M66" s="352">
        <v>420</v>
      </c>
      <c r="N66" s="291" t="s">
        <v>614</v>
      </c>
      <c r="O66" s="41">
        <v>24</v>
      </c>
      <c r="P66" s="354">
        <v>2</v>
      </c>
      <c r="Q66" s="41">
        <v>18.399999999999999</v>
      </c>
      <c r="R66" s="41" t="s">
        <v>481</v>
      </c>
      <c r="S66" s="41">
        <v>38</v>
      </c>
      <c r="T66" s="46">
        <v>22.637795275590552</v>
      </c>
      <c r="U66" s="46">
        <v>102.71653543307087</v>
      </c>
      <c r="V66" s="47">
        <v>0.908092351045371</v>
      </c>
    </row>
    <row r="67" spans="1:22" ht="12.75" outlineLevel="1">
      <c r="A67" s="374">
        <f t="shared" si="5"/>
        <v>61</v>
      </c>
      <c r="B67" s="42" t="str">
        <f t="shared" si="6"/>
        <v>MASSEY FERGUSON 399-12 SP  MFWD_________ 95pto hp</v>
      </c>
      <c r="C67" s="352">
        <v>95.076900000000009</v>
      </c>
      <c r="D67" s="42" t="s">
        <v>1081</v>
      </c>
      <c r="E67" s="42" t="s">
        <v>1131</v>
      </c>
      <c r="F67" s="42" t="s">
        <v>497</v>
      </c>
      <c r="G67" s="291"/>
      <c r="H67" s="353">
        <v>5130</v>
      </c>
      <c r="I67" s="38" t="s">
        <v>499</v>
      </c>
      <c r="J67" s="58">
        <v>3849.2316000000001</v>
      </c>
      <c r="K67" s="58">
        <v>4984.6006000000007</v>
      </c>
      <c r="L67" s="354">
        <v>2</v>
      </c>
      <c r="M67" s="352">
        <v>14.9</v>
      </c>
      <c r="N67" s="41" t="s">
        <v>481</v>
      </c>
      <c r="O67" s="41">
        <v>24</v>
      </c>
      <c r="P67" s="354">
        <v>2</v>
      </c>
      <c r="Q67" s="41">
        <v>18.399999999999999</v>
      </c>
      <c r="R67" s="41" t="s">
        <v>481</v>
      </c>
      <c r="S67" s="41">
        <v>34</v>
      </c>
      <c r="T67" s="46">
        <v>22.834645669291341</v>
      </c>
      <c r="U67" s="46">
        <v>103.93700787401575</v>
      </c>
      <c r="V67" s="47">
        <v>1.0290389972520964</v>
      </c>
    </row>
    <row r="68" spans="1:22" ht="12.75" outlineLevel="1">
      <c r="A68" s="374">
        <f t="shared" si="5"/>
        <v>62</v>
      </c>
      <c r="B68" s="42" t="str">
        <f t="shared" si="6"/>
        <v>MASSEY FERGUSON 6265, 32-SP  2WD________ 96pto hp</v>
      </c>
      <c r="C68" s="352">
        <v>95.613299999999995</v>
      </c>
      <c r="D68" s="42" t="s">
        <v>1081</v>
      </c>
      <c r="E68" s="42" t="s">
        <v>1135</v>
      </c>
      <c r="F68" s="42" t="s">
        <v>507</v>
      </c>
      <c r="G68" s="291"/>
      <c r="H68" s="353">
        <v>5302</v>
      </c>
      <c r="I68" s="38" t="s">
        <v>817</v>
      </c>
      <c r="J68" s="58">
        <v>3483.268</v>
      </c>
      <c r="K68" s="58">
        <v>6668.915</v>
      </c>
      <c r="L68" s="354">
        <v>2</v>
      </c>
      <c r="M68" s="352">
        <v>11</v>
      </c>
      <c r="N68" s="354" t="s">
        <v>499</v>
      </c>
      <c r="O68" s="41">
        <v>16</v>
      </c>
      <c r="P68" s="354">
        <v>2</v>
      </c>
      <c r="Q68" s="41">
        <v>18.399999999999999</v>
      </c>
      <c r="R68" s="41" t="s">
        <v>481</v>
      </c>
      <c r="S68" s="41">
        <v>38</v>
      </c>
      <c r="T68" s="46">
        <v>31.496062992125985</v>
      </c>
      <c r="U68" s="46">
        <v>100.51181102362206</v>
      </c>
      <c r="V68" s="47">
        <v>0.96220923239758482</v>
      </c>
    </row>
    <row r="69" spans="1:22" ht="12.75" outlineLevel="1">
      <c r="A69" s="374">
        <f t="shared" si="5"/>
        <v>63</v>
      </c>
      <c r="B69" s="42" t="str">
        <f t="shared" si="6"/>
        <v>MASSEY FERGUSON 6265, 32-SP  MFWD_______ 96pto hp</v>
      </c>
      <c r="C69" s="352">
        <v>95.613299999999995</v>
      </c>
      <c r="D69" s="42" t="s">
        <v>1081</v>
      </c>
      <c r="E69" s="42" t="s">
        <v>1135</v>
      </c>
      <c r="F69" s="42" t="s">
        <v>497</v>
      </c>
      <c r="G69" s="291"/>
      <c r="H69" s="353">
        <v>5302</v>
      </c>
      <c r="I69" s="38" t="s">
        <v>529</v>
      </c>
      <c r="J69" s="58">
        <v>4023.3950000000004</v>
      </c>
      <c r="K69" s="58">
        <v>6679.9380000000001</v>
      </c>
      <c r="L69" s="354">
        <v>2</v>
      </c>
      <c r="M69" s="352">
        <v>14.9</v>
      </c>
      <c r="N69" s="41" t="s">
        <v>481</v>
      </c>
      <c r="O69" s="41">
        <v>28</v>
      </c>
      <c r="P69" s="354">
        <v>2</v>
      </c>
      <c r="Q69" s="41">
        <v>18.399999999999999</v>
      </c>
      <c r="R69" s="41" t="s">
        <v>481</v>
      </c>
      <c r="S69" s="41">
        <v>38</v>
      </c>
      <c r="T69" s="46">
        <v>21.653543307086615</v>
      </c>
      <c r="U69" s="46">
        <v>100.51181102362206</v>
      </c>
      <c r="V69" s="47">
        <v>0.96560127434493248</v>
      </c>
    </row>
    <row r="70" spans="1:22" ht="12.75" outlineLevel="1">
      <c r="A70" s="374">
        <f t="shared" si="5"/>
        <v>64</v>
      </c>
      <c r="B70" s="42" t="str">
        <f t="shared" si="6"/>
        <v>MASSEY FERGUSON 3095-DYNA 32-SP  2WD____ 98pto hp</v>
      </c>
      <c r="C70" s="352">
        <v>97.758900000000011</v>
      </c>
      <c r="D70" s="42" t="s">
        <v>1081</v>
      </c>
      <c r="E70" s="42" t="s">
        <v>1136</v>
      </c>
      <c r="F70" s="42" t="s">
        <v>507</v>
      </c>
      <c r="G70" s="291"/>
      <c r="H70" s="353">
        <v>5196</v>
      </c>
      <c r="I70" s="38" t="s">
        <v>817</v>
      </c>
      <c r="J70" s="58">
        <v>3362.0150000000003</v>
      </c>
      <c r="K70" s="58">
        <v>6580.7310000000007</v>
      </c>
      <c r="L70" s="354">
        <v>2</v>
      </c>
      <c r="M70" s="352">
        <v>11</v>
      </c>
      <c r="N70" s="354" t="s">
        <v>499</v>
      </c>
      <c r="O70" s="41">
        <v>16</v>
      </c>
      <c r="P70" s="354">
        <v>2</v>
      </c>
      <c r="Q70" s="41">
        <v>18.399999999999999</v>
      </c>
      <c r="R70" s="41" t="s">
        <v>481</v>
      </c>
      <c r="S70" s="41">
        <v>38</v>
      </c>
      <c r="T70" s="46">
        <v>33.464566929133859</v>
      </c>
      <c r="U70" s="46">
        <v>106.18110236220473</v>
      </c>
      <c r="V70" s="47">
        <v>0.93556146253138528</v>
      </c>
    </row>
    <row r="71" spans="1:22" ht="12.75" outlineLevel="1">
      <c r="A71" s="374">
        <f t="shared" si="5"/>
        <v>65</v>
      </c>
      <c r="B71" s="42" t="str">
        <f t="shared" ref="B71:B86" si="7">CONCATENATE( LEFT(CONCATENATE(D71," ",E71," ",G71," ",F71,$W$5),40)," ",FIXED(C71,0),"pto hp")</f>
        <v>MASSEY FERGUSON 3095-DYNA 32-SP  MFWD___ 98pto hp</v>
      </c>
      <c r="C71" s="352">
        <v>97.758900000000011</v>
      </c>
      <c r="D71" s="42" t="s">
        <v>1081</v>
      </c>
      <c r="E71" s="42" t="s">
        <v>1136</v>
      </c>
      <c r="F71" s="42" t="s">
        <v>497</v>
      </c>
      <c r="G71" s="291"/>
      <c r="H71" s="353">
        <v>5196</v>
      </c>
      <c r="I71" s="38" t="s">
        <v>817</v>
      </c>
      <c r="J71" s="58">
        <v>4034.4180000000001</v>
      </c>
      <c r="K71" s="58">
        <v>6646.8690000000006</v>
      </c>
      <c r="L71" s="354">
        <v>2</v>
      </c>
      <c r="M71" s="352">
        <v>14.9</v>
      </c>
      <c r="N71" s="41" t="s">
        <v>481</v>
      </c>
      <c r="O71" s="41">
        <v>28</v>
      </c>
      <c r="P71" s="354">
        <v>2</v>
      </c>
      <c r="Q71" s="41">
        <v>18.399999999999999</v>
      </c>
      <c r="R71" s="41" t="s">
        <v>481</v>
      </c>
      <c r="S71" s="41">
        <v>38</v>
      </c>
      <c r="T71" s="46">
        <v>21.653543307086615</v>
      </c>
      <c r="U71" s="46">
        <v>106.18110236220473</v>
      </c>
      <c r="V71" s="47">
        <v>0.94772597327351926</v>
      </c>
    </row>
    <row r="72" spans="1:22" ht="12.75" outlineLevel="1">
      <c r="A72" s="374">
        <f t="shared" ref="A72:A103" si="8">A71+1</f>
        <v>66</v>
      </c>
      <c r="B72" s="42" t="str">
        <f t="shared" si="7"/>
        <v>MASSEY FERGUSON 6270, 32-SP  2WD________ 100pto hp</v>
      </c>
      <c r="C72" s="352">
        <v>100.17270000000001</v>
      </c>
      <c r="D72" s="42" t="s">
        <v>1081</v>
      </c>
      <c r="E72" s="42" t="s">
        <v>1137</v>
      </c>
      <c r="F72" s="42" t="s">
        <v>507</v>
      </c>
      <c r="G72" s="291"/>
      <c r="H72" s="353">
        <v>5303</v>
      </c>
      <c r="I72" s="38" t="s">
        <v>817</v>
      </c>
      <c r="J72" s="58">
        <v>3626.567</v>
      </c>
      <c r="K72" s="58">
        <v>6139.8110000000006</v>
      </c>
      <c r="L72" s="354">
        <v>2</v>
      </c>
      <c r="M72" s="352">
        <v>11</v>
      </c>
      <c r="N72" s="354" t="s">
        <v>499</v>
      </c>
      <c r="O72" s="41">
        <v>16</v>
      </c>
      <c r="P72" s="354">
        <v>2</v>
      </c>
      <c r="Q72" s="41">
        <v>18.399999999999999</v>
      </c>
      <c r="R72" s="41" t="s">
        <v>481</v>
      </c>
      <c r="S72" s="41">
        <v>38</v>
      </c>
      <c r="T72" s="46">
        <v>31.496062992125985</v>
      </c>
      <c r="U72" s="46">
        <v>106.25984251968505</v>
      </c>
      <c r="V72" s="47">
        <v>1.0705835346680606</v>
      </c>
    </row>
    <row r="73" spans="1:22" ht="12.75" outlineLevel="1">
      <c r="A73" s="374">
        <f t="shared" si="8"/>
        <v>67</v>
      </c>
      <c r="B73" s="42" t="str">
        <f t="shared" si="7"/>
        <v>MASSEY FERGUSON 6270, 32-SP  MFWD_______ 100pto hp</v>
      </c>
      <c r="C73" s="352">
        <v>100.17270000000001</v>
      </c>
      <c r="D73" s="42" t="s">
        <v>1081</v>
      </c>
      <c r="E73" s="42" t="s">
        <v>1137</v>
      </c>
      <c r="F73" s="42" t="s">
        <v>497</v>
      </c>
      <c r="G73" s="291"/>
      <c r="H73" s="353">
        <v>5303</v>
      </c>
      <c r="I73" s="38" t="s">
        <v>529</v>
      </c>
      <c r="J73" s="58">
        <v>4144.6480000000001</v>
      </c>
      <c r="K73" s="58">
        <v>6161.857</v>
      </c>
      <c r="L73" s="354">
        <v>2</v>
      </c>
      <c r="M73" s="352">
        <v>14.9</v>
      </c>
      <c r="N73" s="41" t="s">
        <v>481</v>
      </c>
      <c r="O73" s="41">
        <v>28</v>
      </c>
      <c r="P73" s="354">
        <v>2</v>
      </c>
      <c r="Q73" s="41">
        <v>18.399999999999999</v>
      </c>
      <c r="R73" s="41" t="s">
        <v>481</v>
      </c>
      <c r="S73" s="41">
        <v>38</v>
      </c>
      <c r="T73" s="46">
        <v>22.047244094488189</v>
      </c>
      <c r="U73" s="46">
        <v>106.25984251968505</v>
      </c>
      <c r="V73" s="47">
        <v>1.0662666655766571</v>
      </c>
    </row>
    <row r="74" spans="1:22" ht="12.75" outlineLevel="1">
      <c r="A74" s="374">
        <f t="shared" si="8"/>
        <v>68</v>
      </c>
      <c r="B74" s="42" t="str">
        <f t="shared" si="7"/>
        <v>MASSEY FERGUSON 4270, 12-SP  MFWD_______ 100pto hp</v>
      </c>
      <c r="C74" s="352">
        <v>100.3068</v>
      </c>
      <c r="D74" s="42" t="s">
        <v>1081</v>
      </c>
      <c r="E74" s="42" t="s">
        <v>1138</v>
      </c>
      <c r="F74" s="42" t="s">
        <v>497</v>
      </c>
      <c r="G74" s="291"/>
      <c r="H74" s="353">
        <v>5280</v>
      </c>
      <c r="I74" s="38" t="s">
        <v>529</v>
      </c>
      <c r="J74" s="58">
        <v>3794.1166000000003</v>
      </c>
      <c r="K74" s="58">
        <v>5478.4310000000005</v>
      </c>
      <c r="L74" s="354">
        <v>2</v>
      </c>
      <c r="M74" s="352">
        <v>14.9</v>
      </c>
      <c r="N74" s="41" t="s">
        <v>481</v>
      </c>
      <c r="O74" s="41">
        <v>28</v>
      </c>
      <c r="P74" s="354">
        <v>2</v>
      </c>
      <c r="Q74" s="41">
        <v>18.399999999999999</v>
      </c>
      <c r="R74" s="41" t="s">
        <v>481</v>
      </c>
      <c r="S74" s="41">
        <v>38</v>
      </c>
      <c r="T74" s="46">
        <v>22.440944881889767</v>
      </c>
      <c r="U74" s="46">
        <v>102.71653543307087</v>
      </c>
      <c r="V74" s="47">
        <v>0.8514418305180248</v>
      </c>
    </row>
    <row r="75" spans="1:22" ht="12.75" outlineLevel="1">
      <c r="A75" s="374">
        <f t="shared" si="8"/>
        <v>69</v>
      </c>
      <c r="B75" s="42" t="str">
        <f t="shared" si="7"/>
        <v>MASSEY FERGUSON 3090-32 SP  MFWD________ 101pto hp</v>
      </c>
      <c r="C75" s="352">
        <v>100.70909999999999</v>
      </c>
      <c r="D75" s="42" t="s">
        <v>1081</v>
      </c>
      <c r="E75" s="42" t="s">
        <v>1139</v>
      </c>
      <c r="F75" s="42" t="s">
        <v>497</v>
      </c>
      <c r="G75" s="291"/>
      <c r="H75" s="353">
        <v>5014</v>
      </c>
      <c r="I75" s="38">
        <v>0</v>
      </c>
      <c r="J75" s="58">
        <v>3979.3030000000003</v>
      </c>
      <c r="K75" s="58">
        <v>6360.2710000000006</v>
      </c>
      <c r="L75" s="354">
        <v>2</v>
      </c>
      <c r="M75" s="352">
        <v>13.6</v>
      </c>
      <c r="N75" s="354" t="s">
        <v>500</v>
      </c>
      <c r="O75" s="41">
        <v>28</v>
      </c>
      <c r="P75" s="354">
        <v>2</v>
      </c>
      <c r="Q75" s="41">
        <v>18.399999999999999</v>
      </c>
      <c r="R75" s="354" t="s">
        <v>500</v>
      </c>
      <c r="S75" s="41">
        <v>34</v>
      </c>
      <c r="T75" s="46">
        <v>23.622047244094489</v>
      </c>
      <c r="U75" s="46">
        <v>106.18110236220473</v>
      </c>
      <c r="V75" s="47">
        <v>0.92962425065482279</v>
      </c>
    </row>
    <row r="76" spans="1:22" ht="12.75" outlineLevel="1">
      <c r="A76" s="374">
        <f t="shared" si="8"/>
        <v>70</v>
      </c>
      <c r="B76" s="42" t="str">
        <f t="shared" si="7"/>
        <v>MASSEY FERGUSON 3090-32 SP  2WD_________ 101pto hp</v>
      </c>
      <c r="C76" s="352">
        <v>100.70909999999999</v>
      </c>
      <c r="D76" s="42" t="s">
        <v>1081</v>
      </c>
      <c r="E76" s="42" t="s">
        <v>1139</v>
      </c>
      <c r="F76" s="42" t="s">
        <v>507</v>
      </c>
      <c r="G76" s="291"/>
      <c r="H76" s="353">
        <v>5013</v>
      </c>
      <c r="I76" s="38">
        <v>0</v>
      </c>
      <c r="J76" s="58">
        <v>3417.13</v>
      </c>
      <c r="K76" s="58">
        <v>6327.2020000000002</v>
      </c>
      <c r="L76" s="354">
        <v>2</v>
      </c>
      <c r="M76" s="352">
        <v>11</v>
      </c>
      <c r="N76" s="354" t="s">
        <v>499</v>
      </c>
      <c r="O76" s="41">
        <v>16</v>
      </c>
      <c r="P76" s="354">
        <v>2</v>
      </c>
      <c r="Q76" s="41">
        <v>18.399999999999999</v>
      </c>
      <c r="R76" s="354" t="s">
        <v>500</v>
      </c>
      <c r="S76" s="41">
        <v>34</v>
      </c>
      <c r="T76" s="46">
        <v>36.220472440944881</v>
      </c>
      <c r="U76" s="46">
        <v>106.18110236220473</v>
      </c>
      <c r="V76" s="47">
        <v>0.93606506532448674</v>
      </c>
    </row>
    <row r="77" spans="1:22" ht="12.75" outlineLevel="1">
      <c r="A77" s="374">
        <f t="shared" si="8"/>
        <v>71</v>
      </c>
      <c r="B77" s="42" t="str">
        <f t="shared" si="7"/>
        <v>MASSEY FERGUSON 2675-8 SP  2WD__________ 101pto hp</v>
      </c>
      <c r="C77" s="352">
        <v>100.82978999999999</v>
      </c>
      <c r="D77" s="42" t="s">
        <v>1081</v>
      </c>
      <c r="E77" s="42" t="s">
        <v>1140</v>
      </c>
      <c r="F77" s="42" t="s">
        <v>507</v>
      </c>
      <c r="G77" s="291"/>
      <c r="H77" s="353">
        <v>1321</v>
      </c>
      <c r="I77" s="38">
        <v>0</v>
      </c>
      <c r="J77" s="58">
        <v>3780.8890000000001</v>
      </c>
      <c r="K77" s="58">
        <v>8569.2802000000011</v>
      </c>
      <c r="L77" s="354">
        <v>2</v>
      </c>
      <c r="M77" s="352">
        <v>11</v>
      </c>
      <c r="N77" s="354" t="s">
        <v>499</v>
      </c>
      <c r="O77" s="41">
        <v>16</v>
      </c>
      <c r="P77" s="354">
        <v>2</v>
      </c>
      <c r="Q77" s="41">
        <v>18.399999999999999</v>
      </c>
      <c r="R77" s="354" t="s">
        <v>500</v>
      </c>
      <c r="S77" s="41">
        <v>38</v>
      </c>
      <c r="T77" s="46">
        <v>21.45669291338583</v>
      </c>
      <c r="U77" s="46">
        <v>105.39370078740158</v>
      </c>
      <c r="V77" s="47">
        <v>0.8861602444213299</v>
      </c>
    </row>
    <row r="78" spans="1:22" ht="12.75" outlineLevel="1">
      <c r="A78" s="374">
        <f t="shared" si="8"/>
        <v>72</v>
      </c>
      <c r="B78" s="42" t="str">
        <f t="shared" si="7"/>
        <v>MASSEY FERGUSON 2675-24 SP  2WD_________ 103pto hp</v>
      </c>
      <c r="C78" s="352">
        <v>103.28381999999999</v>
      </c>
      <c r="D78" s="42" t="s">
        <v>1081</v>
      </c>
      <c r="E78" s="42" t="s">
        <v>1141</v>
      </c>
      <c r="F78" s="42" t="s">
        <v>507</v>
      </c>
      <c r="G78" s="291"/>
      <c r="H78" s="353">
        <v>1309</v>
      </c>
      <c r="I78" s="38">
        <v>0</v>
      </c>
      <c r="J78" s="58">
        <v>3860.2546000000002</v>
      </c>
      <c r="K78" s="58">
        <v>8569.2802000000011</v>
      </c>
      <c r="L78" s="354">
        <v>2</v>
      </c>
      <c r="M78" s="352">
        <v>11</v>
      </c>
      <c r="N78" s="354" t="s">
        <v>499</v>
      </c>
      <c r="O78" s="41">
        <v>16</v>
      </c>
      <c r="P78" s="354">
        <v>2</v>
      </c>
      <c r="Q78" s="41">
        <v>18.399999999999999</v>
      </c>
      <c r="R78" s="354" t="s">
        <v>500</v>
      </c>
      <c r="S78" s="41">
        <v>38</v>
      </c>
      <c r="T78" s="46">
        <v>21.45669291338583</v>
      </c>
      <c r="U78" s="46">
        <v>105.39370078740158</v>
      </c>
      <c r="V78" s="47">
        <v>0.88227105004757111</v>
      </c>
    </row>
    <row r="79" spans="1:22" ht="12.75" outlineLevel="1">
      <c r="A79" s="374">
        <f t="shared" si="8"/>
        <v>73</v>
      </c>
      <c r="B79" s="42" t="str">
        <f t="shared" si="7"/>
        <v>MASSEY FERGUSON 3120-32 SP  MFWD________ 104pto hp</v>
      </c>
      <c r="C79" s="352">
        <v>104.1957</v>
      </c>
      <c r="D79" s="42" t="s">
        <v>1081</v>
      </c>
      <c r="E79" s="42" t="s">
        <v>1142</v>
      </c>
      <c r="F79" s="42" t="s">
        <v>497</v>
      </c>
      <c r="G79" s="291"/>
      <c r="H79" s="353">
        <v>5122</v>
      </c>
      <c r="I79" s="38">
        <v>0</v>
      </c>
      <c r="J79" s="58">
        <v>3847.027</v>
      </c>
      <c r="K79" s="58">
        <v>5974.4660000000003</v>
      </c>
      <c r="L79" s="354">
        <v>2</v>
      </c>
      <c r="M79" s="352">
        <v>13.6</v>
      </c>
      <c r="N79" s="354" t="s">
        <v>500</v>
      </c>
      <c r="O79" s="41">
        <v>28</v>
      </c>
      <c r="P79" s="354">
        <v>2</v>
      </c>
      <c r="Q79" s="41">
        <v>18.399999999999999</v>
      </c>
      <c r="R79" s="354" t="s">
        <v>500</v>
      </c>
      <c r="S79" s="41">
        <v>38</v>
      </c>
      <c r="T79" s="46">
        <v>22.047244094488189</v>
      </c>
      <c r="U79" s="46">
        <v>106.18110236220473</v>
      </c>
      <c r="V79" s="47">
        <v>0.94313172492022479</v>
      </c>
    </row>
    <row r="80" spans="1:22" ht="12.75" outlineLevel="1">
      <c r="A80" s="374">
        <f t="shared" si="8"/>
        <v>74</v>
      </c>
      <c r="B80" s="42" t="str">
        <f t="shared" si="7"/>
        <v>MASSEY FERGUSON 3120-32 SP  2WD_________ 104pto hp</v>
      </c>
      <c r="C80" s="352">
        <v>104.1957</v>
      </c>
      <c r="D80" s="42" t="s">
        <v>1081</v>
      </c>
      <c r="E80" s="42" t="s">
        <v>1142</v>
      </c>
      <c r="F80" s="42" t="s">
        <v>507</v>
      </c>
      <c r="G80" s="291"/>
      <c r="H80" s="353">
        <v>5122</v>
      </c>
      <c r="I80" s="38">
        <v>0</v>
      </c>
      <c r="J80" s="58">
        <v>3251.7850000000003</v>
      </c>
      <c r="K80" s="58">
        <v>5930.3740000000007</v>
      </c>
      <c r="L80" s="354">
        <v>2</v>
      </c>
      <c r="M80" s="352">
        <v>11</v>
      </c>
      <c r="N80" s="354" t="s">
        <v>499</v>
      </c>
      <c r="O80" s="41">
        <v>16</v>
      </c>
      <c r="P80" s="354">
        <v>2</v>
      </c>
      <c r="Q80" s="41">
        <v>18.399999999999999</v>
      </c>
      <c r="R80" s="354" t="s">
        <v>500</v>
      </c>
      <c r="S80" s="41">
        <v>38</v>
      </c>
      <c r="T80" s="46">
        <v>37.007874015748037</v>
      </c>
      <c r="U80" s="46">
        <v>106.18110236220473</v>
      </c>
      <c r="V80" s="47">
        <v>0.95039456548616708</v>
      </c>
    </row>
    <row r="81" spans="1:22" ht="12.75" outlineLevel="1">
      <c r="A81" s="374">
        <f t="shared" si="8"/>
        <v>75</v>
      </c>
      <c r="B81" s="42" t="str">
        <f t="shared" si="7"/>
        <v>MASSEY FERGUSON 3525-16 SP  MFWD________ 108pto hp</v>
      </c>
      <c r="C81" s="352">
        <v>108.00414000000001</v>
      </c>
      <c r="D81" s="42" t="s">
        <v>1081</v>
      </c>
      <c r="E81" s="42" t="s">
        <v>1143</v>
      </c>
      <c r="F81" s="42" t="s">
        <v>497</v>
      </c>
      <c r="G81" s="291"/>
      <c r="H81" s="353">
        <v>1512</v>
      </c>
      <c r="I81" s="38" t="s">
        <v>499</v>
      </c>
      <c r="J81" s="58">
        <v>4649.5014000000001</v>
      </c>
      <c r="K81" s="58">
        <v>8450.2317999999996</v>
      </c>
      <c r="L81" s="354">
        <v>2</v>
      </c>
      <c r="M81" s="352">
        <v>13.6</v>
      </c>
      <c r="N81" s="354" t="s">
        <v>500</v>
      </c>
      <c r="O81" s="41">
        <v>28</v>
      </c>
      <c r="P81" s="354">
        <v>2</v>
      </c>
      <c r="Q81" s="41">
        <v>18.399999999999999</v>
      </c>
      <c r="R81" s="354" t="s">
        <v>500</v>
      </c>
      <c r="S81" s="41">
        <v>38</v>
      </c>
      <c r="T81" s="46">
        <v>24.015748031496063</v>
      </c>
      <c r="U81" s="46">
        <v>107.3228346456693</v>
      </c>
      <c r="V81" s="47">
        <v>0.90186733032090605</v>
      </c>
    </row>
    <row r="82" spans="1:22" ht="12.75" outlineLevel="1">
      <c r="A82" s="374">
        <f t="shared" si="8"/>
        <v>76</v>
      </c>
      <c r="B82" s="42" t="str">
        <f t="shared" si="7"/>
        <v>MASSEY FERGUSON 6180-DYNA 32-SP  2WD____ 110pto hp</v>
      </c>
      <c r="C82" s="352">
        <v>110.3643</v>
      </c>
      <c r="D82" s="42" t="s">
        <v>1081</v>
      </c>
      <c r="E82" s="42" t="s">
        <v>1144</v>
      </c>
      <c r="F82" s="42" t="s">
        <v>507</v>
      </c>
      <c r="G82" s="291"/>
      <c r="H82" s="353">
        <v>5255</v>
      </c>
      <c r="I82" s="38" t="s">
        <v>817</v>
      </c>
      <c r="J82" s="58">
        <v>3802.9350000000004</v>
      </c>
      <c r="K82" s="58">
        <v>6580.7310000000007</v>
      </c>
      <c r="L82" s="354">
        <v>2</v>
      </c>
      <c r="M82" s="352">
        <v>11</v>
      </c>
      <c r="N82" s="354" t="s">
        <v>499</v>
      </c>
      <c r="O82" s="41">
        <v>16</v>
      </c>
      <c r="P82" s="354">
        <v>2</v>
      </c>
      <c r="Q82" s="41">
        <v>18.399999999999999</v>
      </c>
      <c r="R82" s="41" t="s">
        <v>481</v>
      </c>
      <c r="S82" s="41">
        <v>38</v>
      </c>
      <c r="T82" s="46">
        <v>31.496062992125985</v>
      </c>
      <c r="U82" s="46">
        <v>106.18110236220473</v>
      </c>
      <c r="V82" s="47">
        <v>0.90902877401772419</v>
      </c>
    </row>
    <row r="83" spans="1:22" ht="12.75" outlineLevel="1">
      <c r="A83" s="374">
        <f t="shared" si="8"/>
        <v>77</v>
      </c>
      <c r="B83" s="42" t="str">
        <f t="shared" si="7"/>
        <v>MASSEY FERGUSON 6180-DYNA 32-SP  MFWD___ 110pto hp</v>
      </c>
      <c r="C83" s="352">
        <v>110.3643</v>
      </c>
      <c r="D83" s="42" t="s">
        <v>1081</v>
      </c>
      <c r="E83" s="42" t="s">
        <v>1144</v>
      </c>
      <c r="F83" s="42" t="s">
        <v>497</v>
      </c>
      <c r="G83" s="291"/>
      <c r="H83" s="353">
        <v>5255</v>
      </c>
      <c r="I83" s="38" t="s">
        <v>817</v>
      </c>
      <c r="J83" s="58">
        <v>4508.4070000000002</v>
      </c>
      <c r="K83" s="58">
        <v>6602.777</v>
      </c>
      <c r="L83" s="354">
        <v>2</v>
      </c>
      <c r="M83" s="352">
        <v>14.9</v>
      </c>
      <c r="N83" s="41" t="s">
        <v>481</v>
      </c>
      <c r="O83" s="41">
        <v>28</v>
      </c>
      <c r="P83" s="354">
        <v>2</v>
      </c>
      <c r="Q83" s="41">
        <v>18.399999999999999</v>
      </c>
      <c r="R83" s="41" t="s">
        <v>481</v>
      </c>
      <c r="S83" s="41">
        <v>38</v>
      </c>
      <c r="T83" s="46">
        <v>20.866141732283467</v>
      </c>
      <c r="U83" s="46">
        <v>106.18110236220473</v>
      </c>
      <c r="V83" s="47">
        <v>0.96976129986804627</v>
      </c>
    </row>
    <row r="84" spans="1:22" ht="12.75" outlineLevel="1">
      <c r="A84" s="374">
        <f t="shared" si="8"/>
        <v>78</v>
      </c>
      <c r="B84" s="42" t="str">
        <f t="shared" si="7"/>
        <v>MASSEY FERGUSON 3120T-32 SP  2WD________ 111pto hp</v>
      </c>
      <c r="C84" s="352">
        <v>110.63249999999999</v>
      </c>
      <c r="D84" s="42" t="s">
        <v>1081</v>
      </c>
      <c r="E84" s="42" t="s">
        <v>1145</v>
      </c>
      <c r="F84" s="42" t="s">
        <v>507</v>
      </c>
      <c r="G84" s="291"/>
      <c r="H84" s="353">
        <v>5172</v>
      </c>
      <c r="I84" s="38">
        <v>0</v>
      </c>
      <c r="J84" s="58">
        <v>3401.6978000000004</v>
      </c>
      <c r="K84" s="58">
        <v>6860.7152000000006</v>
      </c>
      <c r="L84" s="354">
        <v>2</v>
      </c>
      <c r="M84" s="352">
        <v>11</v>
      </c>
      <c r="N84" s="354" t="s">
        <v>499</v>
      </c>
      <c r="O84" s="41">
        <v>16</v>
      </c>
      <c r="P84" s="354">
        <v>2</v>
      </c>
      <c r="Q84" s="41">
        <v>18.399999999999999</v>
      </c>
      <c r="R84" s="41" t="s">
        <v>481</v>
      </c>
      <c r="S84" s="41">
        <v>38</v>
      </c>
      <c r="T84" s="46">
        <v>32.283464566929133</v>
      </c>
      <c r="U84" s="46">
        <v>106.18110236220473</v>
      </c>
      <c r="V84" s="47">
        <v>0.95666135934592311</v>
      </c>
    </row>
    <row r="85" spans="1:22" ht="12.75" outlineLevel="1">
      <c r="A85" s="374">
        <f t="shared" si="8"/>
        <v>79</v>
      </c>
      <c r="B85" s="42" t="str">
        <f t="shared" si="7"/>
        <v>MASSEY FERGUSON 3120T-32 SP  MFWD_______ 111pto hp</v>
      </c>
      <c r="C85" s="352">
        <v>110.63249999999999</v>
      </c>
      <c r="D85" s="42" t="s">
        <v>1081</v>
      </c>
      <c r="E85" s="42" t="s">
        <v>1145</v>
      </c>
      <c r="F85" s="42" t="s">
        <v>497</v>
      </c>
      <c r="G85" s="291"/>
      <c r="H85" s="353">
        <v>5172</v>
      </c>
      <c r="I85" s="38">
        <v>0</v>
      </c>
      <c r="J85" s="58">
        <v>4047.6456000000003</v>
      </c>
      <c r="K85" s="58">
        <v>6942.2854000000007</v>
      </c>
      <c r="L85" s="354">
        <v>2</v>
      </c>
      <c r="M85" s="352">
        <v>14.9</v>
      </c>
      <c r="N85" s="41" t="s">
        <v>481</v>
      </c>
      <c r="O85" s="41">
        <v>28</v>
      </c>
      <c r="P85" s="354">
        <v>2</v>
      </c>
      <c r="Q85" s="41">
        <v>18.399999999999999</v>
      </c>
      <c r="R85" s="41" t="s">
        <v>481</v>
      </c>
      <c r="S85" s="41">
        <v>38</v>
      </c>
      <c r="T85" s="46">
        <v>20.472440944881892</v>
      </c>
      <c r="U85" s="46">
        <v>106.18110236220473</v>
      </c>
      <c r="V85" s="47">
        <v>0.95959290590163082</v>
      </c>
    </row>
    <row r="86" spans="1:22" ht="12.75" outlineLevel="1">
      <c r="A86" s="374">
        <f t="shared" si="8"/>
        <v>80</v>
      </c>
      <c r="B86" s="42" t="str">
        <f t="shared" si="7"/>
        <v>MASSEY FERGUSON 6280, 32-SP  2WD________ 111pto hp</v>
      </c>
      <c r="C86" s="352">
        <v>111.303</v>
      </c>
      <c r="D86" s="42" t="s">
        <v>1081</v>
      </c>
      <c r="E86" s="42" t="s">
        <v>1146</v>
      </c>
      <c r="F86" s="42" t="s">
        <v>507</v>
      </c>
      <c r="G86" s="291"/>
      <c r="H86" s="353">
        <v>5304</v>
      </c>
      <c r="I86" s="38" t="s">
        <v>817</v>
      </c>
      <c r="J86" s="58">
        <v>3758.8430000000003</v>
      </c>
      <c r="K86" s="58">
        <v>7021.6510000000007</v>
      </c>
      <c r="L86" s="354">
        <v>2</v>
      </c>
      <c r="M86" s="352">
        <v>11</v>
      </c>
      <c r="N86" s="354" t="s">
        <v>499</v>
      </c>
      <c r="O86" s="41">
        <v>16</v>
      </c>
      <c r="P86" s="354">
        <v>2</v>
      </c>
      <c r="Q86" s="41">
        <v>520</v>
      </c>
      <c r="R86" s="291" t="s">
        <v>710</v>
      </c>
      <c r="S86" s="41">
        <v>38</v>
      </c>
      <c r="T86" s="46">
        <v>33.070866141732289</v>
      </c>
      <c r="U86" s="46">
        <v>106.25984251968505</v>
      </c>
      <c r="V86" s="47">
        <v>1.0742528733957535</v>
      </c>
    </row>
    <row r="87" spans="1:22" ht="12.75" outlineLevel="1">
      <c r="A87" s="374">
        <f t="shared" si="8"/>
        <v>81</v>
      </c>
      <c r="B87" s="42" t="str">
        <f t="shared" ref="B87:B102" si="9">CONCATENATE( LEFT(CONCATENATE(D87," ",E87," ",G87," ",F87,$W$5),40)," ",FIXED(C87,0),"pto hp")</f>
        <v>MASSEY FERGUSON 6280, 32-SP  MFWD_______ 111pto hp</v>
      </c>
      <c r="C87" s="352">
        <v>111.303</v>
      </c>
      <c r="D87" s="42" t="s">
        <v>1081</v>
      </c>
      <c r="E87" s="42" t="s">
        <v>1146</v>
      </c>
      <c r="F87" s="42" t="s">
        <v>497</v>
      </c>
      <c r="G87" s="291"/>
      <c r="H87" s="353">
        <v>5304</v>
      </c>
      <c r="I87" s="38" t="s">
        <v>529</v>
      </c>
      <c r="J87" s="58">
        <v>4541.4760000000006</v>
      </c>
      <c r="K87" s="58">
        <v>7054.72</v>
      </c>
      <c r="L87" s="354">
        <v>2</v>
      </c>
      <c r="M87" s="352">
        <v>420</v>
      </c>
      <c r="N87" s="291" t="s">
        <v>614</v>
      </c>
      <c r="O87" s="41">
        <v>28</v>
      </c>
      <c r="P87" s="354">
        <v>2</v>
      </c>
      <c r="Q87" s="41">
        <v>520</v>
      </c>
      <c r="R87" s="291" t="s">
        <v>710</v>
      </c>
      <c r="S87" s="41">
        <v>38</v>
      </c>
      <c r="T87" s="46">
        <v>23.622047244094489</v>
      </c>
      <c r="U87" s="46">
        <v>106.25984251968505</v>
      </c>
      <c r="V87" s="47">
        <v>1.1101908085816876</v>
      </c>
    </row>
    <row r="88" spans="1:22" ht="12.75" outlineLevel="1">
      <c r="A88" s="374">
        <f t="shared" si="8"/>
        <v>82</v>
      </c>
      <c r="B88" s="42" t="str">
        <f t="shared" si="9"/>
        <v>MASSEY FERGUSON 4255, 12-SP  MFWD_______ 114pto hp</v>
      </c>
      <c r="C88" s="352">
        <v>113.85090000000001</v>
      </c>
      <c r="D88" s="42" t="s">
        <v>1081</v>
      </c>
      <c r="E88" s="42" t="s">
        <v>1147</v>
      </c>
      <c r="F88" s="42" t="s">
        <v>497</v>
      </c>
      <c r="G88" s="291"/>
      <c r="H88" s="353">
        <v>5279</v>
      </c>
      <c r="I88" s="38" t="s">
        <v>529</v>
      </c>
      <c r="J88" s="58">
        <v>3494.2910000000002</v>
      </c>
      <c r="K88" s="58">
        <v>5101.4444000000003</v>
      </c>
      <c r="L88" s="354">
        <v>2</v>
      </c>
      <c r="M88" s="352">
        <v>420</v>
      </c>
      <c r="N88" s="291" t="s">
        <v>614</v>
      </c>
      <c r="O88" s="41">
        <v>28</v>
      </c>
      <c r="P88" s="354">
        <v>2</v>
      </c>
      <c r="Q88" s="41">
        <v>18.399999999999999</v>
      </c>
      <c r="R88" s="41" t="s">
        <v>481</v>
      </c>
      <c r="S88" s="41">
        <v>38</v>
      </c>
      <c r="T88" s="46">
        <v>22.440944881889767</v>
      </c>
      <c r="U88" s="46">
        <v>92.519685039370088</v>
      </c>
      <c r="V88" s="47">
        <v>0.6229104813305727</v>
      </c>
    </row>
    <row r="89" spans="1:22" ht="12.75" outlineLevel="1">
      <c r="A89" s="374">
        <f t="shared" si="8"/>
        <v>83</v>
      </c>
      <c r="B89" s="42" t="str">
        <f t="shared" si="9"/>
        <v>MASSEY FERGUSON 3140-16 SP  MFWD________ 116pto hp</v>
      </c>
      <c r="C89" s="352">
        <v>115.86240000000001</v>
      </c>
      <c r="D89" s="42" t="s">
        <v>1081</v>
      </c>
      <c r="E89" s="42" t="s">
        <v>1148</v>
      </c>
      <c r="F89" s="42" t="s">
        <v>497</v>
      </c>
      <c r="G89" s="291"/>
      <c r="H89" s="353">
        <v>5123</v>
      </c>
      <c r="I89" s="38">
        <v>0</v>
      </c>
      <c r="J89" s="58">
        <v>4629.66</v>
      </c>
      <c r="K89" s="58">
        <v>7032.674</v>
      </c>
      <c r="L89" s="354">
        <v>2</v>
      </c>
      <c r="M89" s="352">
        <v>14.9</v>
      </c>
      <c r="N89" s="354" t="s">
        <v>500</v>
      </c>
      <c r="O89" s="41">
        <v>28</v>
      </c>
      <c r="P89" s="354">
        <v>2</v>
      </c>
      <c r="Q89" s="41">
        <v>20.8</v>
      </c>
      <c r="R89" s="354" t="s">
        <v>500</v>
      </c>
      <c r="S89" s="41">
        <v>38</v>
      </c>
      <c r="T89" s="46">
        <v>22.755905511811026</v>
      </c>
      <c r="U89" s="46">
        <v>106.18110236220473</v>
      </c>
      <c r="V89" s="47">
        <v>0.94147092655668341</v>
      </c>
    </row>
    <row r="90" spans="1:22" ht="12.75" outlineLevel="1">
      <c r="A90" s="374">
        <f t="shared" si="8"/>
        <v>84</v>
      </c>
      <c r="B90" s="42" t="str">
        <f t="shared" si="9"/>
        <v>MASSEY FERGUSON 3140-16 SP  2WD_________ 116pto hp</v>
      </c>
      <c r="C90" s="352">
        <v>115.86240000000001</v>
      </c>
      <c r="D90" s="42" t="s">
        <v>1081</v>
      </c>
      <c r="E90" s="42" t="s">
        <v>1148</v>
      </c>
      <c r="F90" s="42" t="s">
        <v>507</v>
      </c>
      <c r="G90" s="291"/>
      <c r="H90" s="353">
        <v>5123</v>
      </c>
      <c r="I90" s="38">
        <v>0</v>
      </c>
      <c r="J90" s="58">
        <v>3659.636</v>
      </c>
      <c r="K90" s="58">
        <v>6933.4670000000006</v>
      </c>
      <c r="L90" s="354">
        <v>2</v>
      </c>
      <c r="M90" s="352">
        <v>11</v>
      </c>
      <c r="N90" s="354" t="s">
        <v>499</v>
      </c>
      <c r="O90" s="41">
        <v>16</v>
      </c>
      <c r="P90" s="354">
        <v>2</v>
      </c>
      <c r="Q90" s="41">
        <v>20.8</v>
      </c>
      <c r="R90" s="354" t="s">
        <v>500</v>
      </c>
      <c r="S90" s="41">
        <v>38</v>
      </c>
      <c r="T90" s="46">
        <v>32.283464566929133</v>
      </c>
      <c r="U90" s="46">
        <v>106.18110236220473</v>
      </c>
      <c r="V90" s="47">
        <v>0.98625844337999435</v>
      </c>
    </row>
    <row r="91" spans="1:22" ht="12.75" outlineLevel="1">
      <c r="A91" s="374">
        <f t="shared" si="8"/>
        <v>85</v>
      </c>
      <c r="B91" s="42" t="str">
        <f t="shared" si="9"/>
        <v>MASSEY FERGUSON 3630-16 SP  MFWD________ 119pto hp</v>
      </c>
      <c r="C91" s="352">
        <v>119.48309999999999</v>
      </c>
      <c r="D91" s="42" t="s">
        <v>1081</v>
      </c>
      <c r="E91" s="42" t="s">
        <v>1149</v>
      </c>
      <c r="F91" s="42" t="s">
        <v>497</v>
      </c>
      <c r="G91" s="291"/>
      <c r="H91" s="353">
        <v>5045</v>
      </c>
      <c r="I91" s="38">
        <v>0</v>
      </c>
      <c r="J91" s="58">
        <v>4761.9360000000006</v>
      </c>
      <c r="K91" s="58">
        <v>8035.7670000000007</v>
      </c>
      <c r="L91" s="354">
        <v>2</v>
      </c>
      <c r="M91" s="352">
        <v>14.9</v>
      </c>
      <c r="N91" s="354" t="s">
        <v>500</v>
      </c>
      <c r="O91" s="41">
        <v>28</v>
      </c>
      <c r="P91" s="354">
        <v>2</v>
      </c>
      <c r="Q91" s="41">
        <v>20.8</v>
      </c>
      <c r="R91" s="354" t="s">
        <v>500</v>
      </c>
      <c r="S91" s="41">
        <v>42</v>
      </c>
      <c r="T91" s="46">
        <v>20.866141732283467</v>
      </c>
      <c r="U91" s="46">
        <v>108.77952755905513</v>
      </c>
      <c r="V91" s="47">
        <v>0.95818142052295674</v>
      </c>
    </row>
    <row r="92" spans="1:22" ht="12.75" outlineLevel="1">
      <c r="A92" s="374">
        <f t="shared" si="8"/>
        <v>86</v>
      </c>
      <c r="B92" s="42" t="str">
        <f t="shared" si="9"/>
        <v>MASSEY FERGUSON 6290, 32-SP  2WD________ 120pto hp</v>
      </c>
      <c r="C92" s="352">
        <v>120.42179999999999</v>
      </c>
      <c r="D92" s="42" t="s">
        <v>1081</v>
      </c>
      <c r="E92" s="42" t="s">
        <v>1150</v>
      </c>
      <c r="F92" s="42" t="s">
        <v>507</v>
      </c>
      <c r="G92" s="291"/>
      <c r="H92" s="353">
        <v>5305</v>
      </c>
      <c r="I92" s="38" t="s">
        <v>817</v>
      </c>
      <c r="J92" s="58">
        <v>3780.8890000000001</v>
      </c>
      <c r="K92" s="58">
        <v>6845.2830000000004</v>
      </c>
      <c r="L92" s="354">
        <v>2</v>
      </c>
      <c r="M92" s="352">
        <v>11</v>
      </c>
      <c r="N92" s="354" t="s">
        <v>499</v>
      </c>
      <c r="O92" s="41">
        <v>16</v>
      </c>
      <c r="P92" s="354">
        <v>2</v>
      </c>
      <c r="Q92" s="41">
        <v>20.8</v>
      </c>
      <c r="R92" s="41" t="s">
        <v>481</v>
      </c>
      <c r="S92" s="41">
        <v>38</v>
      </c>
      <c r="T92" s="46">
        <v>33.464566929133859</v>
      </c>
      <c r="U92" s="46">
        <v>106.25984251968505</v>
      </c>
      <c r="V92" s="47">
        <v>1.0090657465136172</v>
      </c>
    </row>
    <row r="93" spans="1:22" ht="12.75" outlineLevel="1">
      <c r="A93" s="374">
        <f t="shared" si="8"/>
        <v>87</v>
      </c>
      <c r="B93" s="42" t="str">
        <f t="shared" si="9"/>
        <v>MASSEY FERGUSON 6290, 32-SP  MFWD_______ 120pto hp</v>
      </c>
      <c r="C93" s="352">
        <v>120.42179999999999</v>
      </c>
      <c r="D93" s="42" t="s">
        <v>1081</v>
      </c>
      <c r="E93" s="42" t="s">
        <v>1150</v>
      </c>
      <c r="F93" s="42" t="s">
        <v>497</v>
      </c>
      <c r="G93" s="291"/>
      <c r="H93" s="353">
        <v>5305</v>
      </c>
      <c r="I93" s="38" t="s">
        <v>529</v>
      </c>
      <c r="J93" s="58">
        <v>4618.6370000000006</v>
      </c>
      <c r="K93" s="58">
        <v>6944.49</v>
      </c>
      <c r="L93" s="354">
        <v>2</v>
      </c>
      <c r="M93" s="352">
        <v>16.899999999999999</v>
      </c>
      <c r="N93" s="41" t="s">
        <v>481</v>
      </c>
      <c r="O93" s="41">
        <v>28</v>
      </c>
      <c r="P93" s="354">
        <v>2</v>
      </c>
      <c r="Q93" s="41">
        <v>20.8</v>
      </c>
      <c r="R93" s="41" t="s">
        <v>481</v>
      </c>
      <c r="S93" s="41">
        <v>38</v>
      </c>
      <c r="T93" s="46">
        <v>25.196850393700789</v>
      </c>
      <c r="U93" s="46">
        <v>106.25984251968505</v>
      </c>
      <c r="V93" s="47">
        <v>1.0198386904265739</v>
      </c>
    </row>
    <row r="94" spans="1:22" ht="12.75" outlineLevel="1">
      <c r="A94" s="374">
        <f t="shared" si="8"/>
        <v>88</v>
      </c>
      <c r="B94" s="42" t="str">
        <f t="shared" si="9"/>
        <v>MASSEY FERGUSON 2705-8 SP  2WD__________ 121pto hp</v>
      </c>
      <c r="C94" s="352">
        <v>121.10571</v>
      </c>
      <c r="D94" s="42" t="s">
        <v>1081</v>
      </c>
      <c r="E94" s="42" t="s">
        <v>1151</v>
      </c>
      <c r="F94" s="42" t="s">
        <v>507</v>
      </c>
      <c r="G94" s="291"/>
      <c r="H94" s="353">
        <v>1322</v>
      </c>
      <c r="I94" s="38">
        <v>0</v>
      </c>
      <c r="J94" s="58">
        <v>3829.3902000000003</v>
      </c>
      <c r="K94" s="58">
        <v>8675.1010000000006</v>
      </c>
      <c r="L94" s="354">
        <v>2</v>
      </c>
      <c r="M94" s="352">
        <v>11</v>
      </c>
      <c r="N94" s="354" t="s">
        <v>499</v>
      </c>
      <c r="O94" s="41">
        <v>16</v>
      </c>
      <c r="P94" s="354">
        <v>2</v>
      </c>
      <c r="Q94" s="41">
        <v>20.8</v>
      </c>
      <c r="R94" s="354" t="s">
        <v>500</v>
      </c>
      <c r="S94" s="41">
        <v>38</v>
      </c>
      <c r="T94" s="46">
        <v>22.440944881889767</v>
      </c>
      <c r="U94" s="46">
        <v>105.39370078740158</v>
      </c>
      <c r="V94" s="47">
        <v>0.87937469915578126</v>
      </c>
    </row>
    <row r="95" spans="1:22" ht="12.75" outlineLevel="1">
      <c r="A95" s="374">
        <f t="shared" si="8"/>
        <v>89</v>
      </c>
      <c r="B95" s="42" t="str">
        <f t="shared" si="9"/>
        <v>MASSEY FERGUSON 2705-24 SP  2WD_________ 122pto hp</v>
      </c>
      <c r="C95" s="352">
        <v>122.19192000000001</v>
      </c>
      <c r="D95" s="42" t="s">
        <v>1081</v>
      </c>
      <c r="E95" s="42" t="s">
        <v>1152</v>
      </c>
      <c r="F95" s="42" t="s">
        <v>507</v>
      </c>
      <c r="G95" s="291"/>
      <c r="H95" s="353">
        <v>1310</v>
      </c>
      <c r="I95" s="38">
        <v>0</v>
      </c>
      <c r="J95" s="58">
        <v>3919.7788</v>
      </c>
      <c r="K95" s="58">
        <v>8675.1010000000006</v>
      </c>
      <c r="L95" s="354">
        <v>2</v>
      </c>
      <c r="M95" s="352">
        <v>11</v>
      </c>
      <c r="N95" s="354" t="s">
        <v>499</v>
      </c>
      <c r="O95" s="41">
        <v>16</v>
      </c>
      <c r="P95" s="354">
        <v>2</v>
      </c>
      <c r="Q95" s="41">
        <v>20.8</v>
      </c>
      <c r="R95" s="354" t="s">
        <v>500</v>
      </c>
      <c r="S95" s="41">
        <v>38</v>
      </c>
      <c r="T95" s="46">
        <v>22.440944881889767</v>
      </c>
      <c r="U95" s="46">
        <v>105.39370078740158</v>
      </c>
      <c r="V95" s="47">
        <v>0.89748049514947348</v>
      </c>
    </row>
    <row r="96" spans="1:22" ht="12.75" outlineLevel="1">
      <c r="A96" s="374">
        <f t="shared" si="8"/>
        <v>90</v>
      </c>
      <c r="B96" s="42" t="str">
        <f t="shared" si="9"/>
        <v>MASSEY FERGUSON 3545-16 SP  MFWD________ 127pto hp</v>
      </c>
      <c r="C96" s="352">
        <v>126.72449999999999</v>
      </c>
      <c r="D96" s="42" t="s">
        <v>1081</v>
      </c>
      <c r="E96" s="42" t="s">
        <v>1153</v>
      </c>
      <c r="F96" s="42" t="s">
        <v>497</v>
      </c>
      <c r="G96" s="291"/>
      <c r="H96" s="353">
        <v>1513</v>
      </c>
      <c r="I96" s="38" t="s">
        <v>499</v>
      </c>
      <c r="J96" s="58">
        <v>4750.9130000000005</v>
      </c>
      <c r="K96" s="58">
        <v>8549.4387999999999</v>
      </c>
      <c r="L96" s="354">
        <v>2</v>
      </c>
      <c r="M96" s="352">
        <v>14.9</v>
      </c>
      <c r="N96" s="354" t="s">
        <v>500</v>
      </c>
      <c r="O96" s="41">
        <v>28</v>
      </c>
      <c r="P96" s="354">
        <v>2</v>
      </c>
      <c r="Q96" s="41">
        <v>20.8</v>
      </c>
      <c r="R96" s="354" t="s">
        <v>500</v>
      </c>
      <c r="S96" s="41">
        <v>38</v>
      </c>
      <c r="T96" s="46">
        <v>22.047244094488189</v>
      </c>
      <c r="U96" s="46">
        <v>107.3228346456693</v>
      </c>
      <c r="V96" s="47">
        <v>0.89489724090768097</v>
      </c>
    </row>
    <row r="97" spans="1:22" ht="12.75" outlineLevel="1">
      <c r="A97" s="374">
        <f t="shared" si="8"/>
        <v>91</v>
      </c>
      <c r="B97" s="42" t="str">
        <f t="shared" si="9"/>
        <v>MASSEY FERGUSON 8120-DYNA 32-SP  2WD____ 128pto hp</v>
      </c>
      <c r="C97" s="352">
        <v>128.06549999999999</v>
      </c>
      <c r="D97" s="42" t="s">
        <v>1081</v>
      </c>
      <c r="E97" s="42" t="s">
        <v>1154</v>
      </c>
      <c r="F97" s="42" t="s">
        <v>507</v>
      </c>
      <c r="G97" s="291"/>
      <c r="H97" s="353">
        <v>5197</v>
      </c>
      <c r="I97" s="38" t="s">
        <v>817</v>
      </c>
      <c r="J97" s="58">
        <v>4067.4870000000001</v>
      </c>
      <c r="K97" s="58">
        <v>8531.8019999999997</v>
      </c>
      <c r="L97" s="354">
        <v>2</v>
      </c>
      <c r="M97" s="352">
        <v>11</v>
      </c>
      <c r="N97" s="354" t="s">
        <v>499</v>
      </c>
      <c r="O97" s="41">
        <v>16</v>
      </c>
      <c r="P97" s="354">
        <v>2</v>
      </c>
      <c r="Q97" s="41">
        <v>580</v>
      </c>
      <c r="R97" s="291" t="s">
        <v>614</v>
      </c>
      <c r="S97" s="41">
        <v>38</v>
      </c>
      <c r="T97" s="46">
        <v>37.795275590551185</v>
      </c>
      <c r="U97" s="46">
        <v>109.05511811023622</v>
      </c>
      <c r="V97" s="47">
        <v>0.97163117648728536</v>
      </c>
    </row>
    <row r="98" spans="1:22" ht="12.75" outlineLevel="1">
      <c r="A98" s="374">
        <f t="shared" si="8"/>
        <v>92</v>
      </c>
      <c r="B98" s="42" t="str">
        <f t="shared" si="9"/>
        <v>MASSEY FERGUSON 8120-DYNA 32-SP  MFWD___ 128pto hp</v>
      </c>
      <c r="C98" s="352">
        <v>128.06549999999999</v>
      </c>
      <c r="D98" s="42" t="s">
        <v>1081</v>
      </c>
      <c r="E98" s="42" t="s">
        <v>1154</v>
      </c>
      <c r="F98" s="42" t="s">
        <v>497</v>
      </c>
      <c r="G98" s="291"/>
      <c r="H98" s="353">
        <v>5197</v>
      </c>
      <c r="I98" s="38" t="s">
        <v>817</v>
      </c>
      <c r="J98" s="58">
        <v>5335.1320000000005</v>
      </c>
      <c r="K98" s="58">
        <v>8631.009</v>
      </c>
      <c r="L98" s="354">
        <v>2</v>
      </c>
      <c r="M98" s="352">
        <v>480</v>
      </c>
      <c r="N98" s="291" t="s">
        <v>614</v>
      </c>
      <c r="O98" s="41">
        <v>28</v>
      </c>
      <c r="P98" s="354">
        <v>2</v>
      </c>
      <c r="Q98" s="41">
        <v>580</v>
      </c>
      <c r="R98" s="291" t="s">
        <v>614</v>
      </c>
      <c r="S98" s="41">
        <v>38</v>
      </c>
      <c r="T98" s="46">
        <v>21.259842519685041</v>
      </c>
      <c r="U98" s="46">
        <v>109.05511811023622</v>
      </c>
      <c r="V98" s="47">
        <v>0.94883878572694069</v>
      </c>
    </row>
    <row r="99" spans="1:22" ht="12.75" outlineLevel="1">
      <c r="A99" s="374">
        <f t="shared" si="8"/>
        <v>93</v>
      </c>
      <c r="B99" s="42" t="str">
        <f t="shared" si="9"/>
        <v>MASSEY FERGUSON 3650-16 SP  MFWD________ 131pto hp</v>
      </c>
      <c r="C99" s="352">
        <v>131.28390000000002</v>
      </c>
      <c r="D99" s="42" t="s">
        <v>1081</v>
      </c>
      <c r="E99" s="42" t="s">
        <v>1155</v>
      </c>
      <c r="F99" s="42" t="s">
        <v>497</v>
      </c>
      <c r="G99" s="291"/>
      <c r="H99" s="353">
        <v>5046</v>
      </c>
      <c r="I99" s="38" t="s">
        <v>499</v>
      </c>
      <c r="J99" s="58">
        <v>4795.0050000000001</v>
      </c>
      <c r="K99" s="58">
        <v>7969.6290000000008</v>
      </c>
      <c r="L99" s="354">
        <v>2</v>
      </c>
      <c r="M99" s="352">
        <v>14.9</v>
      </c>
      <c r="N99" s="354" t="s">
        <v>500</v>
      </c>
      <c r="O99" s="41">
        <v>28</v>
      </c>
      <c r="P99" s="354">
        <v>2</v>
      </c>
      <c r="Q99" s="41">
        <v>20.8</v>
      </c>
      <c r="R99" s="354" t="s">
        <v>500</v>
      </c>
      <c r="S99" s="41">
        <v>42</v>
      </c>
      <c r="T99" s="46">
        <v>20.866141732283467</v>
      </c>
      <c r="U99" s="46">
        <v>108.77952755905513</v>
      </c>
      <c r="V99" s="47">
        <v>0.94863528993685076</v>
      </c>
    </row>
    <row r="100" spans="1:22" ht="12.75" outlineLevel="1">
      <c r="A100" s="374">
        <f t="shared" si="8"/>
        <v>94</v>
      </c>
      <c r="B100" s="42" t="str">
        <f t="shared" si="9"/>
        <v>MASSEY FERGUSON 8220, 18-SP, PS  2WD____ 135pto hp</v>
      </c>
      <c r="C100" s="352">
        <v>135.441</v>
      </c>
      <c r="D100" s="42" t="s">
        <v>1081</v>
      </c>
      <c r="E100" s="42" t="s">
        <v>1156</v>
      </c>
      <c r="F100" s="42" t="s">
        <v>507</v>
      </c>
      <c r="G100" s="291"/>
      <c r="H100" s="353">
        <v>5318</v>
      </c>
      <c r="I100" s="38" t="s">
        <v>817</v>
      </c>
      <c r="J100" s="58">
        <v>4651.7060000000001</v>
      </c>
      <c r="K100" s="58">
        <v>10273.436</v>
      </c>
      <c r="L100" s="354">
        <v>2</v>
      </c>
      <c r="M100" s="352">
        <v>14</v>
      </c>
      <c r="N100" s="354" t="s">
        <v>499</v>
      </c>
      <c r="O100" s="41">
        <v>16.100000000000001</v>
      </c>
      <c r="P100" s="354">
        <v>2</v>
      </c>
      <c r="Q100" s="41">
        <v>20.8</v>
      </c>
      <c r="R100" s="41" t="s">
        <v>481</v>
      </c>
      <c r="S100" s="41">
        <v>42</v>
      </c>
      <c r="T100" s="46">
        <v>33.464566929133859</v>
      </c>
      <c r="U100" s="46">
        <v>111.22047244094489</v>
      </c>
      <c r="V100" s="47">
        <v>1.0424405400815793</v>
      </c>
    </row>
    <row r="101" spans="1:22" ht="12.75" outlineLevel="1">
      <c r="A101" s="374">
        <f t="shared" si="8"/>
        <v>95</v>
      </c>
      <c r="B101" s="42" t="str">
        <f t="shared" si="9"/>
        <v>MASSEY FERGUSON 8220, 18-SP, PS  MFWD___ 135pto hp</v>
      </c>
      <c r="C101" s="352">
        <v>135.441</v>
      </c>
      <c r="D101" s="42" t="s">
        <v>1081</v>
      </c>
      <c r="E101" s="42" t="s">
        <v>1156</v>
      </c>
      <c r="F101" s="42" t="s">
        <v>497</v>
      </c>
      <c r="G101" s="291"/>
      <c r="H101" s="353">
        <v>5318</v>
      </c>
      <c r="I101" s="38" t="s">
        <v>529</v>
      </c>
      <c r="J101" s="58">
        <v>5654.799</v>
      </c>
      <c r="K101" s="58">
        <v>10405.712000000001</v>
      </c>
      <c r="L101" s="354">
        <v>2</v>
      </c>
      <c r="M101" s="352">
        <v>16.899999999999999</v>
      </c>
      <c r="N101" s="41" t="s">
        <v>481</v>
      </c>
      <c r="O101" s="41">
        <v>30</v>
      </c>
      <c r="P101" s="354">
        <v>2</v>
      </c>
      <c r="Q101" s="41">
        <v>20.8</v>
      </c>
      <c r="R101" s="41" t="s">
        <v>481</v>
      </c>
      <c r="S101" s="41">
        <v>42</v>
      </c>
      <c r="T101" s="46">
        <v>23.622047244094489</v>
      </c>
      <c r="U101" s="46">
        <v>111.22047244094489</v>
      </c>
      <c r="V101" s="47">
        <v>1.0663863411554286</v>
      </c>
    </row>
    <row r="102" spans="1:22" ht="12.75" outlineLevel="1">
      <c r="A102" s="374">
        <f t="shared" si="8"/>
        <v>96</v>
      </c>
      <c r="B102" s="42" t="str">
        <f t="shared" si="9"/>
        <v>MASSEY FERGUSON 3660-16 SP  MFWD________ 141pto hp</v>
      </c>
      <c r="C102" s="352">
        <v>141.2073</v>
      </c>
      <c r="D102" s="42" t="s">
        <v>1081</v>
      </c>
      <c r="E102" s="42" t="s">
        <v>1157</v>
      </c>
      <c r="F102" s="42" t="s">
        <v>497</v>
      </c>
      <c r="G102" s="291"/>
      <c r="H102" s="353">
        <v>5124</v>
      </c>
      <c r="I102" s="38">
        <v>0</v>
      </c>
      <c r="J102" s="58">
        <v>4651.7060000000001</v>
      </c>
      <c r="K102" s="58">
        <v>8322.3649999999998</v>
      </c>
      <c r="L102" s="354">
        <v>2</v>
      </c>
      <c r="M102" s="352">
        <v>16.899999999999999</v>
      </c>
      <c r="N102" s="354" t="s">
        <v>500</v>
      </c>
      <c r="O102" s="41">
        <v>28</v>
      </c>
      <c r="P102" s="354">
        <v>2</v>
      </c>
      <c r="Q102" s="41">
        <v>20.8</v>
      </c>
      <c r="R102" s="354" t="s">
        <v>500</v>
      </c>
      <c r="S102" s="41">
        <v>38</v>
      </c>
      <c r="T102" s="46">
        <v>20.866141732283467</v>
      </c>
      <c r="U102" s="46">
        <v>109.05511811023622</v>
      </c>
      <c r="V102" s="47">
        <v>0.90034392793527751</v>
      </c>
    </row>
    <row r="103" spans="1:22" ht="12.75" outlineLevel="1">
      <c r="A103" s="374">
        <f t="shared" si="8"/>
        <v>97</v>
      </c>
      <c r="B103" s="42" t="str">
        <f t="shared" ref="B103:B118" si="10">CONCATENATE( LEFT(CONCATENATE(D103," ",E103," ",G103," ",F103,$W$5),40)," ",FIXED(C103,0),"pto hp")</f>
        <v>MASSEY FERGUSON 3660-16 SP  2WD_________ 141pto hp</v>
      </c>
      <c r="C103" s="352">
        <v>141.2073</v>
      </c>
      <c r="D103" s="42" t="s">
        <v>1081</v>
      </c>
      <c r="E103" s="42" t="s">
        <v>1157</v>
      </c>
      <c r="F103" s="42" t="s">
        <v>507</v>
      </c>
      <c r="G103" s="291"/>
      <c r="H103" s="353">
        <v>5124</v>
      </c>
      <c r="I103" s="38">
        <v>0</v>
      </c>
      <c r="J103" s="58">
        <v>3681.6820000000002</v>
      </c>
      <c r="K103" s="58">
        <v>8134.9740000000002</v>
      </c>
      <c r="L103" s="354">
        <v>2</v>
      </c>
      <c r="M103" s="352">
        <v>11</v>
      </c>
      <c r="N103" s="354" t="s">
        <v>499</v>
      </c>
      <c r="O103" s="41">
        <v>16</v>
      </c>
      <c r="P103" s="354">
        <v>2</v>
      </c>
      <c r="Q103" s="41">
        <v>20.8</v>
      </c>
      <c r="R103" s="354" t="s">
        <v>500</v>
      </c>
      <c r="S103" s="41">
        <v>38</v>
      </c>
      <c r="T103" s="46">
        <v>33.464566929133859</v>
      </c>
      <c r="U103" s="46">
        <v>109.05511811023622</v>
      </c>
      <c r="V103" s="47">
        <v>0.89728153362257257</v>
      </c>
    </row>
    <row r="104" spans="1:22" ht="12.75" outlineLevel="1">
      <c r="A104" s="374">
        <f t="shared" ref="A104:A128" si="11">A103+1</f>
        <v>98</v>
      </c>
      <c r="B104" s="42" t="str">
        <f t="shared" si="10"/>
        <v>MASSEY FERGUSON 2745-24 SP  2WD_________ 143pto hp</v>
      </c>
      <c r="C104" s="352">
        <v>143.39313000000001</v>
      </c>
      <c r="D104" s="42" t="s">
        <v>1081</v>
      </c>
      <c r="E104" s="42" t="s">
        <v>1158</v>
      </c>
      <c r="F104" s="42" t="s">
        <v>507</v>
      </c>
      <c r="G104" s="291"/>
      <c r="H104" s="353">
        <v>1311</v>
      </c>
      <c r="I104" s="38">
        <v>0</v>
      </c>
      <c r="J104" s="58">
        <v>4830.2786000000006</v>
      </c>
      <c r="K104" s="58">
        <v>10359.4154</v>
      </c>
      <c r="L104" s="354">
        <v>2</v>
      </c>
      <c r="M104" s="352">
        <v>11</v>
      </c>
      <c r="N104" s="354" t="s">
        <v>499</v>
      </c>
      <c r="O104" s="41">
        <v>16</v>
      </c>
      <c r="P104" s="354">
        <v>4</v>
      </c>
      <c r="Q104" s="41">
        <v>18.399999999999999</v>
      </c>
      <c r="R104" s="354" t="s">
        <v>500</v>
      </c>
      <c r="S104" s="41">
        <v>38</v>
      </c>
      <c r="T104" s="46">
        <v>22.440944881889767</v>
      </c>
      <c r="U104" s="46">
        <v>110</v>
      </c>
      <c r="V104" s="47">
        <v>0.92190326408660284</v>
      </c>
    </row>
    <row r="105" spans="1:22" ht="12.75" outlineLevel="1">
      <c r="A105" s="374">
        <f t="shared" si="11"/>
        <v>99</v>
      </c>
      <c r="B105" s="42" t="str">
        <f t="shared" si="10"/>
        <v>MASSEY FERGUSON 8140-DYNA 32-SP  2WD____ 145pto hp</v>
      </c>
      <c r="C105" s="352">
        <v>145.49850000000001</v>
      </c>
      <c r="D105" s="42" t="s">
        <v>1081</v>
      </c>
      <c r="E105" s="42" t="s">
        <v>1159</v>
      </c>
      <c r="F105" s="42" t="s">
        <v>507</v>
      </c>
      <c r="G105" s="291"/>
      <c r="H105" s="353">
        <v>5198</v>
      </c>
      <c r="I105" s="38" t="s">
        <v>817</v>
      </c>
      <c r="J105" s="58">
        <v>4783.982</v>
      </c>
      <c r="K105" s="58">
        <v>8862.4920000000002</v>
      </c>
      <c r="L105" s="354">
        <v>2</v>
      </c>
      <c r="M105" s="352">
        <v>11</v>
      </c>
      <c r="N105" s="354" t="s">
        <v>499</v>
      </c>
      <c r="O105" s="41">
        <v>16</v>
      </c>
      <c r="P105" s="354">
        <v>2</v>
      </c>
      <c r="Q105" s="41">
        <v>20.8</v>
      </c>
      <c r="R105" s="41" t="s">
        <v>481</v>
      </c>
      <c r="S105" s="41">
        <v>42</v>
      </c>
      <c r="T105" s="46">
        <v>31.889763779527559</v>
      </c>
      <c r="U105" s="46">
        <v>115.74803149606299</v>
      </c>
      <c r="V105" s="47">
        <v>0.74450474970067948</v>
      </c>
    </row>
    <row r="106" spans="1:22" ht="12.75" outlineLevel="1">
      <c r="A106" s="374">
        <f t="shared" si="11"/>
        <v>100</v>
      </c>
      <c r="B106" s="42" t="str">
        <f t="shared" si="10"/>
        <v>MASSEY FERGUSON 8140-DYNA 32-SP  MFWD___ 145pto hp</v>
      </c>
      <c r="C106" s="352">
        <v>145.49850000000001</v>
      </c>
      <c r="D106" s="42" t="s">
        <v>1081</v>
      </c>
      <c r="E106" s="42" t="s">
        <v>1159</v>
      </c>
      <c r="F106" s="42" t="s">
        <v>497</v>
      </c>
      <c r="G106" s="291"/>
      <c r="H106" s="353">
        <v>5198</v>
      </c>
      <c r="I106" s="38" t="s">
        <v>817</v>
      </c>
      <c r="J106" s="58">
        <v>5654.799</v>
      </c>
      <c r="K106" s="58">
        <v>8939.6530000000002</v>
      </c>
      <c r="L106" s="354">
        <v>2</v>
      </c>
      <c r="M106" s="352">
        <v>16.899999999999999</v>
      </c>
      <c r="N106" s="41" t="s">
        <v>481</v>
      </c>
      <c r="O106" s="41">
        <v>30</v>
      </c>
      <c r="P106" s="354">
        <v>2</v>
      </c>
      <c r="Q106" s="41">
        <v>20.8</v>
      </c>
      <c r="R106" s="41" t="s">
        <v>481</v>
      </c>
      <c r="S106" s="41">
        <v>42</v>
      </c>
      <c r="T106" s="46">
        <v>22.440944881889767</v>
      </c>
      <c r="U106" s="46">
        <v>115.74803149606299</v>
      </c>
      <c r="V106" s="47">
        <v>0.95254998913799505</v>
      </c>
    </row>
    <row r="107" spans="1:22" ht="12.75" outlineLevel="1">
      <c r="A107" s="374">
        <f t="shared" si="11"/>
        <v>101</v>
      </c>
      <c r="B107" s="42" t="str">
        <f t="shared" si="10"/>
        <v>MASSEY FERGUSON 8240, 18-SP, PS  2WD____ 146pto hp</v>
      </c>
      <c r="C107" s="352">
        <v>146.16899999999998</v>
      </c>
      <c r="D107" s="42" t="s">
        <v>1081</v>
      </c>
      <c r="E107" s="42" t="s">
        <v>1160</v>
      </c>
      <c r="F107" s="42" t="s">
        <v>507</v>
      </c>
      <c r="G107" s="291"/>
      <c r="H107" s="353">
        <v>5319</v>
      </c>
      <c r="I107" s="38" t="s">
        <v>817</v>
      </c>
      <c r="J107" s="58">
        <v>4905.2350000000006</v>
      </c>
      <c r="K107" s="58">
        <v>10650.4226</v>
      </c>
      <c r="L107" s="354">
        <v>2</v>
      </c>
      <c r="M107" s="352">
        <v>14</v>
      </c>
      <c r="N107" s="354" t="s">
        <v>499</v>
      </c>
      <c r="O107" s="41">
        <v>16.100000000000001</v>
      </c>
      <c r="P107" s="354">
        <v>2</v>
      </c>
      <c r="Q107" s="41">
        <v>20.8</v>
      </c>
      <c r="R107" s="41" t="s">
        <v>481</v>
      </c>
      <c r="S107" s="41">
        <v>42</v>
      </c>
      <c r="T107" s="46">
        <v>29.527559055118111</v>
      </c>
      <c r="U107" s="46">
        <v>117.51968503937009</v>
      </c>
      <c r="V107" s="47">
        <v>1.0228811411004628</v>
      </c>
    </row>
    <row r="108" spans="1:22" ht="12.75" outlineLevel="1">
      <c r="A108" s="374">
        <f t="shared" si="11"/>
        <v>102</v>
      </c>
      <c r="B108" s="42" t="str">
        <f t="shared" si="10"/>
        <v>MASSEY FERGUSON 8240, 18-SP, PS  MFWD___ 146pto hp</v>
      </c>
      <c r="C108" s="352">
        <v>146.16899999999998</v>
      </c>
      <c r="D108" s="42" t="s">
        <v>1081</v>
      </c>
      <c r="E108" s="42" t="s">
        <v>1160</v>
      </c>
      <c r="F108" s="42" t="s">
        <v>497</v>
      </c>
      <c r="G108" s="291"/>
      <c r="H108" s="353">
        <v>5319</v>
      </c>
      <c r="I108" s="38" t="s">
        <v>529</v>
      </c>
      <c r="J108" s="58">
        <v>6007.5350000000008</v>
      </c>
      <c r="K108" s="58">
        <v>10460.827000000001</v>
      </c>
      <c r="L108" s="354">
        <v>2</v>
      </c>
      <c r="M108" s="352">
        <v>16.899999999999999</v>
      </c>
      <c r="N108" s="41" t="s">
        <v>481</v>
      </c>
      <c r="O108" s="41">
        <v>30</v>
      </c>
      <c r="P108" s="354">
        <v>2</v>
      </c>
      <c r="Q108" s="41">
        <v>20.8</v>
      </c>
      <c r="R108" s="41" t="s">
        <v>481</v>
      </c>
      <c r="S108" s="41">
        <v>42</v>
      </c>
      <c r="T108" s="46">
        <v>23.228346456692915</v>
      </c>
      <c r="U108" s="46">
        <v>117.51968503937009</v>
      </c>
      <c r="V108" s="47">
        <v>1.043590231448122</v>
      </c>
    </row>
    <row r="109" spans="1:22" ht="12.75" outlineLevel="1">
      <c r="A109" s="374">
        <f t="shared" si="11"/>
        <v>103</v>
      </c>
      <c r="B109" s="42" t="str">
        <f t="shared" si="10"/>
        <v>MASSEY FERGUSON 3670-32 SP,DYNA  MFWD___ 153pto hp</v>
      </c>
      <c r="C109" s="352">
        <v>152.73990000000001</v>
      </c>
      <c r="D109" s="42" t="s">
        <v>1081</v>
      </c>
      <c r="E109" s="42" t="s">
        <v>1161</v>
      </c>
      <c r="F109" s="42" t="s">
        <v>497</v>
      </c>
      <c r="G109" s="291"/>
      <c r="H109" s="353">
        <v>5125</v>
      </c>
      <c r="I109" s="38">
        <v>0</v>
      </c>
      <c r="J109" s="58">
        <v>5720.9369999999999</v>
      </c>
      <c r="K109" s="58">
        <v>8939.6530000000002</v>
      </c>
      <c r="L109" s="354">
        <v>2</v>
      </c>
      <c r="M109" s="352">
        <v>16.899999999999999</v>
      </c>
      <c r="N109" s="354" t="s">
        <v>500</v>
      </c>
      <c r="O109" s="41">
        <v>30</v>
      </c>
      <c r="P109" s="354">
        <v>2</v>
      </c>
      <c r="Q109" s="41">
        <v>20.8</v>
      </c>
      <c r="R109" s="354" t="s">
        <v>500</v>
      </c>
      <c r="S109" s="41">
        <v>42</v>
      </c>
      <c r="T109" s="46">
        <v>25.590551181102363</v>
      </c>
      <c r="U109" s="46">
        <v>115.35433070866142</v>
      </c>
      <c r="V109" s="47">
        <v>0.98878568747934892</v>
      </c>
    </row>
    <row r="110" spans="1:22" ht="12.75" outlineLevel="1">
      <c r="A110" s="374">
        <f t="shared" si="11"/>
        <v>104</v>
      </c>
      <c r="B110" s="42" t="str">
        <f t="shared" si="10"/>
        <v>MASSEY FERGUSON 3670-32 SP,DYNA  2WD____ 153pto hp</v>
      </c>
      <c r="C110" s="352">
        <v>152.73990000000001</v>
      </c>
      <c r="D110" s="42" t="s">
        <v>1081</v>
      </c>
      <c r="E110" s="42" t="s">
        <v>1161</v>
      </c>
      <c r="F110" s="42" t="s">
        <v>507</v>
      </c>
      <c r="G110" s="291"/>
      <c r="H110" s="353">
        <v>5125</v>
      </c>
      <c r="I110" s="38">
        <v>0</v>
      </c>
      <c r="J110" s="58">
        <v>4883.1890000000003</v>
      </c>
      <c r="K110" s="58">
        <v>8807.3770000000004</v>
      </c>
      <c r="L110" s="354">
        <v>2</v>
      </c>
      <c r="M110" s="352">
        <v>14</v>
      </c>
      <c r="N110" s="354" t="s">
        <v>499</v>
      </c>
      <c r="O110" s="41">
        <v>16.100000000000001</v>
      </c>
      <c r="P110" s="354">
        <v>2</v>
      </c>
      <c r="Q110" s="41">
        <v>20.8</v>
      </c>
      <c r="R110" s="354" t="s">
        <v>500</v>
      </c>
      <c r="S110" s="41">
        <v>42</v>
      </c>
      <c r="T110" s="46">
        <v>37.401574803149607</v>
      </c>
      <c r="U110" s="46">
        <v>115.35433070866142</v>
      </c>
      <c r="V110" s="47">
        <v>0.98878568747934892</v>
      </c>
    </row>
    <row r="111" spans="1:22" ht="12.75" outlineLevel="1">
      <c r="A111" s="374">
        <f t="shared" si="11"/>
        <v>105</v>
      </c>
      <c r="B111" s="42" t="str">
        <f t="shared" si="10"/>
        <v>MASSEY FERGUSON 8150-DYNA 32-SP  2WD____ 161pto hp</v>
      </c>
      <c r="C111" s="352">
        <v>160.51769999999999</v>
      </c>
      <c r="D111" s="42" t="s">
        <v>1081</v>
      </c>
      <c r="E111" s="42" t="s">
        <v>1162</v>
      </c>
      <c r="F111" s="42" t="s">
        <v>507</v>
      </c>
      <c r="G111" s="291"/>
      <c r="H111" s="353">
        <v>5199</v>
      </c>
      <c r="I111" s="38" t="s">
        <v>817</v>
      </c>
      <c r="J111" s="58">
        <v>6117.7650000000003</v>
      </c>
      <c r="K111" s="58">
        <v>10317.528</v>
      </c>
      <c r="L111" s="354">
        <v>2</v>
      </c>
      <c r="M111" s="352">
        <v>11</v>
      </c>
      <c r="N111" s="354" t="s">
        <v>499</v>
      </c>
      <c r="O111" s="41">
        <v>16</v>
      </c>
      <c r="P111" s="354">
        <v>2</v>
      </c>
      <c r="Q111" s="41">
        <v>20.8</v>
      </c>
      <c r="R111" s="41" t="s">
        <v>481</v>
      </c>
      <c r="S111" s="41">
        <v>42</v>
      </c>
      <c r="T111" s="46">
        <v>33.464566929133859</v>
      </c>
      <c r="U111" s="46">
        <v>115.74803149606299</v>
      </c>
      <c r="V111" s="47">
        <v>0.97118194374758593</v>
      </c>
    </row>
    <row r="112" spans="1:22" ht="12.75" outlineLevel="1">
      <c r="A112" s="374">
        <f t="shared" si="11"/>
        <v>106</v>
      </c>
      <c r="B112" s="42" t="str">
        <f t="shared" si="10"/>
        <v>MASSEY FERGUSON 8150-DYNA 32-SP  MFWD___ 161pto hp</v>
      </c>
      <c r="C112" s="352">
        <v>160.51769999999999</v>
      </c>
      <c r="D112" s="42" t="s">
        <v>1081</v>
      </c>
      <c r="E112" s="42" t="s">
        <v>1162</v>
      </c>
      <c r="F112" s="42" t="s">
        <v>497</v>
      </c>
      <c r="G112" s="291"/>
      <c r="H112" s="353">
        <v>5199</v>
      </c>
      <c r="I112" s="38" t="s">
        <v>817</v>
      </c>
      <c r="J112" s="58">
        <v>7275.18</v>
      </c>
      <c r="K112" s="58">
        <v>10394.689</v>
      </c>
      <c r="L112" s="354">
        <v>2</v>
      </c>
      <c r="M112" s="352">
        <v>16.899999999999999</v>
      </c>
      <c r="N112" s="41" t="s">
        <v>481</v>
      </c>
      <c r="O112" s="41">
        <v>30</v>
      </c>
      <c r="P112" s="354">
        <v>2</v>
      </c>
      <c r="Q112" s="41">
        <v>20.8</v>
      </c>
      <c r="R112" s="41" t="s">
        <v>481</v>
      </c>
      <c r="S112" s="41">
        <v>42</v>
      </c>
      <c r="T112" s="46">
        <v>20.866141732283467</v>
      </c>
      <c r="U112" s="46">
        <v>115.74803149606299</v>
      </c>
      <c r="V112" s="47">
        <v>0.97118194374758593</v>
      </c>
    </row>
    <row r="113" spans="1:22" ht="12.75" outlineLevel="1">
      <c r="A113" s="374">
        <f t="shared" si="11"/>
        <v>107</v>
      </c>
      <c r="B113" s="42" t="str">
        <f t="shared" si="10"/>
        <v>MASSEY FERGUSON 3680-16 SP  MFWD________ 162pto hp</v>
      </c>
      <c r="C113" s="352">
        <v>161.8587</v>
      </c>
      <c r="D113" s="42" t="s">
        <v>1081</v>
      </c>
      <c r="E113" s="42" t="s">
        <v>1163</v>
      </c>
      <c r="F113" s="42" t="s">
        <v>497</v>
      </c>
      <c r="G113" s="291"/>
      <c r="H113" s="353">
        <v>5072</v>
      </c>
      <c r="I113" s="38">
        <v>0</v>
      </c>
      <c r="J113" s="58">
        <v>4949.3270000000002</v>
      </c>
      <c r="K113" s="58">
        <v>8575.8940000000002</v>
      </c>
      <c r="L113" s="354">
        <v>2</v>
      </c>
      <c r="M113" s="352">
        <v>16.899999999999999</v>
      </c>
      <c r="N113" s="354" t="s">
        <v>500</v>
      </c>
      <c r="O113" s="41">
        <v>30</v>
      </c>
      <c r="P113" s="354">
        <v>2</v>
      </c>
      <c r="Q113" s="41">
        <v>20.8</v>
      </c>
      <c r="R113" s="354" t="s">
        <v>500</v>
      </c>
      <c r="S113" s="41">
        <v>42</v>
      </c>
      <c r="T113" s="46">
        <v>22.637795275590552</v>
      </c>
      <c r="U113" s="46">
        <v>115.15748031496064</v>
      </c>
      <c r="V113" s="47">
        <v>0.9918561099313199</v>
      </c>
    </row>
    <row r="114" spans="1:22" ht="12.75" outlineLevel="1">
      <c r="A114" s="374">
        <f t="shared" si="11"/>
        <v>108</v>
      </c>
      <c r="B114" s="42" t="str">
        <f t="shared" si="10"/>
        <v>MASSEY FERGUSON 2775  2WD_______________ 162pto hp</v>
      </c>
      <c r="C114" s="352">
        <v>162.08667</v>
      </c>
      <c r="D114" s="42" t="s">
        <v>1081</v>
      </c>
      <c r="E114" s="42" t="s">
        <v>1164</v>
      </c>
      <c r="F114" s="42" t="s">
        <v>507</v>
      </c>
      <c r="G114" s="291"/>
      <c r="H114" s="353">
        <v>1389</v>
      </c>
      <c r="I114" s="38">
        <v>0</v>
      </c>
      <c r="J114" s="58">
        <v>4885.3936000000003</v>
      </c>
      <c r="K114" s="58">
        <v>10919.383800000001</v>
      </c>
      <c r="L114" s="354">
        <v>2</v>
      </c>
      <c r="M114" s="352">
        <v>14</v>
      </c>
      <c r="N114" s="354" t="s">
        <v>499</v>
      </c>
      <c r="O114" s="41">
        <v>16.100000000000001</v>
      </c>
      <c r="P114" s="354">
        <v>4</v>
      </c>
      <c r="Q114" s="41">
        <v>20.8</v>
      </c>
      <c r="R114" s="354" t="s">
        <v>500</v>
      </c>
      <c r="S114" s="41">
        <v>38</v>
      </c>
      <c r="T114" s="46">
        <v>22.047244094488189</v>
      </c>
      <c r="U114" s="46">
        <v>110</v>
      </c>
      <c r="V114" s="47">
        <v>0.91069062502678844</v>
      </c>
    </row>
    <row r="115" spans="1:22" ht="12.75" outlineLevel="1">
      <c r="A115" s="374">
        <f t="shared" si="11"/>
        <v>109</v>
      </c>
      <c r="B115" s="42" t="str">
        <f t="shared" si="10"/>
        <v>MASSEY FERGUSON 8245-18-SP, PPS  MFWD___ 164pto hp</v>
      </c>
      <c r="C115" s="352">
        <v>164.44682999999998</v>
      </c>
      <c r="D115" s="42" t="s">
        <v>1081</v>
      </c>
      <c r="E115" s="42" t="s">
        <v>1165</v>
      </c>
      <c r="F115" s="42" t="s">
        <v>497</v>
      </c>
      <c r="G115" s="291"/>
      <c r="H115" s="353" t="s">
        <v>1166</v>
      </c>
      <c r="I115" s="38" t="s">
        <v>2</v>
      </c>
      <c r="J115" s="58">
        <v>6739.4621999999999</v>
      </c>
      <c r="K115" s="58">
        <v>12235.53</v>
      </c>
      <c r="L115" s="354">
        <v>2</v>
      </c>
      <c r="M115" s="352">
        <v>14.9</v>
      </c>
      <c r="N115" s="41" t="s">
        <v>481</v>
      </c>
      <c r="O115" s="41">
        <v>30</v>
      </c>
      <c r="P115" s="354">
        <v>2</v>
      </c>
      <c r="Q115" s="41">
        <v>18.399999999999999</v>
      </c>
      <c r="R115" s="41" t="s">
        <v>481</v>
      </c>
      <c r="S115" s="41">
        <v>42</v>
      </c>
      <c r="T115" s="46">
        <v>15.94488188976378</v>
      </c>
      <c r="U115" s="46">
        <v>121.06299212598425</v>
      </c>
      <c r="V115" s="47">
        <v>0.92</v>
      </c>
    </row>
    <row r="116" spans="1:22" ht="12.75" outlineLevel="1">
      <c r="A116" s="374">
        <f t="shared" si="11"/>
        <v>110</v>
      </c>
      <c r="B116" s="42" t="str">
        <f t="shared" si="10"/>
        <v>MASSEY FERGUSON 3690-32 SP  2WD_________ 169pto hp</v>
      </c>
      <c r="C116" s="352">
        <v>168.83189999999999</v>
      </c>
      <c r="D116" s="42" t="s">
        <v>1081</v>
      </c>
      <c r="E116" s="42" t="s">
        <v>1167</v>
      </c>
      <c r="F116" s="42" t="s">
        <v>507</v>
      </c>
      <c r="G116" s="291"/>
      <c r="H116" s="353">
        <v>5126</v>
      </c>
      <c r="I116" s="38">
        <v>0</v>
      </c>
      <c r="J116" s="58">
        <v>5037.5110000000004</v>
      </c>
      <c r="K116" s="58">
        <v>8994.768</v>
      </c>
      <c r="L116" s="354">
        <v>2</v>
      </c>
      <c r="M116" s="352">
        <v>11</v>
      </c>
      <c r="N116" s="354" t="s">
        <v>499</v>
      </c>
      <c r="O116" s="41">
        <v>16</v>
      </c>
      <c r="P116" s="354">
        <v>2</v>
      </c>
      <c r="Q116" s="41">
        <v>20.8</v>
      </c>
      <c r="R116" s="41" t="s">
        <v>481</v>
      </c>
      <c r="S116" s="41">
        <v>42</v>
      </c>
      <c r="T116" s="46">
        <v>37.401574803149607</v>
      </c>
      <c r="U116" s="46">
        <v>115.15748031496064</v>
      </c>
      <c r="V116" s="47">
        <v>0.96177546055205421</v>
      </c>
    </row>
    <row r="117" spans="1:22" ht="12.75" outlineLevel="1">
      <c r="A117" s="374">
        <f t="shared" si="11"/>
        <v>111</v>
      </c>
      <c r="B117" s="42" t="str">
        <f t="shared" si="10"/>
        <v>MASSEY FERGUSON 3690-32 SP  MFWD________ 169pto hp</v>
      </c>
      <c r="C117" s="352">
        <v>168.83189999999999</v>
      </c>
      <c r="D117" s="42" t="s">
        <v>1081</v>
      </c>
      <c r="E117" s="42" t="s">
        <v>1167</v>
      </c>
      <c r="F117" s="42" t="s">
        <v>497</v>
      </c>
      <c r="G117" s="291"/>
      <c r="H117" s="353">
        <v>5126</v>
      </c>
      <c r="I117" s="38">
        <v>0</v>
      </c>
      <c r="J117" s="58">
        <v>5963.4430000000002</v>
      </c>
      <c r="K117" s="58">
        <v>9171.1360000000004</v>
      </c>
      <c r="L117" s="354">
        <v>2</v>
      </c>
      <c r="M117" s="352">
        <v>16.899999999999999</v>
      </c>
      <c r="N117" s="41" t="s">
        <v>481</v>
      </c>
      <c r="O117" s="41">
        <v>30</v>
      </c>
      <c r="P117" s="354">
        <v>2</v>
      </c>
      <c r="Q117" s="41">
        <v>20.8</v>
      </c>
      <c r="R117" s="41" t="s">
        <v>481</v>
      </c>
      <c r="S117" s="41">
        <v>42</v>
      </c>
      <c r="T117" s="46">
        <v>23.622047244094489</v>
      </c>
      <c r="U117" s="46">
        <v>115.15748031496064</v>
      </c>
      <c r="V117" s="47">
        <v>0.9451268840045487</v>
      </c>
    </row>
    <row r="118" spans="1:22" ht="12.75" outlineLevel="1">
      <c r="A118" s="374">
        <f t="shared" si="11"/>
        <v>112</v>
      </c>
      <c r="B118" s="42" t="str">
        <f t="shared" si="10"/>
        <v>MASSEY FERGUSON MF4800  4WD_____________ 179pto hp</v>
      </c>
      <c r="C118" s="352">
        <v>179.30511000000001</v>
      </c>
      <c r="D118" s="42" t="s">
        <v>1081</v>
      </c>
      <c r="E118" s="42" t="s">
        <v>1168</v>
      </c>
      <c r="F118" s="42" t="s">
        <v>606</v>
      </c>
      <c r="G118" s="291"/>
      <c r="H118" s="353">
        <v>1342</v>
      </c>
      <c r="I118" s="38">
        <v>0</v>
      </c>
      <c r="J118" s="58">
        <v>18569.345800000003</v>
      </c>
      <c r="K118" s="58">
        <v>11951.1366</v>
      </c>
      <c r="L118" s="354">
        <v>4</v>
      </c>
      <c r="M118" s="352">
        <v>23.1</v>
      </c>
      <c r="N118" s="354" t="s">
        <v>500</v>
      </c>
      <c r="O118" s="41">
        <v>34</v>
      </c>
      <c r="P118" s="354">
        <v>4</v>
      </c>
      <c r="Q118" s="41">
        <v>23.1</v>
      </c>
      <c r="R118" s="354" t="s">
        <v>500</v>
      </c>
      <c r="S118" s="41">
        <v>34</v>
      </c>
      <c r="T118" s="46">
        <v>21.45669291338583</v>
      </c>
      <c r="U118" s="46">
        <v>137.00787401574803</v>
      </c>
      <c r="V118" s="47">
        <v>0.92718299355020406</v>
      </c>
    </row>
    <row r="119" spans="1:22" ht="12.75" outlineLevel="1">
      <c r="A119" s="374">
        <f t="shared" si="11"/>
        <v>113</v>
      </c>
      <c r="B119" s="42" t="str">
        <f t="shared" ref="B119:B128" si="12">CONCATENATE( LEFT(CONCATENATE(D119," ",E119," ",G119," ",F119,$W$5),40)," ",FIXED(C119,0),"pto hp")</f>
        <v>MASSEY FERGUSON 8160-DYNA 32-SP  2WD____ 180pto hp</v>
      </c>
      <c r="C119" s="352">
        <v>180.2304</v>
      </c>
      <c r="D119" s="42" t="s">
        <v>1081</v>
      </c>
      <c r="E119" s="42" t="s">
        <v>1169</v>
      </c>
      <c r="F119" s="42" t="s">
        <v>507</v>
      </c>
      <c r="G119" s="291"/>
      <c r="H119" s="353">
        <v>5200</v>
      </c>
      <c r="I119" s="38" t="s">
        <v>817</v>
      </c>
      <c r="J119" s="58">
        <v>5886.2820000000002</v>
      </c>
      <c r="K119" s="58">
        <v>10416.735000000001</v>
      </c>
      <c r="L119" s="354">
        <v>2</v>
      </c>
      <c r="M119" s="352">
        <v>11</v>
      </c>
      <c r="N119" s="354" t="s">
        <v>499</v>
      </c>
      <c r="O119" s="41">
        <v>16</v>
      </c>
      <c r="P119" s="354">
        <v>2</v>
      </c>
      <c r="Q119" s="41">
        <v>20.8</v>
      </c>
      <c r="R119" s="41" t="s">
        <v>481</v>
      </c>
      <c r="S119" s="41">
        <v>42</v>
      </c>
      <c r="T119" s="46">
        <v>35.433070866141733</v>
      </c>
      <c r="U119" s="46">
        <v>115.74803149606299</v>
      </c>
      <c r="V119" s="47">
        <v>0.89675005782388328</v>
      </c>
    </row>
    <row r="120" spans="1:22" ht="12.75" outlineLevel="1">
      <c r="A120" s="374">
        <f t="shared" si="11"/>
        <v>114</v>
      </c>
      <c r="B120" s="42" t="str">
        <f t="shared" si="12"/>
        <v>MASSEY FERGUSON 8160-DYNA 32-SP  MFWD___ 180pto hp</v>
      </c>
      <c r="C120" s="352">
        <v>180.2304</v>
      </c>
      <c r="D120" s="42" t="s">
        <v>1081</v>
      </c>
      <c r="E120" s="42" t="s">
        <v>1169</v>
      </c>
      <c r="F120" s="42" t="s">
        <v>497</v>
      </c>
      <c r="G120" s="291"/>
      <c r="H120" s="353">
        <v>5200</v>
      </c>
      <c r="I120" s="38" t="s">
        <v>817</v>
      </c>
      <c r="J120" s="58">
        <v>6933.4670000000006</v>
      </c>
      <c r="K120" s="58">
        <v>10493.896000000001</v>
      </c>
      <c r="L120" s="354">
        <v>2</v>
      </c>
      <c r="M120" s="352">
        <v>16.899999999999999</v>
      </c>
      <c r="N120" s="41" t="s">
        <v>481</v>
      </c>
      <c r="O120" s="41">
        <v>30</v>
      </c>
      <c r="P120" s="354">
        <v>2</v>
      </c>
      <c r="Q120" s="41">
        <v>20.8</v>
      </c>
      <c r="R120" s="41" t="s">
        <v>481</v>
      </c>
      <c r="S120" s="41">
        <v>42</v>
      </c>
      <c r="T120" s="46">
        <v>22.047244094488189</v>
      </c>
      <c r="U120" s="46">
        <v>115.74803149606299</v>
      </c>
      <c r="V120" s="47">
        <v>0.91114604537423327</v>
      </c>
    </row>
    <row r="121" spans="1:22" ht="12.75" outlineLevel="1">
      <c r="A121" s="374">
        <f t="shared" si="11"/>
        <v>115</v>
      </c>
      <c r="B121" s="42" t="str">
        <f t="shared" si="12"/>
        <v>MASSEY FERGUSON 8260-18-SP, PPS  MFWD___ 181pto hp</v>
      </c>
      <c r="C121" s="352">
        <v>181.24956</v>
      </c>
      <c r="D121" s="42" t="s">
        <v>1081</v>
      </c>
      <c r="E121" s="42" t="s">
        <v>1170</v>
      </c>
      <c r="F121" s="42" t="s">
        <v>497</v>
      </c>
      <c r="G121" s="291"/>
      <c r="H121" s="353" t="s">
        <v>1171</v>
      </c>
      <c r="I121" s="38" t="s">
        <v>2</v>
      </c>
      <c r="J121" s="58">
        <v>6798.9864000000007</v>
      </c>
      <c r="K121" s="58">
        <v>12220.097800000001</v>
      </c>
      <c r="L121" s="354">
        <v>2</v>
      </c>
      <c r="M121" s="352">
        <v>14.9</v>
      </c>
      <c r="N121" s="41" t="s">
        <v>481</v>
      </c>
      <c r="O121" s="41">
        <v>30</v>
      </c>
      <c r="P121" s="354">
        <v>2</v>
      </c>
      <c r="Q121" s="41">
        <v>18.399999999999999</v>
      </c>
      <c r="R121" s="41" t="s">
        <v>481</v>
      </c>
      <c r="S121" s="41">
        <v>42</v>
      </c>
      <c r="T121" s="46">
        <v>15.94488188976378</v>
      </c>
      <c r="U121" s="46">
        <v>121.06299212598425</v>
      </c>
      <c r="V121" s="47">
        <v>0.92</v>
      </c>
    </row>
    <row r="122" spans="1:22" ht="12.75" outlineLevel="1">
      <c r="A122" s="374">
        <f t="shared" si="11"/>
        <v>116</v>
      </c>
      <c r="B122" s="42" t="str">
        <f t="shared" si="12"/>
        <v>MASSEY FERGUSON 2805  2WD_______________ 191pto hp</v>
      </c>
      <c r="C122" s="352">
        <v>190.81088999999997</v>
      </c>
      <c r="D122" s="42" t="s">
        <v>1081</v>
      </c>
      <c r="E122" s="42" t="s">
        <v>1172</v>
      </c>
      <c r="F122" s="42" t="s">
        <v>507</v>
      </c>
      <c r="G122" s="291"/>
      <c r="H122" s="353">
        <v>1399</v>
      </c>
      <c r="I122" s="38">
        <v>0</v>
      </c>
      <c r="J122" s="58">
        <v>4980.1914000000006</v>
      </c>
      <c r="K122" s="58">
        <v>11053.8644</v>
      </c>
      <c r="L122" s="354">
        <v>2</v>
      </c>
      <c r="M122" s="352">
        <v>16.5</v>
      </c>
      <c r="N122" s="354" t="s">
        <v>499</v>
      </c>
      <c r="O122" s="41">
        <v>16.100000000000001</v>
      </c>
      <c r="P122" s="354">
        <v>4</v>
      </c>
      <c r="Q122" s="41">
        <v>20.8</v>
      </c>
      <c r="R122" s="354" t="s">
        <v>500</v>
      </c>
      <c r="S122" s="41">
        <v>38</v>
      </c>
      <c r="T122" s="46">
        <v>21.062992125984252</v>
      </c>
      <c r="U122" s="46">
        <v>110</v>
      </c>
      <c r="V122" s="47">
        <v>0.90923475013345356</v>
      </c>
    </row>
    <row r="123" spans="1:22" ht="12.75" outlineLevel="1">
      <c r="A123" s="374">
        <f t="shared" si="11"/>
        <v>117</v>
      </c>
      <c r="B123" s="42" t="str">
        <f t="shared" si="12"/>
        <v>MASSEY FERGUSON 8170 &amp; 8270, 18-SP, PS   205pto hp</v>
      </c>
      <c r="C123" s="352">
        <v>205.44119999999998</v>
      </c>
      <c r="D123" s="42" t="s">
        <v>1081</v>
      </c>
      <c r="E123" s="42" t="s">
        <v>1173</v>
      </c>
      <c r="F123" s="42" t="s">
        <v>497</v>
      </c>
      <c r="G123" s="291"/>
      <c r="H123" s="353">
        <v>5320</v>
      </c>
      <c r="I123" s="38" t="s">
        <v>529</v>
      </c>
      <c r="J123" s="58">
        <v>8884.5380000000005</v>
      </c>
      <c r="K123" s="58">
        <v>12874.864000000001</v>
      </c>
      <c r="L123" s="354">
        <v>2</v>
      </c>
      <c r="M123" s="352">
        <v>540</v>
      </c>
      <c r="N123" s="291" t="s">
        <v>711</v>
      </c>
      <c r="O123" s="41">
        <v>28</v>
      </c>
      <c r="P123" s="354">
        <v>2</v>
      </c>
      <c r="Q123" s="41">
        <v>650</v>
      </c>
      <c r="R123" s="291" t="s">
        <v>710</v>
      </c>
      <c r="S123" s="41">
        <v>38</v>
      </c>
      <c r="T123" s="46">
        <v>23.622047244094489</v>
      </c>
      <c r="U123" s="46">
        <v>121.06299212598425</v>
      </c>
      <c r="V123" s="47">
        <v>0.86879596929187763</v>
      </c>
    </row>
    <row r="124" spans="1:22" ht="12.75" outlineLevel="1">
      <c r="A124" s="374">
        <f t="shared" si="11"/>
        <v>118</v>
      </c>
      <c r="B124" s="42" t="str">
        <f t="shared" si="12"/>
        <v>MASSEY FERGUSON 9240-PS 18 SP  MFWD_____ 210pto hp</v>
      </c>
      <c r="C124" s="352">
        <v>209.54465999999999</v>
      </c>
      <c r="D124" s="42" t="s">
        <v>1081</v>
      </c>
      <c r="E124" s="42" t="s">
        <v>1174</v>
      </c>
      <c r="F124" s="42" t="s">
        <v>497</v>
      </c>
      <c r="G124" s="291"/>
      <c r="H124" s="353">
        <v>5182</v>
      </c>
      <c r="I124" s="38" t="s">
        <v>500</v>
      </c>
      <c r="J124" s="58">
        <v>6843.0784000000003</v>
      </c>
      <c r="K124" s="58">
        <v>13194.531000000001</v>
      </c>
      <c r="L124" s="354">
        <v>2</v>
      </c>
      <c r="M124" s="352">
        <v>16.899999999999999</v>
      </c>
      <c r="N124" s="41" t="s">
        <v>481</v>
      </c>
      <c r="O124" s="41">
        <v>30</v>
      </c>
      <c r="P124" s="354">
        <v>4</v>
      </c>
      <c r="Q124" s="41">
        <v>20.8</v>
      </c>
      <c r="R124" s="41" t="s">
        <v>481</v>
      </c>
      <c r="S124" s="41">
        <v>42</v>
      </c>
      <c r="T124" s="46">
        <v>23.031496062992126</v>
      </c>
      <c r="U124" s="46">
        <v>115</v>
      </c>
      <c r="V124" s="47">
        <v>0.87974537717136747</v>
      </c>
    </row>
    <row r="125" spans="1:22" ht="12.75" outlineLevel="1">
      <c r="A125" s="374">
        <f t="shared" si="11"/>
        <v>119</v>
      </c>
      <c r="B125" s="42" t="str">
        <f t="shared" si="12"/>
        <v>MASSEY FERGUSON MF4840  4WD_____________ 211pto hp</v>
      </c>
      <c r="C125" s="352">
        <v>210.6711</v>
      </c>
      <c r="D125" s="42" t="s">
        <v>1081</v>
      </c>
      <c r="E125" s="42" t="s">
        <v>1175</v>
      </c>
      <c r="F125" s="42" t="s">
        <v>606</v>
      </c>
      <c r="G125" s="291"/>
      <c r="H125" s="353">
        <v>1343</v>
      </c>
      <c r="I125" s="38">
        <v>0</v>
      </c>
      <c r="J125" s="58">
        <v>18739.099999999999</v>
      </c>
      <c r="K125" s="58">
        <v>12180.415000000001</v>
      </c>
      <c r="L125" s="354">
        <v>4</v>
      </c>
      <c r="M125" s="352">
        <v>23.1</v>
      </c>
      <c r="N125" s="354" t="s">
        <v>500</v>
      </c>
      <c r="O125" s="41">
        <v>34</v>
      </c>
      <c r="P125" s="354">
        <v>4</v>
      </c>
      <c r="Q125" s="41">
        <v>23.1</v>
      </c>
      <c r="R125" s="354" t="s">
        <v>500</v>
      </c>
      <c r="S125" s="41">
        <v>34</v>
      </c>
      <c r="T125" s="46">
        <v>21.45669291338583</v>
      </c>
      <c r="U125" s="46">
        <v>137.00787401574803</v>
      </c>
      <c r="V125" s="47">
        <v>0.92189301815111901</v>
      </c>
    </row>
    <row r="126" spans="1:22" ht="12.75" outlineLevel="1">
      <c r="A126" s="374">
        <f t="shared" si="11"/>
        <v>120</v>
      </c>
      <c r="B126" s="42" t="str">
        <f t="shared" si="12"/>
        <v>MASSEY FERGUSON 8280, 18-SP, PS  MFWD___ 226pto hp</v>
      </c>
      <c r="C126" s="352">
        <v>226.4949</v>
      </c>
      <c r="D126" s="42" t="s">
        <v>1081</v>
      </c>
      <c r="E126" s="42" t="s">
        <v>1176</v>
      </c>
      <c r="F126" s="42" t="s">
        <v>497</v>
      </c>
      <c r="G126" s="291"/>
      <c r="H126" s="353">
        <v>5321</v>
      </c>
      <c r="I126" s="38" t="s">
        <v>529</v>
      </c>
      <c r="J126" s="58">
        <v>8840.4459999999999</v>
      </c>
      <c r="K126" s="58">
        <v>12863.841</v>
      </c>
      <c r="L126" s="354">
        <v>2</v>
      </c>
      <c r="M126" s="352">
        <v>600</v>
      </c>
      <c r="N126" s="291" t="s">
        <v>711</v>
      </c>
      <c r="O126" s="41">
        <v>28</v>
      </c>
      <c r="P126" s="354">
        <v>2</v>
      </c>
      <c r="Q126" s="41">
        <v>650</v>
      </c>
      <c r="R126" s="291" t="s">
        <v>710</v>
      </c>
      <c r="S126" s="41">
        <v>38</v>
      </c>
      <c r="T126" s="46">
        <v>23.622047244094489</v>
      </c>
      <c r="U126" s="46">
        <v>121.06299212598425</v>
      </c>
      <c r="V126" s="47">
        <v>0.87347590536404063</v>
      </c>
    </row>
    <row r="127" spans="1:22" ht="12.75" outlineLevel="1">
      <c r="A127" s="374">
        <f t="shared" si="11"/>
        <v>121</v>
      </c>
      <c r="B127" s="42" t="str">
        <f t="shared" si="12"/>
        <v>MASSEY FERGUSON MF4880  4WD_____________ 273pto hp</v>
      </c>
      <c r="C127" s="352">
        <v>272.79962999999998</v>
      </c>
      <c r="D127" s="42" t="s">
        <v>1081</v>
      </c>
      <c r="E127" s="42" t="s">
        <v>1177</v>
      </c>
      <c r="F127" s="42" t="s">
        <v>606</v>
      </c>
      <c r="G127" s="291"/>
      <c r="H127" s="353">
        <v>1344</v>
      </c>
      <c r="I127" s="38">
        <v>0</v>
      </c>
      <c r="J127" s="58">
        <v>18849.330000000002</v>
      </c>
      <c r="K127" s="58">
        <v>12239.939200000001</v>
      </c>
      <c r="L127" s="354">
        <v>4</v>
      </c>
      <c r="M127" s="352">
        <v>23.1</v>
      </c>
      <c r="N127" s="354" t="s">
        <v>500</v>
      </c>
      <c r="O127" s="41">
        <v>34</v>
      </c>
      <c r="P127" s="354">
        <v>4</v>
      </c>
      <c r="Q127" s="41">
        <v>23.1</v>
      </c>
      <c r="R127" s="354" t="s">
        <v>500</v>
      </c>
      <c r="S127" s="41">
        <v>34</v>
      </c>
      <c r="T127" s="46">
        <v>21.45669291338583</v>
      </c>
      <c r="U127" s="46">
        <v>137.00787401574803</v>
      </c>
      <c r="V127" s="47">
        <v>0.93286961747890385</v>
      </c>
    </row>
    <row r="128" spans="1:22" ht="12.75" outlineLevel="1">
      <c r="A128" s="374">
        <f t="shared" si="11"/>
        <v>122</v>
      </c>
      <c r="B128" s="42" t="str">
        <f t="shared" si="12"/>
        <v>MASSEY FERGUSON MF4900  4WD_____________ 321pto hp</v>
      </c>
      <c r="C128" s="352">
        <v>320.53922999999998</v>
      </c>
      <c r="D128" s="42" t="s">
        <v>1081</v>
      </c>
      <c r="E128" s="42" t="s">
        <v>1178</v>
      </c>
      <c r="F128" s="42" t="s">
        <v>606</v>
      </c>
      <c r="G128" s="291"/>
      <c r="H128" s="353">
        <v>1391</v>
      </c>
      <c r="I128" s="38">
        <v>0</v>
      </c>
      <c r="J128" s="58">
        <v>18785.3966</v>
      </c>
      <c r="K128" s="58">
        <v>12180.415000000001</v>
      </c>
      <c r="L128" s="354">
        <v>4</v>
      </c>
      <c r="M128" s="352">
        <v>23.1</v>
      </c>
      <c r="N128" s="354" t="s">
        <v>500</v>
      </c>
      <c r="O128" s="41">
        <v>34</v>
      </c>
      <c r="P128" s="354">
        <v>4</v>
      </c>
      <c r="Q128" s="41">
        <v>23.1</v>
      </c>
      <c r="R128" s="354" t="s">
        <v>500</v>
      </c>
      <c r="S128" s="41">
        <v>34</v>
      </c>
      <c r="T128" s="46">
        <v>22.047244094488189</v>
      </c>
      <c r="U128" s="46">
        <v>137.00787401574803</v>
      </c>
      <c r="V128" s="47">
        <v>0.89767652009565446</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7"/>
  <sheetViews>
    <sheetView workbookViewId="0">
      <selection activeCell="B7" sqref="B7:V156"/>
    </sheetView>
  </sheetViews>
  <sheetFormatPr defaultRowHeight="12"/>
  <cols>
    <col min="1" max="1" width="9" style="377"/>
    <col min="2" max="2" width="51.625" style="377" customWidth="1"/>
    <col min="3" max="16384" width="9" style="377"/>
  </cols>
  <sheetData>
    <row r="1" spans="1:26" s="49" customFormat="1" ht="16.5" thickTop="1">
      <c r="A1" s="356"/>
      <c r="B1" s="50" t="s">
        <v>472</v>
      </c>
      <c r="C1" s="357"/>
      <c r="D1" s="51"/>
      <c r="F1" s="51"/>
      <c r="G1" s="51"/>
      <c r="H1" s="51"/>
      <c r="J1" s="51"/>
      <c r="K1" s="51"/>
      <c r="L1" s="52" t="s">
        <v>473</v>
      </c>
      <c r="M1" s="53"/>
      <c r="N1" s="53"/>
      <c r="P1" s="52" t="s">
        <v>474</v>
      </c>
      <c r="Q1" s="53"/>
      <c r="R1" s="53"/>
      <c r="T1" s="51" t="s">
        <v>475</v>
      </c>
      <c r="U1" s="51" t="s">
        <v>476</v>
      </c>
      <c r="V1" s="51" t="s">
        <v>477</v>
      </c>
    </row>
    <row r="2" spans="1:26" s="27" customFormat="1" ht="12.75">
      <c r="A2" s="40">
        <v>1</v>
      </c>
      <c r="B2" s="382" t="s">
        <v>1179</v>
      </c>
      <c r="C2" s="40">
        <v>3</v>
      </c>
      <c r="D2" s="27">
        <v>4</v>
      </c>
      <c r="E2" s="27">
        <v>5</v>
      </c>
      <c r="F2" s="27">
        <v>6</v>
      </c>
      <c r="G2" s="27">
        <v>7</v>
      </c>
      <c r="H2" s="27">
        <v>8</v>
      </c>
      <c r="I2" s="27">
        <v>9</v>
      </c>
      <c r="J2" s="27">
        <v>10</v>
      </c>
      <c r="K2" s="27">
        <v>11</v>
      </c>
      <c r="L2" s="27">
        <v>12</v>
      </c>
      <c r="M2" s="27">
        <v>13</v>
      </c>
      <c r="N2" s="27">
        <v>14</v>
      </c>
      <c r="O2" s="27">
        <v>15</v>
      </c>
      <c r="P2" s="27">
        <v>16</v>
      </c>
      <c r="Q2" s="27">
        <v>17</v>
      </c>
      <c r="R2" s="27">
        <v>18</v>
      </c>
      <c r="S2" s="27">
        <v>19</v>
      </c>
      <c r="T2" s="27">
        <v>20</v>
      </c>
      <c r="U2" s="27">
        <v>21</v>
      </c>
      <c r="V2" s="27">
        <v>22</v>
      </c>
    </row>
    <row r="3" spans="1:26" s="29" customFormat="1" ht="38.25">
      <c r="A3" s="43"/>
      <c r="C3" s="358" t="s">
        <v>478</v>
      </c>
      <c r="D3" s="34"/>
      <c r="E3" s="32"/>
      <c r="F3" s="32"/>
      <c r="G3" s="32" t="s">
        <v>479</v>
      </c>
      <c r="H3" s="32" t="s">
        <v>480</v>
      </c>
      <c r="I3" s="32" t="s">
        <v>481</v>
      </c>
      <c r="J3" s="54" t="s">
        <v>482</v>
      </c>
      <c r="K3" s="54"/>
      <c r="L3" s="29" t="s">
        <v>483</v>
      </c>
      <c r="N3" s="29" t="s">
        <v>484</v>
      </c>
      <c r="P3" s="32" t="s">
        <v>483</v>
      </c>
      <c r="R3" s="29" t="s">
        <v>484</v>
      </c>
      <c r="T3" s="32" t="s">
        <v>485</v>
      </c>
      <c r="U3" s="32" t="s">
        <v>486</v>
      </c>
      <c r="V3" s="32" t="s">
        <v>487</v>
      </c>
    </row>
    <row r="4" spans="1:26" s="29" customFormat="1" ht="12.75">
      <c r="A4" s="43"/>
      <c r="C4" s="358"/>
      <c r="D4" s="34"/>
      <c r="E4" s="32"/>
      <c r="F4" s="32"/>
      <c r="G4" s="32"/>
      <c r="H4" s="32"/>
      <c r="I4" s="32"/>
      <c r="J4" s="54"/>
      <c r="K4" s="54"/>
      <c r="P4" s="32"/>
      <c r="T4" s="32"/>
      <c r="U4" s="32"/>
      <c r="V4" s="32"/>
    </row>
    <row r="5" spans="1:26" s="55" customFormat="1" ht="13.5" thickBot="1">
      <c r="A5" s="359"/>
      <c r="B5" s="55" t="s">
        <v>422</v>
      </c>
      <c r="C5" s="360" t="s">
        <v>423</v>
      </c>
      <c r="D5" s="57" t="s">
        <v>425</v>
      </c>
      <c r="E5" s="56" t="s">
        <v>300</v>
      </c>
      <c r="F5" s="56" t="s">
        <v>428</v>
      </c>
      <c r="G5" s="56" t="s">
        <v>430</v>
      </c>
      <c r="H5" s="56" t="s">
        <v>433</v>
      </c>
      <c r="I5" s="56"/>
      <c r="J5" s="56" t="s">
        <v>488</v>
      </c>
      <c r="K5" s="56" t="s">
        <v>489</v>
      </c>
      <c r="L5" s="55" t="s">
        <v>490</v>
      </c>
      <c r="M5" s="55" t="s">
        <v>491</v>
      </c>
      <c r="N5" s="55" t="s">
        <v>492</v>
      </c>
      <c r="O5" s="55" t="s">
        <v>493</v>
      </c>
      <c r="P5" s="56" t="s">
        <v>490</v>
      </c>
      <c r="Q5" s="55" t="s">
        <v>491</v>
      </c>
      <c r="R5" s="55" t="s">
        <v>492</v>
      </c>
      <c r="S5" s="55" t="s">
        <v>493</v>
      </c>
      <c r="T5" s="56" t="s">
        <v>494</v>
      </c>
      <c r="U5" s="56" t="s">
        <v>465</v>
      </c>
      <c r="V5" s="56" t="s">
        <v>467</v>
      </c>
      <c r="W5" t="s">
        <v>420</v>
      </c>
    </row>
    <row r="6" spans="1:26">
      <c r="X6" s="378" t="s">
        <v>432</v>
      </c>
    </row>
    <row r="7" spans="1:26" ht="12.75">
      <c r="A7" s="379">
        <v>1</v>
      </c>
      <c r="B7" s="42" t="str">
        <f t="shared" ref="B7:B22" si="0">CONCATENATE( LEFT(CONCATENATE(D7," ",E7," ",G7," ",F7,$W$5),40)," ",FIXED(C7,0)," pto hp")</f>
        <v>YANMAR YM226D  MFWD_____________________ 19 pto hp</v>
      </c>
      <c r="C7" s="352">
        <v>19.417680000000001</v>
      </c>
      <c r="D7" s="42" t="s">
        <v>1180</v>
      </c>
      <c r="E7" s="42" t="s">
        <v>1181</v>
      </c>
      <c r="F7" s="42" t="s">
        <v>497</v>
      </c>
      <c r="G7" s="291"/>
      <c r="H7" s="353">
        <v>1442</v>
      </c>
      <c r="I7" s="38" t="s">
        <v>499</v>
      </c>
      <c r="J7" s="58">
        <v>919.31820000000005</v>
      </c>
      <c r="K7" s="58">
        <v>1380.0796</v>
      </c>
      <c r="L7" s="354">
        <v>2</v>
      </c>
      <c r="M7" s="352">
        <v>7</v>
      </c>
      <c r="N7" s="354" t="s">
        <v>500</v>
      </c>
      <c r="O7" s="41">
        <v>14</v>
      </c>
      <c r="P7" s="354">
        <v>2</v>
      </c>
      <c r="Q7" s="41">
        <v>9.5</v>
      </c>
      <c r="R7" s="354" t="s">
        <v>500</v>
      </c>
      <c r="S7" s="41">
        <v>24</v>
      </c>
      <c r="T7" s="46">
        <v>12.401574803149607</v>
      </c>
      <c r="U7" s="46">
        <v>61.023622047244096</v>
      </c>
      <c r="V7" s="47">
        <v>0.84236411130252198</v>
      </c>
      <c r="X7" s="380">
        <v>0.8</v>
      </c>
      <c r="Y7" s="377">
        <f t="array" ref="Y7:Y20">FREQUENCY(V7:V106,X7:X20)</f>
        <v>2</v>
      </c>
      <c r="Z7" s="381">
        <f t="shared" ref="Z7:Z20" si="1">Y7/$Y$21</f>
        <v>2.2988505747126436E-2</v>
      </c>
    </row>
    <row r="8" spans="1:26" ht="12.75">
      <c r="A8" s="379">
        <f t="shared" ref="A8:A39" si="2">A7+1</f>
        <v>2</v>
      </c>
      <c r="B8" s="42" t="str">
        <f t="shared" si="0"/>
        <v>KUBOTA L235 4WD  MFWD___________________ 20 pto hp</v>
      </c>
      <c r="C8" s="352">
        <v>19.592009999999998</v>
      </c>
      <c r="D8" s="42" t="s">
        <v>1182</v>
      </c>
      <c r="E8" s="42" t="s">
        <v>1183</v>
      </c>
      <c r="F8" s="42" t="s">
        <v>497</v>
      </c>
      <c r="G8" s="291"/>
      <c r="H8" s="353">
        <v>1406</v>
      </c>
      <c r="I8" s="38" t="s">
        <v>499</v>
      </c>
      <c r="J8" s="58">
        <v>1025.1390000000001</v>
      </c>
      <c r="K8" s="58">
        <v>1410.944</v>
      </c>
      <c r="L8" s="354">
        <v>2</v>
      </c>
      <c r="M8" s="352">
        <v>7</v>
      </c>
      <c r="N8" s="354" t="s">
        <v>500</v>
      </c>
      <c r="O8" s="41">
        <v>14</v>
      </c>
      <c r="P8" s="354">
        <v>2</v>
      </c>
      <c r="Q8" s="41">
        <v>9.5</v>
      </c>
      <c r="R8" s="354" t="s">
        <v>500</v>
      </c>
      <c r="S8" s="41">
        <v>24</v>
      </c>
      <c r="T8" s="46">
        <v>14.960629921259843</v>
      </c>
      <c r="U8" s="46">
        <v>64.566929133858267</v>
      </c>
      <c r="V8" s="47">
        <v>0.843145696583399</v>
      </c>
      <c r="X8" s="380">
        <v>0.82</v>
      </c>
      <c r="Y8" s="377">
        <v>2</v>
      </c>
      <c r="Z8" s="381">
        <f t="shared" si="1"/>
        <v>2.2988505747126436E-2</v>
      </c>
    </row>
    <row r="9" spans="1:26" ht="12.75">
      <c r="A9" s="379">
        <f t="shared" si="2"/>
        <v>3</v>
      </c>
      <c r="B9" s="42" t="str">
        <f t="shared" si="0"/>
        <v>KUBOTA L2250-8 SP  MFWD_________________ 21 pto hp</v>
      </c>
      <c r="C9" s="352">
        <v>21.147569999999998</v>
      </c>
      <c r="D9" s="42" t="s">
        <v>1182</v>
      </c>
      <c r="E9" s="42" t="s">
        <v>1184</v>
      </c>
      <c r="F9" s="42" t="s">
        <v>497</v>
      </c>
      <c r="G9" s="291"/>
      <c r="H9" s="353">
        <v>1585</v>
      </c>
      <c r="I9" s="38" t="s">
        <v>499</v>
      </c>
      <c r="J9" s="58">
        <v>1144.1874</v>
      </c>
      <c r="K9" s="58">
        <v>1455.0360000000001</v>
      </c>
      <c r="L9" s="354">
        <v>2</v>
      </c>
      <c r="M9" s="352">
        <v>7</v>
      </c>
      <c r="N9" s="354" t="s">
        <v>500</v>
      </c>
      <c r="O9" s="41">
        <v>14</v>
      </c>
      <c r="P9" s="354">
        <v>2</v>
      </c>
      <c r="Q9" s="41">
        <v>9.5</v>
      </c>
      <c r="R9" s="354" t="s">
        <v>500</v>
      </c>
      <c r="S9" s="41">
        <v>24</v>
      </c>
      <c r="T9" s="46">
        <v>12.992125984251969</v>
      </c>
      <c r="U9" s="46">
        <v>64.566929133858267</v>
      </c>
      <c r="V9" s="47">
        <v>0.86087457828040792</v>
      </c>
      <c r="X9" s="380">
        <v>0.84</v>
      </c>
      <c r="Y9" s="377">
        <v>1</v>
      </c>
      <c r="Z9" s="381">
        <f t="shared" si="1"/>
        <v>1.1494252873563218E-2</v>
      </c>
    </row>
    <row r="10" spans="1:26" ht="12.75">
      <c r="A10" s="379">
        <f t="shared" si="2"/>
        <v>4</v>
      </c>
      <c r="B10" s="42" t="str">
        <f t="shared" si="0"/>
        <v>YANMAR YM276D  MFWD_____________________ 23 pto hp</v>
      </c>
      <c r="C10" s="352">
        <v>22.998149999999999</v>
      </c>
      <c r="D10" s="42" t="s">
        <v>1180</v>
      </c>
      <c r="E10" s="42" t="s">
        <v>1185</v>
      </c>
      <c r="F10" s="42" t="s">
        <v>497</v>
      </c>
      <c r="G10" s="291"/>
      <c r="H10" s="353">
        <v>1443</v>
      </c>
      <c r="I10" s="38" t="s">
        <v>499</v>
      </c>
      <c r="J10" s="58">
        <v>1060.4126000000001</v>
      </c>
      <c r="K10" s="58">
        <v>1644.6316000000002</v>
      </c>
      <c r="L10" s="354">
        <v>2</v>
      </c>
      <c r="M10" s="352">
        <v>7</v>
      </c>
      <c r="N10" s="354" t="s">
        <v>499</v>
      </c>
      <c r="O10" s="41">
        <v>14</v>
      </c>
      <c r="P10" s="354">
        <v>2</v>
      </c>
      <c r="Q10" s="41">
        <v>11.2</v>
      </c>
      <c r="R10" s="354" t="s">
        <v>500</v>
      </c>
      <c r="S10" s="41">
        <v>24</v>
      </c>
      <c r="T10" s="46">
        <v>13.582677165354331</v>
      </c>
      <c r="U10" s="46">
        <v>63.976377952755911</v>
      </c>
      <c r="V10" s="47">
        <v>0.79160303787067243</v>
      </c>
      <c r="X10" s="380">
        <v>0.86</v>
      </c>
      <c r="Y10" s="377">
        <v>8</v>
      </c>
      <c r="Z10" s="381">
        <f t="shared" si="1"/>
        <v>9.1954022988505746E-2</v>
      </c>
    </row>
    <row r="11" spans="1:26" ht="12.75">
      <c r="A11" s="379">
        <f t="shared" si="2"/>
        <v>5</v>
      </c>
      <c r="B11" s="42" t="str">
        <f t="shared" si="0"/>
        <v>KUBOTA L275 4WD  MFWD___________________ 23 pto hp</v>
      </c>
      <c r="C11" s="352">
        <v>23.41386</v>
      </c>
      <c r="D11" s="42" t="s">
        <v>1182</v>
      </c>
      <c r="E11" s="42" t="s">
        <v>1186</v>
      </c>
      <c r="F11" s="42" t="s">
        <v>497</v>
      </c>
      <c r="G11" s="291"/>
      <c r="H11" s="353">
        <v>1407</v>
      </c>
      <c r="I11" s="38" t="s">
        <v>499</v>
      </c>
      <c r="J11" s="58">
        <v>1069.231</v>
      </c>
      <c r="K11" s="58">
        <v>1554.2430000000002</v>
      </c>
      <c r="L11" s="354">
        <v>2</v>
      </c>
      <c r="M11" s="352">
        <v>7</v>
      </c>
      <c r="N11" s="354" t="s">
        <v>499</v>
      </c>
      <c r="O11" s="41">
        <v>16</v>
      </c>
      <c r="P11" s="354">
        <v>2</v>
      </c>
      <c r="Q11" s="41">
        <v>11.2</v>
      </c>
      <c r="R11" s="354" t="s">
        <v>500</v>
      </c>
      <c r="S11" s="41">
        <v>24</v>
      </c>
      <c r="T11" s="46">
        <v>14.960629921259843</v>
      </c>
      <c r="U11" s="46">
        <v>64.566929133858267</v>
      </c>
      <c r="V11" s="47">
        <v>0.85742699732874772</v>
      </c>
      <c r="X11" s="380">
        <v>0.88</v>
      </c>
      <c r="Y11" s="377">
        <v>8</v>
      </c>
      <c r="Z11" s="381">
        <f t="shared" si="1"/>
        <v>9.1954022988505746E-2</v>
      </c>
    </row>
    <row r="12" spans="1:26" ht="12.75">
      <c r="A12" s="379">
        <f t="shared" si="2"/>
        <v>6</v>
      </c>
      <c r="B12" s="42" t="str">
        <f t="shared" si="0"/>
        <v>KUBOTA L2550-8 SP  MFWD_________________ 24 pto hp</v>
      </c>
      <c r="C12" s="352">
        <v>23.977079999999997</v>
      </c>
      <c r="D12" s="42" t="s">
        <v>1182</v>
      </c>
      <c r="E12" s="42" t="s">
        <v>1187</v>
      </c>
      <c r="F12" s="42" t="s">
        <v>497</v>
      </c>
      <c r="G12" s="291"/>
      <c r="H12" s="353">
        <v>1586</v>
      </c>
      <c r="I12" s="38" t="s">
        <v>499</v>
      </c>
      <c r="J12" s="58">
        <v>1194.8932</v>
      </c>
      <c r="K12" s="58">
        <v>1554.2430000000002</v>
      </c>
      <c r="L12" s="354">
        <v>2</v>
      </c>
      <c r="M12" s="352">
        <v>7</v>
      </c>
      <c r="N12" s="354" t="s">
        <v>499</v>
      </c>
      <c r="O12" s="41">
        <v>16</v>
      </c>
      <c r="P12" s="354">
        <v>2</v>
      </c>
      <c r="Q12" s="41">
        <v>11.2</v>
      </c>
      <c r="R12" s="354" t="s">
        <v>500</v>
      </c>
      <c r="S12" s="41">
        <v>24</v>
      </c>
      <c r="T12" s="46">
        <v>12.992125984251969</v>
      </c>
      <c r="U12" s="46">
        <v>64.566929133858267</v>
      </c>
      <c r="V12" s="47">
        <v>0.89995855952344406</v>
      </c>
      <c r="X12" s="380">
        <v>0.9</v>
      </c>
      <c r="Y12" s="377">
        <v>14</v>
      </c>
      <c r="Z12" s="381">
        <f t="shared" si="1"/>
        <v>0.16091954022988506</v>
      </c>
    </row>
    <row r="13" spans="1:26" ht="12.75">
      <c r="A13" s="379">
        <f t="shared" si="2"/>
        <v>7</v>
      </c>
      <c r="B13" s="42" t="str">
        <f t="shared" si="0"/>
        <v>BELARUS 250  2WD________________________ 25 pto hp</v>
      </c>
      <c r="C13" s="352">
        <v>24.960971700000002</v>
      </c>
      <c r="D13" s="42" t="s">
        <v>1188</v>
      </c>
      <c r="E13" s="42" t="s">
        <v>1189</v>
      </c>
      <c r="F13" s="42" t="s">
        <v>507</v>
      </c>
      <c r="G13" s="291"/>
      <c r="H13" s="353">
        <v>1183</v>
      </c>
      <c r="I13" s="38" t="s">
        <v>203</v>
      </c>
      <c r="J13" s="58">
        <v>2971.8008</v>
      </c>
      <c r="K13" s="58">
        <v>1578.05268</v>
      </c>
      <c r="L13" s="354">
        <v>2</v>
      </c>
      <c r="M13" s="352">
        <v>6</v>
      </c>
      <c r="N13" s="354" t="s">
        <v>499</v>
      </c>
      <c r="O13" s="41">
        <v>16</v>
      </c>
      <c r="P13" s="354">
        <v>2</v>
      </c>
      <c r="Q13" s="41">
        <v>11.2</v>
      </c>
      <c r="R13" s="354" t="s">
        <v>500</v>
      </c>
      <c r="S13" s="41">
        <v>28</v>
      </c>
      <c r="T13" s="46">
        <v>22.007874015748033</v>
      </c>
      <c r="U13" s="46">
        <v>69.5</v>
      </c>
      <c r="V13" s="47">
        <v>0.90952800137595202</v>
      </c>
      <c r="X13" s="380">
        <v>0.91999999999999904</v>
      </c>
      <c r="Y13" s="377">
        <v>14</v>
      </c>
      <c r="Z13" s="381">
        <f t="shared" si="1"/>
        <v>0.16091954022988506</v>
      </c>
    </row>
    <row r="14" spans="1:26" ht="12.75">
      <c r="A14" s="379">
        <f t="shared" si="2"/>
        <v>8</v>
      </c>
      <c r="B14" s="42" t="str">
        <f t="shared" si="0"/>
        <v>KUBOTA L305DT  MFWD_____________________ 26 pto hp</v>
      </c>
      <c r="C14" s="352">
        <v>26.203139999999998</v>
      </c>
      <c r="D14" s="42" t="s">
        <v>1182</v>
      </c>
      <c r="E14" s="42" t="s">
        <v>1190</v>
      </c>
      <c r="F14" s="42" t="s">
        <v>497</v>
      </c>
      <c r="G14" s="291"/>
      <c r="H14" s="353">
        <v>1371</v>
      </c>
      <c r="I14" s="38" t="s">
        <v>499</v>
      </c>
      <c r="J14" s="58">
        <v>1388.8980000000001</v>
      </c>
      <c r="K14" s="58">
        <v>1900.3652000000002</v>
      </c>
      <c r="L14" s="354">
        <v>2</v>
      </c>
      <c r="M14" s="352">
        <v>8</v>
      </c>
      <c r="N14" s="354" t="s">
        <v>500</v>
      </c>
      <c r="O14" s="41">
        <v>16</v>
      </c>
      <c r="P14" s="354">
        <v>2</v>
      </c>
      <c r="Q14" s="41">
        <v>13.6</v>
      </c>
      <c r="R14" s="354" t="s">
        <v>500</v>
      </c>
      <c r="S14" s="41">
        <v>24</v>
      </c>
      <c r="T14" s="46">
        <v>13.976377952755906</v>
      </c>
      <c r="U14" s="46">
        <v>72.834645669291348</v>
      </c>
      <c r="V14" s="47">
        <v>0.88415234080982541</v>
      </c>
      <c r="X14" s="380">
        <v>0.93999999999999895</v>
      </c>
      <c r="Y14" s="377">
        <v>19</v>
      </c>
      <c r="Z14" s="381">
        <f t="shared" si="1"/>
        <v>0.21839080459770116</v>
      </c>
    </row>
    <row r="15" spans="1:26" ht="12.75">
      <c r="A15" s="379">
        <f t="shared" si="2"/>
        <v>9</v>
      </c>
      <c r="B15" s="42" t="str">
        <f t="shared" si="0"/>
        <v>KUBOTA L295DT  MFWD_____________________ 26 pto hp</v>
      </c>
      <c r="C15" s="352">
        <v>26.457930000000001</v>
      </c>
      <c r="D15" s="42" t="s">
        <v>1182</v>
      </c>
      <c r="E15" s="42" t="s">
        <v>1191</v>
      </c>
      <c r="F15" s="42" t="s">
        <v>497</v>
      </c>
      <c r="G15" s="291"/>
      <c r="H15" s="353">
        <v>1370</v>
      </c>
      <c r="I15" s="38" t="s">
        <v>499</v>
      </c>
      <c r="J15" s="58">
        <v>1210.3254000000002</v>
      </c>
      <c r="K15" s="58">
        <v>1684.3144</v>
      </c>
      <c r="L15" s="354">
        <v>2</v>
      </c>
      <c r="M15" s="352">
        <v>7</v>
      </c>
      <c r="N15" s="354" t="s">
        <v>499</v>
      </c>
      <c r="O15" s="41">
        <v>16</v>
      </c>
      <c r="P15" s="354">
        <v>2</v>
      </c>
      <c r="Q15" s="41">
        <v>12.4</v>
      </c>
      <c r="R15" s="354" t="s">
        <v>500</v>
      </c>
      <c r="S15" s="41">
        <v>24</v>
      </c>
      <c r="T15" s="46">
        <v>18.503937007874018</v>
      </c>
      <c r="U15" s="46">
        <v>65.354330708661422</v>
      </c>
      <c r="V15" s="47">
        <v>0.861745419993174</v>
      </c>
      <c r="X15" s="380">
        <v>0.95999999999999897</v>
      </c>
      <c r="Y15" s="377">
        <v>13</v>
      </c>
      <c r="Z15" s="381">
        <f t="shared" si="1"/>
        <v>0.14942528735632185</v>
      </c>
    </row>
    <row r="16" spans="1:26" ht="12.75">
      <c r="A16" s="379">
        <f t="shared" si="2"/>
        <v>10</v>
      </c>
      <c r="B16" s="42" t="str">
        <f t="shared" si="0"/>
        <v>YANMAR YM336D  MFWD_____________________ 27 pto hp</v>
      </c>
      <c r="C16" s="352">
        <v>26.980920000000001</v>
      </c>
      <c r="D16" s="42" t="s">
        <v>1180</v>
      </c>
      <c r="E16" s="42" t="s">
        <v>1192</v>
      </c>
      <c r="F16" s="42" t="s">
        <v>497</v>
      </c>
      <c r="G16" s="291"/>
      <c r="H16" s="353">
        <v>1444</v>
      </c>
      <c r="I16" s="38" t="s">
        <v>499</v>
      </c>
      <c r="J16" s="58">
        <v>1355.8290000000002</v>
      </c>
      <c r="K16" s="58">
        <v>2050.2780000000002</v>
      </c>
      <c r="L16" s="354">
        <v>2</v>
      </c>
      <c r="M16" s="352">
        <v>8</v>
      </c>
      <c r="N16" s="354" t="s">
        <v>500</v>
      </c>
      <c r="O16" s="41">
        <v>16</v>
      </c>
      <c r="P16" s="354">
        <v>2</v>
      </c>
      <c r="Q16" s="41">
        <v>12.4</v>
      </c>
      <c r="R16" s="354" t="s">
        <v>500</v>
      </c>
      <c r="S16" s="41">
        <v>28</v>
      </c>
      <c r="T16" s="46">
        <v>15.94488188976378</v>
      </c>
      <c r="U16" s="46">
        <v>68.8976377952756</v>
      </c>
      <c r="V16" s="47">
        <v>0.85826416433378694</v>
      </c>
      <c r="X16" s="380">
        <v>0.97999999999999898</v>
      </c>
      <c r="Y16" s="377">
        <v>4</v>
      </c>
      <c r="Z16" s="381">
        <f t="shared" si="1"/>
        <v>4.5977011494252873E-2</v>
      </c>
    </row>
    <row r="17" spans="1:26" ht="12.75">
      <c r="A17" s="379">
        <f t="shared" si="2"/>
        <v>11</v>
      </c>
      <c r="B17" s="42" t="str">
        <f t="shared" si="0"/>
        <v>KUBOTA L2850-8 SP  MFWD_________________ 28 pto hp</v>
      </c>
      <c r="C17" s="352">
        <v>27.503910000000001</v>
      </c>
      <c r="D17" s="42" t="s">
        <v>1182</v>
      </c>
      <c r="E17" s="42" t="s">
        <v>1193</v>
      </c>
      <c r="F17" s="42" t="s">
        <v>497</v>
      </c>
      <c r="G17" s="291"/>
      <c r="H17" s="353">
        <v>1587</v>
      </c>
      <c r="I17" s="38" t="s">
        <v>499</v>
      </c>
      <c r="J17" s="58">
        <v>1280.8726000000001</v>
      </c>
      <c r="K17" s="58">
        <v>1684.3144</v>
      </c>
      <c r="L17" s="354">
        <v>2</v>
      </c>
      <c r="M17" s="352">
        <v>7</v>
      </c>
      <c r="N17" s="354" t="s">
        <v>499</v>
      </c>
      <c r="O17" s="41">
        <v>16</v>
      </c>
      <c r="P17" s="354">
        <v>2</v>
      </c>
      <c r="Q17" s="41">
        <v>12.4</v>
      </c>
      <c r="R17" s="354" t="s">
        <v>500</v>
      </c>
      <c r="S17" s="41">
        <v>24</v>
      </c>
      <c r="T17" s="46">
        <v>12.992125984251969</v>
      </c>
      <c r="U17" s="46">
        <v>68.30708661417323</v>
      </c>
      <c r="V17" s="47">
        <v>0.91033739704056027</v>
      </c>
      <c r="X17" s="380">
        <v>0.999999999999999</v>
      </c>
      <c r="Y17" s="377">
        <v>1</v>
      </c>
      <c r="Z17" s="381">
        <f t="shared" si="1"/>
        <v>1.1494252873563218E-2</v>
      </c>
    </row>
    <row r="18" spans="1:26" ht="12.75">
      <c r="A18" s="379">
        <f t="shared" si="2"/>
        <v>12</v>
      </c>
      <c r="B18" s="42" t="str">
        <f t="shared" si="0"/>
        <v>KUBOTA L345DT  MFWD_____________________ 29 pto hp</v>
      </c>
      <c r="C18" s="352">
        <v>29.354489999999998</v>
      </c>
      <c r="D18" s="42" t="s">
        <v>1182</v>
      </c>
      <c r="E18" s="42" t="s">
        <v>1194</v>
      </c>
      <c r="F18" s="42" t="s">
        <v>497</v>
      </c>
      <c r="G18" s="291"/>
      <c r="H18" s="353">
        <v>1372</v>
      </c>
      <c r="I18" s="38" t="s">
        <v>499</v>
      </c>
      <c r="J18" s="58">
        <v>1439.6038000000001</v>
      </c>
      <c r="K18" s="58">
        <v>1995.163</v>
      </c>
      <c r="L18" s="354">
        <v>2</v>
      </c>
      <c r="M18" s="352">
        <v>9.5</v>
      </c>
      <c r="N18" s="354" t="s">
        <v>500</v>
      </c>
      <c r="O18" s="41">
        <v>16</v>
      </c>
      <c r="P18" s="354">
        <v>2</v>
      </c>
      <c r="Q18" s="41">
        <v>13.6</v>
      </c>
      <c r="R18" s="354" t="s">
        <v>500</v>
      </c>
      <c r="S18" s="41">
        <v>28</v>
      </c>
      <c r="T18" s="46">
        <v>16.929133858267718</v>
      </c>
      <c r="U18" s="46">
        <v>76.574803149606296</v>
      </c>
      <c r="V18" s="47">
        <v>0.92144842743473487</v>
      </c>
      <c r="X18" s="380">
        <v>1.02</v>
      </c>
      <c r="Y18" s="377">
        <v>1</v>
      </c>
      <c r="Z18" s="381">
        <f t="shared" si="1"/>
        <v>1.1494252873563218E-2</v>
      </c>
    </row>
    <row r="19" spans="1:26" ht="12.75">
      <c r="A19" s="379">
        <f t="shared" si="2"/>
        <v>13</v>
      </c>
      <c r="B19" s="42" t="str">
        <f t="shared" si="0"/>
        <v>KUBOTA L3350-8 SP  MFWD_________________ 33 pto hp</v>
      </c>
      <c r="C19" s="352">
        <v>32.854500000000002</v>
      </c>
      <c r="D19" s="42" t="s">
        <v>1182</v>
      </c>
      <c r="E19" s="42" t="s">
        <v>1195</v>
      </c>
      <c r="F19" s="42" t="s">
        <v>497</v>
      </c>
      <c r="G19" s="291"/>
      <c r="H19" s="353">
        <v>1588</v>
      </c>
      <c r="I19" s="38" t="s">
        <v>499</v>
      </c>
      <c r="J19" s="58">
        <v>1655.6546000000001</v>
      </c>
      <c r="K19" s="58">
        <v>2528.6762000000003</v>
      </c>
      <c r="L19" s="354">
        <v>2</v>
      </c>
      <c r="M19" s="352">
        <v>8</v>
      </c>
      <c r="N19" s="354" t="s">
        <v>500</v>
      </c>
      <c r="O19" s="41">
        <v>16</v>
      </c>
      <c r="P19" s="354">
        <v>2</v>
      </c>
      <c r="Q19" s="41">
        <v>13.6</v>
      </c>
      <c r="R19" s="354" t="s">
        <v>500</v>
      </c>
      <c r="S19" s="41">
        <v>24</v>
      </c>
      <c r="T19" s="46">
        <v>13.976377952755906</v>
      </c>
      <c r="U19" s="46">
        <v>72.637795275590548</v>
      </c>
      <c r="V19" s="47">
        <v>0.87725034992532591</v>
      </c>
      <c r="X19" s="380">
        <v>1.04</v>
      </c>
      <c r="Y19" s="377">
        <v>0</v>
      </c>
      <c r="Z19" s="381">
        <f t="shared" si="1"/>
        <v>0</v>
      </c>
    </row>
    <row r="20" spans="1:26" ht="12.75">
      <c r="A20" s="379">
        <f t="shared" si="2"/>
        <v>14</v>
      </c>
      <c r="B20" s="42" t="str">
        <f t="shared" si="0"/>
        <v>MITSUBISHI S750D  MFWD__________________ 33 pto hp</v>
      </c>
      <c r="C20" s="352">
        <v>33.457949999999997</v>
      </c>
      <c r="D20" s="42" t="s">
        <v>1196</v>
      </c>
      <c r="E20" s="42" t="s">
        <v>1197</v>
      </c>
      <c r="F20" s="42" t="s">
        <v>497</v>
      </c>
      <c r="G20" s="291"/>
      <c r="H20" s="353">
        <v>1347</v>
      </c>
      <c r="I20" s="38" t="s">
        <v>499</v>
      </c>
      <c r="J20" s="58">
        <v>1499.1280000000002</v>
      </c>
      <c r="K20" s="58">
        <v>2431.6738</v>
      </c>
      <c r="L20" s="354">
        <v>2</v>
      </c>
      <c r="M20" s="352">
        <v>7</v>
      </c>
      <c r="N20" s="354" t="s">
        <v>499</v>
      </c>
      <c r="O20" s="41">
        <v>16</v>
      </c>
      <c r="P20" s="354">
        <v>2</v>
      </c>
      <c r="Q20" s="41">
        <v>13.6</v>
      </c>
      <c r="R20" s="354" t="s">
        <v>500</v>
      </c>
      <c r="S20" s="41">
        <v>28</v>
      </c>
      <c r="T20" s="46">
        <v>17.519685039370081</v>
      </c>
      <c r="U20" s="46">
        <v>73.622047244094489</v>
      </c>
      <c r="V20" s="47">
        <v>0.84462614892602383</v>
      </c>
      <c r="X20" s="380">
        <v>1.06</v>
      </c>
      <c r="Y20" s="377">
        <v>0</v>
      </c>
      <c r="Z20" s="381">
        <f t="shared" si="1"/>
        <v>0</v>
      </c>
    </row>
    <row r="21" spans="1:26" ht="12.75">
      <c r="A21" s="379">
        <f t="shared" si="2"/>
        <v>15</v>
      </c>
      <c r="B21" s="42" t="str">
        <f t="shared" si="0"/>
        <v>KUBOTA L3750-8 SP  MFWD_________________ 37 pto hp</v>
      </c>
      <c r="C21" s="352">
        <v>36.95796</v>
      </c>
      <c r="D21" s="42" t="s">
        <v>1182</v>
      </c>
      <c r="E21" s="42" t="s">
        <v>1198</v>
      </c>
      <c r="F21" s="42" t="s">
        <v>497</v>
      </c>
      <c r="G21" s="291"/>
      <c r="H21" s="353">
        <v>1555</v>
      </c>
      <c r="I21" s="38" t="s">
        <v>499</v>
      </c>
      <c r="J21" s="58">
        <v>1695.3374000000001</v>
      </c>
      <c r="K21" s="58">
        <v>2720.4764</v>
      </c>
      <c r="L21" s="354">
        <v>2</v>
      </c>
      <c r="M21" s="352">
        <v>9.5</v>
      </c>
      <c r="N21" s="354" t="s">
        <v>499</v>
      </c>
      <c r="O21" s="41">
        <v>16</v>
      </c>
      <c r="P21" s="354">
        <v>2</v>
      </c>
      <c r="Q21" s="41">
        <v>13.6</v>
      </c>
      <c r="R21" s="354" t="s">
        <v>500</v>
      </c>
      <c r="S21" s="41">
        <v>28</v>
      </c>
      <c r="T21" s="46">
        <v>15.94488188976378</v>
      </c>
      <c r="U21" s="46">
        <v>76.377952755905511</v>
      </c>
      <c r="V21" s="47">
        <v>0.88193706023261542</v>
      </c>
      <c r="Y21" s="377">
        <f>SUM(Y7:Y20)</f>
        <v>87</v>
      </c>
    </row>
    <row r="22" spans="1:26" ht="12.75">
      <c r="A22" s="379">
        <f t="shared" si="2"/>
        <v>16</v>
      </c>
      <c r="B22" s="42" t="str">
        <f t="shared" si="0"/>
        <v>HESSTON 45-66DT-12 SP  MFWD_____________ 39 pto hp</v>
      </c>
      <c r="C22" s="352">
        <v>39.492449999999998</v>
      </c>
      <c r="D22" s="42" t="s">
        <v>1199</v>
      </c>
      <c r="E22" s="42" t="s">
        <v>1200</v>
      </c>
      <c r="F22" s="42" t="s">
        <v>497</v>
      </c>
      <c r="G22" s="291"/>
      <c r="H22" s="353">
        <v>1579</v>
      </c>
      <c r="I22" s="38" t="s">
        <v>499</v>
      </c>
      <c r="J22" s="58">
        <v>1849.6594</v>
      </c>
      <c r="K22" s="58">
        <v>2599.2234000000003</v>
      </c>
      <c r="L22" s="354">
        <v>2</v>
      </c>
      <c r="M22" s="352">
        <v>7.5</v>
      </c>
      <c r="N22" s="354" t="s">
        <v>500</v>
      </c>
      <c r="O22" s="41">
        <v>20</v>
      </c>
      <c r="P22" s="354">
        <v>2</v>
      </c>
      <c r="Q22" s="41">
        <v>12.4</v>
      </c>
      <c r="R22" s="354" t="s">
        <v>500</v>
      </c>
      <c r="S22" s="41">
        <v>24</v>
      </c>
      <c r="T22" s="46">
        <v>15.94488188976378</v>
      </c>
      <c r="U22" s="46">
        <v>74.881889763779526</v>
      </c>
      <c r="V22" s="47">
        <v>0.85435420037350274</v>
      </c>
    </row>
    <row r="23" spans="1:26" ht="12.75">
      <c r="A23" s="379">
        <f t="shared" si="2"/>
        <v>17</v>
      </c>
      <c r="B23" s="42" t="str">
        <f t="shared" ref="B23:B38" si="3">CONCATENATE( LEFT(CONCATENATE(D23," ",E23," ",G23," ",F23,$W$5),40)," ",FIXED(C23,0)," pto hp")</f>
        <v>KUBOTA L4150-8 SP  MFWD_________________ 41 pto hp</v>
      </c>
      <c r="C23" s="352">
        <v>40.632300000000001</v>
      </c>
      <c r="D23" s="42" t="s">
        <v>1182</v>
      </c>
      <c r="E23" s="42" t="s">
        <v>1201</v>
      </c>
      <c r="F23" s="42" t="s">
        <v>497</v>
      </c>
      <c r="G23" s="291"/>
      <c r="H23" s="353">
        <v>1556</v>
      </c>
      <c r="I23" s="38" t="s">
        <v>499</v>
      </c>
      <c r="J23" s="58">
        <v>1750.4524000000001</v>
      </c>
      <c r="K23" s="58">
        <v>2775.5914000000002</v>
      </c>
      <c r="L23" s="354">
        <v>2</v>
      </c>
      <c r="M23" s="352">
        <v>9.5</v>
      </c>
      <c r="N23" s="354" t="s">
        <v>500</v>
      </c>
      <c r="O23" s="41">
        <v>20</v>
      </c>
      <c r="P23" s="354">
        <v>2</v>
      </c>
      <c r="Q23" s="41">
        <v>14.9</v>
      </c>
      <c r="R23" s="354" t="s">
        <v>500</v>
      </c>
      <c r="S23" s="41">
        <v>28</v>
      </c>
      <c r="T23" s="46">
        <v>16.535433070866144</v>
      </c>
      <c r="U23" s="46">
        <v>76.377952755905511</v>
      </c>
      <c r="V23" s="47">
        <v>0.87003077234986337</v>
      </c>
    </row>
    <row r="24" spans="1:26" ht="12.75">
      <c r="A24" s="379">
        <f t="shared" si="2"/>
        <v>18</v>
      </c>
      <c r="B24" s="42" t="str">
        <f t="shared" si="3"/>
        <v>LONG U460  2WD__________________________ 42 pto hp</v>
      </c>
      <c r="C24" s="352">
        <v>41.933070000000001</v>
      </c>
      <c r="D24" s="42" t="s">
        <v>1202</v>
      </c>
      <c r="E24" s="42" t="s">
        <v>1203</v>
      </c>
      <c r="F24" s="42" t="s">
        <v>507</v>
      </c>
      <c r="G24" s="291"/>
      <c r="H24" s="353">
        <v>1108</v>
      </c>
      <c r="I24" s="38">
        <v>0</v>
      </c>
      <c r="J24" s="58">
        <v>1549.8338000000001</v>
      </c>
      <c r="K24" s="58">
        <v>2929.9134000000004</v>
      </c>
      <c r="L24" s="354">
        <v>2</v>
      </c>
      <c r="M24" s="352">
        <v>7.5</v>
      </c>
      <c r="N24" s="354" t="s">
        <v>499</v>
      </c>
      <c r="O24" s="41">
        <v>16</v>
      </c>
      <c r="P24" s="354">
        <v>2</v>
      </c>
      <c r="Q24" s="41">
        <v>16.899999999999999</v>
      </c>
      <c r="R24" s="354" t="s">
        <v>500</v>
      </c>
      <c r="S24" s="41">
        <v>28</v>
      </c>
      <c r="T24" s="46">
        <v>19.015748031496063</v>
      </c>
      <c r="U24" s="46">
        <v>75.59055118110237</v>
      </c>
      <c r="V24" s="47">
        <v>0.95338543966321498</v>
      </c>
    </row>
    <row r="25" spans="1:26" ht="12.75">
      <c r="A25" s="379">
        <f t="shared" si="2"/>
        <v>19</v>
      </c>
      <c r="B25" s="42" t="str">
        <f t="shared" si="3"/>
        <v>ZETOR 5245/5211-10 SP  MFWD_____________ 43 pto hp</v>
      </c>
      <c r="C25" s="352">
        <v>42.509699999999995</v>
      </c>
      <c r="D25" s="42" t="s">
        <v>1204</v>
      </c>
      <c r="E25" s="42" t="s">
        <v>1205</v>
      </c>
      <c r="F25" s="42" t="s">
        <v>497</v>
      </c>
      <c r="G25" s="291"/>
      <c r="H25" s="353">
        <v>1571</v>
      </c>
      <c r="I25" s="38" t="s">
        <v>499</v>
      </c>
      <c r="J25" s="58">
        <v>2755.75</v>
      </c>
      <c r="K25" s="58">
        <v>4155.6710000000003</v>
      </c>
      <c r="L25" s="354">
        <v>2</v>
      </c>
      <c r="M25" s="352">
        <v>9.5</v>
      </c>
      <c r="N25" s="354" t="s">
        <v>500</v>
      </c>
      <c r="O25" s="41">
        <v>24</v>
      </c>
      <c r="P25" s="354">
        <v>2</v>
      </c>
      <c r="Q25" s="41">
        <v>16.899999999999999</v>
      </c>
      <c r="R25" s="354" t="s">
        <v>500</v>
      </c>
      <c r="S25" s="41">
        <v>28</v>
      </c>
      <c r="T25" s="46">
        <v>23.425196850393704</v>
      </c>
      <c r="U25" s="46">
        <v>84.251968503937007</v>
      </c>
      <c r="V25" s="47">
        <v>0.96537585157829486</v>
      </c>
    </row>
    <row r="26" spans="1:26" ht="12.75">
      <c r="A26" s="379">
        <f t="shared" si="2"/>
        <v>20</v>
      </c>
      <c r="B26" s="42" t="str">
        <f t="shared" si="3"/>
        <v>HESSTON 480-8 DT  MFWD__________________ 43 pto hp</v>
      </c>
      <c r="C26" s="352">
        <v>42.576749999999997</v>
      </c>
      <c r="D26" s="42" t="s">
        <v>1199</v>
      </c>
      <c r="E26" s="42" t="s">
        <v>1206</v>
      </c>
      <c r="F26" s="42" t="s">
        <v>497</v>
      </c>
      <c r="G26" s="291"/>
      <c r="H26" s="353">
        <v>1385</v>
      </c>
      <c r="I26" s="38" t="s">
        <v>499</v>
      </c>
      <c r="J26" s="58">
        <v>2175.9402</v>
      </c>
      <c r="K26" s="58">
        <v>3143.7596000000003</v>
      </c>
      <c r="L26" s="354">
        <v>2</v>
      </c>
      <c r="M26" s="352">
        <v>8.3000000000000007</v>
      </c>
      <c r="N26" s="354" t="s">
        <v>500</v>
      </c>
      <c r="O26" s="41">
        <v>24</v>
      </c>
      <c r="P26" s="354">
        <v>2</v>
      </c>
      <c r="Q26" s="41">
        <v>14.9</v>
      </c>
      <c r="R26" s="354" t="s">
        <v>500</v>
      </c>
      <c r="S26" s="41">
        <v>28</v>
      </c>
      <c r="T26" s="46">
        <v>18.503937007874018</v>
      </c>
      <c r="U26" s="46">
        <v>78.740157480314963</v>
      </c>
      <c r="V26" s="47">
        <v>0.92246767721058265</v>
      </c>
    </row>
    <row r="27" spans="1:26" ht="12.75">
      <c r="A27" s="379">
        <f t="shared" si="2"/>
        <v>21</v>
      </c>
      <c r="B27" s="42" t="str">
        <f t="shared" si="3"/>
        <v>KUBOTA M4030DT-8 SP  MFWD_______________ 44 pto hp</v>
      </c>
      <c r="C27" s="352">
        <v>44.051850000000002</v>
      </c>
      <c r="D27" s="42" t="s">
        <v>1182</v>
      </c>
      <c r="E27" s="42" t="s">
        <v>1207</v>
      </c>
      <c r="F27" s="42" t="s">
        <v>497</v>
      </c>
      <c r="G27" s="291"/>
      <c r="H27" s="353">
        <v>1594</v>
      </c>
      <c r="I27" s="38" t="s">
        <v>499</v>
      </c>
      <c r="J27" s="58">
        <v>1984.14</v>
      </c>
      <c r="K27" s="58">
        <v>2976.21</v>
      </c>
      <c r="L27" s="354">
        <v>2</v>
      </c>
      <c r="M27" s="352">
        <v>9.5</v>
      </c>
      <c r="N27" s="354" t="s">
        <v>500</v>
      </c>
      <c r="O27" s="41">
        <v>20</v>
      </c>
      <c r="P27" s="354">
        <v>2</v>
      </c>
      <c r="Q27" s="41">
        <v>13.6</v>
      </c>
      <c r="R27" s="354" t="s">
        <v>500</v>
      </c>
      <c r="S27" s="41">
        <v>28</v>
      </c>
      <c r="T27" s="46">
        <v>14.566929133858268</v>
      </c>
      <c r="U27" s="46">
        <v>79.133858267716533</v>
      </c>
      <c r="V27" s="47">
        <v>0.89648656961947992</v>
      </c>
    </row>
    <row r="28" spans="1:26" ht="12.75">
      <c r="A28" s="379">
        <f t="shared" si="2"/>
        <v>22</v>
      </c>
      <c r="B28" s="42" t="str">
        <f t="shared" si="3"/>
        <v>HESSTON 466DT  MFWD_____________________ 45 pto hp</v>
      </c>
      <c r="C28" s="352">
        <v>45.124649999999995</v>
      </c>
      <c r="D28" s="42" t="s">
        <v>1199</v>
      </c>
      <c r="E28" s="42" t="s">
        <v>1208</v>
      </c>
      <c r="F28" s="42" t="s">
        <v>497</v>
      </c>
      <c r="G28" s="291"/>
      <c r="H28" s="353">
        <v>1484</v>
      </c>
      <c r="I28" s="38" t="s">
        <v>499</v>
      </c>
      <c r="J28" s="58">
        <v>2125.2344000000003</v>
      </c>
      <c r="K28" s="58">
        <v>3595.7026000000001</v>
      </c>
      <c r="L28" s="354">
        <v>2</v>
      </c>
      <c r="M28" s="352">
        <v>9.5</v>
      </c>
      <c r="N28" s="354" t="s">
        <v>500</v>
      </c>
      <c r="O28" s="41">
        <v>24</v>
      </c>
      <c r="P28" s="354">
        <v>2</v>
      </c>
      <c r="Q28" s="41">
        <v>16.899999999999999</v>
      </c>
      <c r="R28" s="354" t="s">
        <v>500</v>
      </c>
      <c r="S28" s="41">
        <v>28</v>
      </c>
      <c r="T28" s="46">
        <v>18.503937007874018</v>
      </c>
      <c r="U28" s="46">
        <v>83.425196850393704</v>
      </c>
      <c r="V28" s="47">
        <v>0.92093250045721697</v>
      </c>
    </row>
    <row r="29" spans="1:26" ht="12.75">
      <c r="A29" s="379">
        <f t="shared" si="2"/>
        <v>23</v>
      </c>
      <c r="B29" s="42" t="str">
        <f t="shared" si="3"/>
        <v>KUBOTA M4050DT  MFWD____________________ 46 pto hp</v>
      </c>
      <c r="C29" s="352">
        <v>45.741509999999998</v>
      </c>
      <c r="D29" s="42" t="s">
        <v>1182</v>
      </c>
      <c r="E29" s="42" t="s">
        <v>1209</v>
      </c>
      <c r="F29" s="42" t="s">
        <v>497</v>
      </c>
      <c r="G29" s="291"/>
      <c r="H29" s="353">
        <v>1495</v>
      </c>
      <c r="I29" s="38" t="s">
        <v>499</v>
      </c>
      <c r="J29" s="58">
        <v>1979.7308</v>
      </c>
      <c r="K29" s="58">
        <v>2960.7778000000003</v>
      </c>
      <c r="L29" s="354">
        <v>2</v>
      </c>
      <c r="M29" s="352">
        <v>9.5</v>
      </c>
      <c r="N29" s="354" t="s">
        <v>500</v>
      </c>
      <c r="O29" s="41">
        <v>20</v>
      </c>
      <c r="P29" s="354">
        <v>2</v>
      </c>
      <c r="Q29" s="41">
        <v>13.6</v>
      </c>
      <c r="R29" s="354" t="s">
        <v>500</v>
      </c>
      <c r="S29" s="41">
        <v>28</v>
      </c>
      <c r="T29" s="46">
        <v>14.566929133858268</v>
      </c>
      <c r="U29" s="46">
        <v>79.527559055118118</v>
      </c>
      <c r="V29" s="47">
        <v>0.85557156147960878</v>
      </c>
    </row>
    <row r="30" spans="1:26" ht="12.75">
      <c r="A30" s="379">
        <f t="shared" si="2"/>
        <v>24</v>
      </c>
      <c r="B30" s="42" t="str">
        <f t="shared" si="3"/>
        <v>HESSTON 55-66-12 SP  2WD________________ 46 pto hp</v>
      </c>
      <c r="C30" s="352">
        <v>45.781739999999999</v>
      </c>
      <c r="D30" s="42" t="s">
        <v>1199</v>
      </c>
      <c r="E30" s="42" t="s">
        <v>1210</v>
      </c>
      <c r="F30" s="42" t="s">
        <v>507</v>
      </c>
      <c r="G30" s="291"/>
      <c r="H30" s="353">
        <v>1560</v>
      </c>
      <c r="I30" s="38">
        <v>0</v>
      </c>
      <c r="J30" s="58">
        <v>1730.6110000000001</v>
      </c>
      <c r="K30" s="58">
        <v>3734.5924</v>
      </c>
      <c r="L30" s="354">
        <v>2</v>
      </c>
      <c r="M30" s="352">
        <v>9.5</v>
      </c>
      <c r="N30" s="354" t="s">
        <v>499</v>
      </c>
      <c r="O30" s="41">
        <v>15</v>
      </c>
      <c r="P30" s="354">
        <v>2</v>
      </c>
      <c r="Q30" s="41">
        <v>16.899999999999999</v>
      </c>
      <c r="R30" s="354" t="s">
        <v>500</v>
      </c>
      <c r="S30" s="41">
        <v>28</v>
      </c>
      <c r="T30" s="46">
        <v>19.488188976377955</v>
      </c>
      <c r="U30" s="46">
        <v>85.629921259842519</v>
      </c>
      <c r="V30" s="47">
        <v>0.90653397408448655</v>
      </c>
    </row>
    <row r="31" spans="1:26" ht="12.75">
      <c r="A31" s="379">
        <f t="shared" si="2"/>
        <v>25</v>
      </c>
      <c r="B31" s="42" t="str">
        <f t="shared" si="3"/>
        <v>LONG 510  2WD___________________________ 49 pto hp</v>
      </c>
      <c r="C31" s="352">
        <v>49.147649999999999</v>
      </c>
      <c r="D31" s="42" t="s">
        <v>1202</v>
      </c>
      <c r="E31" s="42" t="s">
        <v>1211</v>
      </c>
      <c r="F31" s="42" t="s">
        <v>507</v>
      </c>
      <c r="G31" s="291"/>
      <c r="H31" s="353">
        <v>1415</v>
      </c>
      <c r="I31" s="38">
        <v>0</v>
      </c>
      <c r="J31" s="58">
        <v>1459.4452000000001</v>
      </c>
      <c r="K31" s="58">
        <v>2824.0925999999999</v>
      </c>
      <c r="L31" s="354">
        <v>2</v>
      </c>
      <c r="M31" s="352">
        <v>7.5</v>
      </c>
      <c r="N31" s="354" t="s">
        <v>499</v>
      </c>
      <c r="O31" s="41">
        <v>16</v>
      </c>
      <c r="P31" s="354">
        <v>2</v>
      </c>
      <c r="Q31" s="41">
        <v>14.9</v>
      </c>
      <c r="R31" s="354" t="s">
        <v>500</v>
      </c>
      <c r="S31" s="41">
        <v>28</v>
      </c>
      <c r="T31" s="46">
        <v>20.472440944881892</v>
      </c>
      <c r="U31" s="46">
        <v>75.984251968503941</v>
      </c>
      <c r="V31" s="47">
        <v>0.91791801873565693</v>
      </c>
    </row>
    <row r="32" spans="1:26" ht="12.75">
      <c r="A32" s="379">
        <f t="shared" si="2"/>
        <v>26</v>
      </c>
      <c r="B32" s="42" t="str">
        <f t="shared" si="3"/>
        <v>LONG 510 DTC  MFWD______________________ 49 pto hp</v>
      </c>
      <c r="C32" s="352">
        <v>49.348799999999997</v>
      </c>
      <c r="D32" s="42" t="s">
        <v>1202</v>
      </c>
      <c r="E32" s="42" t="s">
        <v>1212</v>
      </c>
      <c r="F32" s="42" t="s">
        <v>497</v>
      </c>
      <c r="G32" s="291"/>
      <c r="H32" s="353">
        <v>1416</v>
      </c>
      <c r="I32" s="38" t="s">
        <v>499</v>
      </c>
      <c r="J32" s="58">
        <v>2310.4208000000003</v>
      </c>
      <c r="K32" s="58">
        <v>2954.1640000000002</v>
      </c>
      <c r="L32" s="354">
        <v>2</v>
      </c>
      <c r="M32" s="352">
        <v>9.5</v>
      </c>
      <c r="N32" s="354" t="s">
        <v>500</v>
      </c>
      <c r="O32" s="41">
        <v>20</v>
      </c>
      <c r="P32" s="354">
        <v>2</v>
      </c>
      <c r="Q32" s="41">
        <v>14.9</v>
      </c>
      <c r="R32" s="354" t="s">
        <v>500</v>
      </c>
      <c r="S32" s="41">
        <v>28</v>
      </c>
      <c r="T32" s="46">
        <v>18.503937007874018</v>
      </c>
      <c r="U32" s="46">
        <v>75.196850393700785</v>
      </c>
      <c r="V32" s="47">
        <v>0.87649657244054668</v>
      </c>
    </row>
    <row r="33" spans="1:22" ht="12.75">
      <c r="A33" s="379">
        <f t="shared" si="2"/>
        <v>27</v>
      </c>
      <c r="B33" s="42" t="str">
        <f t="shared" si="3"/>
        <v>KUBOTA M4950DT  MFWD____________________ 50 pto hp</v>
      </c>
      <c r="C33" s="352">
        <v>49.563360000000003</v>
      </c>
      <c r="D33" s="42" t="s">
        <v>1182</v>
      </c>
      <c r="E33" s="42" t="s">
        <v>1213</v>
      </c>
      <c r="F33" s="42" t="s">
        <v>497</v>
      </c>
      <c r="G33" s="291"/>
      <c r="H33" s="353">
        <v>1496</v>
      </c>
      <c r="I33" s="38" t="s">
        <v>499</v>
      </c>
      <c r="J33" s="58">
        <v>2469.152</v>
      </c>
      <c r="K33" s="58">
        <v>3331.1506000000004</v>
      </c>
      <c r="L33" s="354">
        <v>2</v>
      </c>
      <c r="M33" s="352">
        <v>8.3000000000000007</v>
      </c>
      <c r="N33" s="354" t="s">
        <v>500</v>
      </c>
      <c r="O33" s="41">
        <v>24</v>
      </c>
      <c r="P33" s="354">
        <v>2</v>
      </c>
      <c r="Q33" s="41">
        <v>14.9</v>
      </c>
      <c r="R33" s="354" t="s">
        <v>500</v>
      </c>
      <c r="S33" s="41">
        <v>28</v>
      </c>
      <c r="T33" s="46">
        <v>13.582677165354331</v>
      </c>
      <c r="U33" s="46">
        <v>82.28346456692914</v>
      </c>
      <c r="V33" s="47">
        <v>0.87793711954785769</v>
      </c>
    </row>
    <row r="34" spans="1:22" ht="12.75">
      <c r="A34" s="379">
        <f t="shared" si="2"/>
        <v>28</v>
      </c>
      <c r="B34" s="42" t="str">
        <f t="shared" si="3"/>
        <v>KUBOTA M4500DT  MFWD____________________ 50 pto hp</v>
      </c>
      <c r="C34" s="352">
        <v>49.71087</v>
      </c>
      <c r="D34" s="42" t="s">
        <v>1182</v>
      </c>
      <c r="E34" s="42" t="s">
        <v>1214</v>
      </c>
      <c r="F34" s="42" t="s">
        <v>497</v>
      </c>
      <c r="G34" s="291"/>
      <c r="H34" s="353">
        <v>1348</v>
      </c>
      <c r="I34" s="38" t="s">
        <v>499</v>
      </c>
      <c r="J34" s="58">
        <v>2134.0527999999999</v>
      </c>
      <c r="K34" s="58">
        <v>3031.3250000000003</v>
      </c>
      <c r="L34" s="354">
        <v>2</v>
      </c>
      <c r="M34" s="352">
        <v>9.5</v>
      </c>
      <c r="N34" s="354" t="s">
        <v>500</v>
      </c>
      <c r="O34" s="41">
        <v>24</v>
      </c>
      <c r="P34" s="354">
        <v>2</v>
      </c>
      <c r="Q34" s="41">
        <v>14.9</v>
      </c>
      <c r="R34" s="354" t="s">
        <v>500</v>
      </c>
      <c r="S34" s="41">
        <v>28</v>
      </c>
      <c r="T34" s="46">
        <v>17.913385826771655</v>
      </c>
      <c r="U34" s="46">
        <v>79.527559055118118</v>
      </c>
      <c r="V34" s="47">
        <v>0.89359976241859418</v>
      </c>
    </row>
    <row r="35" spans="1:22" ht="12.75">
      <c r="A35" s="379">
        <f t="shared" si="2"/>
        <v>29</v>
      </c>
      <c r="B35" s="42" t="str">
        <f t="shared" si="3"/>
        <v>KUBOTA M5030DT-16 SP  MFWD______________ 50 pto hp</v>
      </c>
      <c r="C35" s="352">
        <v>49.777919999999995</v>
      </c>
      <c r="D35" s="42" t="s">
        <v>1182</v>
      </c>
      <c r="E35" s="42" t="s">
        <v>1215</v>
      </c>
      <c r="F35" s="42" t="s">
        <v>497</v>
      </c>
      <c r="G35" s="291"/>
      <c r="H35" s="353">
        <v>1595</v>
      </c>
      <c r="I35" s="38" t="s">
        <v>499</v>
      </c>
      <c r="J35" s="58">
        <v>2050.2780000000002</v>
      </c>
      <c r="K35" s="58">
        <v>3084.2354</v>
      </c>
      <c r="L35" s="354">
        <v>2</v>
      </c>
      <c r="M35" s="352">
        <v>9.5</v>
      </c>
      <c r="N35" s="354" t="s">
        <v>500</v>
      </c>
      <c r="O35" s="41">
        <v>20</v>
      </c>
      <c r="P35" s="354">
        <v>2</v>
      </c>
      <c r="Q35" s="41">
        <v>14.9</v>
      </c>
      <c r="R35" s="354" t="s">
        <v>500</v>
      </c>
      <c r="S35" s="41">
        <v>28</v>
      </c>
      <c r="T35" s="46">
        <v>14.960629921259843</v>
      </c>
      <c r="U35" s="46">
        <v>79.133858267716533</v>
      </c>
      <c r="V35" s="47">
        <v>0.89630535418547463</v>
      </c>
    </row>
    <row r="36" spans="1:22" ht="12.75">
      <c r="A36" s="379">
        <f t="shared" si="2"/>
        <v>30</v>
      </c>
      <c r="B36" s="42" t="str">
        <f t="shared" si="3"/>
        <v>BELARUS 400A\420A-11 SP  MFWD___________ 51 pto hp</v>
      </c>
      <c r="C36" s="352">
        <v>50.676389999999998</v>
      </c>
      <c r="D36" s="42" t="s">
        <v>1188</v>
      </c>
      <c r="E36" s="42" t="s">
        <v>1216</v>
      </c>
      <c r="F36" s="42" t="s">
        <v>497</v>
      </c>
      <c r="G36" s="291"/>
      <c r="H36" s="353">
        <v>1638</v>
      </c>
      <c r="I36" s="38" t="s">
        <v>499</v>
      </c>
      <c r="J36" s="58">
        <v>2824.0925999999999</v>
      </c>
      <c r="K36" s="58">
        <v>4700.2071999999998</v>
      </c>
      <c r="L36" s="354">
        <v>2</v>
      </c>
      <c r="M36" s="352">
        <v>9.5</v>
      </c>
      <c r="N36" s="354" t="s">
        <v>500</v>
      </c>
      <c r="O36" s="41">
        <v>20</v>
      </c>
      <c r="P36" s="354">
        <v>2</v>
      </c>
      <c r="Q36" s="41">
        <v>13.6</v>
      </c>
      <c r="R36" s="41" t="s">
        <v>481</v>
      </c>
      <c r="S36" s="41">
        <v>38</v>
      </c>
      <c r="T36" s="46">
        <v>15.551181102362206</v>
      </c>
      <c r="U36" s="46">
        <v>88.58267716535434</v>
      </c>
      <c r="V36" s="47">
        <v>0.93289351659965658</v>
      </c>
    </row>
    <row r="37" spans="1:22" ht="12.75">
      <c r="A37" s="379">
        <f t="shared" si="2"/>
        <v>31</v>
      </c>
      <c r="B37" s="42" t="str">
        <f t="shared" si="3"/>
        <v>HESSTON 60-66DT/12 SP  MFWD_____________ 51 pto hp</v>
      </c>
      <c r="C37" s="352">
        <v>51.494399999999999</v>
      </c>
      <c r="D37" s="42" t="s">
        <v>1199</v>
      </c>
      <c r="E37" s="42" t="s">
        <v>1217</v>
      </c>
      <c r="F37" s="42" t="s">
        <v>497</v>
      </c>
      <c r="G37" s="291"/>
      <c r="H37" s="353">
        <v>1531</v>
      </c>
      <c r="I37" s="38" t="s">
        <v>499</v>
      </c>
      <c r="J37" s="58">
        <v>2149.4850000000001</v>
      </c>
      <c r="K37" s="58">
        <v>3730.1832000000004</v>
      </c>
      <c r="L37" s="354">
        <v>2</v>
      </c>
      <c r="M37" s="352">
        <v>9.5</v>
      </c>
      <c r="N37" s="354" t="s">
        <v>500</v>
      </c>
      <c r="O37" s="41">
        <v>24</v>
      </c>
      <c r="P37" s="354">
        <v>2</v>
      </c>
      <c r="Q37" s="41">
        <v>16.899999999999999</v>
      </c>
      <c r="R37" s="354" t="s">
        <v>500</v>
      </c>
      <c r="S37" s="41">
        <v>28</v>
      </c>
      <c r="T37" s="46">
        <v>17.913385826771655</v>
      </c>
      <c r="U37" s="46">
        <v>83.425196850393704</v>
      </c>
      <c r="V37" s="47">
        <v>0.94242732665551454</v>
      </c>
    </row>
    <row r="38" spans="1:22" ht="12.75">
      <c r="A38" s="379">
        <f t="shared" si="2"/>
        <v>32</v>
      </c>
      <c r="B38" s="42" t="str">
        <f t="shared" si="3"/>
        <v>ZETOR 6245/6211-10 SP  MFWD_____________ 53 pto hp</v>
      </c>
      <c r="C38" s="352">
        <v>53.090190000000007</v>
      </c>
      <c r="D38" s="42" t="s">
        <v>1204</v>
      </c>
      <c r="E38" s="42" t="s">
        <v>1218</v>
      </c>
      <c r="F38" s="42" t="s">
        <v>497</v>
      </c>
      <c r="G38" s="291"/>
      <c r="H38" s="353">
        <v>1601</v>
      </c>
      <c r="I38" s="38" t="s">
        <v>499</v>
      </c>
      <c r="J38" s="58">
        <v>3084.2354</v>
      </c>
      <c r="K38" s="58">
        <v>4565.7266</v>
      </c>
      <c r="L38" s="354">
        <v>2</v>
      </c>
      <c r="M38" s="352">
        <v>11.2</v>
      </c>
      <c r="N38" s="354" t="s">
        <v>500</v>
      </c>
      <c r="O38" s="41">
        <v>24</v>
      </c>
      <c r="P38" s="354">
        <v>2</v>
      </c>
      <c r="Q38" s="41">
        <v>16.899999999999999</v>
      </c>
      <c r="R38" s="354" t="s">
        <v>500</v>
      </c>
      <c r="S38" s="41">
        <v>30</v>
      </c>
      <c r="T38" s="46">
        <v>22.440944881889767</v>
      </c>
      <c r="U38" s="46">
        <v>87.480314960629926</v>
      </c>
      <c r="V38" s="47">
        <v>0.94973518877257013</v>
      </c>
    </row>
    <row r="39" spans="1:22" ht="12.75">
      <c r="A39" s="379">
        <f t="shared" si="2"/>
        <v>33</v>
      </c>
      <c r="B39" s="42" t="str">
        <f t="shared" ref="B39:B54" si="4">CONCATENATE( LEFT(CONCATENATE(D39," ",E39," ",G39," ",F39,$W$5),40)," ",FIXED(C39,0)," pto hp")</f>
        <v>KUBOTA M5500DT  MFWD____________________ 54 pto hp</v>
      </c>
      <c r="C39" s="352">
        <v>53.988659999999996</v>
      </c>
      <c r="D39" s="42" t="s">
        <v>1182</v>
      </c>
      <c r="E39" s="42" t="s">
        <v>1219</v>
      </c>
      <c r="F39" s="42" t="s">
        <v>497</v>
      </c>
      <c r="G39" s="291"/>
      <c r="H39" s="353">
        <v>1369</v>
      </c>
      <c r="I39" s="38" t="s">
        <v>499</v>
      </c>
      <c r="J39" s="58">
        <v>2290.5794000000001</v>
      </c>
      <c r="K39" s="58">
        <v>3209.8976000000002</v>
      </c>
      <c r="L39" s="354">
        <v>2</v>
      </c>
      <c r="M39" s="352">
        <v>9.5</v>
      </c>
      <c r="N39" s="354" t="s">
        <v>500</v>
      </c>
      <c r="O39" s="41">
        <v>24</v>
      </c>
      <c r="P39" s="354">
        <v>2</v>
      </c>
      <c r="Q39" s="41">
        <v>16.899999999999999</v>
      </c>
      <c r="R39" s="354" t="s">
        <v>500</v>
      </c>
      <c r="S39" s="41">
        <v>28</v>
      </c>
      <c r="T39" s="46">
        <v>19.488188976377955</v>
      </c>
      <c r="U39" s="46">
        <v>80.905511811023629</v>
      </c>
      <c r="V39" s="47">
        <v>0.88226735822730984</v>
      </c>
    </row>
    <row r="40" spans="1:22" ht="12.75">
      <c r="A40" s="379">
        <f t="shared" ref="A40:A71" si="5">A39+1</f>
        <v>34</v>
      </c>
      <c r="B40" s="42" t="str">
        <f t="shared" si="4"/>
        <v>BELARUS 532/530 9-SP  MFWD______________ 55 pto hp</v>
      </c>
      <c r="C40" s="352">
        <v>55.316249999999997</v>
      </c>
      <c r="D40" s="42" t="s">
        <v>1188</v>
      </c>
      <c r="E40" s="42" t="s">
        <v>1220</v>
      </c>
      <c r="F40" s="42" t="s">
        <v>497</v>
      </c>
      <c r="G40" s="291"/>
      <c r="H40" s="353">
        <v>5210</v>
      </c>
      <c r="I40" s="38" t="s">
        <v>529</v>
      </c>
      <c r="J40" s="58">
        <v>2533.0853999999999</v>
      </c>
      <c r="K40" s="58">
        <v>4704.6163999999999</v>
      </c>
      <c r="L40" s="354">
        <v>2</v>
      </c>
      <c r="M40" s="352">
        <v>11.2</v>
      </c>
      <c r="N40" s="354" t="s">
        <v>500</v>
      </c>
      <c r="O40" s="41">
        <v>24</v>
      </c>
      <c r="P40" s="354">
        <v>2</v>
      </c>
      <c r="Q40" s="41">
        <v>16.899999999999999</v>
      </c>
      <c r="R40" s="354" t="s">
        <v>500</v>
      </c>
      <c r="S40" s="41">
        <v>30</v>
      </c>
      <c r="T40" s="46">
        <v>16.535433070866144</v>
      </c>
      <c r="U40" s="46">
        <v>96.456692913385837</v>
      </c>
      <c r="V40" s="47">
        <v>0.93770402495234706</v>
      </c>
    </row>
    <row r="41" spans="1:22" ht="12.75">
      <c r="A41" s="379">
        <f t="shared" si="5"/>
        <v>35</v>
      </c>
      <c r="B41" s="42" t="str">
        <f t="shared" si="4"/>
        <v>KUBOTA M6030DT-16 SP  MFWD______________ 58 pto hp</v>
      </c>
      <c r="C41" s="352">
        <v>57.743459999999999</v>
      </c>
      <c r="D41" s="42" t="s">
        <v>1182</v>
      </c>
      <c r="E41" s="42" t="s">
        <v>1221</v>
      </c>
      <c r="F41" s="42" t="s">
        <v>497</v>
      </c>
      <c r="G41" s="291"/>
      <c r="H41" s="353">
        <v>1596</v>
      </c>
      <c r="I41" s="38" t="s">
        <v>499</v>
      </c>
      <c r="J41" s="58">
        <v>2140.6666</v>
      </c>
      <c r="K41" s="58">
        <v>3238.5574000000001</v>
      </c>
      <c r="L41" s="354">
        <v>2</v>
      </c>
      <c r="M41" s="352">
        <v>9.5</v>
      </c>
      <c r="N41" s="354" t="s">
        <v>500</v>
      </c>
      <c r="O41" s="41">
        <v>20</v>
      </c>
      <c r="P41" s="354">
        <v>2</v>
      </c>
      <c r="Q41" s="41">
        <v>16.899999999999999</v>
      </c>
      <c r="R41" s="354" t="s">
        <v>500</v>
      </c>
      <c r="S41" s="41">
        <v>28</v>
      </c>
      <c r="T41" s="46">
        <v>17.519685039370081</v>
      </c>
      <c r="U41" s="46">
        <v>79.133858267716533</v>
      </c>
      <c r="V41" s="47">
        <v>0.90390486809405934</v>
      </c>
    </row>
    <row r="42" spans="1:22" ht="12.75">
      <c r="A42" s="379">
        <f t="shared" si="5"/>
        <v>36</v>
      </c>
      <c r="B42" s="42" t="str">
        <f t="shared" si="4"/>
        <v>KUBOTA M5950DT  MFWD____________________ 58 pto hp</v>
      </c>
      <c r="C42" s="352">
        <v>57.998249999999999</v>
      </c>
      <c r="D42" s="42" t="s">
        <v>1182</v>
      </c>
      <c r="E42" s="42" t="s">
        <v>1222</v>
      </c>
      <c r="F42" s="42" t="s">
        <v>497</v>
      </c>
      <c r="G42" s="291"/>
      <c r="H42" s="353">
        <v>1497</v>
      </c>
      <c r="I42" s="38" t="s">
        <v>499</v>
      </c>
      <c r="J42" s="58">
        <v>2594.8142000000003</v>
      </c>
      <c r="K42" s="58">
        <v>3525.1554000000001</v>
      </c>
      <c r="L42" s="354">
        <v>2</v>
      </c>
      <c r="M42" s="352">
        <v>9.5</v>
      </c>
      <c r="N42" s="354" t="s">
        <v>500</v>
      </c>
      <c r="O42" s="41">
        <v>24</v>
      </c>
      <c r="P42" s="354">
        <v>2</v>
      </c>
      <c r="Q42" s="41">
        <v>16.899999999999999</v>
      </c>
      <c r="R42" s="354" t="s">
        <v>500</v>
      </c>
      <c r="S42" s="41">
        <v>28</v>
      </c>
      <c r="T42" s="46">
        <v>15.551181102362206</v>
      </c>
      <c r="U42" s="46">
        <v>83.267716535433081</v>
      </c>
      <c r="V42" s="47">
        <v>0.88558124016090412</v>
      </c>
    </row>
    <row r="43" spans="1:22" ht="12.75">
      <c r="A43" s="379">
        <f t="shared" si="5"/>
        <v>37</v>
      </c>
      <c r="B43" s="42" t="str">
        <f t="shared" si="4"/>
        <v>ZETOR 7245/7211-10 SP  MFWD_____________ 58 pto hp</v>
      </c>
      <c r="C43" s="352">
        <v>58.279859999999999</v>
      </c>
      <c r="D43" s="42" t="s">
        <v>1204</v>
      </c>
      <c r="E43" s="42" t="s">
        <v>1223</v>
      </c>
      <c r="F43" s="42" t="s">
        <v>497</v>
      </c>
      <c r="G43" s="291"/>
      <c r="H43" s="353">
        <v>1572</v>
      </c>
      <c r="I43" s="38" t="s">
        <v>499</v>
      </c>
      <c r="J43" s="58">
        <v>3165.8056000000001</v>
      </c>
      <c r="K43" s="58">
        <v>4673.7520000000004</v>
      </c>
      <c r="L43" s="354">
        <v>2</v>
      </c>
      <c r="M43" s="352">
        <v>12.4</v>
      </c>
      <c r="N43" s="354" t="s">
        <v>500</v>
      </c>
      <c r="O43" s="41">
        <v>24</v>
      </c>
      <c r="P43" s="354">
        <v>2</v>
      </c>
      <c r="Q43" s="41">
        <v>16.899999999999999</v>
      </c>
      <c r="R43" s="354" t="s">
        <v>500</v>
      </c>
      <c r="S43" s="41">
        <v>34</v>
      </c>
      <c r="T43" s="46">
        <v>26.968503937007874</v>
      </c>
      <c r="U43" s="46">
        <v>87.480314960629926</v>
      </c>
      <c r="V43" s="47">
        <v>0.95123491782303249</v>
      </c>
    </row>
    <row r="44" spans="1:22" ht="12.75">
      <c r="A44" s="379">
        <f t="shared" si="5"/>
        <v>38</v>
      </c>
      <c r="B44" s="42" t="str">
        <f t="shared" si="4"/>
        <v>BELARUS 505/525/570/572/6311/6345-18 SP  61 pto hp</v>
      </c>
      <c r="C44" s="352">
        <v>61.243470000000002</v>
      </c>
      <c r="D44" s="42" t="s">
        <v>1188</v>
      </c>
      <c r="E44" s="42" t="s">
        <v>1224</v>
      </c>
      <c r="F44" s="42" t="s">
        <v>497</v>
      </c>
      <c r="G44" s="291"/>
      <c r="H44" s="353">
        <v>1655</v>
      </c>
      <c r="I44" s="38" t="s">
        <v>499</v>
      </c>
      <c r="J44" s="58">
        <v>3355.4012000000002</v>
      </c>
      <c r="K44" s="58">
        <v>5789.2796000000008</v>
      </c>
      <c r="L44" s="354">
        <v>2</v>
      </c>
      <c r="M44" s="352">
        <v>11.2</v>
      </c>
      <c r="N44" s="354" t="s">
        <v>500</v>
      </c>
      <c r="O44" s="41">
        <v>24</v>
      </c>
      <c r="P44" s="354">
        <v>2</v>
      </c>
      <c r="Q44" s="41">
        <v>15.5</v>
      </c>
      <c r="R44" s="354" t="s">
        <v>500</v>
      </c>
      <c r="S44" s="41">
        <v>38</v>
      </c>
      <c r="T44" s="46">
        <v>14.960629921259843</v>
      </c>
      <c r="U44" s="46">
        <v>96.456692913385837</v>
      </c>
      <c r="V44" s="47">
        <v>0.92</v>
      </c>
    </row>
    <row r="45" spans="1:22" ht="12.75">
      <c r="A45" s="379">
        <f t="shared" si="5"/>
        <v>39</v>
      </c>
      <c r="B45" s="42" t="str">
        <f t="shared" si="4"/>
        <v>HESSTON 70-90-12 SP  2WD________________ 62 pto hp</v>
      </c>
      <c r="C45" s="352">
        <v>62.249220000000001</v>
      </c>
      <c r="D45" s="42" t="s">
        <v>1199</v>
      </c>
      <c r="E45" s="42" t="s">
        <v>1225</v>
      </c>
      <c r="F45" s="42" t="s">
        <v>507</v>
      </c>
      <c r="G45" s="291"/>
      <c r="H45" s="353">
        <v>1562</v>
      </c>
      <c r="I45" s="38">
        <v>0</v>
      </c>
      <c r="J45" s="58">
        <v>2365.5358000000001</v>
      </c>
      <c r="K45" s="58">
        <v>4920.6671999999999</v>
      </c>
      <c r="L45" s="354">
        <v>2</v>
      </c>
      <c r="M45" s="352">
        <v>7.5</v>
      </c>
      <c r="N45" s="354" t="s">
        <v>499</v>
      </c>
      <c r="O45" s="41">
        <v>16</v>
      </c>
      <c r="P45" s="354">
        <v>2</v>
      </c>
      <c r="Q45" s="41">
        <v>18.399999999999999</v>
      </c>
      <c r="R45" s="354" t="s">
        <v>500</v>
      </c>
      <c r="S45" s="41">
        <v>30</v>
      </c>
      <c r="T45" s="46">
        <v>21.062992125984252</v>
      </c>
      <c r="U45" s="46">
        <v>92.204724409448829</v>
      </c>
      <c r="V45" s="47">
        <v>0.9364276675577925</v>
      </c>
    </row>
    <row r="46" spans="1:22" ht="12.75">
      <c r="A46" s="379">
        <f t="shared" si="5"/>
        <v>40</v>
      </c>
      <c r="B46" s="42" t="str">
        <f t="shared" si="4"/>
        <v>HESSTON 666DT  MFWD_____________________ 62 pto hp</v>
      </c>
      <c r="C46" s="352">
        <v>62.396729999999998</v>
      </c>
      <c r="D46" s="42" t="s">
        <v>1199</v>
      </c>
      <c r="E46" s="42" t="s">
        <v>1226</v>
      </c>
      <c r="F46" s="42" t="s">
        <v>497</v>
      </c>
      <c r="G46" s="291"/>
      <c r="H46" s="353">
        <v>1485</v>
      </c>
      <c r="I46" s="38" t="s">
        <v>499</v>
      </c>
      <c r="J46" s="58">
        <v>2519.8578000000002</v>
      </c>
      <c r="K46" s="58">
        <v>3769.866</v>
      </c>
      <c r="L46" s="354">
        <v>2</v>
      </c>
      <c r="M46" s="352">
        <v>12.4</v>
      </c>
      <c r="N46" s="354" t="s">
        <v>500</v>
      </c>
      <c r="O46" s="41">
        <v>24</v>
      </c>
      <c r="P46" s="354">
        <v>2</v>
      </c>
      <c r="Q46" s="41">
        <v>18.399999999999999</v>
      </c>
      <c r="R46" s="354" t="s">
        <v>500</v>
      </c>
      <c r="S46" s="41">
        <v>30</v>
      </c>
      <c r="T46" s="46">
        <v>22.047244094488189</v>
      </c>
      <c r="U46" s="46">
        <v>88.503937007874015</v>
      </c>
      <c r="V46" s="47">
        <v>0.92052640960251986</v>
      </c>
    </row>
    <row r="47" spans="1:22" ht="12.75">
      <c r="A47" s="379">
        <f t="shared" si="5"/>
        <v>41</v>
      </c>
      <c r="B47" s="42" t="str">
        <f t="shared" si="4"/>
        <v>HESSTON 680DT  MFWD_____________________ 62 pto hp</v>
      </c>
      <c r="C47" s="352">
        <v>62.46378</v>
      </c>
      <c r="D47" s="42" t="s">
        <v>1199</v>
      </c>
      <c r="E47" s="42" t="s">
        <v>1227</v>
      </c>
      <c r="F47" s="42" t="s">
        <v>497</v>
      </c>
      <c r="G47" s="291"/>
      <c r="H47" s="353">
        <v>1352</v>
      </c>
      <c r="I47" s="38" t="s">
        <v>499</v>
      </c>
      <c r="J47" s="58">
        <v>2563.9498000000003</v>
      </c>
      <c r="K47" s="58">
        <v>4775.1635999999999</v>
      </c>
      <c r="L47" s="354">
        <v>2</v>
      </c>
      <c r="M47" s="352">
        <v>11.2</v>
      </c>
      <c r="N47" s="41" t="s">
        <v>481</v>
      </c>
      <c r="O47" s="41">
        <v>28</v>
      </c>
      <c r="P47" s="354">
        <v>2</v>
      </c>
      <c r="Q47" s="41">
        <v>13.6</v>
      </c>
      <c r="R47" s="41" t="s">
        <v>481</v>
      </c>
      <c r="S47" s="41">
        <v>38</v>
      </c>
      <c r="T47" s="46">
        <v>21.062992125984252</v>
      </c>
      <c r="U47" s="46">
        <v>89.763779527559066</v>
      </c>
      <c r="V47" s="47">
        <v>0.92299976168675746</v>
      </c>
    </row>
    <row r="48" spans="1:22" ht="12.75">
      <c r="A48" s="379">
        <f t="shared" si="5"/>
        <v>42</v>
      </c>
      <c r="B48" s="42" t="str">
        <f t="shared" si="4"/>
        <v>HESSTON 70-66DT-12 SP  MFWD_____________ 63 pto hp</v>
      </c>
      <c r="C48" s="352">
        <v>62.71857</v>
      </c>
      <c r="D48" s="42" t="s">
        <v>1199</v>
      </c>
      <c r="E48" s="42" t="s">
        <v>1228</v>
      </c>
      <c r="F48" s="42" t="s">
        <v>497</v>
      </c>
      <c r="G48" s="291"/>
      <c r="H48" s="353">
        <v>1561</v>
      </c>
      <c r="I48" s="38" t="s">
        <v>499</v>
      </c>
      <c r="J48" s="58">
        <v>2500.0164</v>
      </c>
      <c r="K48" s="58">
        <v>4190.9445999999998</v>
      </c>
      <c r="L48" s="354">
        <v>2</v>
      </c>
      <c r="M48" s="352">
        <v>12.4</v>
      </c>
      <c r="N48" s="354" t="s">
        <v>500</v>
      </c>
      <c r="O48" s="41">
        <v>24</v>
      </c>
      <c r="P48" s="354">
        <v>2</v>
      </c>
      <c r="Q48" s="41">
        <v>18.399999999999999</v>
      </c>
      <c r="R48" s="354" t="s">
        <v>500</v>
      </c>
      <c r="S48" s="41">
        <v>30</v>
      </c>
      <c r="T48" s="46">
        <v>16.535433070866144</v>
      </c>
      <c r="U48" s="46">
        <v>88.503937007874015</v>
      </c>
      <c r="V48" s="47">
        <v>0.93459108229374832</v>
      </c>
    </row>
    <row r="49" spans="1:22" ht="12.75">
      <c r="A49" s="379">
        <f t="shared" si="5"/>
        <v>43</v>
      </c>
      <c r="B49" s="42" t="str">
        <f t="shared" si="4"/>
        <v>LEYLAND 472  MFWD_______________________ 64 pto hp</v>
      </c>
      <c r="C49" s="352">
        <v>63.523169999999993</v>
      </c>
      <c r="D49" s="42" t="s">
        <v>1229</v>
      </c>
      <c r="E49" s="42" t="s">
        <v>1230</v>
      </c>
      <c r="F49" s="42" t="s">
        <v>497</v>
      </c>
      <c r="G49" s="291"/>
      <c r="H49" s="353">
        <v>1341</v>
      </c>
      <c r="I49" s="38" t="s">
        <v>499</v>
      </c>
      <c r="J49" s="58">
        <v>2918.8904000000002</v>
      </c>
      <c r="K49" s="58">
        <v>4490.7701999999999</v>
      </c>
      <c r="L49" s="354">
        <v>2</v>
      </c>
      <c r="M49" s="352">
        <v>12.4</v>
      </c>
      <c r="N49" s="354" t="s">
        <v>500</v>
      </c>
      <c r="O49" s="41">
        <v>28</v>
      </c>
      <c r="P49" s="354">
        <v>2</v>
      </c>
      <c r="Q49" s="41">
        <v>16.899999999999999</v>
      </c>
      <c r="R49" s="354" t="s">
        <v>500</v>
      </c>
      <c r="S49" s="41">
        <v>34</v>
      </c>
      <c r="T49" s="46">
        <v>18.503937007874018</v>
      </c>
      <c r="U49" s="46">
        <v>83.267716535433081</v>
      </c>
      <c r="V49" s="47">
        <v>0.87169725586700064</v>
      </c>
    </row>
    <row r="50" spans="1:22" ht="12.75">
      <c r="A50" s="379">
        <f t="shared" si="5"/>
        <v>44</v>
      </c>
      <c r="B50" s="42" t="str">
        <f t="shared" si="4"/>
        <v>LONG 610  2WD___________________________ 64 pto hp</v>
      </c>
      <c r="C50" s="352">
        <v>64.327770000000001</v>
      </c>
      <c r="D50" s="42" t="s">
        <v>1202</v>
      </c>
      <c r="E50" s="42" t="s">
        <v>1231</v>
      </c>
      <c r="F50" s="42" t="s">
        <v>507</v>
      </c>
      <c r="G50" s="291"/>
      <c r="H50" s="353">
        <v>1417</v>
      </c>
      <c r="I50" s="38">
        <v>0</v>
      </c>
      <c r="J50" s="58">
        <v>1730.6110000000001</v>
      </c>
      <c r="K50" s="58">
        <v>2965.1870000000004</v>
      </c>
      <c r="L50" s="354">
        <v>2</v>
      </c>
      <c r="M50" s="352">
        <v>7.5</v>
      </c>
      <c r="N50" s="354" t="s">
        <v>499</v>
      </c>
      <c r="O50" s="41">
        <v>16</v>
      </c>
      <c r="P50" s="354">
        <v>2</v>
      </c>
      <c r="Q50" s="41">
        <v>16.899999999999999</v>
      </c>
      <c r="R50" s="354" t="s">
        <v>500</v>
      </c>
      <c r="S50" s="41">
        <v>28</v>
      </c>
      <c r="T50" s="46">
        <v>21.062992125984252</v>
      </c>
      <c r="U50" s="46">
        <v>81.496062992125985</v>
      </c>
      <c r="V50" s="47">
        <v>0.94314275576893569</v>
      </c>
    </row>
    <row r="51" spans="1:22" ht="12.75">
      <c r="A51" s="379">
        <f t="shared" si="5"/>
        <v>45</v>
      </c>
      <c r="B51" s="42" t="str">
        <f t="shared" si="4"/>
        <v>ZETOR 7745/7711-10 SP  MFWD_____________ 66 pto hp</v>
      </c>
      <c r="C51" s="352">
        <v>65.735820000000004</v>
      </c>
      <c r="D51" s="42" t="s">
        <v>1204</v>
      </c>
      <c r="E51" s="42" t="s">
        <v>1232</v>
      </c>
      <c r="F51" s="42" t="s">
        <v>497</v>
      </c>
      <c r="G51" s="291"/>
      <c r="H51" s="353">
        <v>1602</v>
      </c>
      <c r="I51" s="38" t="s">
        <v>499</v>
      </c>
      <c r="J51" s="58">
        <v>3154.7826</v>
      </c>
      <c r="K51" s="58">
        <v>4750.9130000000005</v>
      </c>
      <c r="L51" s="354">
        <v>2</v>
      </c>
      <c r="M51" s="352">
        <v>12.4</v>
      </c>
      <c r="N51" s="354" t="s">
        <v>500</v>
      </c>
      <c r="O51" s="41">
        <v>24</v>
      </c>
      <c r="P51" s="354">
        <v>2</v>
      </c>
      <c r="Q51" s="41">
        <v>16.899999999999999</v>
      </c>
      <c r="R51" s="354" t="s">
        <v>500</v>
      </c>
      <c r="S51" s="41">
        <v>34</v>
      </c>
      <c r="T51" s="46">
        <v>25</v>
      </c>
      <c r="U51" s="46">
        <v>87.480314960629926</v>
      </c>
      <c r="V51" s="47">
        <v>0.91882933840332393</v>
      </c>
    </row>
    <row r="52" spans="1:22" ht="12.75">
      <c r="A52" s="379">
        <f t="shared" si="5"/>
        <v>46</v>
      </c>
      <c r="B52" s="42" t="str">
        <f t="shared" si="4"/>
        <v>KUBOTA M6950DT  MFWD____________________ 66 pto hp</v>
      </c>
      <c r="C52" s="352">
        <v>66.433139999999995</v>
      </c>
      <c r="D52" s="42" t="s">
        <v>1182</v>
      </c>
      <c r="E52" s="42" t="s">
        <v>1233</v>
      </c>
      <c r="F52" s="42" t="s">
        <v>497</v>
      </c>
      <c r="G52" s="291"/>
      <c r="H52" s="353">
        <v>1498</v>
      </c>
      <c r="I52" s="38" t="s">
        <v>499</v>
      </c>
      <c r="J52" s="58">
        <v>2954.1640000000002</v>
      </c>
      <c r="K52" s="58">
        <v>4089.5330000000004</v>
      </c>
      <c r="L52" s="354">
        <v>2</v>
      </c>
      <c r="M52" s="352">
        <v>11.2</v>
      </c>
      <c r="N52" s="354" t="s">
        <v>500</v>
      </c>
      <c r="O52" s="41">
        <v>24</v>
      </c>
      <c r="P52" s="354">
        <v>2</v>
      </c>
      <c r="Q52" s="41">
        <v>18.399999999999999</v>
      </c>
      <c r="R52" s="354" t="s">
        <v>500</v>
      </c>
      <c r="S52" s="41">
        <v>28</v>
      </c>
      <c r="T52" s="46">
        <v>15.94488188976378</v>
      </c>
      <c r="U52" s="46">
        <v>88.976377952755911</v>
      </c>
      <c r="V52" s="47">
        <v>0.89763079740672247</v>
      </c>
    </row>
    <row r="53" spans="1:22" ht="12.75">
      <c r="A53" s="379">
        <f t="shared" si="5"/>
        <v>47</v>
      </c>
      <c r="B53" s="42" t="str">
        <f t="shared" si="4"/>
        <v>KUBOTA M7030DT-16 SP  MFWD______________ 69 pto hp</v>
      </c>
      <c r="C53" s="352">
        <v>68.860349999999997</v>
      </c>
      <c r="D53" s="42" t="s">
        <v>1182</v>
      </c>
      <c r="E53" s="42" t="s">
        <v>1234</v>
      </c>
      <c r="F53" s="42" t="s">
        <v>497</v>
      </c>
      <c r="G53" s="291"/>
      <c r="H53" s="353">
        <v>1597</v>
      </c>
      <c r="I53" s="38" t="s">
        <v>499</v>
      </c>
      <c r="J53" s="58">
        <v>2469.152</v>
      </c>
      <c r="K53" s="58">
        <v>3730.1832000000004</v>
      </c>
      <c r="L53" s="354">
        <v>2</v>
      </c>
      <c r="M53" s="352">
        <v>9.5</v>
      </c>
      <c r="N53" s="354" t="s">
        <v>500</v>
      </c>
      <c r="O53" s="41">
        <v>24</v>
      </c>
      <c r="P53" s="354">
        <v>2</v>
      </c>
      <c r="Q53" s="41">
        <v>16.899999999999999</v>
      </c>
      <c r="R53" s="354" t="s">
        <v>500</v>
      </c>
      <c r="S53" s="41">
        <v>30</v>
      </c>
      <c r="T53" s="46">
        <v>16.929133858267718</v>
      </c>
      <c r="U53" s="46">
        <v>88.976377952755911</v>
      </c>
      <c r="V53" s="47">
        <v>0.8922092007641238</v>
      </c>
    </row>
    <row r="54" spans="1:22" ht="12.75">
      <c r="A54" s="379">
        <f t="shared" si="5"/>
        <v>48</v>
      </c>
      <c r="B54" s="42" t="str">
        <f t="shared" si="4"/>
        <v>HESSTON 80-66DT/12 SP  MFWD_____________ 70 pto hp</v>
      </c>
      <c r="C54" s="352">
        <v>70.429320000000004</v>
      </c>
      <c r="D54" s="42" t="s">
        <v>1199</v>
      </c>
      <c r="E54" s="42" t="s">
        <v>1235</v>
      </c>
      <c r="F54" s="42" t="s">
        <v>497</v>
      </c>
      <c r="G54" s="291"/>
      <c r="H54" s="353">
        <v>1532</v>
      </c>
      <c r="I54" s="38" t="s">
        <v>499</v>
      </c>
      <c r="J54" s="58">
        <v>2511.0394000000001</v>
      </c>
      <c r="K54" s="58">
        <v>4204.1722</v>
      </c>
      <c r="L54" s="354">
        <v>2</v>
      </c>
      <c r="M54" s="352">
        <v>12.4</v>
      </c>
      <c r="N54" s="354" t="s">
        <v>500</v>
      </c>
      <c r="O54" s="41">
        <v>24</v>
      </c>
      <c r="P54" s="354">
        <v>2</v>
      </c>
      <c r="Q54" s="41">
        <v>18.399999999999999</v>
      </c>
      <c r="R54" s="354" t="s">
        <v>500</v>
      </c>
      <c r="S54" s="41">
        <v>30</v>
      </c>
      <c r="T54" s="46">
        <v>20.078740157480315</v>
      </c>
      <c r="U54" s="46">
        <v>88.503937007874015</v>
      </c>
      <c r="V54" s="47">
        <v>0.95491556718216286</v>
      </c>
    </row>
    <row r="55" spans="1:22" ht="12.75">
      <c r="A55" s="379">
        <f t="shared" si="5"/>
        <v>49</v>
      </c>
      <c r="B55" s="42" t="str">
        <f t="shared" ref="B55:B70" si="6">CONCATENATE( LEFT(CONCATENATE(D55," ",E55," ",G55," ",F55,$W$5),40)," ",FIXED(C55,0)," pto hp")</f>
        <v>HESSTON 780DT  MFWD_____________________ 71 pto hp</v>
      </c>
      <c r="C55" s="352">
        <v>70.563419999999994</v>
      </c>
      <c r="D55" s="42" t="s">
        <v>1199</v>
      </c>
      <c r="E55" s="42" t="s">
        <v>1236</v>
      </c>
      <c r="F55" s="42" t="s">
        <v>497</v>
      </c>
      <c r="G55" s="291"/>
      <c r="H55" s="353">
        <v>1386</v>
      </c>
      <c r="I55" s="38" t="s">
        <v>499</v>
      </c>
      <c r="J55" s="58">
        <v>2323.6484</v>
      </c>
      <c r="K55" s="58">
        <v>3855.8454000000002</v>
      </c>
      <c r="L55" s="354">
        <v>2</v>
      </c>
      <c r="M55" s="352">
        <v>12.4</v>
      </c>
      <c r="N55" s="354" t="s">
        <v>500</v>
      </c>
      <c r="O55" s="41">
        <v>24</v>
      </c>
      <c r="P55" s="354">
        <v>2</v>
      </c>
      <c r="Q55" s="41">
        <v>18.399999999999999</v>
      </c>
      <c r="R55" s="354" t="s">
        <v>500</v>
      </c>
      <c r="S55" s="41">
        <v>30</v>
      </c>
      <c r="T55" s="46">
        <v>19.488188976377955</v>
      </c>
      <c r="U55" s="46">
        <v>89.763779527559066</v>
      </c>
      <c r="V55" s="47">
        <v>0.91878245743236986</v>
      </c>
    </row>
    <row r="56" spans="1:22" ht="12.75">
      <c r="A56" s="379">
        <f t="shared" si="5"/>
        <v>50</v>
      </c>
      <c r="B56" s="42" t="str">
        <f t="shared" si="6"/>
        <v>HESSTON 80-90-12 SP  2WD________________ 71 pto hp</v>
      </c>
      <c r="C56" s="352">
        <v>70.858440000000002</v>
      </c>
      <c r="D56" s="42" t="s">
        <v>1199</v>
      </c>
      <c r="E56" s="42" t="s">
        <v>1237</v>
      </c>
      <c r="F56" s="42" t="s">
        <v>507</v>
      </c>
      <c r="G56" s="291"/>
      <c r="H56" s="353">
        <v>1563</v>
      </c>
      <c r="I56" s="38">
        <v>0</v>
      </c>
      <c r="J56" s="58">
        <v>2369.9450000000002</v>
      </c>
      <c r="K56" s="58">
        <v>4940.5086000000001</v>
      </c>
      <c r="L56" s="354">
        <v>2</v>
      </c>
      <c r="M56" s="352">
        <v>7.5</v>
      </c>
      <c r="N56" s="354" t="s">
        <v>499</v>
      </c>
      <c r="O56" s="41">
        <v>16</v>
      </c>
      <c r="P56" s="354">
        <v>2</v>
      </c>
      <c r="Q56" s="41">
        <v>18.399999999999999</v>
      </c>
      <c r="R56" s="354" t="s">
        <v>500</v>
      </c>
      <c r="S56" s="41">
        <v>30</v>
      </c>
      <c r="T56" s="46">
        <v>20.078740157480315</v>
      </c>
      <c r="U56" s="46">
        <v>92.204724409448829</v>
      </c>
      <c r="V56" s="47">
        <v>0.92716262589604426</v>
      </c>
    </row>
    <row r="57" spans="1:22" ht="12.75">
      <c r="A57" s="379">
        <f t="shared" si="5"/>
        <v>51</v>
      </c>
      <c r="B57" s="42" t="str">
        <f t="shared" si="6"/>
        <v>KUBOTA M7500DT  MFWD____________________ 72 pto hp</v>
      </c>
      <c r="C57" s="352">
        <v>72.346950000000007</v>
      </c>
      <c r="D57" s="42" t="s">
        <v>1182</v>
      </c>
      <c r="E57" s="42" t="s">
        <v>1238</v>
      </c>
      <c r="F57" s="42" t="s">
        <v>497</v>
      </c>
      <c r="G57" s="291"/>
      <c r="H57" s="353">
        <v>1349</v>
      </c>
      <c r="I57" s="38" t="s">
        <v>499</v>
      </c>
      <c r="J57" s="58">
        <v>2444.9014000000002</v>
      </c>
      <c r="K57" s="58">
        <v>3533.9738000000002</v>
      </c>
      <c r="L57" s="354">
        <v>2</v>
      </c>
      <c r="M57" s="352">
        <v>11.2</v>
      </c>
      <c r="N57" s="354" t="s">
        <v>500</v>
      </c>
      <c r="O57" s="41">
        <v>24</v>
      </c>
      <c r="P57" s="354">
        <v>2</v>
      </c>
      <c r="Q57" s="41">
        <v>18.399999999999999</v>
      </c>
      <c r="R57" s="354" t="s">
        <v>500</v>
      </c>
      <c r="S57" s="41">
        <v>28</v>
      </c>
      <c r="T57" s="46">
        <v>21.062992125984252</v>
      </c>
      <c r="U57" s="46">
        <v>85.629921259842519</v>
      </c>
      <c r="V57" s="47">
        <v>0.88238464562552843</v>
      </c>
    </row>
    <row r="58" spans="1:22" ht="12.75">
      <c r="A58" s="379">
        <f t="shared" si="5"/>
        <v>52</v>
      </c>
      <c r="B58" s="42" t="str">
        <f t="shared" si="6"/>
        <v>ZETOR 7341 &amp; 7321-10 SP  MFWD___________ 73 pto hp</v>
      </c>
      <c r="C58" s="352">
        <v>72.816299999999998</v>
      </c>
      <c r="D58" s="42" t="s">
        <v>1204</v>
      </c>
      <c r="E58" s="42" t="s">
        <v>1239</v>
      </c>
      <c r="F58" s="42" t="s">
        <v>497</v>
      </c>
      <c r="G58" s="291"/>
      <c r="H58" s="353">
        <v>5306</v>
      </c>
      <c r="I58" s="38" t="s">
        <v>500</v>
      </c>
      <c r="J58" s="58">
        <v>4618.6370000000006</v>
      </c>
      <c r="K58" s="58">
        <v>6503.57</v>
      </c>
      <c r="L58" s="354">
        <v>2</v>
      </c>
      <c r="M58" s="352">
        <v>13.6</v>
      </c>
      <c r="N58" s="41" t="s">
        <v>481</v>
      </c>
      <c r="O58" s="41">
        <v>24</v>
      </c>
      <c r="P58" s="354">
        <v>2</v>
      </c>
      <c r="Q58" s="41">
        <v>18.399999999999999</v>
      </c>
      <c r="R58" s="41" t="s">
        <v>481</v>
      </c>
      <c r="S58" s="41">
        <v>34</v>
      </c>
      <c r="T58" s="46">
        <v>18.582677165354333</v>
      </c>
      <c r="U58" s="46">
        <v>86.535433070866148</v>
      </c>
      <c r="V58" s="47">
        <v>0.8106293100174965</v>
      </c>
    </row>
    <row r="59" spans="1:22" ht="12.75">
      <c r="A59" s="379">
        <f t="shared" si="5"/>
        <v>53</v>
      </c>
      <c r="B59" s="42" t="str">
        <f t="shared" si="6"/>
        <v>LONG 910  2WD___________________________ 73 pto hp</v>
      </c>
      <c r="C59" s="352">
        <v>72.883350000000007</v>
      </c>
      <c r="D59" s="42" t="s">
        <v>1202</v>
      </c>
      <c r="E59" s="42" t="s">
        <v>1240</v>
      </c>
      <c r="F59" s="42" t="s">
        <v>507</v>
      </c>
      <c r="G59" s="291"/>
      <c r="H59" s="353">
        <v>1163</v>
      </c>
      <c r="I59" s="38">
        <v>0</v>
      </c>
      <c r="J59" s="58">
        <v>2989.4376000000002</v>
      </c>
      <c r="K59" s="58">
        <v>5209.4697999999999</v>
      </c>
      <c r="L59" s="354">
        <v>2</v>
      </c>
      <c r="M59" s="352">
        <v>9.5</v>
      </c>
      <c r="N59" s="354" t="s">
        <v>499</v>
      </c>
      <c r="O59" s="41">
        <v>15</v>
      </c>
      <c r="P59" s="354">
        <v>2</v>
      </c>
      <c r="Q59" s="41">
        <v>18.399999999999999</v>
      </c>
      <c r="R59" s="354" t="s">
        <v>500</v>
      </c>
      <c r="S59" s="41">
        <v>34</v>
      </c>
      <c r="T59" s="46">
        <v>19.015748031496063</v>
      </c>
      <c r="U59" s="46">
        <v>92.519685039370088</v>
      </c>
      <c r="V59" s="47">
        <v>0.88849863181037569</v>
      </c>
    </row>
    <row r="60" spans="1:22" ht="12.75">
      <c r="A60" s="379">
        <f t="shared" si="5"/>
        <v>54</v>
      </c>
      <c r="B60" s="42" t="str">
        <f t="shared" si="6"/>
        <v>LEYLAND 482  MFWD_______________________ 74 pto hp</v>
      </c>
      <c r="C60" s="352">
        <v>74.277990000000003</v>
      </c>
      <c r="D60" s="42" t="s">
        <v>1229</v>
      </c>
      <c r="E60" s="42" t="s">
        <v>1241</v>
      </c>
      <c r="F60" s="42" t="s">
        <v>497</v>
      </c>
      <c r="G60" s="291"/>
      <c r="H60" s="353">
        <v>1340</v>
      </c>
      <c r="I60" s="38" t="s">
        <v>499</v>
      </c>
      <c r="J60" s="58">
        <v>2918.8904000000002</v>
      </c>
      <c r="K60" s="58">
        <v>4490.7701999999999</v>
      </c>
      <c r="L60" s="354">
        <v>2</v>
      </c>
      <c r="M60" s="352">
        <v>12.4</v>
      </c>
      <c r="N60" s="354" t="s">
        <v>500</v>
      </c>
      <c r="O60" s="41">
        <v>28</v>
      </c>
      <c r="P60" s="354">
        <v>2</v>
      </c>
      <c r="Q60" s="41">
        <v>16.899999999999999</v>
      </c>
      <c r="R60" s="354" t="s">
        <v>500</v>
      </c>
      <c r="S60" s="41">
        <v>34</v>
      </c>
      <c r="T60" s="46">
        <v>18.503937007874018</v>
      </c>
      <c r="U60" s="46">
        <v>83.267716535433081</v>
      </c>
      <c r="V60" s="47">
        <v>0.81563574598321487</v>
      </c>
    </row>
    <row r="61" spans="1:22" ht="12.75">
      <c r="A61" s="379">
        <f t="shared" si="5"/>
        <v>55</v>
      </c>
      <c r="B61" s="42" t="str">
        <f t="shared" si="6"/>
        <v>BELARUS 820\822-18 SP  MFWD_____________ 75 pto hp</v>
      </c>
      <c r="C61" s="352">
        <v>75.149639999999991</v>
      </c>
      <c r="D61" s="42" t="s">
        <v>1188</v>
      </c>
      <c r="E61" s="42" t="s">
        <v>1242</v>
      </c>
      <c r="F61" s="42" t="s">
        <v>497</v>
      </c>
      <c r="G61" s="291"/>
      <c r="H61" s="353">
        <v>1640</v>
      </c>
      <c r="I61" s="38" t="s">
        <v>499</v>
      </c>
      <c r="J61" s="58">
        <v>3430.3576000000003</v>
      </c>
      <c r="K61" s="58">
        <v>5879.6682000000001</v>
      </c>
      <c r="L61" s="354">
        <v>2</v>
      </c>
      <c r="M61" s="352">
        <v>11.2</v>
      </c>
      <c r="N61" s="354" t="s">
        <v>500</v>
      </c>
      <c r="O61" s="41">
        <v>24</v>
      </c>
      <c r="P61" s="354">
        <v>2</v>
      </c>
      <c r="Q61" s="41">
        <v>15.5</v>
      </c>
      <c r="R61" s="354" t="s">
        <v>500</v>
      </c>
      <c r="S61" s="41">
        <v>38</v>
      </c>
      <c r="T61" s="46">
        <v>15.551181102362206</v>
      </c>
      <c r="U61" s="46">
        <v>96.456692913385837</v>
      </c>
      <c r="V61" s="47">
        <v>0.92</v>
      </c>
    </row>
    <row r="62" spans="1:22" ht="12.75">
      <c r="A62" s="379">
        <f t="shared" si="5"/>
        <v>56</v>
      </c>
      <c r="B62" s="42" t="str">
        <f t="shared" si="6"/>
        <v>BELARUS 8345/8011/8045/8311-14 SP  MFWD_ 75 pto hp</v>
      </c>
      <c r="C62" s="352">
        <v>75.404429999999991</v>
      </c>
      <c r="D62" s="42" t="s">
        <v>1188</v>
      </c>
      <c r="E62" s="42" t="s">
        <v>1243</v>
      </c>
      <c r="F62" s="42" t="s">
        <v>497</v>
      </c>
      <c r="G62" s="291"/>
      <c r="H62" s="353">
        <v>5242</v>
      </c>
      <c r="I62" s="38" t="s">
        <v>529</v>
      </c>
      <c r="J62" s="58">
        <v>2859.3661999999999</v>
      </c>
      <c r="K62" s="58">
        <v>5945.8062</v>
      </c>
      <c r="L62" s="354">
        <v>2</v>
      </c>
      <c r="M62" s="352">
        <v>360</v>
      </c>
      <c r="N62" s="291" t="s">
        <v>614</v>
      </c>
      <c r="O62" s="41">
        <v>20</v>
      </c>
      <c r="P62" s="354">
        <v>2</v>
      </c>
      <c r="Q62" s="41">
        <v>16.899999999999999</v>
      </c>
      <c r="R62" s="41" t="s">
        <v>481</v>
      </c>
      <c r="S62" s="41">
        <v>38</v>
      </c>
      <c r="T62" s="46">
        <v>20.078740157480315</v>
      </c>
      <c r="U62" s="46">
        <v>96.456692913385837</v>
      </c>
      <c r="V62" s="47">
        <v>0.97922413627207106</v>
      </c>
    </row>
    <row r="63" spans="1:22" ht="12.75">
      <c r="A63" s="379">
        <f t="shared" si="5"/>
        <v>57</v>
      </c>
      <c r="B63" s="42" t="str">
        <f t="shared" si="6"/>
        <v>KUBOTA M7950DT  MFWD____________________ 75 pto hp</v>
      </c>
      <c r="C63" s="352">
        <v>75.444659999999999</v>
      </c>
      <c r="D63" s="42" t="s">
        <v>1182</v>
      </c>
      <c r="E63" s="42" t="s">
        <v>1244</v>
      </c>
      <c r="F63" s="42" t="s">
        <v>497</v>
      </c>
      <c r="G63" s="291"/>
      <c r="H63" s="353">
        <v>1499</v>
      </c>
      <c r="I63" s="38" t="s">
        <v>499</v>
      </c>
      <c r="J63" s="58">
        <v>2980.6192000000001</v>
      </c>
      <c r="K63" s="58">
        <v>4120.3973999999998</v>
      </c>
      <c r="L63" s="354">
        <v>2</v>
      </c>
      <c r="M63" s="352">
        <v>11.2</v>
      </c>
      <c r="N63" s="354" t="s">
        <v>500</v>
      </c>
      <c r="O63" s="41">
        <v>24</v>
      </c>
      <c r="P63" s="354">
        <v>2</v>
      </c>
      <c r="Q63" s="41">
        <v>18.399999999999999</v>
      </c>
      <c r="R63" s="354" t="s">
        <v>500</v>
      </c>
      <c r="S63" s="41">
        <v>30</v>
      </c>
      <c r="T63" s="46">
        <v>16.929133858267718</v>
      </c>
      <c r="U63" s="46">
        <v>88.976377952755911</v>
      </c>
      <c r="V63" s="47">
        <v>0.90289914380844072</v>
      </c>
    </row>
    <row r="64" spans="1:22" ht="12.75">
      <c r="A64" s="379">
        <f t="shared" si="5"/>
        <v>58</v>
      </c>
      <c r="B64" s="42" t="str">
        <f t="shared" si="6"/>
        <v>KUBOTA M8030DT-16 SP  MFWD______________ 77 pto hp</v>
      </c>
      <c r="C64" s="352">
        <v>76.906350000000003</v>
      </c>
      <c r="D64" s="42" t="s">
        <v>1182</v>
      </c>
      <c r="E64" s="42" t="s">
        <v>1245</v>
      </c>
      <c r="F64" s="42" t="s">
        <v>497</v>
      </c>
      <c r="G64" s="291"/>
      <c r="H64" s="353">
        <v>1598</v>
      </c>
      <c r="I64" s="38" t="s">
        <v>499</v>
      </c>
      <c r="J64" s="58">
        <v>2579.3820000000001</v>
      </c>
      <c r="K64" s="58">
        <v>3750.0246000000002</v>
      </c>
      <c r="L64" s="354">
        <v>2</v>
      </c>
      <c r="M64" s="352">
        <v>11.2</v>
      </c>
      <c r="N64" s="354" t="s">
        <v>500</v>
      </c>
      <c r="O64" s="41">
        <v>24</v>
      </c>
      <c r="P64" s="354">
        <v>2</v>
      </c>
      <c r="Q64" s="41">
        <v>18.399999999999999</v>
      </c>
      <c r="R64" s="354" t="s">
        <v>500</v>
      </c>
      <c r="S64" s="41">
        <v>30</v>
      </c>
      <c r="T64" s="46">
        <v>18.503937007874018</v>
      </c>
      <c r="U64" s="46">
        <v>88.976377952755911</v>
      </c>
      <c r="V64" s="47">
        <v>0.88840940084042896</v>
      </c>
    </row>
    <row r="65" spans="1:22" ht="12.75">
      <c r="A65" s="379">
        <f t="shared" si="5"/>
        <v>59</v>
      </c>
      <c r="B65" s="42" t="str">
        <f t="shared" si="6"/>
        <v>HESSTON 880DT-5  MFWD___________________ 81 pto hp</v>
      </c>
      <c r="C65" s="352">
        <v>81.318240000000003</v>
      </c>
      <c r="D65" s="42" t="s">
        <v>1199</v>
      </c>
      <c r="E65" s="42" t="s">
        <v>1246</v>
      </c>
      <c r="F65" s="42" t="s">
        <v>497</v>
      </c>
      <c r="G65" s="291"/>
      <c r="H65" s="353">
        <v>1353</v>
      </c>
      <c r="I65" s="38" t="s">
        <v>499</v>
      </c>
      <c r="J65" s="58">
        <v>3229.739</v>
      </c>
      <c r="K65" s="58">
        <v>5520.3184000000001</v>
      </c>
      <c r="L65" s="354">
        <v>2</v>
      </c>
      <c r="M65" s="352">
        <v>12.4</v>
      </c>
      <c r="N65" s="41" t="s">
        <v>481</v>
      </c>
      <c r="O65" s="41">
        <v>28</v>
      </c>
      <c r="P65" s="354">
        <v>2</v>
      </c>
      <c r="Q65" s="41">
        <v>18.399999999999999</v>
      </c>
      <c r="R65" s="41" t="s">
        <v>481</v>
      </c>
      <c r="S65" s="41">
        <v>34</v>
      </c>
      <c r="T65" s="46">
        <v>22.440944881889767</v>
      </c>
      <c r="U65" s="46">
        <v>95.275590551181111</v>
      </c>
      <c r="V65" s="47">
        <v>0.90109765872546765</v>
      </c>
    </row>
    <row r="66" spans="1:22" ht="12.75">
      <c r="A66" s="379">
        <f t="shared" si="5"/>
        <v>60</v>
      </c>
      <c r="B66" s="42" t="str">
        <f t="shared" si="6"/>
        <v>KUBOTA M8950DT-24 SP  MFWD______________ 86 pto hp</v>
      </c>
      <c r="C66" s="352">
        <v>85.62285</v>
      </c>
      <c r="D66" s="42" t="s">
        <v>1182</v>
      </c>
      <c r="E66" s="42" t="s">
        <v>1247</v>
      </c>
      <c r="F66" s="42" t="s">
        <v>497</v>
      </c>
      <c r="G66" s="291"/>
      <c r="H66" s="353">
        <v>1557</v>
      </c>
      <c r="I66" s="38" t="s">
        <v>499</v>
      </c>
      <c r="J66" s="58">
        <v>3470.0404000000003</v>
      </c>
      <c r="K66" s="58">
        <v>6258.8594000000003</v>
      </c>
      <c r="L66" s="354">
        <v>2</v>
      </c>
      <c r="M66" s="352">
        <v>12.4</v>
      </c>
      <c r="N66" s="354" t="s">
        <v>500</v>
      </c>
      <c r="O66" s="41">
        <v>24</v>
      </c>
      <c r="P66" s="354">
        <v>2</v>
      </c>
      <c r="Q66" s="41">
        <v>18.399999999999999</v>
      </c>
      <c r="R66" s="354" t="s">
        <v>500</v>
      </c>
      <c r="S66" s="41">
        <v>34</v>
      </c>
      <c r="T66" s="46">
        <v>22.047244094488189</v>
      </c>
      <c r="U66" s="46">
        <v>97.244094488188978</v>
      </c>
      <c r="V66" s="47">
        <v>0.8701895359487346</v>
      </c>
    </row>
    <row r="67" spans="1:22" ht="12.75">
      <c r="A67" s="379">
        <f t="shared" si="5"/>
        <v>61</v>
      </c>
      <c r="B67" s="42" t="str">
        <f t="shared" si="6"/>
        <v>ZETOR 9540-PS 18 SP  MFWD_______________ 86 pto hp</v>
      </c>
      <c r="C67" s="352">
        <v>85.689899999999994</v>
      </c>
      <c r="D67" s="42" t="s">
        <v>1204</v>
      </c>
      <c r="E67" s="42" t="s">
        <v>1248</v>
      </c>
      <c r="F67" s="42" t="s">
        <v>497</v>
      </c>
      <c r="G67" s="291"/>
      <c r="H67" s="353">
        <v>5137</v>
      </c>
      <c r="I67" s="38" t="s">
        <v>556</v>
      </c>
      <c r="J67" s="58">
        <v>3670.6590000000001</v>
      </c>
      <c r="K67" s="58">
        <v>5434.3389999999999</v>
      </c>
      <c r="L67" s="354">
        <v>2</v>
      </c>
      <c r="M67" s="352">
        <v>12.4</v>
      </c>
      <c r="N67" s="354" t="s">
        <v>500</v>
      </c>
      <c r="O67" s="41">
        <v>24</v>
      </c>
      <c r="P67" s="354">
        <v>2</v>
      </c>
      <c r="Q67" s="41">
        <v>16.899999999999999</v>
      </c>
      <c r="R67" s="354" t="s">
        <v>500</v>
      </c>
      <c r="S67" s="41">
        <v>30</v>
      </c>
      <c r="T67" s="46">
        <v>27.795275590551181</v>
      </c>
      <c r="U67" s="46">
        <v>93.267716535433081</v>
      </c>
      <c r="V67" s="47">
        <v>0.83266932685592299</v>
      </c>
    </row>
    <row r="68" spans="1:22" ht="12.75">
      <c r="A68" s="379">
        <f t="shared" si="5"/>
        <v>62</v>
      </c>
      <c r="B68" s="42" t="str">
        <f t="shared" si="6"/>
        <v>ZETOR 10145-16 SP  MFWD_________________ 88 pto hp</v>
      </c>
      <c r="C68" s="352">
        <v>87.969599999999986</v>
      </c>
      <c r="D68" s="42" t="s">
        <v>1204</v>
      </c>
      <c r="E68" s="42" t="s">
        <v>1249</v>
      </c>
      <c r="F68" s="42" t="s">
        <v>497</v>
      </c>
      <c r="G68" s="291"/>
      <c r="H68" s="353">
        <v>5018</v>
      </c>
      <c r="I68" s="38" t="s">
        <v>556</v>
      </c>
      <c r="J68" s="58">
        <v>4032.2134000000001</v>
      </c>
      <c r="K68" s="58">
        <v>6338.2250000000004</v>
      </c>
      <c r="L68" s="354">
        <v>2</v>
      </c>
      <c r="M68" s="352">
        <v>12.4</v>
      </c>
      <c r="N68" s="354" t="s">
        <v>500</v>
      </c>
      <c r="O68" s="41">
        <v>24</v>
      </c>
      <c r="P68" s="354">
        <v>2</v>
      </c>
      <c r="Q68" s="41">
        <v>16.899999999999999</v>
      </c>
      <c r="R68" s="354" t="s">
        <v>500</v>
      </c>
      <c r="S68" s="41">
        <v>38</v>
      </c>
      <c r="T68" s="46">
        <v>13.779527559055119</v>
      </c>
      <c r="U68" s="46">
        <v>94.094488188976385</v>
      </c>
      <c r="V68" s="47">
        <v>0.9290678794689271</v>
      </c>
    </row>
    <row r="69" spans="1:22" ht="12.75">
      <c r="A69" s="379">
        <f t="shared" si="5"/>
        <v>63</v>
      </c>
      <c r="B69" s="42" t="str">
        <f t="shared" si="6"/>
        <v>HESSTON 980DT  MFWD_____________________ 91 pto hp</v>
      </c>
      <c r="C69" s="352">
        <v>91.120950000000008</v>
      </c>
      <c r="D69" s="42" t="s">
        <v>1199</v>
      </c>
      <c r="E69" s="42" t="s">
        <v>1250</v>
      </c>
      <c r="F69" s="42" t="s">
        <v>497</v>
      </c>
      <c r="G69" s="291"/>
      <c r="H69" s="353">
        <v>1354</v>
      </c>
      <c r="I69" s="38" t="s">
        <v>499</v>
      </c>
      <c r="J69" s="58">
        <v>3430.3576000000003</v>
      </c>
      <c r="K69" s="58">
        <v>5418.9068000000007</v>
      </c>
      <c r="L69" s="354">
        <v>2</v>
      </c>
      <c r="M69" s="352">
        <v>12.4</v>
      </c>
      <c r="N69" s="41" t="s">
        <v>481</v>
      </c>
      <c r="O69" s="41">
        <v>28</v>
      </c>
      <c r="P69" s="354">
        <v>2</v>
      </c>
      <c r="Q69" s="41">
        <v>18.399999999999999</v>
      </c>
      <c r="R69" s="41" t="s">
        <v>481</v>
      </c>
      <c r="S69" s="41">
        <v>34</v>
      </c>
      <c r="T69" s="46">
        <v>22.440944881889767</v>
      </c>
      <c r="U69" s="46">
        <v>99.606299212598429</v>
      </c>
      <c r="V69" s="47">
        <v>0.90547901561724375</v>
      </c>
    </row>
    <row r="70" spans="1:22" ht="12.75">
      <c r="A70" s="379">
        <f t="shared" si="5"/>
        <v>64</v>
      </c>
      <c r="B70" s="42" t="str">
        <f t="shared" si="6"/>
        <v>HESSTON 100-90-15 SP  MFWD______________ 92 pto hp</v>
      </c>
      <c r="C70" s="352">
        <v>91.509839999999997</v>
      </c>
      <c r="D70" s="42" t="s">
        <v>1199</v>
      </c>
      <c r="E70" s="42" t="s">
        <v>1251</v>
      </c>
      <c r="F70" s="42" t="s">
        <v>497</v>
      </c>
      <c r="G70" s="291"/>
      <c r="H70" s="353">
        <v>1580</v>
      </c>
      <c r="I70" s="38" t="s">
        <v>499</v>
      </c>
      <c r="J70" s="58">
        <v>3569.2474000000002</v>
      </c>
      <c r="K70" s="58">
        <v>6150.8340000000007</v>
      </c>
      <c r="L70" s="354">
        <v>2</v>
      </c>
      <c r="M70" s="352">
        <v>14.9</v>
      </c>
      <c r="N70" s="354" t="s">
        <v>500</v>
      </c>
      <c r="O70" s="41">
        <v>24</v>
      </c>
      <c r="P70" s="354">
        <v>2</v>
      </c>
      <c r="Q70" s="41">
        <v>18.399999999999999</v>
      </c>
      <c r="R70" s="354" t="s">
        <v>500</v>
      </c>
      <c r="S70" s="41">
        <v>34</v>
      </c>
      <c r="T70" s="46">
        <v>17.519685039370081</v>
      </c>
      <c r="U70" s="46">
        <v>99.763779527559066</v>
      </c>
      <c r="V70" s="47">
        <v>0.92124194187972253</v>
      </c>
    </row>
    <row r="71" spans="1:22" ht="12.75">
      <c r="A71" s="379">
        <f t="shared" si="5"/>
        <v>65</v>
      </c>
      <c r="B71" s="42" t="str">
        <f t="shared" ref="B71:B86" si="7">CONCATENATE( LEFT(CONCATENATE(D71," ",E71," ",G71," ",F71,$W$5),40)," ",FIXED(C71,0)," pto hp")</f>
        <v>BELARUS 925/900/905/920 18-SP  MFWD_____ 92 pto hp</v>
      </c>
      <c r="C71" s="352">
        <v>92.368079999999992</v>
      </c>
      <c r="D71" s="42" t="s">
        <v>1188</v>
      </c>
      <c r="E71" s="42" t="s">
        <v>1252</v>
      </c>
      <c r="F71" s="42" t="s">
        <v>497</v>
      </c>
      <c r="G71" s="291"/>
      <c r="H71" s="353">
        <v>5211</v>
      </c>
      <c r="I71" s="38" t="s">
        <v>529</v>
      </c>
      <c r="J71" s="58">
        <v>2907.8674000000001</v>
      </c>
      <c r="K71" s="58">
        <v>5765.0290000000005</v>
      </c>
      <c r="L71" s="354">
        <v>2</v>
      </c>
      <c r="M71" s="352">
        <v>13.6</v>
      </c>
      <c r="N71" s="354" t="s">
        <v>500</v>
      </c>
      <c r="O71" s="41">
        <v>24</v>
      </c>
      <c r="P71" s="354">
        <v>2</v>
      </c>
      <c r="Q71" s="41">
        <v>16.899999999999999</v>
      </c>
      <c r="R71" s="41" t="s">
        <v>481</v>
      </c>
      <c r="S71" s="41">
        <v>38</v>
      </c>
      <c r="T71" s="46">
        <v>20.078740157480315</v>
      </c>
      <c r="U71" s="46">
        <v>96.456692913385837</v>
      </c>
      <c r="V71" s="47">
        <v>0.99952629008120919</v>
      </c>
    </row>
    <row r="72" spans="1:22" ht="12.75">
      <c r="A72" s="379">
        <f t="shared" ref="A72:A107" si="8">A71+1</f>
        <v>66</v>
      </c>
      <c r="B72" s="42" t="str">
        <f t="shared" si="7"/>
        <v>BELARUS 9345/9011/9045/9311-14 SP  MFWD_ 93 pto hp</v>
      </c>
      <c r="C72" s="352">
        <v>93.320189999999997</v>
      </c>
      <c r="D72" s="42" t="s">
        <v>1188</v>
      </c>
      <c r="E72" s="42" t="s">
        <v>1253</v>
      </c>
      <c r="F72" s="42" t="s">
        <v>497</v>
      </c>
      <c r="G72" s="291"/>
      <c r="H72" s="353">
        <v>5243</v>
      </c>
      <c r="I72" s="38" t="s">
        <v>529</v>
      </c>
      <c r="J72" s="58">
        <v>2881.4122000000002</v>
      </c>
      <c r="K72" s="58">
        <v>5930.3740000000007</v>
      </c>
      <c r="L72" s="354">
        <v>2</v>
      </c>
      <c r="M72" s="352">
        <v>360</v>
      </c>
      <c r="N72" s="291" t="s">
        <v>614</v>
      </c>
      <c r="O72" s="41">
        <v>20</v>
      </c>
      <c r="P72" s="354">
        <v>2</v>
      </c>
      <c r="Q72" s="41">
        <v>16.899999999999999</v>
      </c>
      <c r="R72" s="41" t="s">
        <v>481</v>
      </c>
      <c r="S72" s="41">
        <v>38</v>
      </c>
      <c r="T72" s="46">
        <v>20.078740157480315</v>
      </c>
      <c r="U72" s="46">
        <v>96.456692913385837</v>
      </c>
      <c r="V72" s="47">
        <v>0.94264239675859607</v>
      </c>
    </row>
    <row r="73" spans="1:22" ht="12.75">
      <c r="A73" s="379">
        <f t="shared" si="8"/>
        <v>67</v>
      </c>
      <c r="B73" s="42" t="str">
        <f t="shared" si="7"/>
        <v>ZETOR 12111-16 SP  2WD__________________ 101 pto hp</v>
      </c>
      <c r="C73" s="352">
        <v>100.9773</v>
      </c>
      <c r="D73" s="42" t="s">
        <v>1204</v>
      </c>
      <c r="E73" s="42" t="s">
        <v>1254</v>
      </c>
      <c r="F73" s="42" t="s">
        <v>507</v>
      </c>
      <c r="G73" s="291"/>
      <c r="H73" s="353">
        <v>5019</v>
      </c>
      <c r="I73" s="38" t="s">
        <v>556</v>
      </c>
      <c r="J73" s="58">
        <v>3181.2378000000003</v>
      </c>
      <c r="K73" s="58">
        <v>6510.1838000000007</v>
      </c>
      <c r="L73" s="354">
        <v>2</v>
      </c>
      <c r="M73" s="352">
        <v>7.5</v>
      </c>
      <c r="N73" s="354" t="s">
        <v>499</v>
      </c>
      <c r="O73" s="41">
        <v>20</v>
      </c>
      <c r="P73" s="354">
        <v>2</v>
      </c>
      <c r="Q73" s="41">
        <v>18.399999999999999</v>
      </c>
      <c r="R73" s="354" t="s">
        <v>500</v>
      </c>
      <c r="S73" s="41">
        <v>38</v>
      </c>
      <c r="T73" s="46">
        <v>15.354330708661418</v>
      </c>
      <c r="U73" s="46">
        <v>106.2992125984252</v>
      </c>
      <c r="V73" s="47">
        <v>0.94963810571179752</v>
      </c>
    </row>
    <row r="74" spans="1:22" ht="12.75">
      <c r="A74" s="379">
        <f t="shared" si="8"/>
        <v>68</v>
      </c>
      <c r="B74" s="42" t="str">
        <f t="shared" si="7"/>
        <v>ZETOR 12145-16 SP  MFWD_________________ 102 pto hp</v>
      </c>
      <c r="C74" s="352">
        <v>102.31829999999999</v>
      </c>
      <c r="D74" s="42" t="s">
        <v>1204</v>
      </c>
      <c r="E74" s="42" t="s">
        <v>1255</v>
      </c>
      <c r="F74" s="42" t="s">
        <v>497</v>
      </c>
      <c r="G74" s="291"/>
      <c r="H74" s="353">
        <v>5020</v>
      </c>
      <c r="I74" s="38" t="s">
        <v>556</v>
      </c>
      <c r="J74" s="58">
        <v>4323.2206000000006</v>
      </c>
      <c r="K74" s="58">
        <v>6708.5978000000005</v>
      </c>
      <c r="L74" s="354">
        <v>2</v>
      </c>
      <c r="M74" s="352">
        <v>14.9</v>
      </c>
      <c r="N74" s="354" t="s">
        <v>500</v>
      </c>
      <c r="O74" s="41">
        <v>24</v>
      </c>
      <c r="P74" s="354">
        <v>2</v>
      </c>
      <c r="Q74" s="41">
        <v>18.399999999999999</v>
      </c>
      <c r="R74" s="354" t="s">
        <v>500</v>
      </c>
      <c r="S74" s="41">
        <v>38</v>
      </c>
      <c r="T74" s="46">
        <v>14.566929133858268</v>
      </c>
      <c r="U74" s="46">
        <v>106.2992125984252</v>
      </c>
      <c r="V74" s="47">
        <v>0.95621054921590598</v>
      </c>
    </row>
    <row r="75" spans="1:22" ht="12.75">
      <c r="A75" s="379">
        <f t="shared" si="8"/>
        <v>69</v>
      </c>
      <c r="B75" s="42" t="str">
        <f t="shared" si="7"/>
        <v>HESSTON 130-90DT-16 SP  MFWD____________ 107 pto hp</v>
      </c>
      <c r="C75" s="352">
        <v>107.48115</v>
      </c>
      <c r="D75" s="42" t="s">
        <v>1199</v>
      </c>
      <c r="E75" s="42" t="s">
        <v>1256</v>
      </c>
      <c r="F75" s="42" t="s">
        <v>497</v>
      </c>
      <c r="G75" s="291"/>
      <c r="H75" s="353">
        <v>1564</v>
      </c>
      <c r="I75" s="38" t="s">
        <v>499</v>
      </c>
      <c r="J75" s="58">
        <v>4914.0534000000007</v>
      </c>
      <c r="K75" s="58">
        <v>10809.1538</v>
      </c>
      <c r="L75" s="354">
        <v>2</v>
      </c>
      <c r="M75" s="352">
        <v>14.9</v>
      </c>
      <c r="N75" s="354" t="s">
        <v>500</v>
      </c>
      <c r="O75" s="41">
        <v>30</v>
      </c>
      <c r="P75" s="354">
        <v>4</v>
      </c>
      <c r="Q75" s="41">
        <v>18.399999999999999</v>
      </c>
      <c r="R75" s="354" t="s">
        <v>500</v>
      </c>
      <c r="S75" s="41">
        <v>38</v>
      </c>
      <c r="T75" s="46">
        <v>17.913385826771655</v>
      </c>
      <c r="U75" s="46">
        <v>105.11811023622047</v>
      </c>
      <c r="V75" s="47">
        <v>0.90997728816081136</v>
      </c>
    </row>
    <row r="76" spans="1:22" ht="12.75">
      <c r="A76" s="379">
        <f t="shared" si="8"/>
        <v>70</v>
      </c>
      <c r="B76" s="42" t="str">
        <f t="shared" si="7"/>
        <v>HESSTON 1180DT  MFWD____________________ 107 pto hp</v>
      </c>
      <c r="C76" s="352">
        <v>107.48115</v>
      </c>
      <c r="D76" s="42" t="s">
        <v>1199</v>
      </c>
      <c r="E76" s="42" t="s">
        <v>1257</v>
      </c>
      <c r="F76" s="42" t="s">
        <v>497</v>
      </c>
      <c r="G76" s="291"/>
      <c r="H76" s="353">
        <v>1450</v>
      </c>
      <c r="I76" s="38" t="s">
        <v>499</v>
      </c>
      <c r="J76" s="58">
        <v>4689.1842000000006</v>
      </c>
      <c r="K76" s="58">
        <v>10260.208400000001</v>
      </c>
      <c r="L76" s="354">
        <v>2</v>
      </c>
      <c r="M76" s="352">
        <v>14.9</v>
      </c>
      <c r="N76" s="354" t="s">
        <v>500</v>
      </c>
      <c r="O76" s="41">
        <v>28</v>
      </c>
      <c r="P76" s="354">
        <v>4</v>
      </c>
      <c r="Q76" s="41">
        <v>18.399999999999999</v>
      </c>
      <c r="R76" s="354" t="s">
        <v>500</v>
      </c>
      <c r="S76" s="41">
        <v>38</v>
      </c>
      <c r="T76" s="46">
        <v>22.047244094488189</v>
      </c>
      <c r="U76" s="46">
        <v>105.23622047244095</v>
      </c>
      <c r="V76" s="47">
        <v>0.94226453360124707</v>
      </c>
    </row>
    <row r="77" spans="1:22" ht="12.75">
      <c r="A77" s="379">
        <f t="shared" si="8"/>
        <v>71</v>
      </c>
      <c r="B77" s="42" t="str">
        <f t="shared" si="7"/>
        <v>HESSTON 1380DT  MFWD____________________ 123 pto hp</v>
      </c>
      <c r="C77" s="352">
        <v>123.15744000000001</v>
      </c>
      <c r="D77" s="42" t="s">
        <v>1199</v>
      </c>
      <c r="E77" s="42" t="s">
        <v>1258</v>
      </c>
      <c r="F77" s="42" t="s">
        <v>497</v>
      </c>
      <c r="G77" s="291"/>
      <c r="H77" s="353">
        <v>1409</v>
      </c>
      <c r="I77" s="38" t="s">
        <v>499</v>
      </c>
      <c r="J77" s="58">
        <v>5000.0328</v>
      </c>
      <c r="K77" s="58">
        <v>10200.6842</v>
      </c>
      <c r="L77" s="354">
        <v>2</v>
      </c>
      <c r="M77" s="352">
        <v>14.9</v>
      </c>
      <c r="N77" s="354" t="s">
        <v>500</v>
      </c>
      <c r="O77" s="41">
        <v>28</v>
      </c>
      <c r="P77" s="354">
        <v>4</v>
      </c>
      <c r="Q77" s="41">
        <v>18.399999999999999</v>
      </c>
      <c r="R77" s="354" t="s">
        <v>500</v>
      </c>
      <c r="S77" s="41">
        <v>38</v>
      </c>
      <c r="T77" s="46">
        <v>20.078740157480315</v>
      </c>
      <c r="U77" s="46">
        <v>105.1968503937008</v>
      </c>
      <c r="V77" s="47">
        <v>0.89931031983741083</v>
      </c>
    </row>
    <row r="78" spans="1:22" ht="12.75">
      <c r="A78" s="379">
        <f t="shared" si="8"/>
        <v>72</v>
      </c>
      <c r="B78" s="42" t="str">
        <f t="shared" si="7"/>
        <v>HESSTON 140-90DT/16 SP  MFWD____________ 123 pto hp</v>
      </c>
      <c r="C78" s="352">
        <v>123.34518</v>
      </c>
      <c r="D78" s="42" t="s">
        <v>1199</v>
      </c>
      <c r="E78" s="42" t="s">
        <v>1259</v>
      </c>
      <c r="F78" s="42" t="s">
        <v>497</v>
      </c>
      <c r="G78" s="291"/>
      <c r="H78" s="353">
        <v>1533</v>
      </c>
      <c r="I78" s="38" t="s">
        <v>499</v>
      </c>
      <c r="J78" s="58">
        <v>5291.04</v>
      </c>
      <c r="K78" s="58">
        <v>10758.448</v>
      </c>
      <c r="L78" s="354">
        <v>2</v>
      </c>
      <c r="M78" s="352">
        <v>14.9</v>
      </c>
      <c r="N78" s="354" t="s">
        <v>500</v>
      </c>
      <c r="O78" s="41">
        <v>28</v>
      </c>
      <c r="P78" s="354">
        <v>4</v>
      </c>
      <c r="Q78" s="41">
        <v>18.399999999999999</v>
      </c>
      <c r="R78" s="354" t="s">
        <v>500</v>
      </c>
      <c r="S78" s="41">
        <v>38</v>
      </c>
      <c r="T78" s="46">
        <v>21.45669291338583</v>
      </c>
      <c r="U78" s="46">
        <v>105.11811023622047</v>
      </c>
      <c r="V78" s="47">
        <v>0.92484907538077832</v>
      </c>
    </row>
    <row r="79" spans="1:22" ht="12.75">
      <c r="A79" s="379">
        <f t="shared" si="8"/>
        <v>73</v>
      </c>
      <c r="B79" s="42" t="str">
        <f t="shared" si="7"/>
        <v>HURLIMANN 6135 VDT, 48-SP, PPS  MFWD____ 125 pto hp</v>
      </c>
      <c r="C79" s="352">
        <v>125.3835</v>
      </c>
      <c r="D79" s="42" t="s">
        <v>1260</v>
      </c>
      <c r="E79" s="42" t="s">
        <v>1261</v>
      </c>
      <c r="F79" s="42" t="s">
        <v>497</v>
      </c>
      <c r="G79" s="291"/>
      <c r="H79" s="353">
        <v>5338</v>
      </c>
      <c r="I79" s="38" t="s">
        <v>532</v>
      </c>
      <c r="J79" s="58">
        <v>5577.6379999999999</v>
      </c>
      <c r="K79" s="58">
        <v>6580.7310000000007</v>
      </c>
      <c r="L79" s="354">
        <v>2</v>
      </c>
      <c r="M79" s="352">
        <v>16.899999999999999</v>
      </c>
      <c r="N79" s="41" t="s">
        <v>481</v>
      </c>
      <c r="O79" s="41">
        <v>30</v>
      </c>
      <c r="P79" s="354">
        <v>2</v>
      </c>
      <c r="Q79" s="41">
        <v>20.8</v>
      </c>
      <c r="R79" s="41" t="s">
        <v>481</v>
      </c>
      <c r="S79" s="41">
        <v>38</v>
      </c>
      <c r="T79" s="46">
        <v>26.377952755905515</v>
      </c>
      <c r="U79" s="46">
        <v>108.26771653543308</v>
      </c>
      <c r="V79" s="47">
        <v>0.8475618424295881</v>
      </c>
    </row>
    <row r="80" spans="1:22" ht="12.75">
      <c r="A80" s="379">
        <f t="shared" si="8"/>
        <v>74</v>
      </c>
      <c r="B80" s="42" t="str">
        <f t="shared" si="7"/>
        <v>VALMET 148 4X4-12 SP  MFWD______________ 127 pto hp</v>
      </c>
      <c r="C80" s="352">
        <v>126.88542</v>
      </c>
      <c r="D80" s="42" t="s">
        <v>1262</v>
      </c>
      <c r="E80" s="42" t="s">
        <v>1263</v>
      </c>
      <c r="F80" s="42" t="s">
        <v>497</v>
      </c>
      <c r="G80" s="291"/>
      <c r="H80" s="353">
        <v>1600</v>
      </c>
      <c r="I80" s="38">
        <v>0</v>
      </c>
      <c r="J80" s="58">
        <v>4120.3973999999998</v>
      </c>
      <c r="K80" s="58">
        <v>6790.1680000000006</v>
      </c>
      <c r="L80" s="354">
        <v>2</v>
      </c>
      <c r="M80" s="352">
        <v>14.9</v>
      </c>
      <c r="N80" s="354" t="s">
        <v>500</v>
      </c>
      <c r="O80" s="41">
        <v>28</v>
      </c>
      <c r="P80" s="354">
        <v>2</v>
      </c>
      <c r="Q80" s="41">
        <v>18.399999999999999</v>
      </c>
      <c r="R80" s="354" t="s">
        <v>500</v>
      </c>
      <c r="S80" s="41">
        <v>38</v>
      </c>
      <c r="T80" s="46">
        <v>22.047244094488189</v>
      </c>
      <c r="U80" s="46">
        <v>105.11811023622047</v>
      </c>
      <c r="V80" s="47">
        <v>0.92324197646936856</v>
      </c>
    </row>
    <row r="81" spans="1:22" ht="12.75">
      <c r="A81" s="379">
        <f t="shared" si="8"/>
        <v>75</v>
      </c>
      <c r="B81" s="42" t="str">
        <f t="shared" si="7"/>
        <v>ZETOR 16145-12 SP  MFWD_________________ 136 pto hp</v>
      </c>
      <c r="C81" s="352">
        <v>135.97740000000002</v>
      </c>
      <c r="D81" s="42" t="s">
        <v>1204</v>
      </c>
      <c r="E81" s="42" t="s">
        <v>1264</v>
      </c>
      <c r="F81" s="42" t="s">
        <v>497</v>
      </c>
      <c r="G81" s="291"/>
      <c r="H81" s="353">
        <v>5021</v>
      </c>
      <c r="I81" s="38" t="s">
        <v>556</v>
      </c>
      <c r="J81" s="58">
        <v>4424.6322</v>
      </c>
      <c r="K81" s="58">
        <v>6818.8278</v>
      </c>
      <c r="L81" s="354">
        <v>2</v>
      </c>
      <c r="M81" s="352">
        <v>14.9</v>
      </c>
      <c r="N81" s="354" t="s">
        <v>500</v>
      </c>
      <c r="O81" s="41">
        <v>24</v>
      </c>
      <c r="P81" s="354">
        <v>2</v>
      </c>
      <c r="Q81" s="41">
        <v>18.399999999999999</v>
      </c>
      <c r="R81" s="354" t="s">
        <v>500</v>
      </c>
      <c r="S81" s="41">
        <v>38</v>
      </c>
      <c r="T81" s="46">
        <v>15.551181102362206</v>
      </c>
      <c r="U81" s="46">
        <v>106.2992125984252</v>
      </c>
      <c r="V81" s="47">
        <v>0.96518423828697442</v>
      </c>
    </row>
    <row r="82" spans="1:22" ht="12.75">
      <c r="A82" s="379">
        <f t="shared" si="8"/>
        <v>76</v>
      </c>
      <c r="B82" s="42" t="str">
        <f t="shared" si="7"/>
        <v>HESSTON 1580DT  MFWD____________________ 141 pto hp</v>
      </c>
      <c r="C82" s="352">
        <v>141.43527</v>
      </c>
      <c r="D82" s="42" t="s">
        <v>1199</v>
      </c>
      <c r="E82" s="42" t="s">
        <v>1265</v>
      </c>
      <c r="F82" s="42" t="s">
        <v>497</v>
      </c>
      <c r="G82" s="291"/>
      <c r="H82" s="353">
        <v>1451</v>
      </c>
      <c r="I82" s="38" t="s">
        <v>499</v>
      </c>
      <c r="J82" s="58">
        <v>5460.7942000000003</v>
      </c>
      <c r="K82" s="58">
        <v>11139.843800000001</v>
      </c>
      <c r="L82" s="354">
        <v>2</v>
      </c>
      <c r="M82" s="352">
        <v>16.899999999999999</v>
      </c>
      <c r="N82" s="354" t="s">
        <v>500</v>
      </c>
      <c r="O82" s="41">
        <v>28</v>
      </c>
      <c r="P82" s="354">
        <v>4</v>
      </c>
      <c r="Q82" s="41">
        <v>20.8</v>
      </c>
      <c r="R82" s="354" t="s">
        <v>500</v>
      </c>
      <c r="S82" s="41">
        <v>38</v>
      </c>
      <c r="T82" s="46">
        <v>23.031496062992126</v>
      </c>
      <c r="U82" s="46">
        <v>113.58267716535434</v>
      </c>
      <c r="V82" s="47">
        <v>0.9405505926988863</v>
      </c>
    </row>
    <row r="83" spans="1:22" ht="12.75">
      <c r="A83" s="379">
        <f t="shared" si="8"/>
        <v>77</v>
      </c>
      <c r="B83" s="42" t="str">
        <f t="shared" si="7"/>
        <v>VALMET 8550 36 SP  MFWD_________________ 142 pto hp</v>
      </c>
      <c r="C83" s="352">
        <v>141.6096</v>
      </c>
      <c r="D83" s="42" t="s">
        <v>1262</v>
      </c>
      <c r="E83" s="42" t="s">
        <v>1266</v>
      </c>
      <c r="F83" s="42" t="s">
        <v>497</v>
      </c>
      <c r="G83" s="291"/>
      <c r="H83" s="353">
        <v>5297</v>
      </c>
      <c r="I83" s="38">
        <v>0</v>
      </c>
      <c r="J83" s="58">
        <v>5004.442</v>
      </c>
      <c r="K83" s="58">
        <v>6404.3630000000003</v>
      </c>
      <c r="L83" s="354">
        <v>2</v>
      </c>
      <c r="M83" s="352">
        <v>16.899999999999999</v>
      </c>
      <c r="N83" s="41" t="s">
        <v>481</v>
      </c>
      <c r="O83" s="41">
        <v>28</v>
      </c>
      <c r="P83" s="354">
        <v>2</v>
      </c>
      <c r="Q83" s="41">
        <v>20.8</v>
      </c>
      <c r="R83" s="41" t="s">
        <v>481</v>
      </c>
      <c r="S83" s="41">
        <v>38</v>
      </c>
      <c r="T83" s="46">
        <v>23.228346456692915</v>
      </c>
      <c r="U83" s="46">
        <v>108.18897637795276</v>
      </c>
      <c r="V83" s="47">
        <v>0.96038686642713478</v>
      </c>
    </row>
    <row r="84" spans="1:22" ht="12.75">
      <c r="A84" s="379">
        <f t="shared" si="8"/>
        <v>78</v>
      </c>
      <c r="B84" s="42" t="str">
        <f t="shared" si="7"/>
        <v>HESSTON 160-90DT/16 SP  MFWD____________ 142 pto hp</v>
      </c>
      <c r="C84" s="352">
        <v>141.71688</v>
      </c>
      <c r="D84" s="42" t="s">
        <v>1199</v>
      </c>
      <c r="E84" s="42" t="s">
        <v>1267</v>
      </c>
      <c r="F84" s="42" t="s">
        <v>497</v>
      </c>
      <c r="G84" s="291"/>
      <c r="H84" s="353">
        <v>1534</v>
      </c>
      <c r="I84" s="38" t="s">
        <v>499</v>
      </c>
      <c r="J84" s="58">
        <v>5619.5254000000004</v>
      </c>
      <c r="K84" s="58">
        <v>11675.561600000001</v>
      </c>
      <c r="L84" s="354">
        <v>2</v>
      </c>
      <c r="M84" s="352">
        <v>16.899999999999999</v>
      </c>
      <c r="N84" s="354" t="s">
        <v>500</v>
      </c>
      <c r="O84" s="41">
        <v>28</v>
      </c>
      <c r="P84" s="354">
        <v>4</v>
      </c>
      <c r="Q84" s="41">
        <v>20.8</v>
      </c>
      <c r="R84" s="354" t="s">
        <v>500</v>
      </c>
      <c r="S84" s="41">
        <v>38</v>
      </c>
      <c r="T84" s="46">
        <v>23.425196850393704</v>
      </c>
      <c r="U84" s="46">
        <v>113.77952755905513</v>
      </c>
      <c r="V84" s="47">
        <v>0.91602507913112541</v>
      </c>
    </row>
    <row r="85" spans="1:22" ht="12.75">
      <c r="A85" s="379">
        <f t="shared" si="8"/>
        <v>79</v>
      </c>
      <c r="B85" s="42" t="str">
        <f t="shared" si="7"/>
        <v>HESSTON 160-90-TURBO-16 SP  MFWD________ 143 pto hp</v>
      </c>
      <c r="C85" s="352">
        <v>142.64216999999999</v>
      </c>
      <c r="D85" s="42" t="s">
        <v>1199</v>
      </c>
      <c r="E85" s="42" t="s">
        <v>1268</v>
      </c>
      <c r="F85" s="42" t="s">
        <v>497</v>
      </c>
      <c r="G85" s="291"/>
      <c r="H85" s="353">
        <v>1603</v>
      </c>
      <c r="I85" s="38" t="s">
        <v>499</v>
      </c>
      <c r="J85" s="58">
        <v>5769.4382000000005</v>
      </c>
      <c r="K85" s="58">
        <v>12149.5506</v>
      </c>
      <c r="L85" s="354">
        <v>2</v>
      </c>
      <c r="M85" s="352">
        <v>16.899999999999999</v>
      </c>
      <c r="N85" s="41" t="s">
        <v>481</v>
      </c>
      <c r="O85" s="41">
        <v>28</v>
      </c>
      <c r="P85" s="354">
        <v>4</v>
      </c>
      <c r="Q85" s="41">
        <v>20.8</v>
      </c>
      <c r="R85" s="41" t="s">
        <v>481</v>
      </c>
      <c r="S85" s="41">
        <v>38</v>
      </c>
      <c r="T85" s="46">
        <v>18.503937007874018</v>
      </c>
      <c r="U85" s="46">
        <v>113.77952755905513</v>
      </c>
      <c r="V85" s="47">
        <v>0.92759044196757179</v>
      </c>
    </row>
    <row r="86" spans="1:22" ht="12.75">
      <c r="A86" s="379">
        <f t="shared" si="8"/>
        <v>80</v>
      </c>
      <c r="B86" s="42" t="str">
        <f t="shared" si="7"/>
        <v>VALMET 8150-36 SP  MFWD_________________ 147 pto hp</v>
      </c>
      <c r="C86" s="352">
        <v>146.57129999999998</v>
      </c>
      <c r="D86" s="42" t="s">
        <v>1262</v>
      </c>
      <c r="E86" s="42" t="s">
        <v>1269</v>
      </c>
      <c r="F86" s="42" t="s">
        <v>497</v>
      </c>
      <c r="G86" s="291"/>
      <c r="H86" s="353">
        <v>5285</v>
      </c>
      <c r="I86" s="38" t="s">
        <v>529</v>
      </c>
      <c r="J86" s="58">
        <v>4717.8440000000001</v>
      </c>
      <c r="K86" s="58">
        <v>6250.0410000000002</v>
      </c>
      <c r="L86" s="354">
        <v>2</v>
      </c>
      <c r="M86" s="352">
        <v>16.899999999999999</v>
      </c>
      <c r="N86" s="41" t="s">
        <v>481</v>
      </c>
      <c r="O86" s="41">
        <v>28</v>
      </c>
      <c r="P86" s="354">
        <v>2</v>
      </c>
      <c r="Q86" s="41">
        <v>18.399999999999999</v>
      </c>
      <c r="R86" s="41" t="s">
        <v>481</v>
      </c>
      <c r="S86" s="41">
        <v>42</v>
      </c>
      <c r="T86" s="46">
        <v>20.078740157480315</v>
      </c>
      <c r="U86" s="46">
        <v>100.78740157480316</v>
      </c>
      <c r="V86" s="47">
        <v>0.67783632506057712</v>
      </c>
    </row>
    <row r="87" spans="1:22" ht="12.75">
      <c r="A87" s="379">
        <f t="shared" si="8"/>
        <v>81</v>
      </c>
      <c r="B87" s="42" t="str">
        <f t="shared" ref="B87:B92" si="9">CONCATENATE( LEFT(CONCATENATE(D87," ",E87," ",G87," ",F87,$W$5),40)," ",FIXED(C87,0)," pto hp")</f>
        <v>HESSTON 180-90-16 SP  MFWD______________ 162 pto hp</v>
      </c>
      <c r="C87" s="352">
        <v>162.14031</v>
      </c>
      <c r="D87" s="42" t="s">
        <v>1199</v>
      </c>
      <c r="E87" s="42" t="s">
        <v>1270</v>
      </c>
      <c r="F87" s="42" t="s">
        <v>497</v>
      </c>
      <c r="G87" s="291"/>
      <c r="H87" s="353">
        <v>1581</v>
      </c>
      <c r="I87" s="38" t="s">
        <v>499</v>
      </c>
      <c r="J87" s="58">
        <v>5784.8704000000007</v>
      </c>
      <c r="K87" s="58">
        <v>12039.320600000001</v>
      </c>
      <c r="L87" s="354">
        <v>2</v>
      </c>
      <c r="M87" s="352">
        <v>16.899999999999999</v>
      </c>
      <c r="N87" s="41" t="s">
        <v>481</v>
      </c>
      <c r="O87" s="41">
        <v>28</v>
      </c>
      <c r="P87" s="354">
        <v>4</v>
      </c>
      <c r="Q87" s="41">
        <v>20.8</v>
      </c>
      <c r="R87" s="41" t="s">
        <v>481</v>
      </c>
      <c r="S87" s="41">
        <v>38</v>
      </c>
      <c r="T87" s="46">
        <v>18.503937007874018</v>
      </c>
      <c r="U87" s="46">
        <v>113.77952755905513</v>
      </c>
      <c r="V87" s="47">
        <v>0.92385782779491787</v>
      </c>
    </row>
    <row r="88" spans="1:22" ht="12.75">
      <c r="A88" s="379">
        <f t="shared" si="8"/>
        <v>82</v>
      </c>
      <c r="B88" s="42" t="str">
        <f t="shared" si="9"/>
        <v>HESSTON 1880DT  MFWD____________________ 162 pto hp</v>
      </c>
      <c r="C88" s="352">
        <v>162.47556</v>
      </c>
      <c r="D88" s="42" t="s">
        <v>1199</v>
      </c>
      <c r="E88" s="42" t="s">
        <v>1271</v>
      </c>
      <c r="F88" s="42" t="s">
        <v>497</v>
      </c>
      <c r="G88" s="291"/>
      <c r="H88" s="353">
        <v>1410</v>
      </c>
      <c r="I88" s="38" t="s">
        <v>499</v>
      </c>
      <c r="J88" s="58">
        <v>5460.7942000000003</v>
      </c>
      <c r="K88" s="58">
        <v>11230.232400000001</v>
      </c>
      <c r="L88" s="354">
        <v>2</v>
      </c>
      <c r="M88" s="352">
        <v>16.899999999999999</v>
      </c>
      <c r="N88" s="354" t="s">
        <v>500</v>
      </c>
      <c r="O88" s="41">
        <v>28</v>
      </c>
      <c r="P88" s="354">
        <v>4</v>
      </c>
      <c r="Q88" s="41">
        <v>20.8</v>
      </c>
      <c r="R88" s="354" t="s">
        <v>500</v>
      </c>
      <c r="S88" s="41">
        <v>38</v>
      </c>
      <c r="T88" s="46">
        <v>20.078740157480315</v>
      </c>
      <c r="U88" s="46">
        <v>113.58267716535434</v>
      </c>
      <c r="V88" s="47">
        <v>0.90804509389064503</v>
      </c>
    </row>
    <row r="89" spans="1:22" ht="12.75">
      <c r="A89" s="379">
        <f t="shared" si="8"/>
        <v>83</v>
      </c>
      <c r="B89" s="42" t="str">
        <f t="shared" si="9"/>
        <v>HESSTON 180-90DT/16 SP  MFWD____________ 163 pto hp</v>
      </c>
      <c r="C89" s="352">
        <v>162.86445000000001</v>
      </c>
      <c r="D89" s="42" t="s">
        <v>1199</v>
      </c>
      <c r="E89" s="42" t="s">
        <v>1272</v>
      </c>
      <c r="F89" s="42" t="s">
        <v>497</v>
      </c>
      <c r="G89" s="291"/>
      <c r="H89" s="353">
        <v>1535</v>
      </c>
      <c r="I89" s="38" t="s">
        <v>499</v>
      </c>
      <c r="J89" s="58">
        <v>5619.5254000000004</v>
      </c>
      <c r="K89" s="58">
        <v>11675.561600000001</v>
      </c>
      <c r="L89" s="354">
        <v>2</v>
      </c>
      <c r="M89" s="352">
        <v>16.899999999999999</v>
      </c>
      <c r="N89" s="354" t="s">
        <v>500</v>
      </c>
      <c r="O89" s="41">
        <v>28</v>
      </c>
      <c r="P89" s="354">
        <v>4</v>
      </c>
      <c r="Q89" s="41">
        <v>20.8</v>
      </c>
      <c r="R89" s="354" t="s">
        <v>500</v>
      </c>
      <c r="S89" s="41">
        <v>38</v>
      </c>
      <c r="T89" s="46">
        <v>22.440944881889767</v>
      </c>
      <c r="U89" s="46">
        <v>113.77952755905513</v>
      </c>
      <c r="V89" s="47">
        <v>0.91483804227745569</v>
      </c>
    </row>
    <row r="90" spans="1:22" ht="12.75">
      <c r="A90" s="379">
        <f t="shared" si="8"/>
        <v>84</v>
      </c>
      <c r="B90" s="42" t="str">
        <f t="shared" si="9"/>
        <v>BELARUS 1770-12 SP  4WD_________________ 168 pto hp</v>
      </c>
      <c r="C90" s="352">
        <v>167.59818000000001</v>
      </c>
      <c r="D90" s="42" t="s">
        <v>1188</v>
      </c>
      <c r="E90" s="42" t="s">
        <v>1273</v>
      </c>
      <c r="F90" s="42" t="s">
        <v>606</v>
      </c>
      <c r="G90" s="291"/>
      <c r="H90" s="353">
        <v>1641</v>
      </c>
      <c r="I90" s="38">
        <v>0</v>
      </c>
      <c r="J90" s="58">
        <v>12164.9828</v>
      </c>
      <c r="K90" s="58">
        <v>7420.6836000000003</v>
      </c>
      <c r="L90" s="354">
        <v>2</v>
      </c>
      <c r="M90" s="352">
        <v>23.1</v>
      </c>
      <c r="N90" s="354" t="s">
        <v>500</v>
      </c>
      <c r="O90" s="41">
        <v>26</v>
      </c>
      <c r="P90" s="354">
        <v>2</v>
      </c>
      <c r="Q90" s="41">
        <v>23.1</v>
      </c>
      <c r="R90" s="354" t="s">
        <v>500</v>
      </c>
      <c r="S90" s="41">
        <v>26</v>
      </c>
      <c r="T90" s="46">
        <v>20.078740157480315</v>
      </c>
      <c r="U90" s="46">
        <v>112.5984251968504</v>
      </c>
      <c r="V90" s="47">
        <v>0.95537385262130481</v>
      </c>
    </row>
    <row r="91" spans="1:22" ht="12.75">
      <c r="A91" s="379">
        <f t="shared" si="8"/>
        <v>85</v>
      </c>
      <c r="B91" s="42" t="str">
        <f t="shared" si="9"/>
        <v>BELARUS 1500-12 SP  4WD_________________ 169 pto hp</v>
      </c>
      <c r="C91" s="352">
        <v>168.75144</v>
      </c>
      <c r="D91" s="42" t="s">
        <v>1188</v>
      </c>
      <c r="E91" s="42" t="s">
        <v>1274</v>
      </c>
      <c r="F91" s="42" t="s">
        <v>606</v>
      </c>
      <c r="G91" s="291"/>
      <c r="H91" s="353">
        <v>1333</v>
      </c>
      <c r="I91" s="38">
        <v>0</v>
      </c>
      <c r="J91" s="58">
        <v>11929.090600000001</v>
      </c>
      <c r="K91" s="58">
        <v>6834.26</v>
      </c>
      <c r="L91" s="354">
        <v>2</v>
      </c>
      <c r="M91" s="352">
        <v>18.399999999999999</v>
      </c>
      <c r="N91" s="354" t="s">
        <v>500</v>
      </c>
      <c r="O91" s="41">
        <v>26</v>
      </c>
      <c r="P91" s="354">
        <v>2</v>
      </c>
      <c r="Q91" s="41">
        <v>18.399999999999999</v>
      </c>
      <c r="R91" s="354" t="s">
        <v>500</v>
      </c>
      <c r="S91" s="41">
        <v>26</v>
      </c>
      <c r="T91" s="46">
        <v>15.551181102362206</v>
      </c>
      <c r="U91" s="46">
        <v>112.5984251968504</v>
      </c>
      <c r="V91" s="47">
        <v>0.94192589616628664</v>
      </c>
    </row>
    <row r="92" spans="1:22" ht="12.75">
      <c r="A92" s="379">
        <f t="shared" si="8"/>
        <v>86</v>
      </c>
      <c r="B92" s="42" t="str">
        <f t="shared" si="9"/>
        <v>BELARUS 7100-16 SP  4WD_________________ 270 pto hp</v>
      </c>
      <c r="C92" s="352">
        <v>269.60804999999999</v>
      </c>
      <c r="D92" s="42" t="s">
        <v>1188</v>
      </c>
      <c r="E92" s="42" t="s">
        <v>1275</v>
      </c>
      <c r="F92" s="42" t="s">
        <v>606</v>
      </c>
      <c r="G92" s="291"/>
      <c r="H92" s="353">
        <v>1334</v>
      </c>
      <c r="I92" s="38">
        <v>0</v>
      </c>
      <c r="J92" s="58">
        <v>21199.4336</v>
      </c>
      <c r="K92" s="58">
        <v>11261.096800000001</v>
      </c>
      <c r="L92" s="354">
        <v>2</v>
      </c>
      <c r="M92" s="352">
        <v>30.5</v>
      </c>
      <c r="N92" s="354" t="s">
        <v>500</v>
      </c>
      <c r="O92" s="41">
        <v>32</v>
      </c>
      <c r="P92" s="354">
        <v>2</v>
      </c>
      <c r="Q92" s="41">
        <v>30.5</v>
      </c>
      <c r="R92" s="354" t="s">
        <v>500</v>
      </c>
      <c r="S92" s="41">
        <v>32</v>
      </c>
      <c r="T92" s="46">
        <v>22.047244094488189</v>
      </c>
      <c r="U92" s="46">
        <v>125.98425196850394</v>
      </c>
      <c r="V92" s="47">
        <v>1.0012131875703827</v>
      </c>
    </row>
    <row r="93" spans="1:22" ht="12.75">
      <c r="A93" s="379">
        <f t="shared" si="8"/>
        <v>87</v>
      </c>
      <c r="B93" s="42" t="str">
        <f>CONCATENATE( LEFT(CONCATENATE(D93," ",E93," ",G93," ",F93,$W$5),40)," ",FIXED(C93,0)," estimated pto hp")</f>
        <v>BIG BUD 525/50  4WD_____________________ 358 estimated pto hp</v>
      </c>
      <c r="C93" s="355">
        <v>357.70240000000001</v>
      </c>
      <c r="D93" s="42" t="s">
        <v>1276</v>
      </c>
      <c r="E93" s="42" t="s">
        <v>1277</v>
      </c>
      <c r="F93" s="42" t="s">
        <v>606</v>
      </c>
      <c r="G93" s="291"/>
      <c r="H93" s="353">
        <v>1400</v>
      </c>
      <c r="I93" s="38">
        <v>0</v>
      </c>
      <c r="J93" s="58">
        <v>30659.372200000002</v>
      </c>
      <c r="K93" s="58">
        <v>21261.162400000001</v>
      </c>
      <c r="L93" s="354">
        <v>4</v>
      </c>
      <c r="M93" s="352">
        <v>30.5</v>
      </c>
      <c r="N93" s="354" t="s">
        <v>500</v>
      </c>
      <c r="O93" s="41">
        <v>32</v>
      </c>
      <c r="P93" s="354">
        <v>4</v>
      </c>
      <c r="Q93" s="41">
        <v>30.5</v>
      </c>
      <c r="R93" s="354" t="s">
        <v>500</v>
      </c>
      <c r="S93" s="41">
        <v>32</v>
      </c>
      <c r="T93" s="46">
        <v>17.519685039370081</v>
      </c>
      <c r="U93" s="46">
        <v>150</v>
      </c>
      <c r="V93" s="47">
        <v>0.92</v>
      </c>
    </row>
    <row r="94" spans="1:22" ht="12.75">
      <c r="A94" s="379">
        <f t="shared" si="8"/>
        <v>88</v>
      </c>
      <c r="B94" s="42"/>
      <c r="C94" s="352"/>
      <c r="D94" s="42"/>
      <c r="E94" s="42"/>
      <c r="F94" s="42"/>
      <c r="G94" s="291"/>
      <c r="H94" s="353"/>
      <c r="I94" s="38"/>
      <c r="J94" s="58"/>
      <c r="K94" s="58"/>
      <c r="L94" s="354"/>
      <c r="M94" s="366"/>
      <c r="N94" s="41"/>
      <c r="O94" s="41"/>
      <c r="P94" s="354"/>
      <c r="Q94" s="290"/>
      <c r="R94" s="354"/>
      <c r="S94" s="354"/>
      <c r="T94" s="46"/>
      <c r="U94" s="46"/>
      <c r="V94" s="47"/>
    </row>
    <row r="95" spans="1:22" ht="12.75">
      <c r="A95" s="379">
        <f t="shared" si="8"/>
        <v>89</v>
      </c>
      <c r="B95" s="42"/>
      <c r="C95" s="352"/>
      <c r="D95" s="42"/>
      <c r="E95" s="42"/>
      <c r="F95" s="42"/>
      <c r="G95" s="291"/>
      <c r="H95" s="353"/>
      <c r="I95" s="38"/>
      <c r="J95" s="58"/>
      <c r="K95" s="58"/>
      <c r="L95" s="354"/>
      <c r="M95" s="366"/>
      <c r="N95" s="41"/>
      <c r="O95" s="41"/>
      <c r="P95" s="354"/>
      <c r="Q95" s="42"/>
      <c r="R95" s="354"/>
      <c r="S95" s="41"/>
      <c r="T95" s="46"/>
      <c r="U95" s="46"/>
      <c r="V95" s="47"/>
    </row>
    <row r="96" spans="1:22" ht="12.75">
      <c r="A96" s="379">
        <f t="shared" si="8"/>
        <v>90</v>
      </c>
      <c r="B96" s="42"/>
      <c r="C96" s="352"/>
      <c r="D96" s="42"/>
      <c r="E96" s="42"/>
      <c r="F96" s="42"/>
      <c r="G96" s="291"/>
      <c r="H96" s="353"/>
      <c r="I96" s="38"/>
      <c r="J96" s="58"/>
      <c r="K96" s="58"/>
      <c r="L96" s="354"/>
      <c r="M96" s="366"/>
      <c r="N96" s="41"/>
      <c r="O96" s="41"/>
      <c r="P96" s="354"/>
      <c r="Q96" s="42"/>
      <c r="R96" s="354"/>
      <c r="S96" s="41"/>
      <c r="T96" s="46"/>
      <c r="U96" s="46"/>
      <c r="V96" s="47"/>
    </row>
    <row r="97" spans="1:22" ht="12.75">
      <c r="A97" s="379">
        <f t="shared" si="8"/>
        <v>91</v>
      </c>
      <c r="B97" s="42"/>
      <c r="C97" s="352"/>
      <c r="D97" s="42"/>
      <c r="E97" s="42"/>
      <c r="F97" s="42"/>
      <c r="G97" s="291"/>
      <c r="H97" s="353"/>
      <c r="I97" s="38"/>
      <c r="J97" s="58"/>
      <c r="K97" s="58"/>
      <c r="L97" s="354"/>
      <c r="M97" s="366"/>
      <c r="N97" s="41"/>
      <c r="O97" s="41"/>
      <c r="P97" s="354"/>
      <c r="Q97" s="290"/>
      <c r="R97" s="354"/>
      <c r="S97" s="354"/>
      <c r="T97" s="46"/>
      <c r="U97" s="46"/>
      <c r="V97" s="47"/>
    </row>
    <row r="98" spans="1:22">
      <c r="A98" s="379">
        <f t="shared" si="8"/>
        <v>92</v>
      </c>
      <c r="B98"/>
      <c r="C98"/>
      <c r="D98"/>
      <c r="E98"/>
      <c r="F98"/>
      <c r="G98"/>
      <c r="H98"/>
      <c r="I98"/>
      <c r="J98"/>
      <c r="K98"/>
      <c r="L98"/>
      <c r="M98"/>
      <c r="N98"/>
      <c r="O98"/>
      <c r="P98"/>
      <c r="Q98"/>
      <c r="R98"/>
      <c r="S98"/>
      <c r="T98"/>
      <c r="U98"/>
      <c r="V98"/>
    </row>
    <row r="99" spans="1:22" ht="12.75">
      <c r="A99" s="379">
        <f t="shared" si="8"/>
        <v>93</v>
      </c>
      <c r="B99" s="42"/>
      <c r="C99" s="352"/>
      <c r="D99" s="42"/>
      <c r="E99" s="42"/>
      <c r="F99" s="42"/>
      <c r="G99" s="291"/>
      <c r="H99" s="353"/>
      <c r="I99" s="38"/>
      <c r="J99" s="58"/>
      <c r="K99" s="58"/>
      <c r="L99" s="354"/>
      <c r="M99" s="366"/>
      <c r="N99" s="41"/>
      <c r="O99" s="41"/>
      <c r="P99" s="354"/>
      <c r="Q99" s="290"/>
      <c r="R99" s="354"/>
      <c r="S99" s="354"/>
      <c r="T99" s="46"/>
      <c r="U99" s="46"/>
      <c r="V99" s="47"/>
    </row>
    <row r="100" spans="1:22" ht="12.75">
      <c r="A100" s="379">
        <f t="shared" si="8"/>
        <v>94</v>
      </c>
      <c r="B100" s="42"/>
      <c r="C100" s="352"/>
      <c r="D100" s="42"/>
      <c r="E100" s="42"/>
      <c r="F100" s="42"/>
      <c r="G100" s="291"/>
      <c r="H100" s="353"/>
      <c r="I100" s="38"/>
      <c r="J100" s="58"/>
      <c r="K100" s="58"/>
      <c r="L100" s="354"/>
      <c r="M100" s="366"/>
      <c r="N100" s="41"/>
      <c r="O100" s="41"/>
      <c r="P100" s="354"/>
      <c r="Q100" s="42"/>
      <c r="R100" s="354"/>
      <c r="S100" s="41"/>
      <c r="T100" s="46"/>
      <c r="U100" s="46"/>
      <c r="V100" s="47"/>
    </row>
    <row r="101" spans="1:22" ht="12.75">
      <c r="A101" s="379">
        <f t="shared" si="8"/>
        <v>95</v>
      </c>
      <c r="B101" s="42"/>
      <c r="C101" s="352"/>
      <c r="D101" s="42"/>
      <c r="E101" s="42"/>
      <c r="F101" s="42"/>
      <c r="G101" s="291"/>
      <c r="H101" s="353"/>
      <c r="I101" s="38"/>
      <c r="J101" s="58"/>
      <c r="K101" s="58"/>
      <c r="L101" s="354"/>
      <c r="M101" s="366"/>
      <c r="N101" s="41"/>
      <c r="O101" s="41"/>
      <c r="P101" s="354"/>
      <c r="Q101" s="290"/>
      <c r="R101" s="354"/>
      <c r="S101" s="354"/>
      <c r="T101" s="46"/>
      <c r="U101" s="46"/>
      <c r="V101" s="47"/>
    </row>
    <row r="102" spans="1:22" ht="12.75">
      <c r="A102" s="379">
        <f t="shared" si="8"/>
        <v>96</v>
      </c>
      <c r="B102" s="42"/>
      <c r="C102" s="352"/>
      <c r="D102" s="42"/>
      <c r="E102" s="42"/>
      <c r="F102" s="42"/>
      <c r="G102" s="291"/>
      <c r="H102" s="353"/>
      <c r="I102" s="38"/>
      <c r="J102" s="58"/>
      <c r="K102" s="58"/>
      <c r="L102" s="354"/>
      <c r="M102" s="366"/>
      <c r="N102" s="41"/>
      <c r="O102" s="41"/>
      <c r="P102" s="354"/>
      <c r="Q102" s="290"/>
      <c r="R102" s="354"/>
      <c r="S102" s="354"/>
      <c r="T102" s="46"/>
      <c r="U102" s="46"/>
      <c r="V102" s="47"/>
    </row>
    <row r="103" spans="1:22" ht="12.75">
      <c r="A103" s="379">
        <f t="shared" si="8"/>
        <v>97</v>
      </c>
      <c r="B103" s="42"/>
      <c r="C103" s="352"/>
      <c r="D103" s="42"/>
      <c r="E103" s="42"/>
      <c r="F103" s="42"/>
      <c r="G103" s="291"/>
      <c r="H103" s="353"/>
      <c r="I103" s="38"/>
      <c r="J103" s="58"/>
      <c r="K103" s="58"/>
      <c r="L103" s="354"/>
      <c r="M103" s="366"/>
      <c r="N103" s="41"/>
      <c r="O103" s="41"/>
      <c r="P103" s="354"/>
      <c r="Q103" s="290"/>
      <c r="R103" s="354"/>
      <c r="S103" s="354"/>
      <c r="T103" s="46"/>
      <c r="U103" s="46"/>
      <c r="V103" s="47"/>
    </row>
    <row r="104" spans="1:22" ht="12.75">
      <c r="A104" s="379">
        <f t="shared" si="8"/>
        <v>98</v>
      </c>
      <c r="B104" s="42"/>
      <c r="C104" s="352"/>
      <c r="D104" s="42"/>
      <c r="E104" s="42"/>
      <c r="F104" s="42"/>
      <c r="G104" s="291"/>
      <c r="H104" s="353"/>
      <c r="I104" s="38"/>
      <c r="J104" s="58"/>
      <c r="K104" s="58"/>
      <c r="L104" s="354"/>
      <c r="M104" s="366"/>
      <c r="N104" s="41"/>
      <c r="O104" s="41"/>
      <c r="P104" s="354"/>
      <c r="Q104" s="290"/>
      <c r="R104" s="354"/>
      <c r="S104" s="354"/>
      <c r="T104" s="46"/>
      <c r="U104" s="46"/>
      <c r="V104" s="47"/>
    </row>
    <row r="105" spans="1:22" ht="12.75">
      <c r="A105" s="379">
        <f t="shared" si="8"/>
        <v>99</v>
      </c>
      <c r="B105" s="42"/>
      <c r="C105" s="352"/>
      <c r="D105" s="42"/>
      <c r="E105" s="42"/>
      <c r="F105" s="42"/>
      <c r="G105" s="291"/>
      <c r="H105" s="353"/>
      <c r="I105" s="38"/>
      <c r="J105" s="58"/>
      <c r="K105" s="58"/>
      <c r="L105" s="354"/>
      <c r="M105" s="366"/>
      <c r="N105" s="41"/>
      <c r="O105" s="41"/>
      <c r="P105" s="354"/>
      <c r="Q105" s="290"/>
      <c r="R105" s="354"/>
      <c r="S105" s="354"/>
      <c r="T105" s="46"/>
      <c r="U105" s="46"/>
      <c r="V105" s="47"/>
    </row>
    <row r="106" spans="1:22" ht="12.75">
      <c r="A106" s="379">
        <f t="shared" si="8"/>
        <v>100</v>
      </c>
      <c r="B106" s="42"/>
      <c r="C106" s="352"/>
      <c r="D106" s="42"/>
      <c r="E106" s="42"/>
      <c r="F106" s="42"/>
      <c r="G106" s="291"/>
      <c r="H106" s="353"/>
      <c r="I106" s="38"/>
      <c r="J106" s="58"/>
      <c r="K106" s="58"/>
      <c r="L106" s="354"/>
      <c r="M106" s="366"/>
      <c r="N106" s="41"/>
      <c r="O106" s="41"/>
      <c r="P106" s="354"/>
      <c r="Q106" s="290"/>
      <c r="R106" s="354"/>
      <c r="S106" s="354"/>
      <c r="T106" s="46"/>
      <c r="U106" s="46"/>
      <c r="V106" s="47"/>
    </row>
    <row r="107" spans="1:22">
      <c r="A107" s="379">
        <f t="shared" si="8"/>
        <v>101</v>
      </c>
      <c r="B107"/>
      <c r="C107"/>
      <c r="D107"/>
      <c r="E107"/>
      <c r="F107"/>
      <c r="G107"/>
      <c r="H107"/>
      <c r="I107"/>
      <c r="J107"/>
      <c r="K107"/>
      <c r="L107"/>
      <c r="M107"/>
      <c r="N107"/>
      <c r="O107"/>
      <c r="P107"/>
      <c r="Q107"/>
      <c r="R107"/>
      <c r="S107"/>
      <c r="T107"/>
      <c r="U107"/>
      <c r="V107"/>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E2:L19"/>
  <sheetViews>
    <sheetView tabSelected="1" zoomScale="83" workbookViewId="0">
      <selection activeCell="I2" sqref="I2"/>
    </sheetView>
  </sheetViews>
  <sheetFormatPr defaultRowHeight="12"/>
  <cols>
    <col min="2" max="2" width="11.375" customWidth="1"/>
    <col min="5" max="5" width="14" customWidth="1"/>
    <col min="10" max="10" width="16.75" customWidth="1"/>
    <col min="11" max="11" width="3.5" customWidth="1"/>
  </cols>
  <sheetData>
    <row r="2" spans="5:12" ht="26.25">
      <c r="I2" s="527" t="s">
        <v>1278</v>
      </c>
    </row>
    <row r="3" spans="5:12" ht="3" customHeight="1">
      <c r="E3" s="347"/>
    </row>
    <row r="4" spans="5:12" ht="18">
      <c r="I4" s="429" t="s">
        <v>1279</v>
      </c>
      <c r="K4" s="426"/>
      <c r="L4" s="429" t="s">
        <v>1280</v>
      </c>
    </row>
    <row r="5" spans="5:12" ht="18">
      <c r="I5" s="429" t="s">
        <v>1281</v>
      </c>
      <c r="K5" s="427"/>
      <c r="L5" s="429" t="s">
        <v>1282</v>
      </c>
    </row>
    <row r="6" spans="5:12" ht="18">
      <c r="I6" s="428" t="s">
        <v>1283</v>
      </c>
      <c r="K6" s="427"/>
      <c r="L6" s="429" t="s">
        <v>1284</v>
      </c>
    </row>
    <row r="7" spans="5:12" ht="18">
      <c r="I7" s="428" t="s">
        <v>1285</v>
      </c>
      <c r="K7" s="427"/>
      <c r="L7" s="429" t="s">
        <v>1286</v>
      </c>
    </row>
    <row r="8" spans="5:12" ht="18">
      <c r="I8" s="428" t="s">
        <v>1287</v>
      </c>
      <c r="L8" s="513" t="s">
        <v>1288</v>
      </c>
    </row>
    <row r="9" spans="5:12" ht="18">
      <c r="I9" s="428" t="s">
        <v>1289</v>
      </c>
      <c r="L9" s="513" t="s">
        <v>1290</v>
      </c>
    </row>
    <row r="10" spans="5:12">
      <c r="J10" s="346" t="s">
        <v>1291</v>
      </c>
    </row>
    <row r="11" spans="5:12">
      <c r="J11" s="430">
        <v>37626.875721412034</v>
      </c>
    </row>
    <row r="14" spans="5:12" ht="18">
      <c r="I14" s="429" t="s">
        <v>1292</v>
      </c>
    </row>
    <row r="15" spans="5:12" ht="18">
      <c r="I15" s="429" t="s">
        <v>1293</v>
      </c>
    </row>
    <row r="17" spans="9:9">
      <c r="I17" s="520" t="s">
        <v>1294</v>
      </c>
    </row>
    <row r="18" spans="9:9">
      <c r="I18" s="521" t="s">
        <v>1295</v>
      </c>
    </row>
    <row r="19" spans="9:9">
      <c r="I19" s="520" t="s">
        <v>1296</v>
      </c>
    </row>
  </sheetData>
  <sheetProtection password="C526" sheet="1" objects="1" scenarios="1"/>
  <pageMargins left="0.75" right="0.75" top="1" bottom="1" header="0.5" footer="0.5"/>
  <pageSetup orientation="portrait" horizontalDpi="300" verticalDpi="300" r:id="rId1"/>
  <headerFooter alignWithMargins="0">
    <oddHeader>&amp;A</oddHeader>
    <oddFoote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17409" r:id="rId4" name="Button 1">
              <controlPr defaultSize="0" print="0" autoFill="0" autoLine="0" autoPict="0" macro="[0]!Module2.GoToInput">
                <anchor moveWithCells="1" sizeWithCells="1">
                  <from>
                    <xdr:col>5</xdr:col>
                    <xdr:colOff>180975</xdr:colOff>
                    <xdr:row>14</xdr:row>
                    <xdr:rowOff>133350</xdr:rowOff>
                  </from>
                  <to>
                    <xdr:col>7</xdr:col>
                    <xdr:colOff>114300</xdr:colOff>
                    <xdr:row>17</xdr:row>
                    <xdr:rowOff>47625</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8" baseType="variant">
      <vt:variant>
        <vt:lpstr>Worksheets</vt:lpstr>
      </vt:variant>
      <vt:variant>
        <vt:i4>14</vt:i4>
      </vt:variant>
      <vt:variant>
        <vt:lpstr>Charts</vt:lpstr>
      </vt:variant>
      <vt:variant>
        <vt:i4>7</vt:i4>
      </vt:variant>
      <vt:variant>
        <vt:lpstr>Dialogs</vt:lpstr>
      </vt:variant>
      <vt:variant>
        <vt:i4>5</vt:i4>
      </vt:variant>
      <vt:variant>
        <vt:lpstr>Named Ranges</vt:lpstr>
      </vt:variant>
      <vt:variant>
        <vt:i4>151</vt:i4>
      </vt:variant>
    </vt:vector>
  </HeadingPairs>
  <TitlesOfParts>
    <vt:vector size="177" baseType="lpstr">
      <vt:lpstr>tracperf</vt:lpstr>
      <vt:lpstr>Tracperf_SI</vt:lpstr>
      <vt:lpstr>Summary</vt:lpstr>
      <vt:lpstr>Help</vt:lpstr>
      <vt:lpstr>tractor</vt:lpstr>
      <vt:lpstr>tire</vt:lpstr>
      <vt:lpstr>MY_OWN</vt:lpstr>
      <vt:lpstr>AGCO</vt:lpstr>
      <vt:lpstr>DEERE</vt:lpstr>
      <vt:lpstr>CASE</vt:lpstr>
      <vt:lpstr>NEW_HOLLAND</vt:lpstr>
      <vt:lpstr>MF</vt:lpstr>
      <vt:lpstr>OTHERS</vt:lpstr>
      <vt:lpstr>Intro</vt:lpstr>
      <vt:lpstr>SummaryChart</vt:lpstr>
      <vt:lpstr>Axle Power Distribution</vt:lpstr>
      <vt:lpstr>EQUATION, NTR</vt:lpstr>
      <vt:lpstr>LOSSES, NTR</vt:lpstr>
      <vt:lpstr>LOSSES, GTR</vt:lpstr>
      <vt:lpstr>EQUATION, SLIP</vt:lpstr>
      <vt:lpstr>EQUATION, GTR</vt:lpstr>
      <vt:lpstr>Dialog1</vt:lpstr>
      <vt:lpstr>Dialog3</vt:lpstr>
      <vt:lpstr>Dialog5</vt:lpstr>
      <vt:lpstr>Dialog2</vt:lpstr>
      <vt:lpstr>Dialog4</vt:lpstr>
      <vt:lpstr>\i</vt:lpstr>
      <vt:lpstr>AGCO!AGCO</vt:lpstr>
      <vt:lpstr>AGCO!AGCO_ALLIS___4650_12_SP_______MFWD____40_pto_hp</vt:lpstr>
      <vt:lpstr>AHPF</vt:lpstr>
      <vt:lpstr>AHPR</vt:lpstr>
      <vt:lpstr>ANG</vt:lpstr>
      <vt:lpstr>b.f</vt:lpstr>
      <vt:lpstr>BNF</vt:lpstr>
      <vt:lpstr>BNR</vt:lpstr>
      <vt:lpstr>CASE</vt:lpstr>
      <vt:lpstr>chassis</vt:lpstr>
      <vt:lpstr>CI</vt:lpstr>
      <vt:lpstr>COEF_0.04F</vt:lpstr>
      <vt:lpstr>COEF_0.04R</vt:lpstr>
      <vt:lpstr>COEF_0.10F</vt:lpstr>
      <vt:lpstr>COEF_0.10R</vt:lpstr>
      <vt:lpstr>COEF_0.18F</vt:lpstr>
      <vt:lpstr>COEF_0.18R</vt:lpstr>
      <vt:lpstr>COEF_0.5F</vt:lpstr>
      <vt:lpstr>COEF_0.5R</vt:lpstr>
      <vt:lpstr>COEF_0.88F</vt:lpstr>
      <vt:lpstr>COEF_0.88R</vt:lpstr>
      <vt:lpstr>COEF_1F</vt:lpstr>
      <vt:lpstr>COEF_1R</vt:lpstr>
      <vt:lpstr>COEF_3F</vt:lpstr>
      <vt:lpstr>COEF_3R</vt:lpstr>
      <vt:lpstr>COEF_5F</vt:lpstr>
      <vt:lpstr>COEF_5R</vt:lpstr>
      <vt:lpstr>COEF_7.5F</vt:lpstr>
      <vt:lpstr>COEF_7.5R</vt:lpstr>
      <vt:lpstr>COEF_9.50F</vt:lpstr>
      <vt:lpstr>d.f</vt:lpstr>
      <vt:lpstr>DATA</vt:lpstr>
      <vt:lpstr>Database</vt:lpstr>
      <vt:lpstr>Database_MI</vt:lpstr>
      <vt:lpstr>MY_OWN!DEERE</vt:lpstr>
      <vt:lpstr>DEERE</vt:lpstr>
      <vt:lpstr>delta.f</vt:lpstr>
      <vt:lpstr>delta.R</vt:lpstr>
      <vt:lpstr>DHP</vt:lpstr>
      <vt:lpstr>DIS</vt:lpstr>
      <vt:lpstr>F_2_BIAS</vt:lpstr>
      <vt:lpstr>FirstBlank</vt:lpstr>
      <vt:lpstr>frontTireNumber</vt:lpstr>
      <vt:lpstr>frontTirePick</vt:lpstr>
      <vt:lpstr>FWD</vt:lpstr>
      <vt:lpstr>FWD_</vt:lpstr>
      <vt:lpstr>FWS</vt:lpstr>
      <vt:lpstr>h.f</vt:lpstr>
      <vt:lpstr>HELP</vt:lpstr>
      <vt:lpstr>HT</vt:lpstr>
      <vt:lpstr>IHP</vt:lpstr>
      <vt:lpstr>InitialSummaryData</vt:lpstr>
      <vt:lpstr>INPRNG</vt:lpstr>
      <vt:lpstr>INPRNG2</vt:lpstr>
      <vt:lpstr>inprng3</vt:lpstr>
      <vt:lpstr>MY_OWN!JD___1250___Manual_Shift___________MFWD____41_pto_hp</vt:lpstr>
      <vt:lpstr>JD___1250___Manual_Shift___________MFWD____41_pto_hp</vt:lpstr>
      <vt:lpstr>MAIN</vt:lpstr>
      <vt:lpstr>make</vt:lpstr>
      <vt:lpstr>MF</vt:lpstr>
      <vt:lpstr>model</vt:lpstr>
      <vt:lpstr>MWF</vt:lpstr>
      <vt:lpstr>MWR</vt:lpstr>
      <vt:lpstr>my_own</vt:lpstr>
      <vt:lpstr>NEW_HOLLAND</vt:lpstr>
      <vt:lpstr>OTHERS</vt:lpstr>
      <vt:lpstr>tractor!p.chassis</vt:lpstr>
      <vt:lpstr>tractor!p.DBht</vt:lpstr>
      <vt:lpstr>tractor!p.eff</vt:lpstr>
      <vt:lpstr>tractor!p.Fdesig</vt:lpstr>
      <vt:lpstr>tractor!p.Findex</vt:lpstr>
      <vt:lpstr>tractor!p.FTireNum</vt:lpstr>
      <vt:lpstr>tractor!p.make</vt:lpstr>
      <vt:lpstr>tractor!p.model</vt:lpstr>
      <vt:lpstr>p.numF</vt:lpstr>
      <vt:lpstr>p.numR</vt:lpstr>
      <vt:lpstr>tractor!p.power</vt:lpstr>
      <vt:lpstr>tractor!p.Rdesig</vt:lpstr>
      <vt:lpstr>p.rimF</vt:lpstr>
      <vt:lpstr>p.rimR</vt:lpstr>
      <vt:lpstr>tractor!p.Rindex</vt:lpstr>
      <vt:lpstr>tractor!p.RTireNum</vt:lpstr>
      <vt:lpstr>tractor!p.sfaf</vt:lpstr>
      <vt:lpstr>tractor!p.sraf</vt:lpstr>
      <vt:lpstr>tractor!p.tran</vt:lpstr>
      <vt:lpstr>p.typeF</vt:lpstr>
      <vt:lpstr>p.typeR</vt:lpstr>
      <vt:lpstr>tractor!p.WB</vt:lpstr>
      <vt:lpstr>p.widF</vt:lpstr>
      <vt:lpstr>p.widR</vt:lpstr>
      <vt:lpstr>PDE</vt:lpstr>
      <vt:lpstr>PEF</vt:lpstr>
      <vt:lpstr>PER</vt:lpstr>
      <vt:lpstr>plyType.f</vt:lpstr>
      <vt:lpstr>plyType.r</vt:lpstr>
      <vt:lpstr>tire!Print_Area</vt:lpstr>
      <vt:lpstr>tracperf!Print_Area</vt:lpstr>
      <vt:lpstr>tracperf!Print_Area_MI</vt:lpstr>
      <vt:lpstr>PULL</vt:lpstr>
      <vt:lpstr>PWF</vt:lpstr>
      <vt:lpstr>PWR</vt:lpstr>
      <vt:lpstr>QRWF</vt:lpstr>
      <vt:lpstr>QRWR</vt:lpstr>
      <vt:lpstr>r.f</vt:lpstr>
      <vt:lpstr>R_1_BIAS</vt:lpstr>
      <vt:lpstr>R_1_RAD</vt:lpstr>
      <vt:lpstr>rearTireNumber</vt:lpstr>
      <vt:lpstr>rearTirePick</vt:lpstr>
      <vt:lpstr>RWD</vt:lpstr>
      <vt:lpstr>RWD_</vt:lpstr>
      <vt:lpstr>RWS</vt:lpstr>
      <vt:lpstr>SA</vt:lpstr>
      <vt:lpstr>SELECT_TR</vt:lpstr>
      <vt:lpstr>SIIN</vt:lpstr>
      <vt:lpstr>SIOUT</vt:lpstr>
      <vt:lpstr>SIUNITS</vt:lpstr>
      <vt:lpstr>SLIP</vt:lpstr>
      <vt:lpstr>SO</vt:lpstr>
      <vt:lpstr>st.TireNumber</vt:lpstr>
      <vt:lpstr>st.TirePick</vt:lpstr>
      <vt:lpstr>sumclear</vt:lpstr>
      <vt:lpstr>SumList</vt:lpstr>
      <vt:lpstr>SUMRY</vt:lpstr>
      <vt:lpstr>TEF</vt:lpstr>
      <vt:lpstr>TEMP</vt:lpstr>
      <vt:lpstr>TEMP2</vt:lpstr>
      <vt:lpstr>TEMP3</vt:lpstr>
      <vt:lpstr>TER</vt:lpstr>
      <vt:lpstr>tiredat</vt:lpstr>
      <vt:lpstr>tireDerate</vt:lpstr>
      <vt:lpstr>tire!tireNameList2</vt:lpstr>
      <vt:lpstr>tireNameList2</vt:lpstr>
      <vt:lpstr>tire!tireNameList3</vt:lpstr>
      <vt:lpstr>tireNameList3</vt:lpstr>
      <vt:lpstr>tire!tirenames</vt:lpstr>
      <vt:lpstr>TireNames</vt:lpstr>
      <vt:lpstr>tire!TireNumber</vt:lpstr>
      <vt:lpstr>TireNumber</vt:lpstr>
      <vt:lpstr>tire!tirepick</vt:lpstr>
      <vt:lpstr>tirepick</vt:lpstr>
      <vt:lpstr>tractor!Tpick_error.F</vt:lpstr>
      <vt:lpstr>tractor!Tpick_error.R</vt:lpstr>
      <vt:lpstr>AGCO!TractorNameList</vt:lpstr>
      <vt:lpstr>DEERE!TractorNameList</vt:lpstr>
      <vt:lpstr>MY_OWN!TractorNameList</vt:lpstr>
      <vt:lpstr>TractorNameList</vt:lpstr>
      <vt:lpstr>VTR</vt:lpstr>
      <vt:lpstr>WB</vt:lpstr>
      <vt:lpstr>WTD</vt:lpstr>
      <vt:lpstr>WTS</vt:lpstr>
    </vt:vector>
  </TitlesOfParts>
  <Company>John Deere Waterloo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Deere</dc:creator>
  <cp:lastModifiedBy>Hansen, Alan Christopher</cp:lastModifiedBy>
  <cp:lastPrinted>2002-12-12T23:14:14Z</cp:lastPrinted>
  <dcterms:created xsi:type="dcterms:W3CDTF">1998-02-27T14:29:22Z</dcterms:created>
  <dcterms:modified xsi:type="dcterms:W3CDTF">2016-02-16T21:04:03Z</dcterms:modified>
</cp:coreProperties>
</file>