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ush\Desktop\"/>
    </mc:Choice>
  </mc:AlternateContent>
  <xr:revisionPtr revIDLastSave="0" documentId="13_ncr:1_{97FD2BB5-C1D1-43B8-93FE-ECEE411D8B55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Sheet1!$A$19</definedName>
    <definedName name="_xlchart.v1.100" hidden="1">Sheet1!$B$25:$I$25</definedName>
    <definedName name="_xlchart.v1.101" hidden="1">Sheet1!$B$26:$I$26</definedName>
    <definedName name="_xlchart.v1.102" hidden="1">Sheet1!$B$27:$I$27</definedName>
    <definedName name="_xlchart.v1.103" hidden="1">Sheet1!$B$28:$I$28</definedName>
    <definedName name="_xlchart.v1.104" hidden="1">Sheet1!$B$29:$I$29</definedName>
    <definedName name="_xlchart.v1.105" hidden="1">Sheet1!$B$2:$I$2</definedName>
    <definedName name="_xlchart.v1.106" hidden="1">Sheet1!$B$30:$I$30</definedName>
    <definedName name="_xlchart.v1.107" hidden="1">Sheet1!$B$31:$I$31</definedName>
    <definedName name="_xlchart.v1.108" hidden="1">Sheet1!$B$32:$I$32</definedName>
    <definedName name="_xlchart.v1.109" hidden="1">Sheet1!$B$33:$I$33</definedName>
    <definedName name="_xlchart.v1.11" hidden="1">Sheet1!$A$2</definedName>
    <definedName name="_xlchart.v1.110" hidden="1">Sheet1!$B$34:$I$34</definedName>
    <definedName name="_xlchart.v1.111" hidden="1">Sheet1!$B$35:$I$35</definedName>
    <definedName name="_xlchart.v1.112" hidden="1">Sheet1!$B$36:$I$36</definedName>
    <definedName name="_xlchart.v1.113" hidden="1">Sheet1!$B$37:$I$37</definedName>
    <definedName name="_xlchart.v1.114" hidden="1">Sheet1!$B$38:$I$38</definedName>
    <definedName name="_xlchart.v1.115" hidden="1">Sheet1!$B$39:$I$39</definedName>
    <definedName name="_xlchart.v1.116" hidden="1">Sheet1!$B$3:$I$3</definedName>
    <definedName name="_xlchart.v1.117" hidden="1">Sheet1!$B$40:$I$40</definedName>
    <definedName name="_xlchart.v1.118" hidden="1">Sheet1!$B$41:$I$41</definedName>
    <definedName name="_xlchart.v1.119" hidden="1">Sheet1!$B$42:$I$42</definedName>
    <definedName name="_xlchart.v1.12" hidden="1">Sheet1!$A$20</definedName>
    <definedName name="_xlchart.v1.120" hidden="1">Sheet1!$B$43:$I$43</definedName>
    <definedName name="_xlchart.v1.121" hidden="1">Sheet1!$B$44:$I$44</definedName>
    <definedName name="_xlchart.v1.122" hidden="1">Sheet1!$B$45:$I$45</definedName>
    <definedName name="_xlchart.v1.123" hidden="1">Sheet1!$B$46:$I$46</definedName>
    <definedName name="_xlchart.v1.124" hidden="1">Sheet1!$B$47:$I$47</definedName>
    <definedName name="_xlchart.v1.125" hidden="1">Sheet1!$B$48:$I$48</definedName>
    <definedName name="_xlchart.v1.126" hidden="1">Sheet1!$B$49:$I$49</definedName>
    <definedName name="_xlchart.v1.127" hidden="1">Sheet1!$B$4:$I$4</definedName>
    <definedName name="_xlchart.v1.128" hidden="1">Sheet1!$B$50:$I$50</definedName>
    <definedName name="_xlchart.v1.129" hidden="1">Sheet1!$B$51:$I$51</definedName>
    <definedName name="_xlchart.v1.13" hidden="1">Sheet1!$A$21</definedName>
    <definedName name="_xlchart.v1.130" hidden="1">Sheet1!$B$52:$I$52</definedName>
    <definedName name="_xlchart.v1.131" hidden="1">Sheet1!$B$53:$I$53</definedName>
    <definedName name="_xlchart.v1.132" hidden="1">Sheet1!$B$54:$I$54</definedName>
    <definedName name="_xlchart.v1.133" hidden="1">Sheet1!$B$55:$I$55</definedName>
    <definedName name="_xlchart.v1.134" hidden="1">Sheet1!$B$56:$I$56</definedName>
    <definedName name="_xlchart.v1.135" hidden="1">Sheet1!$B$57:$I$57</definedName>
    <definedName name="_xlchart.v1.136" hidden="1">Sheet1!$B$58:$I$58</definedName>
    <definedName name="_xlchart.v1.137" hidden="1">Sheet1!$B$59:$I$59</definedName>
    <definedName name="_xlchart.v1.138" hidden="1">Sheet1!$B$5:$I$5</definedName>
    <definedName name="_xlchart.v1.139" hidden="1">Sheet1!$B$60:$I$60</definedName>
    <definedName name="_xlchart.v1.14" hidden="1">Sheet1!$A$22</definedName>
    <definedName name="_xlchart.v1.140" hidden="1">Sheet1!$B$61:$I$61</definedName>
    <definedName name="_xlchart.v1.141" hidden="1">Sheet1!$B$62:$I$62</definedName>
    <definedName name="_xlchart.v1.142" hidden="1">Sheet1!$B$63:$I$63</definedName>
    <definedName name="_xlchart.v1.143" hidden="1">Sheet1!$B$64:$I$64</definedName>
    <definedName name="_xlchart.v1.144" hidden="1">Sheet1!$B$65:$I$65</definedName>
    <definedName name="_xlchart.v1.145" hidden="1">Sheet1!$B$66:$I$66</definedName>
    <definedName name="_xlchart.v1.146" hidden="1">Sheet1!$B$67:$I$67</definedName>
    <definedName name="_xlchart.v1.147" hidden="1">Sheet1!$B$68:$I$68</definedName>
    <definedName name="_xlchart.v1.148" hidden="1">Sheet1!$B$69:$I$69</definedName>
    <definedName name="_xlchart.v1.149" hidden="1">Sheet1!$B$6:$I$6</definedName>
    <definedName name="_xlchart.v1.15" hidden="1">Sheet1!$A$23</definedName>
    <definedName name="_xlchart.v1.150" hidden="1">Sheet1!$B$70:$I$70</definedName>
    <definedName name="_xlchart.v1.151" hidden="1">Sheet1!$B$71:$I$71</definedName>
    <definedName name="_xlchart.v1.152" hidden="1">Sheet1!$B$72:$I$72</definedName>
    <definedName name="_xlchart.v1.153" hidden="1">Sheet1!$B$73:$I$73</definedName>
    <definedName name="_xlchart.v1.154" hidden="1">Sheet1!$B$74:$I$74</definedName>
    <definedName name="_xlchart.v1.155" hidden="1">Sheet1!$B$75:$I$75</definedName>
    <definedName name="_xlchart.v1.156" hidden="1">Sheet1!$B$76:$I$76</definedName>
    <definedName name="_xlchart.v1.157" hidden="1">Sheet1!$B$77:$I$77</definedName>
    <definedName name="_xlchart.v1.158" hidden="1">Sheet1!$B$78:$I$78</definedName>
    <definedName name="_xlchart.v1.159" hidden="1">Sheet1!$B$79:$I$79</definedName>
    <definedName name="_xlchart.v1.16" hidden="1">Sheet1!$A$24</definedName>
    <definedName name="_xlchart.v1.160" hidden="1">Sheet1!$B$7:$I$7</definedName>
    <definedName name="_xlchart.v1.161" hidden="1">Sheet1!$B$80:$I$80</definedName>
    <definedName name="_xlchart.v1.162" hidden="1">Sheet1!$B$81:$I$81</definedName>
    <definedName name="_xlchart.v1.163" hidden="1">Sheet1!$B$82:$I$82</definedName>
    <definedName name="_xlchart.v1.164" hidden="1">Sheet1!$B$83:$I$83</definedName>
    <definedName name="_xlchart.v1.165" hidden="1">Sheet1!$B$84:$I$84</definedName>
    <definedName name="_xlchart.v1.166" hidden="1">Sheet1!$B$8:$I$8</definedName>
    <definedName name="_xlchart.v1.167" hidden="1">Sheet1!$B$9:$I$9</definedName>
    <definedName name="_xlchart.v1.17" hidden="1">Sheet1!$A$25</definedName>
    <definedName name="_xlchart.v1.18" hidden="1">Sheet1!$A$26</definedName>
    <definedName name="_xlchart.v1.19" hidden="1">Sheet1!$A$27</definedName>
    <definedName name="_xlchart.v1.2" hidden="1">Sheet1!$A$11</definedName>
    <definedName name="_xlchart.v1.20" hidden="1">Sheet1!$A$28</definedName>
    <definedName name="_xlchart.v1.21" hidden="1">Sheet1!$A$29</definedName>
    <definedName name="_xlchart.v1.22" hidden="1">Sheet1!$A$3</definedName>
    <definedName name="_xlchart.v1.23" hidden="1">Sheet1!$A$30</definedName>
    <definedName name="_xlchart.v1.24" hidden="1">Sheet1!$A$31</definedName>
    <definedName name="_xlchart.v1.25" hidden="1">Sheet1!$A$32</definedName>
    <definedName name="_xlchart.v1.26" hidden="1">Sheet1!$A$33</definedName>
    <definedName name="_xlchart.v1.27" hidden="1">Sheet1!$A$34</definedName>
    <definedName name="_xlchart.v1.28" hidden="1">Sheet1!$A$35</definedName>
    <definedName name="_xlchart.v1.29" hidden="1">Sheet1!$A$36</definedName>
    <definedName name="_xlchart.v1.3" hidden="1">Sheet1!$A$12</definedName>
    <definedName name="_xlchart.v1.30" hidden="1">Sheet1!$A$37</definedName>
    <definedName name="_xlchart.v1.31" hidden="1">Sheet1!$A$38</definedName>
    <definedName name="_xlchart.v1.32" hidden="1">Sheet1!$A$39</definedName>
    <definedName name="_xlchart.v1.33" hidden="1">Sheet1!$A$4</definedName>
    <definedName name="_xlchart.v1.34" hidden="1">Sheet1!$A$40</definedName>
    <definedName name="_xlchart.v1.35" hidden="1">Sheet1!$A$41</definedName>
    <definedName name="_xlchart.v1.36" hidden="1">Sheet1!$A$42</definedName>
    <definedName name="_xlchart.v1.37" hidden="1">Sheet1!$A$43</definedName>
    <definedName name="_xlchart.v1.38" hidden="1">Sheet1!$A$44</definedName>
    <definedName name="_xlchart.v1.39" hidden="1">Sheet1!$A$45</definedName>
    <definedName name="_xlchart.v1.4" hidden="1">Sheet1!$A$13</definedName>
    <definedName name="_xlchart.v1.40" hidden="1">Sheet1!$A$46</definedName>
    <definedName name="_xlchart.v1.41" hidden="1">Sheet1!$A$47</definedName>
    <definedName name="_xlchart.v1.42" hidden="1">Sheet1!$A$48</definedName>
    <definedName name="_xlchart.v1.43" hidden="1">Sheet1!$A$49</definedName>
    <definedName name="_xlchart.v1.44" hidden="1">Sheet1!$A$5</definedName>
    <definedName name="_xlchart.v1.45" hidden="1">Sheet1!$A$50</definedName>
    <definedName name="_xlchart.v1.46" hidden="1">Sheet1!$A$51</definedName>
    <definedName name="_xlchart.v1.47" hidden="1">Sheet1!$A$52</definedName>
    <definedName name="_xlchart.v1.48" hidden="1">Sheet1!$A$53</definedName>
    <definedName name="_xlchart.v1.49" hidden="1">Sheet1!$A$54</definedName>
    <definedName name="_xlchart.v1.5" hidden="1">Sheet1!$A$14</definedName>
    <definedName name="_xlchart.v1.50" hidden="1">Sheet1!$A$55</definedName>
    <definedName name="_xlchart.v1.51" hidden="1">Sheet1!$A$56</definedName>
    <definedName name="_xlchart.v1.52" hidden="1">Sheet1!$A$57</definedName>
    <definedName name="_xlchart.v1.53" hidden="1">Sheet1!$A$58</definedName>
    <definedName name="_xlchart.v1.54" hidden="1">Sheet1!$A$59</definedName>
    <definedName name="_xlchart.v1.55" hidden="1">Sheet1!$A$6</definedName>
    <definedName name="_xlchart.v1.56" hidden="1">Sheet1!$A$60</definedName>
    <definedName name="_xlchart.v1.57" hidden="1">Sheet1!$A$61</definedName>
    <definedName name="_xlchart.v1.58" hidden="1">Sheet1!$A$62</definedName>
    <definedName name="_xlchart.v1.59" hidden="1">Sheet1!$A$63</definedName>
    <definedName name="_xlchart.v1.6" hidden="1">Sheet1!$A$15</definedName>
    <definedName name="_xlchart.v1.60" hidden="1">Sheet1!$A$64</definedName>
    <definedName name="_xlchart.v1.61" hidden="1">Sheet1!$A$65</definedName>
    <definedName name="_xlchart.v1.62" hidden="1">Sheet1!$A$66</definedName>
    <definedName name="_xlchart.v1.63" hidden="1">Sheet1!$A$67</definedName>
    <definedName name="_xlchart.v1.64" hidden="1">Sheet1!$A$68</definedName>
    <definedName name="_xlchart.v1.65" hidden="1">Sheet1!$A$69</definedName>
    <definedName name="_xlchart.v1.66" hidden="1">Sheet1!$A$7</definedName>
    <definedName name="_xlchart.v1.67" hidden="1">Sheet1!$A$70</definedName>
    <definedName name="_xlchart.v1.68" hidden="1">Sheet1!$A$71</definedName>
    <definedName name="_xlchart.v1.69" hidden="1">Sheet1!$A$72</definedName>
    <definedName name="_xlchart.v1.7" hidden="1">Sheet1!$A$16</definedName>
    <definedName name="_xlchart.v1.70" hidden="1">Sheet1!$A$73</definedName>
    <definedName name="_xlchart.v1.71" hidden="1">Sheet1!$A$74</definedName>
    <definedName name="_xlchart.v1.72" hidden="1">Sheet1!$A$75</definedName>
    <definedName name="_xlchart.v1.73" hidden="1">Sheet1!$A$76</definedName>
    <definedName name="_xlchart.v1.74" hidden="1">Sheet1!$A$77</definedName>
    <definedName name="_xlchart.v1.75" hidden="1">Sheet1!$A$78</definedName>
    <definedName name="_xlchart.v1.76" hidden="1">Sheet1!$A$79</definedName>
    <definedName name="_xlchart.v1.77" hidden="1">Sheet1!$A$8</definedName>
    <definedName name="_xlchart.v1.78" hidden="1">Sheet1!$A$80</definedName>
    <definedName name="_xlchart.v1.79" hidden="1">Sheet1!$A$81</definedName>
    <definedName name="_xlchart.v1.8" hidden="1">Sheet1!$A$17</definedName>
    <definedName name="_xlchart.v1.80" hidden="1">Sheet1!$A$82</definedName>
    <definedName name="_xlchart.v1.81" hidden="1">Sheet1!$A$83</definedName>
    <definedName name="_xlchart.v1.82" hidden="1">Sheet1!$A$84</definedName>
    <definedName name="_xlchart.v1.83" hidden="1">Sheet1!$A$9</definedName>
    <definedName name="_xlchart.v1.84" hidden="1">Sheet1!$B$10:$I$10</definedName>
    <definedName name="_xlchart.v1.85" hidden="1">Sheet1!$B$11:$I$11</definedName>
    <definedName name="_xlchart.v1.86" hidden="1">Sheet1!$B$12:$I$12</definedName>
    <definedName name="_xlchart.v1.87" hidden="1">Sheet1!$B$13:$I$13</definedName>
    <definedName name="_xlchart.v1.88" hidden="1">Sheet1!$B$14:$I$14</definedName>
    <definedName name="_xlchart.v1.89" hidden="1">Sheet1!$B$15:$I$15</definedName>
    <definedName name="_xlchart.v1.9" hidden="1">Sheet1!$A$18</definedName>
    <definedName name="_xlchart.v1.90" hidden="1">Sheet1!$B$16:$I$16</definedName>
    <definedName name="_xlchart.v1.91" hidden="1">Sheet1!$B$17:$I$17</definedName>
    <definedName name="_xlchart.v1.92" hidden="1">Sheet1!$B$18:$I$18</definedName>
    <definedName name="_xlchart.v1.93" hidden="1">Sheet1!$B$19:$I$19</definedName>
    <definedName name="_xlchart.v1.94" hidden="1">Sheet1!$B$1:$I$1</definedName>
    <definedName name="_xlchart.v1.95" hidden="1">Sheet1!$B$20:$I$20</definedName>
    <definedName name="_xlchart.v1.96" hidden="1">Sheet1!$B$21:$I$21</definedName>
    <definedName name="_xlchart.v1.97" hidden="1">Sheet1!$B$22:$I$22</definedName>
    <definedName name="_xlchart.v1.98" hidden="1">Sheet1!$B$23:$I$23</definedName>
    <definedName name="_xlchart.v1.99" hidden="1">Sheet1!$B$24:$I$24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H25" i="1" s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H42" i="1" s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H84" i="1" s="1"/>
  <c r="F84" i="1"/>
  <c r="A1" i="1"/>
  <c r="H37" i="1" l="1"/>
  <c r="H24" i="1"/>
  <c r="H12" i="1"/>
  <c r="H18" i="1"/>
  <c r="H7" i="1"/>
  <c r="H6" i="1"/>
  <c r="H60" i="1"/>
  <c r="H54" i="1"/>
  <c r="H43" i="1"/>
  <c r="H36" i="1"/>
  <c r="H31" i="1"/>
  <c r="H30" i="1"/>
  <c r="H73" i="1"/>
  <c r="H61" i="1"/>
  <c r="H19" i="1"/>
  <c r="H79" i="1"/>
  <c r="H66" i="1"/>
  <c r="H49" i="1"/>
  <c r="H78" i="1"/>
  <c r="H72" i="1"/>
  <c r="H67" i="1"/>
  <c r="H55" i="1"/>
  <c r="H48" i="1"/>
  <c r="H13" i="1"/>
  <c r="H83" i="1"/>
  <c r="H82" i="1"/>
  <c r="H81" i="1"/>
  <c r="H80" i="1"/>
  <c r="H77" i="1"/>
  <c r="H76" i="1"/>
  <c r="H75" i="1"/>
  <c r="H74" i="1"/>
  <c r="H71" i="1"/>
  <c r="H70" i="1"/>
  <c r="H69" i="1"/>
  <c r="H68" i="1"/>
  <c r="H65" i="1"/>
  <c r="H64" i="1"/>
  <c r="H63" i="1"/>
  <c r="H62" i="1"/>
  <c r="H59" i="1"/>
  <c r="H58" i="1"/>
  <c r="H57" i="1"/>
  <c r="H56" i="1"/>
  <c r="H53" i="1"/>
  <c r="H52" i="1"/>
  <c r="H51" i="1"/>
  <c r="H50" i="1"/>
  <c r="H47" i="1"/>
  <c r="H46" i="1"/>
  <c r="H45" i="1"/>
  <c r="H44" i="1"/>
  <c r="H41" i="1"/>
  <c r="H40" i="1"/>
  <c r="H39" i="1"/>
  <c r="H38" i="1"/>
  <c r="H35" i="1"/>
  <c r="H34" i="1"/>
  <c r="H33" i="1"/>
  <c r="H32" i="1"/>
  <c r="H29" i="1"/>
  <c r="H28" i="1"/>
  <c r="H27" i="1"/>
  <c r="H26" i="1"/>
  <c r="H23" i="1"/>
  <c r="H22" i="1"/>
  <c r="H21" i="1"/>
  <c r="H20" i="1"/>
  <c r="H17" i="1"/>
  <c r="H16" i="1"/>
  <c r="H15" i="1"/>
  <c r="H14" i="1"/>
  <c r="H11" i="1"/>
  <c r="H10" i="1"/>
  <c r="H9" i="1"/>
  <c r="H8" i="1"/>
  <c r="H5" i="1"/>
  <c r="H4" i="1"/>
  <c r="H3" i="1"/>
  <c r="H2" i="1"/>
  <c r="I83" i="1"/>
  <c r="I82" i="1"/>
  <c r="I81" i="1"/>
  <c r="I80" i="1"/>
  <c r="I79" i="1"/>
  <c r="I84" i="1"/>
  <c r="I75" i="1"/>
  <c r="I70" i="1"/>
  <c r="I66" i="1"/>
  <c r="I46" i="1"/>
  <c r="I78" i="1"/>
  <c r="I76" i="1"/>
  <c r="I73" i="1"/>
  <c r="I71" i="1"/>
  <c r="I68" i="1"/>
  <c r="I65" i="1"/>
  <c r="I60" i="1"/>
  <c r="I77" i="1"/>
  <c r="I74" i="1"/>
  <c r="I72" i="1"/>
  <c r="I69" i="1"/>
  <c r="I67" i="1"/>
  <c r="I54" i="1"/>
  <c r="I63" i="1"/>
  <c r="I62" i="1"/>
  <c r="I61" i="1"/>
  <c r="I57" i="1"/>
  <c r="I56" i="1"/>
  <c r="I55" i="1"/>
  <c r="I53" i="1"/>
  <c r="I52" i="1"/>
  <c r="I51" i="1"/>
  <c r="I50" i="1"/>
  <c r="I49" i="1"/>
  <c r="I40" i="1"/>
  <c r="I8" i="1"/>
  <c r="I64" i="1"/>
  <c r="I58" i="1"/>
  <c r="I59" i="1"/>
  <c r="I48" i="1"/>
  <c r="I47" i="1"/>
  <c r="I45" i="1"/>
  <c r="I44" i="1"/>
  <c r="I43" i="1"/>
  <c r="I42" i="1"/>
  <c r="I41" i="1"/>
  <c r="I39" i="1"/>
  <c r="I38" i="1"/>
  <c r="I37" i="1"/>
  <c r="I36" i="1"/>
  <c r="I35" i="1"/>
  <c r="I30" i="1"/>
  <c r="I29" i="1"/>
  <c r="I7" i="1"/>
  <c r="I2" i="1"/>
  <c r="I34" i="1"/>
  <c r="I33" i="1"/>
  <c r="I32" i="1"/>
  <c r="I31" i="1"/>
  <c r="I28" i="1"/>
  <c r="I27" i="1"/>
  <c r="I26" i="1"/>
  <c r="I25" i="1"/>
  <c r="I20" i="1"/>
  <c r="I19" i="1"/>
  <c r="I14" i="1"/>
  <c r="I13" i="1"/>
  <c r="I24" i="1"/>
  <c r="I23" i="1"/>
  <c r="I22" i="1"/>
  <c r="I21" i="1"/>
  <c r="I18" i="1"/>
  <c r="I17" i="1"/>
  <c r="I16" i="1"/>
  <c r="I15" i="1"/>
  <c r="I12" i="1"/>
  <c r="I11" i="1"/>
  <c r="I10" i="1"/>
  <c r="I9" i="1"/>
  <c r="I6" i="1"/>
  <c r="I5" i="1"/>
  <c r="I4" i="1"/>
  <c r="I3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<sst xmlns="http://schemas.openxmlformats.org/spreadsheetml/2006/main" count="4" uniqueCount="4">
  <si>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Daily Return (%)</t>
  </si>
  <si>
    <t>10 Days Average</t>
  </si>
  <si>
    <t>Std Deviation(Volatility)</t>
  </si>
  <si>
    <t>STOCK PRICE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</si>
</sst>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C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8640342022023"/>
          <c:y val="0.11817213630994375"/>
          <c:w val="0.85317068160002263"/>
          <c:h val="0.6586042475895456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1288</c:v>
                </c:pt>
                <c:pt idx="1">
                  <c:v>1317</c:v>
                </c:pt>
                <c:pt idx="2">
                  <c:v>1326</c:v>
                </c:pt>
                <c:pt idx="3">
                  <c:v>1314.35</c:v>
                </c:pt>
                <c:pt idx="4">
                  <c:v>1323.9</c:v>
                </c:pt>
                <c:pt idx="5">
                  <c:v>1303</c:v>
                </c:pt>
                <c:pt idx="6">
                  <c:v>1289.25</c:v>
                </c:pt>
                <c:pt idx="7">
                  <c:v>1285</c:v>
                </c:pt>
                <c:pt idx="8">
                  <c:v>1270</c:v>
                </c:pt>
                <c:pt idx="9">
                  <c:v>1260</c:v>
                </c:pt>
                <c:pt idx="10">
                  <c:v>1275</c:v>
                </c:pt>
                <c:pt idx="11">
                  <c:v>1261.05</c:v>
                </c:pt>
                <c:pt idx="12">
                  <c:v>1240.6500000000001</c:v>
                </c:pt>
                <c:pt idx="13">
                  <c:v>1239</c:v>
                </c:pt>
                <c:pt idx="14">
                  <c:v>1224</c:v>
                </c:pt>
                <c:pt idx="15">
                  <c:v>1215</c:v>
                </c:pt>
                <c:pt idx="16">
                  <c:v>1222.3</c:v>
                </c:pt>
                <c:pt idx="17">
                  <c:v>1224.25</c:v>
                </c:pt>
                <c:pt idx="18">
                  <c:v>1218.3</c:v>
                </c:pt>
                <c:pt idx="19">
                  <c:v>1216.4000000000001</c:v>
                </c:pt>
                <c:pt idx="20">
                  <c:v>1208</c:v>
                </c:pt>
                <c:pt idx="21">
                  <c:v>1214.8499999999999</c:v>
                </c:pt>
                <c:pt idx="22">
                  <c:v>1221.25</c:v>
                </c:pt>
                <c:pt idx="23">
                  <c:v>1243.9000000000001</c:v>
                </c:pt>
                <c:pt idx="24">
                  <c:v>1253.95</c:v>
                </c:pt>
                <c:pt idx="25">
                  <c:v>1222</c:v>
                </c:pt>
                <c:pt idx="26">
                  <c:v>1249</c:v>
                </c:pt>
                <c:pt idx="27">
                  <c:v>1267</c:v>
                </c:pt>
                <c:pt idx="28">
                  <c:v>1253.8499999999999</c:v>
                </c:pt>
                <c:pt idx="29">
                  <c:v>1230</c:v>
                </c:pt>
                <c:pt idx="30">
                  <c:v>1244.0999999999999</c:v>
                </c:pt>
                <c:pt idx="31">
                  <c:v>1244.95</c:v>
                </c:pt>
                <c:pt idx="32">
                  <c:v>1258.9000000000001</c:v>
                </c:pt>
                <c:pt idx="33">
                  <c:v>1322.25</c:v>
                </c:pt>
                <c:pt idx="34">
                  <c:v>1316</c:v>
                </c:pt>
                <c:pt idx="35">
                  <c:v>1310.5</c:v>
                </c:pt>
                <c:pt idx="36">
                  <c:v>1278.3</c:v>
                </c:pt>
                <c:pt idx="37">
                  <c:v>1270</c:v>
                </c:pt>
                <c:pt idx="38">
                  <c:v>1266</c:v>
                </c:pt>
                <c:pt idx="39">
                  <c:v>1239.0999999999999</c:v>
                </c:pt>
                <c:pt idx="40">
                  <c:v>1238</c:v>
                </c:pt>
                <c:pt idx="41">
                  <c:v>1236</c:v>
                </c:pt>
                <c:pt idx="42">
                  <c:v>1235.55</c:v>
                </c:pt>
                <c:pt idx="43">
                  <c:v>1255.8499999999999</c:v>
                </c:pt>
                <c:pt idx="44">
                  <c:v>1251</c:v>
                </c:pt>
                <c:pt idx="45">
                  <c:v>1248.05</c:v>
                </c:pt>
                <c:pt idx="46">
                  <c:v>1282.6500000000001</c:v>
                </c:pt>
                <c:pt idx="47">
                  <c:v>1273.7</c:v>
                </c:pt>
                <c:pt idx="48">
                  <c:v>1276.1500000000001</c:v>
                </c:pt>
                <c:pt idx="49">
                  <c:v>1264.5</c:v>
                </c:pt>
                <c:pt idx="50">
                  <c:v>1264.55</c:v>
                </c:pt>
                <c:pt idx="51">
                  <c:v>1219.45</c:v>
                </c:pt>
                <c:pt idx="52">
                  <c:v>1217.05</c:v>
                </c:pt>
                <c:pt idx="53">
                  <c:v>1219</c:v>
                </c:pt>
                <c:pt idx="54">
                  <c:v>1211.0999999999999</c:v>
                </c:pt>
                <c:pt idx="55">
                  <c:v>1224.8499999999999</c:v>
                </c:pt>
                <c:pt idx="56">
                  <c:v>1219.5</c:v>
                </c:pt>
                <c:pt idx="57">
                  <c:v>1223.95</c:v>
                </c:pt>
                <c:pt idx="58">
                  <c:v>1228.7</c:v>
                </c:pt>
                <c:pt idx="59">
                  <c:v>1216.55</c:v>
                </c:pt>
                <c:pt idx="60">
                  <c:v>1211</c:v>
                </c:pt>
                <c:pt idx="61">
                  <c:v>1212.8</c:v>
                </c:pt>
                <c:pt idx="62">
                  <c:v>1202</c:v>
                </c:pt>
                <c:pt idx="63">
                  <c:v>1204</c:v>
                </c:pt>
                <c:pt idx="64">
                  <c:v>1162.2</c:v>
                </c:pt>
                <c:pt idx="65">
                  <c:v>1161</c:v>
                </c:pt>
                <c:pt idx="66">
                  <c:v>1197</c:v>
                </c:pt>
                <c:pt idx="67">
                  <c:v>1216</c:v>
                </c:pt>
                <c:pt idx="68">
                  <c:v>1245</c:v>
                </c:pt>
                <c:pt idx="69">
                  <c:v>1240</c:v>
                </c:pt>
                <c:pt idx="70">
                  <c:v>1258</c:v>
                </c:pt>
                <c:pt idx="71">
                  <c:v>1260.05</c:v>
                </c:pt>
                <c:pt idx="72">
                  <c:v>1242.1500000000001</c:v>
                </c:pt>
                <c:pt idx="73">
                  <c:v>1244.7</c:v>
                </c:pt>
                <c:pt idx="74">
                  <c:v>1241.05</c:v>
                </c:pt>
                <c:pt idx="75">
                  <c:v>1251.8499999999999</c:v>
                </c:pt>
                <c:pt idx="76">
                  <c:v>1275</c:v>
                </c:pt>
                <c:pt idx="77">
                  <c:v>1291</c:v>
                </c:pt>
                <c:pt idx="78">
                  <c:v>1307.7</c:v>
                </c:pt>
                <c:pt idx="79">
                  <c:v>1291</c:v>
                </c:pt>
                <c:pt idx="80">
                  <c:v>1278.1500000000001</c:v>
                </c:pt>
                <c:pt idx="81">
                  <c:v>1280</c:v>
                </c:pt>
                <c:pt idx="82">
                  <c:v>1264.5999999999999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9-41AD-B5B3-C3C8B8301F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>
              <a:solidFill>
                <a:schemeClr val="accent4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1311.35</c:v>
                </c:pt>
                <c:pt idx="1">
                  <c:v>1326.8</c:v>
                </c:pt>
                <c:pt idx="2">
                  <c:v>1328.4</c:v>
                </c:pt>
                <c:pt idx="3">
                  <c:v>1329.95</c:v>
                </c:pt>
                <c:pt idx="4">
                  <c:v>1323.9</c:v>
                </c:pt>
                <c:pt idx="5">
                  <c:v>1315</c:v>
                </c:pt>
                <c:pt idx="6">
                  <c:v>1294.9000000000001</c:v>
                </c:pt>
                <c:pt idx="7">
                  <c:v>1290</c:v>
                </c:pt>
                <c:pt idx="8">
                  <c:v>1278.2</c:v>
                </c:pt>
                <c:pt idx="9">
                  <c:v>1275.2</c:v>
                </c:pt>
                <c:pt idx="10">
                  <c:v>1281</c:v>
                </c:pt>
                <c:pt idx="11">
                  <c:v>1263.9000000000001</c:v>
                </c:pt>
                <c:pt idx="12">
                  <c:v>1259.95</c:v>
                </c:pt>
                <c:pt idx="13">
                  <c:v>1244.9000000000001</c:v>
                </c:pt>
                <c:pt idx="14">
                  <c:v>1239.5</c:v>
                </c:pt>
                <c:pt idx="15">
                  <c:v>1227.2</c:v>
                </c:pt>
                <c:pt idx="16">
                  <c:v>1233.55</c:v>
                </c:pt>
                <c:pt idx="17">
                  <c:v>1227.7</c:v>
                </c:pt>
                <c:pt idx="18">
                  <c:v>1227.9000000000001</c:v>
                </c:pt>
                <c:pt idx="19">
                  <c:v>1223.2</c:v>
                </c:pt>
                <c:pt idx="20">
                  <c:v>1219.0999999999999</c:v>
                </c:pt>
                <c:pt idx="21">
                  <c:v>1226.3</c:v>
                </c:pt>
                <c:pt idx="22">
                  <c:v>1244.45</c:v>
                </c:pt>
                <c:pt idx="23">
                  <c:v>1262.05</c:v>
                </c:pt>
                <c:pt idx="24">
                  <c:v>1262</c:v>
                </c:pt>
                <c:pt idx="25">
                  <c:v>1244.5</c:v>
                </c:pt>
                <c:pt idx="26">
                  <c:v>1271.05</c:v>
                </c:pt>
                <c:pt idx="27">
                  <c:v>1269.75</c:v>
                </c:pt>
                <c:pt idx="28">
                  <c:v>1256.75</c:v>
                </c:pt>
                <c:pt idx="29">
                  <c:v>1245.25</c:v>
                </c:pt>
                <c:pt idx="30">
                  <c:v>1253.3499999999999</c:v>
                </c:pt>
                <c:pt idx="31">
                  <c:v>1257</c:v>
                </c:pt>
                <c:pt idx="32">
                  <c:v>1275</c:v>
                </c:pt>
                <c:pt idx="33">
                  <c:v>1326</c:v>
                </c:pt>
                <c:pt idx="34">
                  <c:v>1316</c:v>
                </c:pt>
                <c:pt idx="35">
                  <c:v>1313</c:v>
                </c:pt>
                <c:pt idx="36">
                  <c:v>1282.9000000000001</c:v>
                </c:pt>
                <c:pt idx="37">
                  <c:v>1277.3499999999999</c:v>
                </c:pt>
                <c:pt idx="38">
                  <c:v>1273</c:v>
                </c:pt>
                <c:pt idx="39">
                  <c:v>1240.45</c:v>
                </c:pt>
                <c:pt idx="40">
                  <c:v>1244.75</c:v>
                </c:pt>
                <c:pt idx="41">
                  <c:v>1242.75</c:v>
                </c:pt>
                <c:pt idx="42">
                  <c:v>1257</c:v>
                </c:pt>
                <c:pt idx="43">
                  <c:v>1267</c:v>
                </c:pt>
                <c:pt idx="44">
                  <c:v>1256</c:v>
                </c:pt>
                <c:pt idx="45">
                  <c:v>1288.8</c:v>
                </c:pt>
                <c:pt idx="46">
                  <c:v>1290.5</c:v>
                </c:pt>
                <c:pt idx="47">
                  <c:v>1288</c:v>
                </c:pt>
                <c:pt idx="48">
                  <c:v>1283.7</c:v>
                </c:pt>
                <c:pt idx="49">
                  <c:v>1266.5</c:v>
                </c:pt>
                <c:pt idx="50">
                  <c:v>1264.55</c:v>
                </c:pt>
                <c:pt idx="51">
                  <c:v>1226.9000000000001</c:v>
                </c:pt>
                <c:pt idx="52">
                  <c:v>1228</c:v>
                </c:pt>
                <c:pt idx="53">
                  <c:v>1224</c:v>
                </c:pt>
                <c:pt idx="54">
                  <c:v>1227.5</c:v>
                </c:pt>
                <c:pt idx="55">
                  <c:v>1229.9000000000001</c:v>
                </c:pt>
                <c:pt idx="56">
                  <c:v>1232.75</c:v>
                </c:pt>
                <c:pt idx="57">
                  <c:v>1239.3499999999999</c:v>
                </c:pt>
                <c:pt idx="58">
                  <c:v>1240</c:v>
                </c:pt>
                <c:pt idx="59">
                  <c:v>1223.25</c:v>
                </c:pt>
                <c:pt idx="60">
                  <c:v>1221</c:v>
                </c:pt>
                <c:pt idx="61">
                  <c:v>1215</c:v>
                </c:pt>
                <c:pt idx="62">
                  <c:v>1217.3499999999999</c:v>
                </c:pt>
                <c:pt idx="63">
                  <c:v>1206.45</c:v>
                </c:pt>
                <c:pt idx="64">
                  <c:v>1174</c:v>
                </c:pt>
                <c:pt idx="65">
                  <c:v>1183</c:v>
                </c:pt>
                <c:pt idx="66">
                  <c:v>1213.95</c:v>
                </c:pt>
                <c:pt idx="67">
                  <c:v>1254.8</c:v>
                </c:pt>
                <c:pt idx="68">
                  <c:v>1258</c:v>
                </c:pt>
                <c:pt idx="69">
                  <c:v>1249.5</c:v>
                </c:pt>
                <c:pt idx="70">
                  <c:v>1263</c:v>
                </c:pt>
                <c:pt idx="71">
                  <c:v>1264.1500000000001</c:v>
                </c:pt>
                <c:pt idx="72">
                  <c:v>0</c:v>
                </c:pt>
                <c:pt idx="73">
                  <c:v>1248.3499999999999</c:v>
                </c:pt>
                <c:pt idx="74">
                  <c:v>1253.25</c:v>
                </c:pt>
                <c:pt idx="75">
                  <c:v>1273</c:v>
                </c:pt>
                <c:pt idx="76">
                  <c:v>1281</c:v>
                </c:pt>
                <c:pt idx="77">
                  <c:v>1306</c:v>
                </c:pt>
                <c:pt idx="78">
                  <c:v>1307.7</c:v>
                </c:pt>
                <c:pt idx="79">
                  <c:v>1293.8</c:v>
                </c:pt>
                <c:pt idx="80">
                  <c:v>1285</c:v>
                </c:pt>
                <c:pt idx="81">
                  <c:v>1295.75</c:v>
                </c:pt>
                <c:pt idx="82">
                  <c:v>1277.9000000000001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9-41AD-B5B3-C3C8B8301F6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1277.05</c:v>
                </c:pt>
                <c:pt idx="1">
                  <c:v>1307</c:v>
                </c:pt>
                <c:pt idx="2">
                  <c:v>1304.05</c:v>
                </c:pt>
                <c:pt idx="3">
                  <c:v>1306.1500000000001</c:v>
                </c:pt>
                <c:pt idx="4">
                  <c:v>1310</c:v>
                </c:pt>
                <c:pt idx="5">
                  <c:v>1293.0999999999999</c:v>
                </c:pt>
                <c:pt idx="6">
                  <c:v>1280.2</c:v>
                </c:pt>
                <c:pt idx="7">
                  <c:v>1276.05</c:v>
                </c:pt>
                <c:pt idx="8">
                  <c:v>1260.5999999999999</c:v>
                </c:pt>
                <c:pt idx="9">
                  <c:v>1239.5999999999999</c:v>
                </c:pt>
                <c:pt idx="10">
                  <c:v>1266.55</c:v>
                </c:pt>
                <c:pt idx="11">
                  <c:v>1242.8</c:v>
                </c:pt>
                <c:pt idx="12">
                  <c:v>1240.6500000000001</c:v>
                </c:pt>
                <c:pt idx="13">
                  <c:v>1229</c:v>
                </c:pt>
                <c:pt idx="14">
                  <c:v>1201.5</c:v>
                </c:pt>
                <c:pt idx="15">
                  <c:v>1213.2</c:v>
                </c:pt>
                <c:pt idx="16">
                  <c:v>1221</c:v>
                </c:pt>
                <c:pt idx="17">
                  <c:v>1214.25</c:v>
                </c:pt>
                <c:pt idx="18">
                  <c:v>1217</c:v>
                </c:pt>
                <c:pt idx="19">
                  <c:v>1208.0999999999999</c:v>
                </c:pt>
                <c:pt idx="20">
                  <c:v>1206.1500000000001</c:v>
                </c:pt>
                <c:pt idx="21">
                  <c:v>1211.5999999999999</c:v>
                </c:pt>
                <c:pt idx="22">
                  <c:v>1220</c:v>
                </c:pt>
                <c:pt idx="23">
                  <c:v>1235.5</c:v>
                </c:pt>
                <c:pt idx="24">
                  <c:v>1215</c:v>
                </c:pt>
                <c:pt idx="25">
                  <c:v>1221.25</c:v>
                </c:pt>
                <c:pt idx="26">
                  <c:v>1245.3499999999999</c:v>
                </c:pt>
                <c:pt idx="27">
                  <c:v>1248.05</c:v>
                </c:pt>
                <c:pt idx="28">
                  <c:v>1236</c:v>
                </c:pt>
                <c:pt idx="29">
                  <c:v>1226.4000000000001</c:v>
                </c:pt>
                <c:pt idx="30">
                  <c:v>1227.25</c:v>
                </c:pt>
                <c:pt idx="31">
                  <c:v>1241.8499999999999</c:v>
                </c:pt>
                <c:pt idx="32">
                  <c:v>1251.3</c:v>
                </c:pt>
                <c:pt idx="33">
                  <c:v>1285</c:v>
                </c:pt>
                <c:pt idx="34">
                  <c:v>1300.25</c:v>
                </c:pt>
                <c:pt idx="35">
                  <c:v>1270.2</c:v>
                </c:pt>
                <c:pt idx="36">
                  <c:v>1268.7</c:v>
                </c:pt>
                <c:pt idx="37">
                  <c:v>1261.5999999999999</c:v>
                </c:pt>
                <c:pt idx="38">
                  <c:v>1243.5</c:v>
                </c:pt>
                <c:pt idx="39">
                  <c:v>1220</c:v>
                </c:pt>
                <c:pt idx="40">
                  <c:v>1218.5</c:v>
                </c:pt>
                <c:pt idx="41">
                  <c:v>1228.05</c:v>
                </c:pt>
                <c:pt idx="42">
                  <c:v>1232.4000000000001</c:v>
                </c:pt>
                <c:pt idx="43">
                  <c:v>1249</c:v>
                </c:pt>
                <c:pt idx="44">
                  <c:v>1237.55</c:v>
                </c:pt>
                <c:pt idx="45">
                  <c:v>1246.5999999999999</c:v>
                </c:pt>
                <c:pt idx="46">
                  <c:v>1276.7</c:v>
                </c:pt>
                <c:pt idx="47">
                  <c:v>1270.3499999999999</c:v>
                </c:pt>
                <c:pt idx="48">
                  <c:v>1262</c:v>
                </c:pt>
                <c:pt idx="49">
                  <c:v>1245.55</c:v>
                </c:pt>
                <c:pt idx="50">
                  <c:v>1230.0999999999999</c:v>
                </c:pt>
                <c:pt idx="51">
                  <c:v>1193.3499999999999</c:v>
                </c:pt>
                <c:pt idx="52">
                  <c:v>1212</c:v>
                </c:pt>
                <c:pt idx="53">
                  <c:v>1205.45</c:v>
                </c:pt>
                <c:pt idx="54">
                  <c:v>1204.5</c:v>
                </c:pt>
                <c:pt idx="55">
                  <c:v>1216.0999999999999</c:v>
                </c:pt>
                <c:pt idx="56">
                  <c:v>1217.55</c:v>
                </c:pt>
                <c:pt idx="57">
                  <c:v>1222</c:v>
                </c:pt>
                <c:pt idx="58">
                  <c:v>1222.1500000000001</c:v>
                </c:pt>
                <c:pt idx="59">
                  <c:v>1210.5</c:v>
                </c:pt>
                <c:pt idx="60">
                  <c:v>1201.5</c:v>
                </c:pt>
                <c:pt idx="61">
                  <c:v>1200.6500000000001</c:v>
                </c:pt>
                <c:pt idx="62">
                  <c:v>1193.3</c:v>
                </c:pt>
                <c:pt idx="63">
                  <c:v>1156</c:v>
                </c:pt>
                <c:pt idx="64">
                  <c:v>1159.55</c:v>
                </c:pt>
                <c:pt idx="65">
                  <c:v>1157</c:v>
                </c:pt>
                <c:pt idx="66">
                  <c:v>1185.1500000000001</c:v>
                </c:pt>
                <c:pt idx="67">
                  <c:v>1212</c:v>
                </c:pt>
                <c:pt idx="68">
                  <c:v>1235.4000000000001</c:v>
                </c:pt>
                <c:pt idx="69">
                  <c:v>1229.75</c:v>
                </c:pt>
                <c:pt idx="70">
                  <c:v>1244</c:v>
                </c:pt>
                <c:pt idx="71">
                  <c:v>1243.8499999999999</c:v>
                </c:pt>
                <c:pt idx="72">
                  <c:v>0</c:v>
                </c:pt>
                <c:pt idx="73">
                  <c:v>1235</c:v>
                </c:pt>
                <c:pt idx="74">
                  <c:v>1238.8</c:v>
                </c:pt>
                <c:pt idx="75">
                  <c:v>1250.05</c:v>
                </c:pt>
                <c:pt idx="76">
                  <c:v>1270.0999999999999</c:v>
                </c:pt>
                <c:pt idx="77">
                  <c:v>1284.25</c:v>
                </c:pt>
                <c:pt idx="78">
                  <c:v>1282.5999999999999</c:v>
                </c:pt>
                <c:pt idx="79">
                  <c:v>1268.75</c:v>
                </c:pt>
                <c:pt idx="80">
                  <c:v>1271.3</c:v>
                </c:pt>
                <c:pt idx="81">
                  <c:v>1269</c:v>
                </c:pt>
                <c:pt idx="82">
                  <c:v>1249.3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9-41AD-B5B3-C3C8B8301F6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4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0">
                  <c:v>1309.1500000000001</c:v>
                </c:pt>
                <c:pt idx="1">
                  <c:v>1323.3</c:v>
                </c:pt>
                <c:pt idx="2">
                  <c:v>1308.95</c:v>
                </c:pt>
                <c:pt idx="3">
                  <c:v>1322.05</c:v>
                </c:pt>
                <c:pt idx="4">
                  <c:v>1311.55</c:v>
                </c:pt>
                <c:pt idx="5">
                  <c:v>1295.1500000000001</c:v>
                </c:pt>
                <c:pt idx="6">
                  <c:v>1284.8499999999999</c:v>
                </c:pt>
                <c:pt idx="7">
                  <c:v>1278.2</c:v>
                </c:pt>
                <c:pt idx="8">
                  <c:v>1262.9000000000001</c:v>
                </c:pt>
                <c:pt idx="9">
                  <c:v>1272.8499999999999</c:v>
                </c:pt>
                <c:pt idx="10">
                  <c:v>1268.3</c:v>
                </c:pt>
                <c:pt idx="11">
                  <c:v>1245.3</c:v>
                </c:pt>
                <c:pt idx="12">
                  <c:v>1253.25</c:v>
                </c:pt>
                <c:pt idx="13">
                  <c:v>1230.45</c:v>
                </c:pt>
                <c:pt idx="14">
                  <c:v>1205.3</c:v>
                </c:pt>
                <c:pt idx="15">
                  <c:v>1222.3</c:v>
                </c:pt>
                <c:pt idx="16">
                  <c:v>1222.75</c:v>
                </c:pt>
                <c:pt idx="17">
                  <c:v>1216.55</c:v>
                </c:pt>
                <c:pt idx="18">
                  <c:v>1221.05</c:v>
                </c:pt>
                <c:pt idx="19">
                  <c:v>1210.7</c:v>
                </c:pt>
                <c:pt idx="20">
                  <c:v>1215.45</c:v>
                </c:pt>
                <c:pt idx="21">
                  <c:v>1221.25</c:v>
                </c:pt>
                <c:pt idx="22">
                  <c:v>1241.8</c:v>
                </c:pt>
                <c:pt idx="23">
                  <c:v>1251.1500000000001</c:v>
                </c:pt>
                <c:pt idx="24">
                  <c:v>1218</c:v>
                </c:pt>
                <c:pt idx="25">
                  <c:v>1240.8499999999999</c:v>
                </c:pt>
                <c:pt idx="26">
                  <c:v>1265.5</c:v>
                </c:pt>
                <c:pt idx="27">
                  <c:v>1254.75</c:v>
                </c:pt>
                <c:pt idx="28">
                  <c:v>1241.9000000000001</c:v>
                </c:pt>
                <c:pt idx="29">
                  <c:v>1239.8499999999999</c:v>
                </c:pt>
                <c:pt idx="30">
                  <c:v>1238.75</c:v>
                </c:pt>
                <c:pt idx="31">
                  <c:v>1252.2</c:v>
                </c:pt>
                <c:pt idx="32">
                  <c:v>1266.45</c:v>
                </c:pt>
                <c:pt idx="33">
                  <c:v>1302.3499999999999</c:v>
                </c:pt>
                <c:pt idx="34">
                  <c:v>1305.45</c:v>
                </c:pt>
                <c:pt idx="35">
                  <c:v>1273.7</c:v>
                </c:pt>
                <c:pt idx="36">
                  <c:v>1277.0999999999999</c:v>
                </c:pt>
                <c:pt idx="37">
                  <c:v>1263.6500000000001</c:v>
                </c:pt>
                <c:pt idx="38">
                  <c:v>1246.3</c:v>
                </c:pt>
                <c:pt idx="39">
                  <c:v>1229.3499999999999</c:v>
                </c:pt>
                <c:pt idx="40">
                  <c:v>1234.4000000000001</c:v>
                </c:pt>
                <c:pt idx="41">
                  <c:v>1235.5</c:v>
                </c:pt>
                <c:pt idx="42">
                  <c:v>1253.05</c:v>
                </c:pt>
                <c:pt idx="43">
                  <c:v>1265.0999999999999</c:v>
                </c:pt>
                <c:pt idx="44">
                  <c:v>1245.9000000000001</c:v>
                </c:pt>
                <c:pt idx="45">
                  <c:v>1285.2</c:v>
                </c:pt>
                <c:pt idx="46">
                  <c:v>1278.2</c:v>
                </c:pt>
                <c:pt idx="47">
                  <c:v>1281.55</c:v>
                </c:pt>
                <c:pt idx="48">
                  <c:v>1266.7</c:v>
                </c:pt>
                <c:pt idx="49">
                  <c:v>1253.6500000000001</c:v>
                </c:pt>
                <c:pt idx="50">
                  <c:v>1234.8499999999999</c:v>
                </c:pt>
                <c:pt idx="51">
                  <c:v>1216.55</c:v>
                </c:pt>
                <c:pt idx="52">
                  <c:v>1216.0999999999999</c:v>
                </c:pt>
                <c:pt idx="53">
                  <c:v>1217.25</c:v>
                </c:pt>
                <c:pt idx="54">
                  <c:v>1224.9000000000001</c:v>
                </c:pt>
                <c:pt idx="55">
                  <c:v>1225.4000000000001</c:v>
                </c:pt>
                <c:pt idx="56">
                  <c:v>1227.45</c:v>
                </c:pt>
                <c:pt idx="57">
                  <c:v>1233</c:v>
                </c:pt>
                <c:pt idx="58">
                  <c:v>1228.1500000000001</c:v>
                </c:pt>
                <c:pt idx="59">
                  <c:v>1214.55</c:v>
                </c:pt>
                <c:pt idx="60">
                  <c:v>1204</c:v>
                </c:pt>
                <c:pt idx="61">
                  <c:v>1207.0999999999999</c:v>
                </c:pt>
                <c:pt idx="62">
                  <c:v>1200.0999999999999</c:v>
                </c:pt>
                <c:pt idx="63">
                  <c:v>1171.25</c:v>
                </c:pt>
                <c:pt idx="64">
                  <c:v>1161.9000000000001</c:v>
                </c:pt>
                <c:pt idx="65">
                  <c:v>1175.5999999999999</c:v>
                </c:pt>
                <c:pt idx="66">
                  <c:v>1209.5999999999999</c:v>
                </c:pt>
                <c:pt idx="67">
                  <c:v>1249.8</c:v>
                </c:pt>
                <c:pt idx="68">
                  <c:v>1238.4000000000001</c:v>
                </c:pt>
                <c:pt idx="69">
                  <c:v>1247.3</c:v>
                </c:pt>
                <c:pt idx="70">
                  <c:v>1257.05</c:v>
                </c:pt>
                <c:pt idx="71">
                  <c:v>1247.9000000000001</c:v>
                </c:pt>
                <c:pt idx="72">
                  <c:v>1246.6500000000001</c:v>
                </c:pt>
                <c:pt idx="73">
                  <c:v>1238.8</c:v>
                </c:pt>
                <c:pt idx="74">
                  <c:v>1247.1500000000001</c:v>
                </c:pt>
                <c:pt idx="75">
                  <c:v>1269.1500000000001</c:v>
                </c:pt>
                <c:pt idx="76">
                  <c:v>1276.3499999999999</c:v>
                </c:pt>
                <c:pt idx="77">
                  <c:v>1302.0999999999999</c:v>
                </c:pt>
                <c:pt idx="78">
                  <c:v>1285.45</c:v>
                </c:pt>
                <c:pt idx="79">
                  <c:v>1273.05</c:v>
                </c:pt>
                <c:pt idx="80">
                  <c:v>1278.2</c:v>
                </c:pt>
                <c:pt idx="81">
                  <c:v>1275.0999999999999</c:v>
                </c:pt>
                <c:pt idx="82">
                  <c:v>1252.5999999999999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9-41AD-B5B3-C3C8B8301F6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4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11024152</c:v>
                </c:pt>
                <c:pt idx="1">
                  <c:v>16869482</c:v>
                </c:pt>
                <c:pt idx="2">
                  <c:v>19608540</c:v>
                </c:pt>
                <c:pt idx="3">
                  <c:v>16858723</c:v>
                </c:pt>
                <c:pt idx="4">
                  <c:v>9037514</c:v>
                </c:pt>
                <c:pt idx="5">
                  <c:v>14650002</c:v>
                </c:pt>
                <c:pt idx="6">
                  <c:v>16043729</c:v>
                </c:pt>
                <c:pt idx="7">
                  <c:v>11724373</c:v>
                </c:pt>
                <c:pt idx="8">
                  <c:v>20906813</c:v>
                </c:pt>
                <c:pt idx="9">
                  <c:v>28630222</c:v>
                </c:pt>
                <c:pt idx="10">
                  <c:v>9486781</c:v>
                </c:pt>
                <c:pt idx="11">
                  <c:v>17462791</c:v>
                </c:pt>
                <c:pt idx="12">
                  <c:v>12670179</c:v>
                </c:pt>
                <c:pt idx="13">
                  <c:v>14244653</c:v>
                </c:pt>
                <c:pt idx="14">
                  <c:v>20312896</c:v>
                </c:pt>
                <c:pt idx="15">
                  <c:v>10052824</c:v>
                </c:pt>
                <c:pt idx="16">
                  <c:v>6734917</c:v>
                </c:pt>
                <c:pt idx="17">
                  <c:v>10016178</c:v>
                </c:pt>
                <c:pt idx="18">
                  <c:v>7000397</c:v>
                </c:pt>
                <c:pt idx="19">
                  <c:v>8818766</c:v>
                </c:pt>
                <c:pt idx="20">
                  <c:v>6405475</c:v>
                </c:pt>
                <c:pt idx="21">
                  <c:v>5892590</c:v>
                </c:pt>
                <c:pt idx="22">
                  <c:v>15486276</c:v>
                </c:pt>
                <c:pt idx="23">
                  <c:v>15521102</c:v>
                </c:pt>
                <c:pt idx="24">
                  <c:v>14816766</c:v>
                </c:pt>
                <c:pt idx="25">
                  <c:v>10070505</c:v>
                </c:pt>
                <c:pt idx="26">
                  <c:v>19346579</c:v>
                </c:pt>
                <c:pt idx="27">
                  <c:v>12794704</c:v>
                </c:pt>
                <c:pt idx="28">
                  <c:v>8120332</c:v>
                </c:pt>
                <c:pt idx="29">
                  <c:v>13764861</c:v>
                </c:pt>
                <c:pt idx="30">
                  <c:v>13095266</c:v>
                </c:pt>
                <c:pt idx="31">
                  <c:v>9578856</c:v>
                </c:pt>
                <c:pt idx="32">
                  <c:v>14117603</c:v>
                </c:pt>
                <c:pt idx="33">
                  <c:v>29366277</c:v>
                </c:pt>
                <c:pt idx="34">
                  <c:v>14040244</c:v>
                </c:pt>
                <c:pt idx="35">
                  <c:v>14562976</c:v>
                </c:pt>
                <c:pt idx="36">
                  <c:v>10273590</c:v>
                </c:pt>
                <c:pt idx="37">
                  <c:v>8720682</c:v>
                </c:pt>
                <c:pt idx="38">
                  <c:v>14235970</c:v>
                </c:pt>
                <c:pt idx="39">
                  <c:v>9536019</c:v>
                </c:pt>
                <c:pt idx="40">
                  <c:v>10568025</c:v>
                </c:pt>
                <c:pt idx="41">
                  <c:v>5928156</c:v>
                </c:pt>
                <c:pt idx="42">
                  <c:v>9269259</c:v>
                </c:pt>
                <c:pt idx="43">
                  <c:v>6584612</c:v>
                </c:pt>
                <c:pt idx="44">
                  <c:v>9252345</c:v>
                </c:pt>
                <c:pt idx="45">
                  <c:v>16691069</c:v>
                </c:pt>
                <c:pt idx="46">
                  <c:v>10112028</c:v>
                </c:pt>
                <c:pt idx="47">
                  <c:v>9956001</c:v>
                </c:pt>
                <c:pt idx="48">
                  <c:v>8764283</c:v>
                </c:pt>
                <c:pt idx="49">
                  <c:v>6970972</c:v>
                </c:pt>
                <c:pt idx="50">
                  <c:v>8859714</c:v>
                </c:pt>
                <c:pt idx="51">
                  <c:v>21131654</c:v>
                </c:pt>
                <c:pt idx="52">
                  <c:v>8511216</c:v>
                </c:pt>
                <c:pt idx="53">
                  <c:v>10298145</c:v>
                </c:pt>
                <c:pt idx="54">
                  <c:v>8166683</c:v>
                </c:pt>
                <c:pt idx="55">
                  <c:v>6673250</c:v>
                </c:pt>
                <c:pt idx="56">
                  <c:v>6217338</c:v>
                </c:pt>
                <c:pt idx="57">
                  <c:v>7795582</c:v>
                </c:pt>
                <c:pt idx="58">
                  <c:v>6904025</c:v>
                </c:pt>
                <c:pt idx="59">
                  <c:v>7172498</c:v>
                </c:pt>
                <c:pt idx="60">
                  <c:v>11552182</c:v>
                </c:pt>
                <c:pt idx="61">
                  <c:v>11509215</c:v>
                </c:pt>
                <c:pt idx="62">
                  <c:v>23007298</c:v>
                </c:pt>
                <c:pt idx="63">
                  <c:v>17944938</c:v>
                </c:pt>
                <c:pt idx="64">
                  <c:v>11377373</c:v>
                </c:pt>
                <c:pt idx="65">
                  <c:v>8664095</c:v>
                </c:pt>
                <c:pt idx="66">
                  <c:v>14468014</c:v>
                </c:pt>
                <c:pt idx="67">
                  <c:v>16474965</c:v>
                </c:pt>
                <c:pt idx="68">
                  <c:v>11931051</c:v>
                </c:pt>
                <c:pt idx="69">
                  <c:v>10089838</c:v>
                </c:pt>
                <c:pt idx="70">
                  <c:v>11977555</c:v>
                </c:pt>
                <c:pt idx="71">
                  <c:v>9505270</c:v>
                </c:pt>
                <c:pt idx="72">
                  <c:v>0</c:v>
                </c:pt>
                <c:pt idx="73">
                  <c:v>15745877</c:v>
                </c:pt>
                <c:pt idx="74">
                  <c:v>16162399</c:v>
                </c:pt>
                <c:pt idx="75">
                  <c:v>15971477</c:v>
                </c:pt>
                <c:pt idx="76">
                  <c:v>21780769</c:v>
                </c:pt>
                <c:pt idx="77">
                  <c:v>20299319</c:v>
                </c:pt>
                <c:pt idx="78">
                  <c:v>13713899</c:v>
                </c:pt>
                <c:pt idx="79">
                  <c:v>12074747</c:v>
                </c:pt>
                <c:pt idx="80">
                  <c:v>15028056</c:v>
                </c:pt>
                <c:pt idx="81">
                  <c:v>18147129</c:v>
                </c:pt>
                <c:pt idx="82">
                  <c:v>12099648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9-41AD-B5B3-C3C8B8301F6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Daily Return (%)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1.642080745341622</c:v>
                </c:pt>
                <c:pt idx="1">
                  <c:v>0.4783599088838234</c:v>
                </c:pt>
                <c:pt idx="2">
                  <c:v>-1.2858220211161353</c:v>
                </c:pt>
                <c:pt idx="3">
                  <c:v>0.58584090995549476</c:v>
                </c:pt>
                <c:pt idx="4">
                  <c:v>-0.93284991313544352</c:v>
                </c:pt>
                <c:pt idx="5">
                  <c:v>-0.60245587106676202</c:v>
                </c:pt>
                <c:pt idx="6">
                  <c:v>-0.34128369206903941</c:v>
                </c:pt>
                <c:pt idx="7">
                  <c:v>-0.52918287937742836</c:v>
                </c:pt>
                <c:pt idx="8">
                  <c:v>-0.55905511811022901</c:v>
                </c:pt>
                <c:pt idx="9">
                  <c:v>1.0198412698412627</c:v>
                </c:pt>
                <c:pt idx="10">
                  <c:v>-0.52549019607843495</c:v>
                </c:pt>
                <c:pt idx="11">
                  <c:v>-1.2489592006661117</c:v>
                </c:pt>
                <c:pt idx="12">
                  <c:v>1.0155966630395283</c:v>
                </c:pt>
                <c:pt idx="13">
                  <c:v>-0.69007263922517792</c:v>
                </c:pt>
                <c:pt idx="14">
                  <c:v>-1.5277777777777815</c:v>
                </c:pt>
                <c:pt idx="15">
                  <c:v>0.60082304526748598</c:v>
                </c:pt>
                <c:pt idx="16">
                  <c:v>3.6815838992067862E-2</c:v>
                </c:pt>
                <c:pt idx="17">
                  <c:v>-0.62895650398203351</c:v>
                </c:pt>
                <c:pt idx="18">
                  <c:v>0.22572437002380369</c:v>
                </c:pt>
                <c:pt idx="19">
                  <c:v>-0.46859585662611358</c:v>
                </c:pt>
                <c:pt idx="20">
                  <c:v>0.61672185430463955</c:v>
                </c:pt>
                <c:pt idx="21">
                  <c:v>0.52681400996008498</c:v>
                </c:pt>
                <c:pt idx="22">
                  <c:v>1.6827021494370482</c:v>
                </c:pt>
                <c:pt idx="23">
                  <c:v>0.58284428008682365</c:v>
                </c:pt>
                <c:pt idx="24">
                  <c:v>-2.8669404681207418</c:v>
                </c:pt>
                <c:pt idx="25">
                  <c:v>1.5425531914893542</c:v>
                </c:pt>
                <c:pt idx="26">
                  <c:v>1.3210568454763811</c:v>
                </c:pt>
                <c:pt idx="27">
                  <c:v>-0.96685082872928174</c:v>
                </c:pt>
                <c:pt idx="28">
                  <c:v>-0.95306456115163851</c:v>
                </c:pt>
                <c:pt idx="29">
                  <c:v>0.80081300813007394</c:v>
                </c:pt>
                <c:pt idx="30">
                  <c:v>-0.43002974037456071</c:v>
                </c:pt>
                <c:pt idx="31">
                  <c:v>0.58235270492790869</c:v>
                </c:pt>
                <c:pt idx="32">
                  <c:v>0.59972992294860228</c:v>
                </c:pt>
                <c:pt idx="33">
                  <c:v>-1.5050103989412056</c:v>
                </c:pt>
                <c:pt idx="34">
                  <c:v>-0.80167173252279289</c:v>
                </c:pt>
                <c:pt idx="35">
                  <c:v>-2.8080885158336479</c:v>
                </c:pt>
                <c:pt idx="36">
                  <c:v>-9.3874677305800319E-2</c:v>
                </c:pt>
                <c:pt idx="37">
                  <c:v>-0.49999999999999278</c:v>
                </c:pt>
                <c:pt idx="38">
                  <c:v>-1.5560821484992138</c:v>
                </c:pt>
                <c:pt idx="39">
                  <c:v>-0.78686143168428713</c:v>
                </c:pt>
                <c:pt idx="40">
                  <c:v>-0.29079159935378907</c:v>
                </c:pt>
                <c:pt idx="41">
                  <c:v>-4.0453074433656963E-2</c:v>
                </c:pt>
                <c:pt idx="42">
                  <c:v>1.41637327505969</c:v>
                </c:pt>
                <c:pt idx="43">
                  <c:v>0.73655293227694396</c:v>
                </c:pt>
                <c:pt idx="44">
                  <c:v>-0.40767386091126367</c:v>
                </c:pt>
                <c:pt idx="45">
                  <c:v>2.9766435639597848</c:v>
                </c:pt>
                <c:pt idx="46">
                  <c:v>-0.34693797996336062</c:v>
                </c:pt>
                <c:pt idx="47">
                  <c:v>0.61631467378502858</c:v>
                </c:pt>
                <c:pt idx="48">
                  <c:v>-0.74050856090585315</c:v>
                </c:pt>
                <c:pt idx="49">
                  <c:v>-0.85804665875839536</c:v>
                </c:pt>
                <c:pt idx="50">
                  <c:v>-2.3486615792179073</c:v>
                </c:pt>
                <c:pt idx="51">
                  <c:v>-0.23781212841855678</c:v>
                </c:pt>
                <c:pt idx="52">
                  <c:v>-7.805759829095317E-2</c:v>
                </c:pt>
                <c:pt idx="53">
                  <c:v>-0.14356029532403611</c:v>
                </c:pt>
                <c:pt idx="54">
                  <c:v>1.1394599950458413</c:v>
                </c:pt>
                <c:pt idx="55">
                  <c:v>4.4903457566247452E-2</c:v>
                </c:pt>
                <c:pt idx="56">
                  <c:v>0.65190651906519437</c:v>
                </c:pt>
                <c:pt idx="57">
                  <c:v>0.7394092895951595</c:v>
                </c:pt>
                <c:pt idx="58">
                  <c:v>-4.4762757385851268E-2</c:v>
                </c:pt>
                <c:pt idx="59">
                  <c:v>-0.16439932596276358</c:v>
                </c:pt>
                <c:pt idx="60">
                  <c:v>-0.57803468208092479</c:v>
                </c:pt>
                <c:pt idx="61">
                  <c:v>-0.46998680738786658</c:v>
                </c:pt>
                <c:pt idx="62">
                  <c:v>-0.15806988352746182</c:v>
                </c:pt>
                <c:pt idx="63">
                  <c:v>-2.7200996677740865</c:v>
                </c:pt>
                <c:pt idx="64">
                  <c:v>-2.5813113061431296E-2</c:v>
                </c:pt>
                <c:pt idx="65">
                  <c:v>1.2575366063738078</c:v>
                </c:pt>
                <c:pt idx="66">
                  <c:v>1.0526315789473608</c:v>
                </c:pt>
                <c:pt idx="67">
                  <c:v>2.7796052631578907</c:v>
                </c:pt>
                <c:pt idx="68">
                  <c:v>-0.53012048192770356</c:v>
                </c:pt>
                <c:pt idx="69">
                  <c:v>0.58870967741935121</c:v>
                </c:pt>
                <c:pt idx="70">
                  <c:v>-7.5516693163755602E-2</c:v>
                </c:pt>
                <c:pt idx="71">
                  <c:v>-0.96424745049798533</c:v>
                </c:pt>
                <c:pt idx="72">
                  <c:v>0.3622750875498128</c:v>
                </c:pt>
                <c:pt idx="73">
                  <c:v>-0.47400980155861583</c:v>
                </c:pt>
                <c:pt idx="74">
                  <c:v>0.49151927803071083</c:v>
                </c:pt>
                <c:pt idx="75">
                  <c:v>1.3819547070336049</c:v>
                </c:pt>
                <c:pt idx="76">
                  <c:v>0.10588235294116932</c:v>
                </c:pt>
                <c:pt idx="77">
                  <c:v>0.85979860573198363</c:v>
                </c:pt>
                <c:pt idx="78">
                  <c:v>-1.7014605796436493</c:v>
                </c:pt>
                <c:pt idx="79">
                  <c:v>-1.3903950426026372</c:v>
                </c:pt>
                <c:pt idx="80">
                  <c:v>3.9119039236360769E-3</c:v>
                </c:pt>
                <c:pt idx="81">
                  <c:v>-0.38281250000000711</c:v>
                </c:pt>
                <c:pt idx="82">
                  <c:v>-0.94891665348726884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9-41AD-B5B3-C3C8B8301F6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10 Days Average</c:v>
                </c:pt>
              </c:strCache>
            </c:strRef>
          </c:tx>
          <c:spPr>
            <a:ln w="22225" cap="rnd">
              <a:solidFill>
                <a:schemeClr val="accent4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Sheet1!$H$2:$H$84</c:f>
              <c:numCache>
                <c:formatCode>General</c:formatCode>
                <c:ptCount val="83"/>
                <c:pt idx="0">
                  <c:v>1296.895</c:v>
                </c:pt>
                <c:pt idx="1">
                  <c:v>1292.81</c:v>
                </c:pt>
                <c:pt idx="2">
                  <c:v>1285.01</c:v>
                </c:pt>
                <c:pt idx="3">
                  <c:v>1279.44</c:v>
                </c:pt>
                <c:pt idx="4">
                  <c:v>1270.28</c:v>
                </c:pt>
                <c:pt idx="5">
                  <c:v>1259.6550000000002</c:v>
                </c:pt>
                <c:pt idx="6">
                  <c:v>1252.3700000000001</c:v>
                </c:pt>
                <c:pt idx="7">
                  <c:v>1246.1599999999999</c:v>
                </c:pt>
                <c:pt idx="8">
                  <c:v>1239.9949999999999</c:v>
                </c:pt>
                <c:pt idx="9">
                  <c:v>1235.81</c:v>
                </c:pt>
                <c:pt idx="10">
                  <c:v>1229.595</c:v>
                </c:pt>
                <c:pt idx="11">
                  <c:v>1224.31</c:v>
                </c:pt>
                <c:pt idx="12">
                  <c:v>1221.9050000000002</c:v>
                </c:pt>
                <c:pt idx="13">
                  <c:v>1220.76</c:v>
                </c:pt>
                <c:pt idx="14">
                  <c:v>1222.83</c:v>
                </c:pt>
                <c:pt idx="15">
                  <c:v>1224.0999999999999</c:v>
                </c:pt>
                <c:pt idx="16">
                  <c:v>1225.9549999999999</c:v>
                </c:pt>
                <c:pt idx="17">
                  <c:v>1230.23</c:v>
                </c:pt>
                <c:pt idx="18">
                  <c:v>1234.05</c:v>
                </c:pt>
                <c:pt idx="19">
                  <c:v>1236.135</c:v>
                </c:pt>
                <c:pt idx="20">
                  <c:v>1239.05</c:v>
                </c:pt>
                <c:pt idx="21">
                  <c:v>1241.3800000000001</c:v>
                </c:pt>
                <c:pt idx="22">
                  <c:v>1244.4749999999999</c:v>
                </c:pt>
                <c:pt idx="23">
                  <c:v>1246.94</c:v>
                </c:pt>
                <c:pt idx="24">
                  <c:v>1252.0600000000002</c:v>
                </c:pt>
                <c:pt idx="25">
                  <c:v>1260.8050000000003</c:v>
                </c:pt>
                <c:pt idx="26">
                  <c:v>1264.0900000000001</c:v>
                </c:pt>
                <c:pt idx="27">
                  <c:v>1265.2500000000002</c:v>
                </c:pt>
                <c:pt idx="28">
                  <c:v>1266.1400000000001</c:v>
                </c:pt>
                <c:pt idx="29">
                  <c:v>1266.58</c:v>
                </c:pt>
                <c:pt idx="30">
                  <c:v>1265.53</c:v>
                </c:pt>
                <c:pt idx="31">
                  <c:v>1265.0949999999998</c:v>
                </c:pt>
                <c:pt idx="32">
                  <c:v>1263.4249999999997</c:v>
                </c:pt>
                <c:pt idx="33">
                  <c:v>1262.0849999999998</c:v>
                </c:pt>
                <c:pt idx="34">
                  <c:v>1258.3599999999999</c:v>
                </c:pt>
                <c:pt idx="35">
                  <c:v>1252.405</c:v>
                </c:pt>
                <c:pt idx="36">
                  <c:v>1253.5549999999998</c:v>
                </c:pt>
                <c:pt idx="37">
                  <c:v>1253.6650000000002</c:v>
                </c:pt>
                <c:pt idx="38">
                  <c:v>1255.4549999999999</c:v>
                </c:pt>
                <c:pt idx="39">
                  <c:v>1257.4950000000001</c:v>
                </c:pt>
                <c:pt idx="40">
                  <c:v>1259.9249999999997</c:v>
                </c:pt>
                <c:pt idx="41">
                  <c:v>1259.97</c:v>
                </c:pt>
                <c:pt idx="42">
                  <c:v>1258.075</c:v>
                </c:pt>
                <c:pt idx="43">
                  <c:v>1254.3799999999999</c:v>
                </c:pt>
                <c:pt idx="44">
                  <c:v>1249.595</c:v>
                </c:pt>
                <c:pt idx="45">
                  <c:v>1247.4949999999999</c:v>
                </c:pt>
                <c:pt idx="46">
                  <c:v>1241.5149999999999</c:v>
                </c:pt>
                <c:pt idx="47">
                  <c:v>1236.44</c:v>
                </c:pt>
                <c:pt idx="48">
                  <c:v>1231.585</c:v>
                </c:pt>
                <c:pt idx="49">
                  <c:v>1227.73</c:v>
                </c:pt>
                <c:pt idx="50">
                  <c:v>1223.82</c:v>
                </c:pt>
                <c:pt idx="51">
                  <c:v>1220.7349999999997</c:v>
                </c:pt>
                <c:pt idx="52">
                  <c:v>1219.79</c:v>
                </c:pt>
                <c:pt idx="53">
                  <c:v>1218.19</c:v>
                </c:pt>
                <c:pt idx="54">
                  <c:v>1213.5900000000001</c:v>
                </c:pt>
                <c:pt idx="55">
                  <c:v>1207.29</c:v>
                </c:pt>
                <c:pt idx="56">
                  <c:v>1202.31</c:v>
                </c:pt>
                <c:pt idx="57">
                  <c:v>1200.5250000000001</c:v>
                </c:pt>
                <c:pt idx="58">
                  <c:v>1202.2049999999999</c:v>
                </c:pt>
                <c:pt idx="59">
                  <c:v>1203.23</c:v>
                </c:pt>
                <c:pt idx="60">
                  <c:v>1206.5049999999999</c:v>
                </c:pt>
                <c:pt idx="61">
                  <c:v>1211.81</c:v>
                </c:pt>
                <c:pt idx="62">
                  <c:v>1215.8899999999999</c:v>
                </c:pt>
                <c:pt idx="63">
                  <c:v>1220.5449999999998</c:v>
                </c:pt>
                <c:pt idx="64">
                  <c:v>1227.2999999999997</c:v>
                </c:pt>
                <c:pt idx="65">
                  <c:v>1235.8249999999998</c:v>
                </c:pt>
                <c:pt idx="66">
                  <c:v>1245.1799999999998</c:v>
                </c:pt>
                <c:pt idx="67">
                  <c:v>1251.855</c:v>
                </c:pt>
                <c:pt idx="68">
                  <c:v>1257.085</c:v>
                </c:pt>
                <c:pt idx="69">
                  <c:v>1261.7900000000002</c:v>
                </c:pt>
                <c:pt idx="70">
                  <c:v>1264.365</c:v>
                </c:pt>
                <c:pt idx="71">
                  <c:v>1266.48</c:v>
                </c:pt>
                <c:pt idx="72">
                  <c:v>1269.2000000000003</c:v>
                </c:pt>
                <c:pt idx="73">
                  <c:v>1269.7950000000001</c:v>
                </c:pt>
                <c:pt idx="74">
                  <c:v>1273.2388888888891</c:v>
                </c:pt>
                <c:pt idx="75">
                  <c:v>1276.5</c:v>
                </c:pt>
                <c:pt idx="76">
                  <c:v>1277.55</c:v>
                </c:pt>
                <c:pt idx="77">
                  <c:v>1277.75</c:v>
                </c:pt>
                <c:pt idx="78">
                  <c:v>1272.8799999999999</c:v>
                </c:pt>
                <c:pt idx="79">
                  <c:v>1269.7375</c:v>
                </c:pt>
                <c:pt idx="80">
                  <c:v>1268.6333333333334</c:v>
                </c:pt>
                <c:pt idx="81">
                  <c:v>1263.8499999999999</c:v>
                </c:pt>
                <c:pt idx="82">
                  <c:v>1252.5999999999999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89-41AD-B5B3-C3C8B8301F6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Std Deviation(Volatility)</c:v>
                </c:pt>
              </c:strCache>
            </c:strRef>
          </c:tx>
          <c:spPr>
            <a:ln w="2222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Sheet1!$I$2:$I$84</c:f>
              <c:numCache>
                <c:formatCode>General</c:formatCode>
                <c:ptCount val="83"/>
                <c:pt idx="0">
                  <c:v>34.950127801387701</c:v>
                </c:pt>
                <c:pt idx="1">
                  <c:v>33.584382117618631</c:v>
                </c:pt>
                <c:pt idx="2">
                  <c:v>30.932003204160935</c:v>
                </c:pt>
                <c:pt idx="3">
                  <c:v>29.142374455230804</c:v>
                </c:pt>
                <c:pt idx="4">
                  <c:v>27.674995934959046</c:v>
                </c:pt>
                <c:pt idx="5">
                  <c:v>27.229016181680571</c:v>
                </c:pt>
                <c:pt idx="6">
                  <c:v>26.250472006338391</c:v>
                </c:pt>
                <c:pt idx="7">
                  <c:v>25.917378125282831</c:v>
                </c:pt>
                <c:pt idx="8">
                  <c:v>25.465171258450674</c:v>
                </c:pt>
                <c:pt idx="9">
                  <c:v>25.287496086669655</c:v>
                </c:pt>
                <c:pt idx="10">
                  <c:v>24.961419397408743</c:v>
                </c:pt>
                <c:pt idx="11">
                  <c:v>24.633778807428907</c:v>
                </c:pt>
                <c:pt idx="12">
                  <c:v>24.673948756172422</c:v>
                </c:pt>
                <c:pt idx="13">
                  <c:v>24.671277778465843</c:v>
                </c:pt>
                <c:pt idx="14">
                  <c:v>24.85485309194609</c:v>
                </c:pt>
                <c:pt idx="15">
                  <c:v>23.769765810093009</c:v>
                </c:pt>
                <c:pt idx="16">
                  <c:v>24.373521607587925</c:v>
                </c:pt>
                <c:pt idx="17">
                  <c:v>24.500905255384616</c:v>
                </c:pt>
                <c:pt idx="18">
                  <c:v>24.345805536523574</c:v>
                </c:pt>
                <c:pt idx="19">
                  <c:v>23.791507354983249</c:v>
                </c:pt>
                <c:pt idx="20">
                  <c:v>22.432172394427901</c:v>
                </c:pt>
                <c:pt idx="21">
                  <c:v>21.549746647131506</c:v>
                </c:pt>
                <c:pt idx="22">
                  <c:v>21.813511676634437</c:v>
                </c:pt>
                <c:pt idx="23">
                  <c:v>22.809747489956042</c:v>
                </c:pt>
                <c:pt idx="24">
                  <c:v>23.765818182610278</c:v>
                </c:pt>
                <c:pt idx="25">
                  <c:v>23.454052540138044</c:v>
                </c:pt>
                <c:pt idx="26">
                  <c:v>23.893178710437191</c:v>
                </c:pt>
                <c:pt idx="27">
                  <c:v>24.206659379875891</c:v>
                </c:pt>
                <c:pt idx="28">
                  <c:v>24.431664563294362</c:v>
                </c:pt>
                <c:pt idx="29">
                  <c:v>24.726401151176223</c:v>
                </c:pt>
                <c:pt idx="30">
                  <c:v>25.498127654572773</c:v>
                </c:pt>
                <c:pt idx="31">
                  <c:v>26.731395399417519</c:v>
                </c:pt>
                <c:pt idx="32">
                  <c:v>27.735966221176117</c:v>
                </c:pt>
                <c:pt idx="33">
                  <c:v>28.732041202578479</c:v>
                </c:pt>
                <c:pt idx="34">
                  <c:v>29.615809826284803</c:v>
                </c:pt>
                <c:pt idx="35">
                  <c:v>30.325876189595363</c:v>
                </c:pt>
                <c:pt idx="36">
                  <c:v>31.32776830013059</c:v>
                </c:pt>
                <c:pt idx="37">
                  <c:v>30.452611820115987</c:v>
                </c:pt>
                <c:pt idx="38">
                  <c:v>30.044404590908819</c:v>
                </c:pt>
                <c:pt idx="39">
                  <c:v>29.932591351234539</c:v>
                </c:pt>
                <c:pt idx="40">
                  <c:v>30.102833015441522</c:v>
                </c:pt>
                <c:pt idx="41">
                  <c:v>30.483265035462043</c:v>
                </c:pt>
                <c:pt idx="42">
                  <c:v>30.627399180399831</c:v>
                </c:pt>
                <c:pt idx="43">
                  <c:v>30.496832303627155</c:v>
                </c:pt>
                <c:pt idx="44">
                  <c:v>29.876798923058843</c:v>
                </c:pt>
                <c:pt idx="45">
                  <c:v>29.89958175106953</c:v>
                </c:pt>
                <c:pt idx="46">
                  <c:v>29.042022666397678</c:v>
                </c:pt>
                <c:pt idx="47">
                  <c:v>28.940694340130982</c:v>
                </c:pt>
                <c:pt idx="48">
                  <c:v>30.369946996258584</c:v>
                </c:pt>
                <c:pt idx="49">
                  <c:v>31.291727696345287</c:v>
                </c:pt>
                <c:pt idx="50">
                  <c:v>31.948413975588142</c:v>
                </c:pt>
                <c:pt idx="51">
                  <c:v>33.026540043156544</c:v>
                </c:pt>
                <c:pt idx="52">
                  <c:v>33.719001566871263</c:v>
                </c:pt>
                <c:pt idx="53">
                  <c:v>33.675012331928777</c:v>
                </c:pt>
                <c:pt idx="54">
                  <c:v>34.063643570784954</c:v>
                </c:pt>
                <c:pt idx="55">
                  <c:v>34.590580724706676</c:v>
                </c:pt>
                <c:pt idx="56">
                  <c:v>35.148613937513879</c:v>
                </c:pt>
                <c:pt idx="57">
                  <c:v>35.759609541439531</c:v>
                </c:pt>
                <c:pt idx="58">
                  <c:v>36.453018201515228</c:v>
                </c:pt>
                <c:pt idx="59">
                  <c:v>37.144659438826316</c:v>
                </c:pt>
                <c:pt idx="60">
                  <c:v>37.592842851377881</c:v>
                </c:pt>
                <c:pt idx="61">
                  <c:v>37.638718086214809</c:v>
                </c:pt>
                <c:pt idx="62">
                  <c:v>37.75544621403462</c:v>
                </c:pt>
                <c:pt idx="63">
                  <c:v>37.416822419868843</c:v>
                </c:pt>
                <c:pt idx="64">
                  <c:v>34.219583416468929</c:v>
                </c:pt>
                <c:pt idx="65">
                  <c:v>28.11643189104818</c:v>
                </c:pt>
                <c:pt idx="66">
                  <c:v>21.334336004046708</c:v>
                </c:pt>
                <c:pt idx="67">
                  <c:v>18.020888216438561</c:v>
                </c:pt>
                <c:pt idx="68">
                  <c:v>18.345535333335622</c:v>
                </c:pt>
                <c:pt idx="69">
                  <c:v>17.796078807376826</c:v>
                </c:pt>
                <c:pt idx="70">
                  <c:v>17.82667620773384</c:v>
                </c:pt>
                <c:pt idx="71">
                  <c:v>18.386236171537515</c:v>
                </c:pt>
                <c:pt idx="72">
                  <c:v>18.334280090755684</c:v>
                </c:pt>
                <c:pt idx="73">
                  <c:v>17.918181408837214</c:v>
                </c:pt>
                <c:pt idx="74">
                  <c:v>15.431493370841343</c:v>
                </c:pt>
                <c:pt idx="75">
                  <c:v>13.121880581684927</c:v>
                </c:pt>
                <c:pt idx="76">
                  <c:v>13.709902573374794</c:v>
                </c:pt>
                <c:pt idx="77">
                  <c:v>14.798930141511365</c:v>
                </c:pt>
                <c:pt idx="78">
                  <c:v>10.977640912327246</c:v>
                </c:pt>
                <c:pt idx="79">
                  <c:v>10.062763971692899</c:v>
                </c:pt>
                <c:pt idx="80">
                  <c:v>11.407697206516152</c:v>
                </c:pt>
                <c:pt idx="81">
                  <c:v>11.25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89-41AD-B5B3-C3C8B830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12815"/>
        <c:axId val="190713295"/>
      </c:lineChart>
      <c:dateAx>
        <c:axId val="190712815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3295"/>
        <c:crosses val="autoZero"/>
        <c:auto val="1"/>
        <c:lblOffset val="100"/>
        <c:baseTimeUnit val="days"/>
      </c:dateAx>
      <c:valAx>
        <c:axId val="1907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2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Candlestick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1288</c:v>
                </c:pt>
                <c:pt idx="1">
                  <c:v>1317</c:v>
                </c:pt>
                <c:pt idx="2">
                  <c:v>1326</c:v>
                </c:pt>
                <c:pt idx="3">
                  <c:v>1314.35</c:v>
                </c:pt>
                <c:pt idx="4">
                  <c:v>1323.9</c:v>
                </c:pt>
                <c:pt idx="5">
                  <c:v>1303</c:v>
                </c:pt>
                <c:pt idx="6">
                  <c:v>1289.25</c:v>
                </c:pt>
                <c:pt idx="7">
                  <c:v>1285</c:v>
                </c:pt>
                <c:pt idx="8">
                  <c:v>1270</c:v>
                </c:pt>
                <c:pt idx="9">
                  <c:v>1260</c:v>
                </c:pt>
                <c:pt idx="10">
                  <c:v>1275</c:v>
                </c:pt>
                <c:pt idx="11">
                  <c:v>1261.05</c:v>
                </c:pt>
                <c:pt idx="12">
                  <c:v>1240.6500000000001</c:v>
                </c:pt>
                <c:pt idx="13">
                  <c:v>1239</c:v>
                </c:pt>
                <c:pt idx="14">
                  <c:v>1224</c:v>
                </c:pt>
                <c:pt idx="15">
                  <c:v>1215</c:v>
                </c:pt>
                <c:pt idx="16">
                  <c:v>1222.3</c:v>
                </c:pt>
                <c:pt idx="17">
                  <c:v>1224.25</c:v>
                </c:pt>
                <c:pt idx="18">
                  <c:v>1218.3</c:v>
                </c:pt>
                <c:pt idx="19">
                  <c:v>1216.4000000000001</c:v>
                </c:pt>
                <c:pt idx="20">
                  <c:v>1208</c:v>
                </c:pt>
                <c:pt idx="21">
                  <c:v>1214.8499999999999</c:v>
                </c:pt>
                <c:pt idx="22">
                  <c:v>1221.25</c:v>
                </c:pt>
                <c:pt idx="23">
                  <c:v>1243.9000000000001</c:v>
                </c:pt>
                <c:pt idx="24">
                  <c:v>1253.95</c:v>
                </c:pt>
                <c:pt idx="25">
                  <c:v>1222</c:v>
                </c:pt>
                <c:pt idx="26">
                  <c:v>1249</c:v>
                </c:pt>
                <c:pt idx="27">
                  <c:v>1267</c:v>
                </c:pt>
                <c:pt idx="28">
                  <c:v>1253.8499999999999</c:v>
                </c:pt>
                <c:pt idx="29">
                  <c:v>1230</c:v>
                </c:pt>
                <c:pt idx="30">
                  <c:v>1244.0999999999999</c:v>
                </c:pt>
                <c:pt idx="31">
                  <c:v>1244.95</c:v>
                </c:pt>
                <c:pt idx="32">
                  <c:v>1258.9000000000001</c:v>
                </c:pt>
                <c:pt idx="33">
                  <c:v>1322.25</c:v>
                </c:pt>
                <c:pt idx="34">
                  <c:v>1316</c:v>
                </c:pt>
                <c:pt idx="35">
                  <c:v>1310.5</c:v>
                </c:pt>
                <c:pt idx="36">
                  <c:v>1278.3</c:v>
                </c:pt>
                <c:pt idx="37">
                  <c:v>1270</c:v>
                </c:pt>
                <c:pt idx="38">
                  <c:v>1266</c:v>
                </c:pt>
                <c:pt idx="39">
                  <c:v>1239.0999999999999</c:v>
                </c:pt>
                <c:pt idx="40">
                  <c:v>1238</c:v>
                </c:pt>
                <c:pt idx="41">
                  <c:v>1236</c:v>
                </c:pt>
                <c:pt idx="42">
                  <c:v>1235.55</c:v>
                </c:pt>
                <c:pt idx="43">
                  <c:v>1255.8499999999999</c:v>
                </c:pt>
                <c:pt idx="44">
                  <c:v>1251</c:v>
                </c:pt>
                <c:pt idx="45">
                  <c:v>1248.05</c:v>
                </c:pt>
                <c:pt idx="46">
                  <c:v>1282.6500000000001</c:v>
                </c:pt>
                <c:pt idx="47">
                  <c:v>1273.7</c:v>
                </c:pt>
                <c:pt idx="48">
                  <c:v>1276.1500000000001</c:v>
                </c:pt>
                <c:pt idx="49">
                  <c:v>1264.5</c:v>
                </c:pt>
                <c:pt idx="50">
                  <c:v>1264.55</c:v>
                </c:pt>
                <c:pt idx="51">
                  <c:v>1219.45</c:v>
                </c:pt>
                <c:pt idx="52">
                  <c:v>1217.05</c:v>
                </c:pt>
                <c:pt idx="53">
                  <c:v>1219</c:v>
                </c:pt>
                <c:pt idx="54">
                  <c:v>1211.0999999999999</c:v>
                </c:pt>
                <c:pt idx="55">
                  <c:v>1224.8499999999999</c:v>
                </c:pt>
                <c:pt idx="56">
                  <c:v>1219.5</c:v>
                </c:pt>
                <c:pt idx="57">
                  <c:v>1223.95</c:v>
                </c:pt>
                <c:pt idx="58">
                  <c:v>1228.7</c:v>
                </c:pt>
                <c:pt idx="59">
                  <c:v>1216.55</c:v>
                </c:pt>
                <c:pt idx="60">
                  <c:v>1211</c:v>
                </c:pt>
                <c:pt idx="61">
                  <c:v>1212.8</c:v>
                </c:pt>
                <c:pt idx="62">
                  <c:v>1202</c:v>
                </c:pt>
                <c:pt idx="63">
                  <c:v>1204</c:v>
                </c:pt>
                <c:pt idx="64">
                  <c:v>1162.2</c:v>
                </c:pt>
                <c:pt idx="65">
                  <c:v>1161</c:v>
                </c:pt>
                <c:pt idx="66">
                  <c:v>1197</c:v>
                </c:pt>
                <c:pt idx="67">
                  <c:v>1216</c:v>
                </c:pt>
                <c:pt idx="68">
                  <c:v>1245</c:v>
                </c:pt>
                <c:pt idx="69">
                  <c:v>1240</c:v>
                </c:pt>
                <c:pt idx="70">
                  <c:v>1258</c:v>
                </c:pt>
                <c:pt idx="71">
                  <c:v>1260.05</c:v>
                </c:pt>
                <c:pt idx="72">
                  <c:v>1242.1500000000001</c:v>
                </c:pt>
                <c:pt idx="73">
                  <c:v>1244.7</c:v>
                </c:pt>
                <c:pt idx="74">
                  <c:v>1241.05</c:v>
                </c:pt>
                <c:pt idx="75">
                  <c:v>1251.8499999999999</c:v>
                </c:pt>
                <c:pt idx="76">
                  <c:v>1275</c:v>
                </c:pt>
                <c:pt idx="77">
                  <c:v>1291</c:v>
                </c:pt>
                <c:pt idx="78">
                  <c:v>1307.7</c:v>
                </c:pt>
                <c:pt idx="79">
                  <c:v>1291</c:v>
                </c:pt>
                <c:pt idx="80">
                  <c:v>1278.1500000000001</c:v>
                </c:pt>
                <c:pt idx="81">
                  <c:v>1280</c:v>
                </c:pt>
                <c:pt idx="82">
                  <c:v>1264.5999999999999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E6B-A90A-799200D9A0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1311.35</c:v>
                </c:pt>
                <c:pt idx="1">
                  <c:v>1326.8</c:v>
                </c:pt>
                <c:pt idx="2">
                  <c:v>1328.4</c:v>
                </c:pt>
                <c:pt idx="3">
                  <c:v>1329.95</c:v>
                </c:pt>
                <c:pt idx="4">
                  <c:v>1323.9</c:v>
                </c:pt>
                <c:pt idx="5">
                  <c:v>1315</c:v>
                </c:pt>
                <c:pt idx="6">
                  <c:v>1294.9000000000001</c:v>
                </c:pt>
                <c:pt idx="7">
                  <c:v>1290</c:v>
                </c:pt>
                <c:pt idx="8">
                  <c:v>1278.2</c:v>
                </c:pt>
                <c:pt idx="9">
                  <c:v>1275.2</c:v>
                </c:pt>
                <c:pt idx="10">
                  <c:v>1281</c:v>
                </c:pt>
                <c:pt idx="11">
                  <c:v>1263.9000000000001</c:v>
                </c:pt>
                <c:pt idx="12">
                  <c:v>1259.95</c:v>
                </c:pt>
                <c:pt idx="13">
                  <c:v>1244.9000000000001</c:v>
                </c:pt>
                <c:pt idx="14">
                  <c:v>1239.5</c:v>
                </c:pt>
                <c:pt idx="15">
                  <c:v>1227.2</c:v>
                </c:pt>
                <c:pt idx="16">
                  <c:v>1233.55</c:v>
                </c:pt>
                <c:pt idx="17">
                  <c:v>1227.7</c:v>
                </c:pt>
                <c:pt idx="18">
                  <c:v>1227.9000000000001</c:v>
                </c:pt>
                <c:pt idx="19">
                  <c:v>1223.2</c:v>
                </c:pt>
                <c:pt idx="20">
                  <c:v>1219.0999999999999</c:v>
                </c:pt>
                <c:pt idx="21">
                  <c:v>1226.3</c:v>
                </c:pt>
                <c:pt idx="22">
                  <c:v>1244.45</c:v>
                </c:pt>
                <c:pt idx="23">
                  <c:v>1262.05</c:v>
                </c:pt>
                <c:pt idx="24">
                  <c:v>1262</c:v>
                </c:pt>
                <c:pt idx="25">
                  <c:v>1244.5</c:v>
                </c:pt>
                <c:pt idx="26">
                  <c:v>1271.05</c:v>
                </c:pt>
                <c:pt idx="27">
                  <c:v>1269.75</c:v>
                </c:pt>
                <c:pt idx="28">
                  <c:v>1256.75</c:v>
                </c:pt>
                <c:pt idx="29">
                  <c:v>1245.25</c:v>
                </c:pt>
                <c:pt idx="30">
                  <c:v>1253.3499999999999</c:v>
                </c:pt>
                <c:pt idx="31">
                  <c:v>1257</c:v>
                </c:pt>
                <c:pt idx="32">
                  <c:v>1275</c:v>
                </c:pt>
                <c:pt idx="33">
                  <c:v>1326</c:v>
                </c:pt>
                <c:pt idx="34">
                  <c:v>1316</c:v>
                </c:pt>
                <c:pt idx="35">
                  <c:v>1313</c:v>
                </c:pt>
                <c:pt idx="36">
                  <c:v>1282.9000000000001</c:v>
                </c:pt>
                <c:pt idx="37">
                  <c:v>1277.3499999999999</c:v>
                </c:pt>
                <c:pt idx="38">
                  <c:v>1273</c:v>
                </c:pt>
                <c:pt idx="39">
                  <c:v>1240.45</c:v>
                </c:pt>
                <c:pt idx="40">
                  <c:v>1244.75</c:v>
                </c:pt>
                <c:pt idx="41">
                  <c:v>1242.75</c:v>
                </c:pt>
                <c:pt idx="42">
                  <c:v>1257</c:v>
                </c:pt>
                <c:pt idx="43">
                  <c:v>1267</c:v>
                </c:pt>
                <c:pt idx="44">
                  <c:v>1256</c:v>
                </c:pt>
                <c:pt idx="45">
                  <c:v>1288.8</c:v>
                </c:pt>
                <c:pt idx="46">
                  <c:v>1290.5</c:v>
                </c:pt>
                <c:pt idx="47">
                  <c:v>1288</c:v>
                </c:pt>
                <c:pt idx="48">
                  <c:v>1283.7</c:v>
                </c:pt>
                <c:pt idx="49">
                  <c:v>1266.5</c:v>
                </c:pt>
                <c:pt idx="50">
                  <c:v>1264.55</c:v>
                </c:pt>
                <c:pt idx="51">
                  <c:v>1226.9000000000001</c:v>
                </c:pt>
                <c:pt idx="52">
                  <c:v>1228</c:v>
                </c:pt>
                <c:pt idx="53">
                  <c:v>1224</c:v>
                </c:pt>
                <c:pt idx="54">
                  <c:v>1227.5</c:v>
                </c:pt>
                <c:pt idx="55">
                  <c:v>1229.9000000000001</c:v>
                </c:pt>
                <c:pt idx="56">
                  <c:v>1232.75</c:v>
                </c:pt>
                <c:pt idx="57">
                  <c:v>1239.3499999999999</c:v>
                </c:pt>
                <c:pt idx="58">
                  <c:v>1240</c:v>
                </c:pt>
                <c:pt idx="59">
                  <c:v>1223.25</c:v>
                </c:pt>
                <c:pt idx="60">
                  <c:v>1221</c:v>
                </c:pt>
                <c:pt idx="61">
                  <c:v>1215</c:v>
                </c:pt>
                <c:pt idx="62">
                  <c:v>1217.3499999999999</c:v>
                </c:pt>
                <c:pt idx="63">
                  <c:v>1206.45</c:v>
                </c:pt>
                <c:pt idx="64">
                  <c:v>1174</c:v>
                </c:pt>
                <c:pt idx="65">
                  <c:v>1183</c:v>
                </c:pt>
                <c:pt idx="66">
                  <c:v>1213.95</c:v>
                </c:pt>
                <c:pt idx="67">
                  <c:v>1254.8</c:v>
                </c:pt>
                <c:pt idx="68">
                  <c:v>1258</c:v>
                </c:pt>
                <c:pt idx="69">
                  <c:v>1249.5</c:v>
                </c:pt>
                <c:pt idx="70">
                  <c:v>1263</c:v>
                </c:pt>
                <c:pt idx="71">
                  <c:v>1264.1500000000001</c:v>
                </c:pt>
                <c:pt idx="72">
                  <c:v>0</c:v>
                </c:pt>
                <c:pt idx="73">
                  <c:v>1248.3499999999999</c:v>
                </c:pt>
                <c:pt idx="74">
                  <c:v>1253.25</c:v>
                </c:pt>
                <c:pt idx="75">
                  <c:v>1273</c:v>
                </c:pt>
                <c:pt idx="76">
                  <c:v>1281</c:v>
                </c:pt>
                <c:pt idx="77">
                  <c:v>1306</c:v>
                </c:pt>
                <c:pt idx="78">
                  <c:v>1307.7</c:v>
                </c:pt>
                <c:pt idx="79">
                  <c:v>1293.8</c:v>
                </c:pt>
                <c:pt idx="80">
                  <c:v>1285</c:v>
                </c:pt>
                <c:pt idx="81">
                  <c:v>1295.75</c:v>
                </c:pt>
                <c:pt idx="82">
                  <c:v>1277.9000000000001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4-4E6B-A90A-799200D9A0D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1277.05</c:v>
                </c:pt>
                <c:pt idx="1">
                  <c:v>1307</c:v>
                </c:pt>
                <c:pt idx="2">
                  <c:v>1304.05</c:v>
                </c:pt>
                <c:pt idx="3">
                  <c:v>1306.1500000000001</c:v>
                </c:pt>
                <c:pt idx="4">
                  <c:v>1310</c:v>
                </c:pt>
                <c:pt idx="5">
                  <c:v>1293.0999999999999</c:v>
                </c:pt>
                <c:pt idx="6">
                  <c:v>1280.2</c:v>
                </c:pt>
                <c:pt idx="7">
                  <c:v>1276.05</c:v>
                </c:pt>
                <c:pt idx="8">
                  <c:v>1260.5999999999999</c:v>
                </c:pt>
                <c:pt idx="9">
                  <c:v>1239.5999999999999</c:v>
                </c:pt>
                <c:pt idx="10">
                  <c:v>1266.55</c:v>
                </c:pt>
                <c:pt idx="11">
                  <c:v>1242.8</c:v>
                </c:pt>
                <c:pt idx="12">
                  <c:v>1240.6500000000001</c:v>
                </c:pt>
                <c:pt idx="13">
                  <c:v>1229</c:v>
                </c:pt>
                <c:pt idx="14">
                  <c:v>1201.5</c:v>
                </c:pt>
                <c:pt idx="15">
                  <c:v>1213.2</c:v>
                </c:pt>
                <c:pt idx="16">
                  <c:v>1221</c:v>
                </c:pt>
                <c:pt idx="17">
                  <c:v>1214.25</c:v>
                </c:pt>
                <c:pt idx="18">
                  <c:v>1217</c:v>
                </c:pt>
                <c:pt idx="19">
                  <c:v>1208.0999999999999</c:v>
                </c:pt>
                <c:pt idx="20">
                  <c:v>1206.1500000000001</c:v>
                </c:pt>
                <c:pt idx="21">
                  <c:v>1211.5999999999999</c:v>
                </c:pt>
                <c:pt idx="22">
                  <c:v>1220</c:v>
                </c:pt>
                <c:pt idx="23">
                  <c:v>1235.5</c:v>
                </c:pt>
                <c:pt idx="24">
                  <c:v>1215</c:v>
                </c:pt>
                <c:pt idx="25">
                  <c:v>1221.25</c:v>
                </c:pt>
                <c:pt idx="26">
                  <c:v>1245.3499999999999</c:v>
                </c:pt>
                <c:pt idx="27">
                  <c:v>1248.05</c:v>
                </c:pt>
                <c:pt idx="28">
                  <c:v>1236</c:v>
                </c:pt>
                <c:pt idx="29">
                  <c:v>1226.4000000000001</c:v>
                </c:pt>
                <c:pt idx="30">
                  <c:v>1227.25</c:v>
                </c:pt>
                <c:pt idx="31">
                  <c:v>1241.8499999999999</c:v>
                </c:pt>
                <c:pt idx="32">
                  <c:v>1251.3</c:v>
                </c:pt>
                <c:pt idx="33">
                  <c:v>1285</c:v>
                </c:pt>
                <c:pt idx="34">
                  <c:v>1300.25</c:v>
                </c:pt>
                <c:pt idx="35">
                  <c:v>1270.2</c:v>
                </c:pt>
                <c:pt idx="36">
                  <c:v>1268.7</c:v>
                </c:pt>
                <c:pt idx="37">
                  <c:v>1261.5999999999999</c:v>
                </c:pt>
                <c:pt idx="38">
                  <c:v>1243.5</c:v>
                </c:pt>
                <c:pt idx="39">
                  <c:v>1220</c:v>
                </c:pt>
                <c:pt idx="40">
                  <c:v>1218.5</c:v>
                </c:pt>
                <c:pt idx="41">
                  <c:v>1228.05</c:v>
                </c:pt>
                <c:pt idx="42">
                  <c:v>1232.4000000000001</c:v>
                </c:pt>
                <c:pt idx="43">
                  <c:v>1249</c:v>
                </c:pt>
                <c:pt idx="44">
                  <c:v>1237.55</c:v>
                </c:pt>
                <c:pt idx="45">
                  <c:v>1246.5999999999999</c:v>
                </c:pt>
                <c:pt idx="46">
                  <c:v>1276.7</c:v>
                </c:pt>
                <c:pt idx="47">
                  <c:v>1270.3499999999999</c:v>
                </c:pt>
                <c:pt idx="48">
                  <c:v>1262</c:v>
                </c:pt>
                <c:pt idx="49">
                  <c:v>1245.55</c:v>
                </c:pt>
                <c:pt idx="50">
                  <c:v>1230.0999999999999</c:v>
                </c:pt>
                <c:pt idx="51">
                  <c:v>1193.3499999999999</c:v>
                </c:pt>
                <c:pt idx="52">
                  <c:v>1212</c:v>
                </c:pt>
                <c:pt idx="53">
                  <c:v>1205.45</c:v>
                </c:pt>
                <c:pt idx="54">
                  <c:v>1204.5</c:v>
                </c:pt>
                <c:pt idx="55">
                  <c:v>1216.0999999999999</c:v>
                </c:pt>
                <c:pt idx="56">
                  <c:v>1217.55</c:v>
                </c:pt>
                <c:pt idx="57">
                  <c:v>1222</c:v>
                </c:pt>
                <c:pt idx="58">
                  <c:v>1222.1500000000001</c:v>
                </c:pt>
                <c:pt idx="59">
                  <c:v>1210.5</c:v>
                </c:pt>
                <c:pt idx="60">
                  <c:v>1201.5</c:v>
                </c:pt>
                <c:pt idx="61">
                  <c:v>1200.6500000000001</c:v>
                </c:pt>
                <c:pt idx="62">
                  <c:v>1193.3</c:v>
                </c:pt>
                <c:pt idx="63">
                  <c:v>1156</c:v>
                </c:pt>
                <c:pt idx="64">
                  <c:v>1159.55</c:v>
                </c:pt>
                <c:pt idx="65">
                  <c:v>1157</c:v>
                </c:pt>
                <c:pt idx="66">
                  <c:v>1185.1500000000001</c:v>
                </c:pt>
                <c:pt idx="67">
                  <c:v>1212</c:v>
                </c:pt>
                <c:pt idx="68">
                  <c:v>1235.4000000000001</c:v>
                </c:pt>
                <c:pt idx="69">
                  <c:v>1229.75</c:v>
                </c:pt>
                <c:pt idx="70">
                  <c:v>1244</c:v>
                </c:pt>
                <c:pt idx="71">
                  <c:v>1243.8499999999999</c:v>
                </c:pt>
                <c:pt idx="72">
                  <c:v>0</c:v>
                </c:pt>
                <c:pt idx="73">
                  <c:v>1235</c:v>
                </c:pt>
                <c:pt idx="74">
                  <c:v>1238.8</c:v>
                </c:pt>
                <c:pt idx="75">
                  <c:v>1250.05</c:v>
                </c:pt>
                <c:pt idx="76">
                  <c:v>1270.0999999999999</c:v>
                </c:pt>
                <c:pt idx="77">
                  <c:v>1284.25</c:v>
                </c:pt>
                <c:pt idx="78">
                  <c:v>1282.5999999999999</c:v>
                </c:pt>
                <c:pt idx="79">
                  <c:v>1268.75</c:v>
                </c:pt>
                <c:pt idx="80">
                  <c:v>1271.3</c:v>
                </c:pt>
                <c:pt idx="81">
                  <c:v>1269</c:v>
                </c:pt>
                <c:pt idx="82">
                  <c:v>1249.3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E6B-A90A-799200D9A0D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0">
                  <c:v>1309.1500000000001</c:v>
                </c:pt>
                <c:pt idx="1">
                  <c:v>1323.3</c:v>
                </c:pt>
                <c:pt idx="2">
                  <c:v>1308.95</c:v>
                </c:pt>
                <c:pt idx="3">
                  <c:v>1322.05</c:v>
                </c:pt>
                <c:pt idx="4">
                  <c:v>1311.55</c:v>
                </c:pt>
                <c:pt idx="5">
                  <c:v>1295.1500000000001</c:v>
                </c:pt>
                <c:pt idx="6">
                  <c:v>1284.8499999999999</c:v>
                </c:pt>
                <c:pt idx="7">
                  <c:v>1278.2</c:v>
                </c:pt>
                <c:pt idx="8">
                  <c:v>1262.9000000000001</c:v>
                </c:pt>
                <c:pt idx="9">
                  <c:v>1272.8499999999999</c:v>
                </c:pt>
                <c:pt idx="10">
                  <c:v>1268.3</c:v>
                </c:pt>
                <c:pt idx="11">
                  <c:v>1245.3</c:v>
                </c:pt>
                <c:pt idx="12">
                  <c:v>1253.25</c:v>
                </c:pt>
                <c:pt idx="13">
                  <c:v>1230.45</c:v>
                </c:pt>
                <c:pt idx="14">
                  <c:v>1205.3</c:v>
                </c:pt>
                <c:pt idx="15">
                  <c:v>1222.3</c:v>
                </c:pt>
                <c:pt idx="16">
                  <c:v>1222.75</c:v>
                </c:pt>
                <c:pt idx="17">
                  <c:v>1216.55</c:v>
                </c:pt>
                <c:pt idx="18">
                  <c:v>1221.05</c:v>
                </c:pt>
                <c:pt idx="19">
                  <c:v>1210.7</c:v>
                </c:pt>
                <c:pt idx="20">
                  <c:v>1215.45</c:v>
                </c:pt>
                <c:pt idx="21">
                  <c:v>1221.25</c:v>
                </c:pt>
                <c:pt idx="22">
                  <c:v>1241.8</c:v>
                </c:pt>
                <c:pt idx="23">
                  <c:v>1251.1500000000001</c:v>
                </c:pt>
                <c:pt idx="24">
                  <c:v>1218</c:v>
                </c:pt>
                <c:pt idx="25">
                  <c:v>1240.8499999999999</c:v>
                </c:pt>
                <c:pt idx="26">
                  <c:v>1265.5</c:v>
                </c:pt>
                <c:pt idx="27">
                  <c:v>1254.75</c:v>
                </c:pt>
                <c:pt idx="28">
                  <c:v>1241.9000000000001</c:v>
                </c:pt>
                <c:pt idx="29">
                  <c:v>1239.8499999999999</c:v>
                </c:pt>
                <c:pt idx="30">
                  <c:v>1238.75</c:v>
                </c:pt>
                <c:pt idx="31">
                  <c:v>1252.2</c:v>
                </c:pt>
                <c:pt idx="32">
                  <c:v>1266.45</c:v>
                </c:pt>
                <c:pt idx="33">
                  <c:v>1302.3499999999999</c:v>
                </c:pt>
                <c:pt idx="34">
                  <c:v>1305.45</c:v>
                </c:pt>
                <c:pt idx="35">
                  <c:v>1273.7</c:v>
                </c:pt>
                <c:pt idx="36">
                  <c:v>1277.0999999999999</c:v>
                </c:pt>
                <c:pt idx="37">
                  <c:v>1263.6500000000001</c:v>
                </c:pt>
                <c:pt idx="38">
                  <c:v>1246.3</c:v>
                </c:pt>
                <c:pt idx="39">
                  <c:v>1229.3499999999999</c:v>
                </c:pt>
                <c:pt idx="40">
                  <c:v>1234.4000000000001</c:v>
                </c:pt>
                <c:pt idx="41">
                  <c:v>1235.5</c:v>
                </c:pt>
                <c:pt idx="42">
                  <c:v>1253.05</c:v>
                </c:pt>
                <c:pt idx="43">
                  <c:v>1265.0999999999999</c:v>
                </c:pt>
                <c:pt idx="44">
                  <c:v>1245.9000000000001</c:v>
                </c:pt>
                <c:pt idx="45">
                  <c:v>1285.2</c:v>
                </c:pt>
                <c:pt idx="46">
                  <c:v>1278.2</c:v>
                </c:pt>
                <c:pt idx="47">
                  <c:v>1281.55</c:v>
                </c:pt>
                <c:pt idx="48">
                  <c:v>1266.7</c:v>
                </c:pt>
                <c:pt idx="49">
                  <c:v>1253.6500000000001</c:v>
                </c:pt>
                <c:pt idx="50">
                  <c:v>1234.8499999999999</c:v>
                </c:pt>
                <c:pt idx="51">
                  <c:v>1216.55</c:v>
                </c:pt>
                <c:pt idx="52">
                  <c:v>1216.0999999999999</c:v>
                </c:pt>
                <c:pt idx="53">
                  <c:v>1217.25</c:v>
                </c:pt>
                <c:pt idx="54">
                  <c:v>1224.9000000000001</c:v>
                </c:pt>
                <c:pt idx="55">
                  <c:v>1225.4000000000001</c:v>
                </c:pt>
                <c:pt idx="56">
                  <c:v>1227.45</c:v>
                </c:pt>
                <c:pt idx="57">
                  <c:v>1233</c:v>
                </c:pt>
                <c:pt idx="58">
                  <c:v>1228.1500000000001</c:v>
                </c:pt>
                <c:pt idx="59">
                  <c:v>1214.55</c:v>
                </c:pt>
                <c:pt idx="60">
                  <c:v>1204</c:v>
                </c:pt>
                <c:pt idx="61">
                  <c:v>1207.0999999999999</c:v>
                </c:pt>
                <c:pt idx="62">
                  <c:v>1200.0999999999999</c:v>
                </c:pt>
                <c:pt idx="63">
                  <c:v>1171.25</c:v>
                </c:pt>
                <c:pt idx="64">
                  <c:v>1161.9000000000001</c:v>
                </c:pt>
                <c:pt idx="65">
                  <c:v>1175.5999999999999</c:v>
                </c:pt>
                <c:pt idx="66">
                  <c:v>1209.5999999999999</c:v>
                </c:pt>
                <c:pt idx="67">
                  <c:v>1249.8</c:v>
                </c:pt>
                <c:pt idx="68">
                  <c:v>1238.4000000000001</c:v>
                </c:pt>
                <c:pt idx="69">
                  <c:v>1247.3</c:v>
                </c:pt>
                <c:pt idx="70">
                  <c:v>1257.05</c:v>
                </c:pt>
                <c:pt idx="71">
                  <c:v>1247.9000000000001</c:v>
                </c:pt>
                <c:pt idx="72">
                  <c:v>1246.6500000000001</c:v>
                </c:pt>
                <c:pt idx="73">
                  <c:v>1238.8</c:v>
                </c:pt>
                <c:pt idx="74">
                  <c:v>1247.1500000000001</c:v>
                </c:pt>
                <c:pt idx="75">
                  <c:v>1269.1500000000001</c:v>
                </c:pt>
                <c:pt idx="76">
                  <c:v>1276.3499999999999</c:v>
                </c:pt>
                <c:pt idx="77">
                  <c:v>1302.0999999999999</c:v>
                </c:pt>
                <c:pt idx="78">
                  <c:v>1285.45</c:v>
                </c:pt>
                <c:pt idx="79">
                  <c:v>1273.05</c:v>
                </c:pt>
                <c:pt idx="80">
                  <c:v>1278.2</c:v>
                </c:pt>
                <c:pt idx="81">
                  <c:v>1275.0999999999999</c:v>
                </c:pt>
                <c:pt idx="82">
                  <c:v>1252.5999999999999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E6B-A90A-799200D9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2857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285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198187007"/>
        <c:axId val="198187487"/>
      </c:stockChart>
      <c:dateAx>
        <c:axId val="198187007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7487"/>
        <c:crosses val="autoZero"/>
        <c:auto val="1"/>
        <c:lblOffset val="100"/>
        <c:baseTimeUnit val="days"/>
      </c:dateAx>
      <c:valAx>
        <c:axId val="1981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1288</c:v>
                </c:pt>
                <c:pt idx="1">
                  <c:v>1317</c:v>
                </c:pt>
                <c:pt idx="2">
                  <c:v>1326</c:v>
                </c:pt>
                <c:pt idx="3">
                  <c:v>1314.35</c:v>
                </c:pt>
                <c:pt idx="4">
                  <c:v>1323.9</c:v>
                </c:pt>
                <c:pt idx="5">
                  <c:v>1303</c:v>
                </c:pt>
                <c:pt idx="6">
                  <c:v>1289.25</c:v>
                </c:pt>
                <c:pt idx="7">
                  <c:v>1285</c:v>
                </c:pt>
                <c:pt idx="8">
                  <c:v>1270</c:v>
                </c:pt>
                <c:pt idx="9">
                  <c:v>1260</c:v>
                </c:pt>
                <c:pt idx="10">
                  <c:v>1275</c:v>
                </c:pt>
                <c:pt idx="11">
                  <c:v>1261.05</c:v>
                </c:pt>
                <c:pt idx="12">
                  <c:v>1240.6500000000001</c:v>
                </c:pt>
                <c:pt idx="13">
                  <c:v>1239</c:v>
                </c:pt>
                <c:pt idx="14">
                  <c:v>1224</c:v>
                </c:pt>
                <c:pt idx="15">
                  <c:v>1215</c:v>
                </c:pt>
                <c:pt idx="16">
                  <c:v>1222.3</c:v>
                </c:pt>
                <c:pt idx="17">
                  <c:v>1224.25</c:v>
                </c:pt>
                <c:pt idx="18">
                  <c:v>1218.3</c:v>
                </c:pt>
                <c:pt idx="19">
                  <c:v>1216.4000000000001</c:v>
                </c:pt>
                <c:pt idx="20">
                  <c:v>1208</c:v>
                </c:pt>
                <c:pt idx="21">
                  <c:v>1214.8499999999999</c:v>
                </c:pt>
                <c:pt idx="22">
                  <c:v>1221.25</c:v>
                </c:pt>
                <c:pt idx="23">
                  <c:v>1243.9000000000001</c:v>
                </c:pt>
                <c:pt idx="24">
                  <c:v>1253.95</c:v>
                </c:pt>
                <c:pt idx="25">
                  <c:v>1222</c:v>
                </c:pt>
                <c:pt idx="26">
                  <c:v>1249</c:v>
                </c:pt>
                <c:pt idx="27">
                  <c:v>1267</c:v>
                </c:pt>
                <c:pt idx="28">
                  <c:v>1253.8499999999999</c:v>
                </c:pt>
                <c:pt idx="29">
                  <c:v>1230</c:v>
                </c:pt>
                <c:pt idx="30">
                  <c:v>1244.0999999999999</c:v>
                </c:pt>
                <c:pt idx="31">
                  <c:v>1244.95</c:v>
                </c:pt>
                <c:pt idx="32">
                  <c:v>1258.9000000000001</c:v>
                </c:pt>
                <c:pt idx="33">
                  <c:v>1322.25</c:v>
                </c:pt>
                <c:pt idx="34">
                  <c:v>1316</c:v>
                </c:pt>
                <c:pt idx="35">
                  <c:v>1310.5</c:v>
                </c:pt>
                <c:pt idx="36">
                  <c:v>1278.3</c:v>
                </c:pt>
                <c:pt idx="37">
                  <c:v>1270</c:v>
                </c:pt>
                <c:pt idx="38">
                  <c:v>1266</c:v>
                </c:pt>
                <c:pt idx="39">
                  <c:v>1239.0999999999999</c:v>
                </c:pt>
                <c:pt idx="40">
                  <c:v>1238</c:v>
                </c:pt>
                <c:pt idx="41">
                  <c:v>1236</c:v>
                </c:pt>
                <c:pt idx="42">
                  <c:v>1235.55</c:v>
                </c:pt>
                <c:pt idx="43">
                  <c:v>1255.8499999999999</c:v>
                </c:pt>
                <c:pt idx="44">
                  <c:v>1251</c:v>
                </c:pt>
                <c:pt idx="45">
                  <c:v>1248.05</c:v>
                </c:pt>
                <c:pt idx="46">
                  <c:v>1282.6500000000001</c:v>
                </c:pt>
                <c:pt idx="47">
                  <c:v>1273.7</c:v>
                </c:pt>
                <c:pt idx="48">
                  <c:v>1276.1500000000001</c:v>
                </c:pt>
                <c:pt idx="49">
                  <c:v>1264.5</c:v>
                </c:pt>
                <c:pt idx="50">
                  <c:v>1264.55</c:v>
                </c:pt>
                <c:pt idx="51">
                  <c:v>1219.45</c:v>
                </c:pt>
                <c:pt idx="52">
                  <c:v>1217.05</c:v>
                </c:pt>
                <c:pt idx="53">
                  <c:v>1219</c:v>
                </c:pt>
                <c:pt idx="54">
                  <c:v>1211.0999999999999</c:v>
                </c:pt>
                <c:pt idx="55">
                  <c:v>1224.8499999999999</c:v>
                </c:pt>
                <c:pt idx="56">
                  <c:v>1219.5</c:v>
                </c:pt>
                <c:pt idx="57">
                  <c:v>1223.95</c:v>
                </c:pt>
                <c:pt idx="58">
                  <c:v>1228.7</c:v>
                </c:pt>
                <c:pt idx="59">
                  <c:v>1216.55</c:v>
                </c:pt>
                <c:pt idx="60">
                  <c:v>1211</c:v>
                </c:pt>
                <c:pt idx="61">
                  <c:v>1212.8</c:v>
                </c:pt>
                <c:pt idx="62">
                  <c:v>1202</c:v>
                </c:pt>
                <c:pt idx="63">
                  <c:v>1204</c:v>
                </c:pt>
                <c:pt idx="64">
                  <c:v>1162.2</c:v>
                </c:pt>
                <c:pt idx="65">
                  <c:v>1161</c:v>
                </c:pt>
                <c:pt idx="66">
                  <c:v>1197</c:v>
                </c:pt>
                <c:pt idx="67">
                  <c:v>1216</c:v>
                </c:pt>
                <c:pt idx="68">
                  <c:v>1245</c:v>
                </c:pt>
                <c:pt idx="69">
                  <c:v>1240</c:v>
                </c:pt>
                <c:pt idx="70">
                  <c:v>1258</c:v>
                </c:pt>
                <c:pt idx="71">
                  <c:v>1260.05</c:v>
                </c:pt>
                <c:pt idx="72">
                  <c:v>1242.1500000000001</c:v>
                </c:pt>
                <c:pt idx="73">
                  <c:v>1244.7</c:v>
                </c:pt>
                <c:pt idx="74">
                  <c:v>1241.05</c:v>
                </c:pt>
                <c:pt idx="75">
                  <c:v>1251.8499999999999</c:v>
                </c:pt>
                <c:pt idx="76">
                  <c:v>1275</c:v>
                </c:pt>
                <c:pt idx="77">
                  <c:v>1291</c:v>
                </c:pt>
                <c:pt idx="78">
                  <c:v>1307.7</c:v>
                </c:pt>
                <c:pt idx="79">
                  <c:v>1291</c:v>
                </c:pt>
                <c:pt idx="80">
                  <c:v>1278.1500000000001</c:v>
                </c:pt>
                <c:pt idx="81">
                  <c:v>1280</c:v>
                </c:pt>
                <c:pt idx="82">
                  <c:v>1264.5999999999999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6-418D-9759-A26EA14913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1311.35</c:v>
                </c:pt>
                <c:pt idx="1">
                  <c:v>1326.8</c:v>
                </c:pt>
                <c:pt idx="2">
                  <c:v>1328.4</c:v>
                </c:pt>
                <c:pt idx="3">
                  <c:v>1329.95</c:v>
                </c:pt>
                <c:pt idx="4">
                  <c:v>1323.9</c:v>
                </c:pt>
                <c:pt idx="5">
                  <c:v>1315</c:v>
                </c:pt>
                <c:pt idx="6">
                  <c:v>1294.9000000000001</c:v>
                </c:pt>
                <c:pt idx="7">
                  <c:v>1290</c:v>
                </c:pt>
                <c:pt idx="8">
                  <c:v>1278.2</c:v>
                </c:pt>
                <c:pt idx="9">
                  <c:v>1275.2</c:v>
                </c:pt>
                <c:pt idx="10">
                  <c:v>1281</c:v>
                </c:pt>
                <c:pt idx="11">
                  <c:v>1263.9000000000001</c:v>
                </c:pt>
                <c:pt idx="12">
                  <c:v>1259.95</c:v>
                </c:pt>
                <c:pt idx="13">
                  <c:v>1244.9000000000001</c:v>
                </c:pt>
                <c:pt idx="14">
                  <c:v>1239.5</c:v>
                </c:pt>
                <c:pt idx="15">
                  <c:v>1227.2</c:v>
                </c:pt>
                <c:pt idx="16">
                  <c:v>1233.55</c:v>
                </c:pt>
                <c:pt idx="17">
                  <c:v>1227.7</c:v>
                </c:pt>
                <c:pt idx="18">
                  <c:v>1227.9000000000001</c:v>
                </c:pt>
                <c:pt idx="19">
                  <c:v>1223.2</c:v>
                </c:pt>
                <c:pt idx="20">
                  <c:v>1219.0999999999999</c:v>
                </c:pt>
                <c:pt idx="21">
                  <c:v>1226.3</c:v>
                </c:pt>
                <c:pt idx="22">
                  <c:v>1244.45</c:v>
                </c:pt>
                <c:pt idx="23">
                  <c:v>1262.05</c:v>
                </c:pt>
                <c:pt idx="24">
                  <c:v>1262</c:v>
                </c:pt>
                <c:pt idx="25">
                  <c:v>1244.5</c:v>
                </c:pt>
                <c:pt idx="26">
                  <c:v>1271.05</c:v>
                </c:pt>
                <c:pt idx="27">
                  <c:v>1269.75</c:v>
                </c:pt>
                <c:pt idx="28">
                  <c:v>1256.75</c:v>
                </c:pt>
                <c:pt idx="29">
                  <c:v>1245.25</c:v>
                </c:pt>
                <c:pt idx="30">
                  <c:v>1253.3499999999999</c:v>
                </c:pt>
                <c:pt idx="31">
                  <c:v>1257</c:v>
                </c:pt>
                <c:pt idx="32">
                  <c:v>1275</c:v>
                </c:pt>
                <c:pt idx="33">
                  <c:v>1326</c:v>
                </c:pt>
                <c:pt idx="34">
                  <c:v>1316</c:v>
                </c:pt>
                <c:pt idx="35">
                  <c:v>1313</c:v>
                </c:pt>
                <c:pt idx="36">
                  <c:v>1282.9000000000001</c:v>
                </c:pt>
                <c:pt idx="37">
                  <c:v>1277.3499999999999</c:v>
                </c:pt>
                <c:pt idx="38">
                  <c:v>1273</c:v>
                </c:pt>
                <c:pt idx="39">
                  <c:v>1240.45</c:v>
                </c:pt>
                <c:pt idx="40">
                  <c:v>1244.75</c:v>
                </c:pt>
                <c:pt idx="41">
                  <c:v>1242.75</c:v>
                </c:pt>
                <c:pt idx="42">
                  <c:v>1257</c:v>
                </c:pt>
                <c:pt idx="43">
                  <c:v>1267</c:v>
                </c:pt>
                <c:pt idx="44">
                  <c:v>1256</c:v>
                </c:pt>
                <c:pt idx="45">
                  <c:v>1288.8</c:v>
                </c:pt>
                <c:pt idx="46">
                  <c:v>1290.5</c:v>
                </c:pt>
                <c:pt idx="47">
                  <c:v>1288</c:v>
                </c:pt>
                <c:pt idx="48">
                  <c:v>1283.7</c:v>
                </c:pt>
                <c:pt idx="49">
                  <c:v>1266.5</c:v>
                </c:pt>
                <c:pt idx="50">
                  <c:v>1264.55</c:v>
                </c:pt>
                <c:pt idx="51">
                  <c:v>1226.9000000000001</c:v>
                </c:pt>
                <c:pt idx="52">
                  <c:v>1228</c:v>
                </c:pt>
                <c:pt idx="53">
                  <c:v>1224</c:v>
                </c:pt>
                <c:pt idx="54">
                  <c:v>1227.5</c:v>
                </c:pt>
                <c:pt idx="55">
                  <c:v>1229.9000000000001</c:v>
                </c:pt>
                <c:pt idx="56">
                  <c:v>1232.75</c:v>
                </c:pt>
                <c:pt idx="57">
                  <c:v>1239.3499999999999</c:v>
                </c:pt>
                <c:pt idx="58">
                  <c:v>1240</c:v>
                </c:pt>
                <c:pt idx="59">
                  <c:v>1223.25</c:v>
                </c:pt>
                <c:pt idx="60">
                  <c:v>1221</c:v>
                </c:pt>
                <c:pt idx="61">
                  <c:v>1215</c:v>
                </c:pt>
                <c:pt idx="62">
                  <c:v>1217.3499999999999</c:v>
                </c:pt>
                <c:pt idx="63">
                  <c:v>1206.45</c:v>
                </c:pt>
                <c:pt idx="64">
                  <c:v>1174</c:v>
                </c:pt>
                <c:pt idx="65">
                  <c:v>1183</c:v>
                </c:pt>
                <c:pt idx="66">
                  <c:v>1213.95</c:v>
                </c:pt>
                <c:pt idx="67">
                  <c:v>1254.8</c:v>
                </c:pt>
                <c:pt idx="68">
                  <c:v>1258</c:v>
                </c:pt>
                <c:pt idx="69">
                  <c:v>1249.5</c:v>
                </c:pt>
                <c:pt idx="70">
                  <c:v>1263</c:v>
                </c:pt>
                <c:pt idx="71">
                  <c:v>1264.1500000000001</c:v>
                </c:pt>
                <c:pt idx="72">
                  <c:v>0</c:v>
                </c:pt>
                <c:pt idx="73">
                  <c:v>1248.3499999999999</c:v>
                </c:pt>
                <c:pt idx="74">
                  <c:v>1253.25</c:v>
                </c:pt>
                <c:pt idx="75">
                  <c:v>1273</c:v>
                </c:pt>
                <c:pt idx="76">
                  <c:v>1281</c:v>
                </c:pt>
                <c:pt idx="77">
                  <c:v>1306</c:v>
                </c:pt>
                <c:pt idx="78">
                  <c:v>1307.7</c:v>
                </c:pt>
                <c:pt idx="79">
                  <c:v>1293.8</c:v>
                </c:pt>
                <c:pt idx="80">
                  <c:v>1285</c:v>
                </c:pt>
                <c:pt idx="81">
                  <c:v>1295.75</c:v>
                </c:pt>
                <c:pt idx="82">
                  <c:v>1277.9000000000001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6-418D-9759-A26EA14913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1277.05</c:v>
                </c:pt>
                <c:pt idx="1">
                  <c:v>1307</c:v>
                </c:pt>
                <c:pt idx="2">
                  <c:v>1304.05</c:v>
                </c:pt>
                <c:pt idx="3">
                  <c:v>1306.1500000000001</c:v>
                </c:pt>
                <c:pt idx="4">
                  <c:v>1310</c:v>
                </c:pt>
                <c:pt idx="5">
                  <c:v>1293.0999999999999</c:v>
                </c:pt>
                <c:pt idx="6">
                  <c:v>1280.2</c:v>
                </c:pt>
                <c:pt idx="7">
                  <c:v>1276.05</c:v>
                </c:pt>
                <c:pt idx="8">
                  <c:v>1260.5999999999999</c:v>
                </c:pt>
                <c:pt idx="9">
                  <c:v>1239.5999999999999</c:v>
                </c:pt>
                <c:pt idx="10">
                  <c:v>1266.55</c:v>
                </c:pt>
                <c:pt idx="11">
                  <c:v>1242.8</c:v>
                </c:pt>
                <c:pt idx="12">
                  <c:v>1240.6500000000001</c:v>
                </c:pt>
                <c:pt idx="13">
                  <c:v>1229</c:v>
                </c:pt>
                <c:pt idx="14">
                  <c:v>1201.5</c:v>
                </c:pt>
                <c:pt idx="15">
                  <c:v>1213.2</c:v>
                </c:pt>
                <c:pt idx="16">
                  <c:v>1221</c:v>
                </c:pt>
                <c:pt idx="17">
                  <c:v>1214.25</c:v>
                </c:pt>
                <c:pt idx="18">
                  <c:v>1217</c:v>
                </c:pt>
                <c:pt idx="19">
                  <c:v>1208.0999999999999</c:v>
                </c:pt>
                <c:pt idx="20">
                  <c:v>1206.1500000000001</c:v>
                </c:pt>
                <c:pt idx="21">
                  <c:v>1211.5999999999999</c:v>
                </c:pt>
                <c:pt idx="22">
                  <c:v>1220</c:v>
                </c:pt>
                <c:pt idx="23">
                  <c:v>1235.5</c:v>
                </c:pt>
                <c:pt idx="24">
                  <c:v>1215</c:v>
                </c:pt>
                <c:pt idx="25">
                  <c:v>1221.25</c:v>
                </c:pt>
                <c:pt idx="26">
                  <c:v>1245.3499999999999</c:v>
                </c:pt>
                <c:pt idx="27">
                  <c:v>1248.05</c:v>
                </c:pt>
                <c:pt idx="28">
                  <c:v>1236</c:v>
                </c:pt>
                <c:pt idx="29">
                  <c:v>1226.4000000000001</c:v>
                </c:pt>
                <c:pt idx="30">
                  <c:v>1227.25</c:v>
                </c:pt>
                <c:pt idx="31">
                  <c:v>1241.8499999999999</c:v>
                </c:pt>
                <c:pt idx="32">
                  <c:v>1251.3</c:v>
                </c:pt>
                <c:pt idx="33">
                  <c:v>1285</c:v>
                </c:pt>
                <c:pt idx="34">
                  <c:v>1300.25</c:v>
                </c:pt>
                <c:pt idx="35">
                  <c:v>1270.2</c:v>
                </c:pt>
                <c:pt idx="36">
                  <c:v>1268.7</c:v>
                </c:pt>
                <c:pt idx="37">
                  <c:v>1261.5999999999999</c:v>
                </c:pt>
                <c:pt idx="38">
                  <c:v>1243.5</c:v>
                </c:pt>
                <c:pt idx="39">
                  <c:v>1220</c:v>
                </c:pt>
                <c:pt idx="40">
                  <c:v>1218.5</c:v>
                </c:pt>
                <c:pt idx="41">
                  <c:v>1228.05</c:v>
                </c:pt>
                <c:pt idx="42">
                  <c:v>1232.4000000000001</c:v>
                </c:pt>
                <c:pt idx="43">
                  <c:v>1249</c:v>
                </c:pt>
                <c:pt idx="44">
                  <c:v>1237.55</c:v>
                </c:pt>
                <c:pt idx="45">
                  <c:v>1246.5999999999999</c:v>
                </c:pt>
                <c:pt idx="46">
                  <c:v>1276.7</c:v>
                </c:pt>
                <c:pt idx="47">
                  <c:v>1270.3499999999999</c:v>
                </c:pt>
                <c:pt idx="48">
                  <c:v>1262</c:v>
                </c:pt>
                <c:pt idx="49">
                  <c:v>1245.55</c:v>
                </c:pt>
                <c:pt idx="50">
                  <c:v>1230.0999999999999</c:v>
                </c:pt>
                <c:pt idx="51">
                  <c:v>1193.3499999999999</c:v>
                </c:pt>
                <c:pt idx="52">
                  <c:v>1212</c:v>
                </c:pt>
                <c:pt idx="53">
                  <c:v>1205.45</c:v>
                </c:pt>
                <c:pt idx="54">
                  <c:v>1204.5</c:v>
                </c:pt>
                <c:pt idx="55">
                  <c:v>1216.0999999999999</c:v>
                </c:pt>
                <c:pt idx="56">
                  <c:v>1217.55</c:v>
                </c:pt>
                <c:pt idx="57">
                  <c:v>1222</c:v>
                </c:pt>
                <c:pt idx="58">
                  <c:v>1222.1500000000001</c:v>
                </c:pt>
                <c:pt idx="59">
                  <c:v>1210.5</c:v>
                </c:pt>
                <c:pt idx="60">
                  <c:v>1201.5</c:v>
                </c:pt>
                <c:pt idx="61">
                  <c:v>1200.6500000000001</c:v>
                </c:pt>
                <c:pt idx="62">
                  <c:v>1193.3</c:v>
                </c:pt>
                <c:pt idx="63">
                  <c:v>1156</c:v>
                </c:pt>
                <c:pt idx="64">
                  <c:v>1159.55</c:v>
                </c:pt>
                <c:pt idx="65">
                  <c:v>1157</c:v>
                </c:pt>
                <c:pt idx="66">
                  <c:v>1185.1500000000001</c:v>
                </c:pt>
                <c:pt idx="67">
                  <c:v>1212</c:v>
                </c:pt>
                <c:pt idx="68">
                  <c:v>1235.4000000000001</c:v>
                </c:pt>
                <c:pt idx="69">
                  <c:v>1229.75</c:v>
                </c:pt>
                <c:pt idx="70">
                  <c:v>1244</c:v>
                </c:pt>
                <c:pt idx="71">
                  <c:v>1243.8499999999999</c:v>
                </c:pt>
                <c:pt idx="72">
                  <c:v>0</c:v>
                </c:pt>
                <c:pt idx="73">
                  <c:v>1235</c:v>
                </c:pt>
                <c:pt idx="74">
                  <c:v>1238.8</c:v>
                </c:pt>
                <c:pt idx="75">
                  <c:v>1250.05</c:v>
                </c:pt>
                <c:pt idx="76">
                  <c:v>1270.0999999999999</c:v>
                </c:pt>
                <c:pt idx="77">
                  <c:v>1284.25</c:v>
                </c:pt>
                <c:pt idx="78">
                  <c:v>1282.5999999999999</c:v>
                </c:pt>
                <c:pt idx="79">
                  <c:v>1268.75</c:v>
                </c:pt>
                <c:pt idx="80">
                  <c:v>1271.3</c:v>
                </c:pt>
                <c:pt idx="81">
                  <c:v>1269</c:v>
                </c:pt>
                <c:pt idx="82">
                  <c:v>1249.3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6-418D-9759-A26EA14913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0">
                  <c:v>1309.1500000000001</c:v>
                </c:pt>
                <c:pt idx="1">
                  <c:v>1323.3</c:v>
                </c:pt>
                <c:pt idx="2">
                  <c:v>1308.95</c:v>
                </c:pt>
                <c:pt idx="3">
                  <c:v>1322.05</c:v>
                </c:pt>
                <c:pt idx="4">
                  <c:v>1311.55</c:v>
                </c:pt>
                <c:pt idx="5">
                  <c:v>1295.1500000000001</c:v>
                </c:pt>
                <c:pt idx="6">
                  <c:v>1284.8499999999999</c:v>
                </c:pt>
                <c:pt idx="7">
                  <c:v>1278.2</c:v>
                </c:pt>
                <c:pt idx="8">
                  <c:v>1262.9000000000001</c:v>
                </c:pt>
                <c:pt idx="9">
                  <c:v>1272.8499999999999</c:v>
                </c:pt>
                <c:pt idx="10">
                  <c:v>1268.3</c:v>
                </c:pt>
                <c:pt idx="11">
                  <c:v>1245.3</c:v>
                </c:pt>
                <c:pt idx="12">
                  <c:v>1253.25</c:v>
                </c:pt>
                <c:pt idx="13">
                  <c:v>1230.45</c:v>
                </c:pt>
                <c:pt idx="14">
                  <c:v>1205.3</c:v>
                </c:pt>
                <c:pt idx="15">
                  <c:v>1222.3</c:v>
                </c:pt>
                <c:pt idx="16">
                  <c:v>1222.75</c:v>
                </c:pt>
                <c:pt idx="17">
                  <c:v>1216.55</c:v>
                </c:pt>
                <c:pt idx="18">
                  <c:v>1221.05</c:v>
                </c:pt>
                <c:pt idx="19">
                  <c:v>1210.7</c:v>
                </c:pt>
                <c:pt idx="20">
                  <c:v>1215.45</c:v>
                </c:pt>
                <c:pt idx="21">
                  <c:v>1221.25</c:v>
                </c:pt>
                <c:pt idx="22">
                  <c:v>1241.8</c:v>
                </c:pt>
                <c:pt idx="23">
                  <c:v>1251.1500000000001</c:v>
                </c:pt>
                <c:pt idx="24">
                  <c:v>1218</c:v>
                </c:pt>
                <c:pt idx="25">
                  <c:v>1240.8499999999999</c:v>
                </c:pt>
                <c:pt idx="26">
                  <c:v>1265.5</c:v>
                </c:pt>
                <c:pt idx="27">
                  <c:v>1254.75</c:v>
                </c:pt>
                <c:pt idx="28">
                  <c:v>1241.9000000000001</c:v>
                </c:pt>
                <c:pt idx="29">
                  <c:v>1239.8499999999999</c:v>
                </c:pt>
                <c:pt idx="30">
                  <c:v>1238.75</c:v>
                </c:pt>
                <c:pt idx="31">
                  <c:v>1252.2</c:v>
                </c:pt>
                <c:pt idx="32">
                  <c:v>1266.45</c:v>
                </c:pt>
                <c:pt idx="33">
                  <c:v>1302.3499999999999</c:v>
                </c:pt>
                <c:pt idx="34">
                  <c:v>1305.45</c:v>
                </c:pt>
                <c:pt idx="35">
                  <c:v>1273.7</c:v>
                </c:pt>
                <c:pt idx="36">
                  <c:v>1277.0999999999999</c:v>
                </c:pt>
                <c:pt idx="37">
                  <c:v>1263.6500000000001</c:v>
                </c:pt>
                <c:pt idx="38">
                  <c:v>1246.3</c:v>
                </c:pt>
                <c:pt idx="39">
                  <c:v>1229.3499999999999</c:v>
                </c:pt>
                <c:pt idx="40">
                  <c:v>1234.4000000000001</c:v>
                </c:pt>
                <c:pt idx="41">
                  <c:v>1235.5</c:v>
                </c:pt>
                <c:pt idx="42">
                  <c:v>1253.05</c:v>
                </c:pt>
                <c:pt idx="43">
                  <c:v>1265.0999999999999</c:v>
                </c:pt>
                <c:pt idx="44">
                  <c:v>1245.9000000000001</c:v>
                </c:pt>
                <c:pt idx="45">
                  <c:v>1285.2</c:v>
                </c:pt>
                <c:pt idx="46">
                  <c:v>1278.2</c:v>
                </c:pt>
                <c:pt idx="47">
                  <c:v>1281.55</c:v>
                </c:pt>
                <c:pt idx="48">
                  <c:v>1266.7</c:v>
                </c:pt>
                <c:pt idx="49">
                  <c:v>1253.6500000000001</c:v>
                </c:pt>
                <c:pt idx="50">
                  <c:v>1234.8499999999999</c:v>
                </c:pt>
                <c:pt idx="51">
                  <c:v>1216.55</c:v>
                </c:pt>
                <c:pt idx="52">
                  <c:v>1216.0999999999999</c:v>
                </c:pt>
                <c:pt idx="53">
                  <c:v>1217.25</c:v>
                </c:pt>
                <c:pt idx="54">
                  <c:v>1224.9000000000001</c:v>
                </c:pt>
                <c:pt idx="55">
                  <c:v>1225.4000000000001</c:v>
                </c:pt>
                <c:pt idx="56">
                  <c:v>1227.45</c:v>
                </c:pt>
                <c:pt idx="57">
                  <c:v>1233</c:v>
                </c:pt>
                <c:pt idx="58">
                  <c:v>1228.1500000000001</c:v>
                </c:pt>
                <c:pt idx="59">
                  <c:v>1214.55</c:v>
                </c:pt>
                <c:pt idx="60">
                  <c:v>1204</c:v>
                </c:pt>
                <c:pt idx="61">
                  <c:v>1207.0999999999999</c:v>
                </c:pt>
                <c:pt idx="62">
                  <c:v>1200.0999999999999</c:v>
                </c:pt>
                <c:pt idx="63">
                  <c:v>1171.25</c:v>
                </c:pt>
                <c:pt idx="64">
                  <c:v>1161.9000000000001</c:v>
                </c:pt>
                <c:pt idx="65">
                  <c:v>1175.5999999999999</c:v>
                </c:pt>
                <c:pt idx="66">
                  <c:v>1209.5999999999999</c:v>
                </c:pt>
                <c:pt idx="67">
                  <c:v>1249.8</c:v>
                </c:pt>
                <c:pt idx="68">
                  <c:v>1238.4000000000001</c:v>
                </c:pt>
                <c:pt idx="69">
                  <c:v>1247.3</c:v>
                </c:pt>
                <c:pt idx="70">
                  <c:v>1257.05</c:v>
                </c:pt>
                <c:pt idx="71">
                  <c:v>1247.9000000000001</c:v>
                </c:pt>
                <c:pt idx="72">
                  <c:v>1246.6500000000001</c:v>
                </c:pt>
                <c:pt idx="73">
                  <c:v>1238.8</c:v>
                </c:pt>
                <c:pt idx="74">
                  <c:v>1247.1500000000001</c:v>
                </c:pt>
                <c:pt idx="75">
                  <c:v>1269.1500000000001</c:v>
                </c:pt>
                <c:pt idx="76">
                  <c:v>1276.3499999999999</c:v>
                </c:pt>
                <c:pt idx="77">
                  <c:v>1302.0999999999999</c:v>
                </c:pt>
                <c:pt idx="78">
                  <c:v>1285.45</c:v>
                </c:pt>
                <c:pt idx="79">
                  <c:v>1273.05</c:v>
                </c:pt>
                <c:pt idx="80">
                  <c:v>1278.2</c:v>
                </c:pt>
                <c:pt idx="81">
                  <c:v>1275.0999999999999</c:v>
                </c:pt>
                <c:pt idx="82">
                  <c:v>1252.5999999999999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6-418D-9759-A26EA149136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11024152</c:v>
                </c:pt>
                <c:pt idx="1">
                  <c:v>16869482</c:v>
                </c:pt>
                <c:pt idx="2">
                  <c:v>19608540</c:v>
                </c:pt>
                <c:pt idx="3">
                  <c:v>16858723</c:v>
                </c:pt>
                <c:pt idx="4">
                  <c:v>9037514</c:v>
                </c:pt>
                <c:pt idx="5">
                  <c:v>14650002</c:v>
                </c:pt>
                <c:pt idx="6">
                  <c:v>16043729</c:v>
                </c:pt>
                <c:pt idx="7">
                  <c:v>11724373</c:v>
                </c:pt>
                <c:pt idx="8">
                  <c:v>20906813</c:v>
                </c:pt>
                <c:pt idx="9">
                  <c:v>28630222</c:v>
                </c:pt>
                <c:pt idx="10">
                  <c:v>9486781</c:v>
                </c:pt>
                <c:pt idx="11">
                  <c:v>17462791</c:v>
                </c:pt>
                <c:pt idx="12">
                  <c:v>12670179</c:v>
                </c:pt>
                <c:pt idx="13">
                  <c:v>14244653</c:v>
                </c:pt>
                <c:pt idx="14">
                  <c:v>20312896</c:v>
                </c:pt>
                <c:pt idx="15">
                  <c:v>10052824</c:v>
                </c:pt>
                <c:pt idx="16">
                  <c:v>6734917</c:v>
                </c:pt>
                <c:pt idx="17">
                  <c:v>10016178</c:v>
                </c:pt>
                <c:pt idx="18">
                  <c:v>7000397</c:v>
                </c:pt>
                <c:pt idx="19">
                  <c:v>8818766</c:v>
                </c:pt>
                <c:pt idx="20">
                  <c:v>6405475</c:v>
                </c:pt>
                <c:pt idx="21">
                  <c:v>5892590</c:v>
                </c:pt>
                <c:pt idx="22">
                  <c:v>15486276</c:v>
                </c:pt>
                <c:pt idx="23">
                  <c:v>15521102</c:v>
                </c:pt>
                <c:pt idx="24">
                  <c:v>14816766</c:v>
                </c:pt>
                <c:pt idx="25">
                  <c:v>10070505</c:v>
                </c:pt>
                <c:pt idx="26">
                  <c:v>19346579</c:v>
                </c:pt>
                <c:pt idx="27">
                  <c:v>12794704</c:v>
                </c:pt>
                <c:pt idx="28">
                  <c:v>8120332</c:v>
                </c:pt>
                <c:pt idx="29">
                  <c:v>13764861</c:v>
                </c:pt>
                <c:pt idx="30">
                  <c:v>13095266</c:v>
                </c:pt>
                <c:pt idx="31">
                  <c:v>9578856</c:v>
                </c:pt>
                <c:pt idx="32">
                  <c:v>14117603</c:v>
                </c:pt>
                <c:pt idx="33">
                  <c:v>29366277</c:v>
                </c:pt>
                <c:pt idx="34">
                  <c:v>14040244</c:v>
                </c:pt>
                <c:pt idx="35">
                  <c:v>14562976</c:v>
                </c:pt>
                <c:pt idx="36">
                  <c:v>10273590</c:v>
                </c:pt>
                <c:pt idx="37">
                  <c:v>8720682</c:v>
                </c:pt>
                <c:pt idx="38">
                  <c:v>14235970</c:v>
                </c:pt>
                <c:pt idx="39">
                  <c:v>9536019</c:v>
                </c:pt>
                <c:pt idx="40">
                  <c:v>10568025</c:v>
                </c:pt>
                <c:pt idx="41">
                  <c:v>5928156</c:v>
                </c:pt>
                <c:pt idx="42">
                  <c:v>9269259</c:v>
                </c:pt>
                <c:pt idx="43">
                  <c:v>6584612</c:v>
                </c:pt>
                <c:pt idx="44">
                  <c:v>9252345</c:v>
                </c:pt>
                <c:pt idx="45">
                  <c:v>16691069</c:v>
                </c:pt>
                <c:pt idx="46">
                  <c:v>10112028</c:v>
                </c:pt>
                <c:pt idx="47">
                  <c:v>9956001</c:v>
                </c:pt>
                <c:pt idx="48">
                  <c:v>8764283</c:v>
                </c:pt>
                <c:pt idx="49">
                  <c:v>6970972</c:v>
                </c:pt>
                <c:pt idx="50">
                  <c:v>8859714</c:v>
                </c:pt>
                <c:pt idx="51">
                  <c:v>21131654</c:v>
                </c:pt>
                <c:pt idx="52">
                  <c:v>8511216</c:v>
                </c:pt>
                <c:pt idx="53">
                  <c:v>10298145</c:v>
                </c:pt>
                <c:pt idx="54">
                  <c:v>8166683</c:v>
                </c:pt>
                <c:pt idx="55">
                  <c:v>6673250</c:v>
                </c:pt>
                <c:pt idx="56">
                  <c:v>6217338</c:v>
                </c:pt>
                <c:pt idx="57">
                  <c:v>7795582</c:v>
                </c:pt>
                <c:pt idx="58">
                  <c:v>6904025</c:v>
                </c:pt>
                <c:pt idx="59">
                  <c:v>7172498</c:v>
                </c:pt>
                <c:pt idx="60">
                  <c:v>11552182</c:v>
                </c:pt>
                <c:pt idx="61">
                  <c:v>11509215</c:v>
                </c:pt>
                <c:pt idx="62">
                  <c:v>23007298</c:v>
                </c:pt>
                <c:pt idx="63">
                  <c:v>17944938</c:v>
                </c:pt>
                <c:pt idx="64">
                  <c:v>11377373</c:v>
                </c:pt>
                <c:pt idx="65">
                  <c:v>8664095</c:v>
                </c:pt>
                <c:pt idx="66">
                  <c:v>14468014</c:v>
                </c:pt>
                <c:pt idx="67">
                  <c:v>16474965</c:v>
                </c:pt>
                <c:pt idx="68">
                  <c:v>11931051</c:v>
                </c:pt>
                <c:pt idx="69">
                  <c:v>10089838</c:v>
                </c:pt>
                <c:pt idx="70">
                  <c:v>11977555</c:v>
                </c:pt>
                <c:pt idx="71">
                  <c:v>9505270</c:v>
                </c:pt>
                <c:pt idx="72">
                  <c:v>0</c:v>
                </c:pt>
                <c:pt idx="73">
                  <c:v>15745877</c:v>
                </c:pt>
                <c:pt idx="74">
                  <c:v>16162399</c:v>
                </c:pt>
                <c:pt idx="75">
                  <c:v>15971477</c:v>
                </c:pt>
                <c:pt idx="76">
                  <c:v>21780769</c:v>
                </c:pt>
                <c:pt idx="77">
                  <c:v>20299319</c:v>
                </c:pt>
                <c:pt idx="78">
                  <c:v>13713899</c:v>
                </c:pt>
                <c:pt idx="79">
                  <c:v>12074747</c:v>
                </c:pt>
                <c:pt idx="80">
                  <c:v>15028056</c:v>
                </c:pt>
                <c:pt idx="81">
                  <c:v>18147129</c:v>
                </c:pt>
                <c:pt idx="82">
                  <c:v>12099648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6-418D-9759-A26EA149136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Daily Return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1.642080745341622</c:v>
                </c:pt>
                <c:pt idx="1">
                  <c:v>0.4783599088838234</c:v>
                </c:pt>
                <c:pt idx="2">
                  <c:v>-1.2858220211161353</c:v>
                </c:pt>
                <c:pt idx="3">
                  <c:v>0.58584090995549476</c:v>
                </c:pt>
                <c:pt idx="4">
                  <c:v>-0.93284991313544352</c:v>
                </c:pt>
                <c:pt idx="5">
                  <c:v>-0.60245587106676202</c:v>
                </c:pt>
                <c:pt idx="6">
                  <c:v>-0.34128369206903941</c:v>
                </c:pt>
                <c:pt idx="7">
                  <c:v>-0.52918287937742836</c:v>
                </c:pt>
                <c:pt idx="8">
                  <c:v>-0.55905511811022901</c:v>
                </c:pt>
                <c:pt idx="9">
                  <c:v>1.0198412698412627</c:v>
                </c:pt>
                <c:pt idx="10">
                  <c:v>-0.52549019607843495</c:v>
                </c:pt>
                <c:pt idx="11">
                  <c:v>-1.2489592006661117</c:v>
                </c:pt>
                <c:pt idx="12">
                  <c:v>1.0155966630395283</c:v>
                </c:pt>
                <c:pt idx="13">
                  <c:v>-0.69007263922517792</c:v>
                </c:pt>
                <c:pt idx="14">
                  <c:v>-1.5277777777777815</c:v>
                </c:pt>
                <c:pt idx="15">
                  <c:v>0.60082304526748598</c:v>
                </c:pt>
                <c:pt idx="16">
                  <c:v>3.6815838992067862E-2</c:v>
                </c:pt>
                <c:pt idx="17">
                  <c:v>-0.62895650398203351</c:v>
                </c:pt>
                <c:pt idx="18">
                  <c:v>0.22572437002380369</c:v>
                </c:pt>
                <c:pt idx="19">
                  <c:v>-0.46859585662611358</c:v>
                </c:pt>
                <c:pt idx="20">
                  <c:v>0.61672185430463955</c:v>
                </c:pt>
                <c:pt idx="21">
                  <c:v>0.52681400996008498</c:v>
                </c:pt>
                <c:pt idx="22">
                  <c:v>1.6827021494370482</c:v>
                </c:pt>
                <c:pt idx="23">
                  <c:v>0.58284428008682365</c:v>
                </c:pt>
                <c:pt idx="24">
                  <c:v>-2.8669404681207418</c:v>
                </c:pt>
                <c:pt idx="25">
                  <c:v>1.5425531914893542</c:v>
                </c:pt>
                <c:pt idx="26">
                  <c:v>1.3210568454763811</c:v>
                </c:pt>
                <c:pt idx="27">
                  <c:v>-0.96685082872928174</c:v>
                </c:pt>
                <c:pt idx="28">
                  <c:v>-0.95306456115163851</c:v>
                </c:pt>
                <c:pt idx="29">
                  <c:v>0.80081300813007394</c:v>
                </c:pt>
                <c:pt idx="30">
                  <c:v>-0.43002974037456071</c:v>
                </c:pt>
                <c:pt idx="31">
                  <c:v>0.58235270492790869</c:v>
                </c:pt>
                <c:pt idx="32">
                  <c:v>0.59972992294860228</c:v>
                </c:pt>
                <c:pt idx="33">
                  <c:v>-1.5050103989412056</c:v>
                </c:pt>
                <c:pt idx="34">
                  <c:v>-0.80167173252279289</c:v>
                </c:pt>
                <c:pt idx="35">
                  <c:v>-2.8080885158336479</c:v>
                </c:pt>
                <c:pt idx="36">
                  <c:v>-9.3874677305800319E-2</c:v>
                </c:pt>
                <c:pt idx="37">
                  <c:v>-0.49999999999999278</c:v>
                </c:pt>
                <c:pt idx="38">
                  <c:v>-1.5560821484992138</c:v>
                </c:pt>
                <c:pt idx="39">
                  <c:v>-0.78686143168428713</c:v>
                </c:pt>
                <c:pt idx="40">
                  <c:v>-0.29079159935378907</c:v>
                </c:pt>
                <c:pt idx="41">
                  <c:v>-4.0453074433656963E-2</c:v>
                </c:pt>
                <c:pt idx="42">
                  <c:v>1.41637327505969</c:v>
                </c:pt>
                <c:pt idx="43">
                  <c:v>0.73655293227694396</c:v>
                </c:pt>
                <c:pt idx="44">
                  <c:v>-0.40767386091126367</c:v>
                </c:pt>
                <c:pt idx="45">
                  <c:v>2.9766435639597848</c:v>
                </c:pt>
                <c:pt idx="46">
                  <c:v>-0.34693797996336062</c:v>
                </c:pt>
                <c:pt idx="47">
                  <c:v>0.61631467378502858</c:v>
                </c:pt>
                <c:pt idx="48">
                  <c:v>-0.74050856090585315</c:v>
                </c:pt>
                <c:pt idx="49">
                  <c:v>-0.85804665875839536</c:v>
                </c:pt>
                <c:pt idx="50">
                  <c:v>-2.3486615792179073</c:v>
                </c:pt>
                <c:pt idx="51">
                  <c:v>-0.23781212841855678</c:v>
                </c:pt>
                <c:pt idx="52">
                  <c:v>-7.805759829095317E-2</c:v>
                </c:pt>
                <c:pt idx="53">
                  <c:v>-0.14356029532403611</c:v>
                </c:pt>
                <c:pt idx="54">
                  <c:v>1.1394599950458413</c:v>
                </c:pt>
                <c:pt idx="55">
                  <c:v>4.4903457566247452E-2</c:v>
                </c:pt>
                <c:pt idx="56">
                  <c:v>0.65190651906519437</c:v>
                </c:pt>
                <c:pt idx="57">
                  <c:v>0.7394092895951595</c:v>
                </c:pt>
                <c:pt idx="58">
                  <c:v>-4.4762757385851268E-2</c:v>
                </c:pt>
                <c:pt idx="59">
                  <c:v>-0.16439932596276358</c:v>
                </c:pt>
                <c:pt idx="60">
                  <c:v>-0.57803468208092479</c:v>
                </c:pt>
                <c:pt idx="61">
                  <c:v>-0.46998680738786658</c:v>
                </c:pt>
                <c:pt idx="62">
                  <c:v>-0.15806988352746182</c:v>
                </c:pt>
                <c:pt idx="63">
                  <c:v>-2.7200996677740865</c:v>
                </c:pt>
                <c:pt idx="64">
                  <c:v>-2.5813113061431296E-2</c:v>
                </c:pt>
                <c:pt idx="65">
                  <c:v>1.2575366063738078</c:v>
                </c:pt>
                <c:pt idx="66">
                  <c:v>1.0526315789473608</c:v>
                </c:pt>
                <c:pt idx="67">
                  <c:v>2.7796052631578907</c:v>
                </c:pt>
                <c:pt idx="68">
                  <c:v>-0.53012048192770356</c:v>
                </c:pt>
                <c:pt idx="69">
                  <c:v>0.58870967741935121</c:v>
                </c:pt>
                <c:pt idx="70">
                  <c:v>-7.5516693163755602E-2</c:v>
                </c:pt>
                <c:pt idx="71">
                  <c:v>-0.96424745049798533</c:v>
                </c:pt>
                <c:pt idx="72">
                  <c:v>0.3622750875498128</c:v>
                </c:pt>
                <c:pt idx="73">
                  <c:v>-0.47400980155861583</c:v>
                </c:pt>
                <c:pt idx="74">
                  <c:v>0.49151927803071083</c:v>
                </c:pt>
                <c:pt idx="75">
                  <c:v>1.3819547070336049</c:v>
                </c:pt>
                <c:pt idx="76">
                  <c:v>0.10588235294116932</c:v>
                </c:pt>
                <c:pt idx="77">
                  <c:v>0.85979860573198363</c:v>
                </c:pt>
                <c:pt idx="78">
                  <c:v>-1.7014605796436493</c:v>
                </c:pt>
                <c:pt idx="79">
                  <c:v>-1.3903950426026372</c:v>
                </c:pt>
                <c:pt idx="80">
                  <c:v>3.9119039236360769E-3</c:v>
                </c:pt>
                <c:pt idx="81">
                  <c:v>-0.38281250000000711</c:v>
                </c:pt>
                <c:pt idx="82">
                  <c:v>-0.94891665348726884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6-418D-9759-A26EA149136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10 Days Average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Sheet1!$H$2:$H$84</c:f>
              <c:numCache>
                <c:formatCode>General</c:formatCode>
                <c:ptCount val="83"/>
                <c:pt idx="0">
                  <c:v>1296.895</c:v>
                </c:pt>
                <c:pt idx="1">
                  <c:v>1292.81</c:v>
                </c:pt>
                <c:pt idx="2">
                  <c:v>1285.01</c:v>
                </c:pt>
                <c:pt idx="3">
                  <c:v>1279.44</c:v>
                </c:pt>
                <c:pt idx="4">
                  <c:v>1270.28</c:v>
                </c:pt>
                <c:pt idx="5">
                  <c:v>1259.6550000000002</c:v>
                </c:pt>
                <c:pt idx="6">
                  <c:v>1252.3700000000001</c:v>
                </c:pt>
                <c:pt idx="7">
                  <c:v>1246.1599999999999</c:v>
                </c:pt>
                <c:pt idx="8">
                  <c:v>1239.9949999999999</c:v>
                </c:pt>
                <c:pt idx="9">
                  <c:v>1235.81</c:v>
                </c:pt>
                <c:pt idx="10">
                  <c:v>1229.595</c:v>
                </c:pt>
                <c:pt idx="11">
                  <c:v>1224.31</c:v>
                </c:pt>
                <c:pt idx="12">
                  <c:v>1221.9050000000002</c:v>
                </c:pt>
                <c:pt idx="13">
                  <c:v>1220.76</c:v>
                </c:pt>
                <c:pt idx="14">
                  <c:v>1222.83</c:v>
                </c:pt>
                <c:pt idx="15">
                  <c:v>1224.0999999999999</c:v>
                </c:pt>
                <c:pt idx="16">
                  <c:v>1225.9549999999999</c:v>
                </c:pt>
                <c:pt idx="17">
                  <c:v>1230.23</c:v>
                </c:pt>
                <c:pt idx="18">
                  <c:v>1234.05</c:v>
                </c:pt>
                <c:pt idx="19">
                  <c:v>1236.135</c:v>
                </c:pt>
                <c:pt idx="20">
                  <c:v>1239.05</c:v>
                </c:pt>
                <c:pt idx="21">
                  <c:v>1241.3800000000001</c:v>
                </c:pt>
                <c:pt idx="22">
                  <c:v>1244.4749999999999</c:v>
                </c:pt>
                <c:pt idx="23">
                  <c:v>1246.94</c:v>
                </c:pt>
                <c:pt idx="24">
                  <c:v>1252.0600000000002</c:v>
                </c:pt>
                <c:pt idx="25">
                  <c:v>1260.8050000000003</c:v>
                </c:pt>
                <c:pt idx="26">
                  <c:v>1264.0900000000001</c:v>
                </c:pt>
                <c:pt idx="27">
                  <c:v>1265.2500000000002</c:v>
                </c:pt>
                <c:pt idx="28">
                  <c:v>1266.1400000000001</c:v>
                </c:pt>
                <c:pt idx="29">
                  <c:v>1266.58</c:v>
                </c:pt>
                <c:pt idx="30">
                  <c:v>1265.53</c:v>
                </c:pt>
                <c:pt idx="31">
                  <c:v>1265.0949999999998</c:v>
                </c:pt>
                <c:pt idx="32">
                  <c:v>1263.4249999999997</c:v>
                </c:pt>
                <c:pt idx="33">
                  <c:v>1262.0849999999998</c:v>
                </c:pt>
                <c:pt idx="34">
                  <c:v>1258.3599999999999</c:v>
                </c:pt>
                <c:pt idx="35">
                  <c:v>1252.405</c:v>
                </c:pt>
                <c:pt idx="36">
                  <c:v>1253.5549999999998</c:v>
                </c:pt>
                <c:pt idx="37">
                  <c:v>1253.6650000000002</c:v>
                </c:pt>
                <c:pt idx="38">
                  <c:v>1255.4549999999999</c:v>
                </c:pt>
                <c:pt idx="39">
                  <c:v>1257.4950000000001</c:v>
                </c:pt>
                <c:pt idx="40">
                  <c:v>1259.9249999999997</c:v>
                </c:pt>
                <c:pt idx="41">
                  <c:v>1259.97</c:v>
                </c:pt>
                <c:pt idx="42">
                  <c:v>1258.075</c:v>
                </c:pt>
                <c:pt idx="43">
                  <c:v>1254.3799999999999</c:v>
                </c:pt>
                <c:pt idx="44">
                  <c:v>1249.595</c:v>
                </c:pt>
                <c:pt idx="45">
                  <c:v>1247.4949999999999</c:v>
                </c:pt>
                <c:pt idx="46">
                  <c:v>1241.5149999999999</c:v>
                </c:pt>
                <c:pt idx="47">
                  <c:v>1236.44</c:v>
                </c:pt>
                <c:pt idx="48">
                  <c:v>1231.585</c:v>
                </c:pt>
                <c:pt idx="49">
                  <c:v>1227.73</c:v>
                </c:pt>
                <c:pt idx="50">
                  <c:v>1223.82</c:v>
                </c:pt>
                <c:pt idx="51">
                  <c:v>1220.7349999999997</c:v>
                </c:pt>
                <c:pt idx="52">
                  <c:v>1219.79</c:v>
                </c:pt>
                <c:pt idx="53">
                  <c:v>1218.19</c:v>
                </c:pt>
                <c:pt idx="54">
                  <c:v>1213.5900000000001</c:v>
                </c:pt>
                <c:pt idx="55">
                  <c:v>1207.29</c:v>
                </c:pt>
                <c:pt idx="56">
                  <c:v>1202.31</c:v>
                </c:pt>
                <c:pt idx="57">
                  <c:v>1200.5250000000001</c:v>
                </c:pt>
                <c:pt idx="58">
                  <c:v>1202.2049999999999</c:v>
                </c:pt>
                <c:pt idx="59">
                  <c:v>1203.23</c:v>
                </c:pt>
                <c:pt idx="60">
                  <c:v>1206.5049999999999</c:v>
                </c:pt>
                <c:pt idx="61">
                  <c:v>1211.81</c:v>
                </c:pt>
                <c:pt idx="62">
                  <c:v>1215.8899999999999</c:v>
                </c:pt>
                <c:pt idx="63">
                  <c:v>1220.5449999999998</c:v>
                </c:pt>
                <c:pt idx="64">
                  <c:v>1227.2999999999997</c:v>
                </c:pt>
                <c:pt idx="65">
                  <c:v>1235.8249999999998</c:v>
                </c:pt>
                <c:pt idx="66">
                  <c:v>1245.1799999999998</c:v>
                </c:pt>
                <c:pt idx="67">
                  <c:v>1251.855</c:v>
                </c:pt>
                <c:pt idx="68">
                  <c:v>1257.085</c:v>
                </c:pt>
                <c:pt idx="69">
                  <c:v>1261.7900000000002</c:v>
                </c:pt>
                <c:pt idx="70">
                  <c:v>1264.365</c:v>
                </c:pt>
                <c:pt idx="71">
                  <c:v>1266.48</c:v>
                </c:pt>
                <c:pt idx="72">
                  <c:v>1269.2000000000003</c:v>
                </c:pt>
                <c:pt idx="73">
                  <c:v>1269.7950000000001</c:v>
                </c:pt>
                <c:pt idx="74">
                  <c:v>1273.2388888888891</c:v>
                </c:pt>
                <c:pt idx="75">
                  <c:v>1276.5</c:v>
                </c:pt>
                <c:pt idx="76">
                  <c:v>1277.55</c:v>
                </c:pt>
                <c:pt idx="77">
                  <c:v>1277.75</c:v>
                </c:pt>
                <c:pt idx="78">
                  <c:v>1272.8799999999999</c:v>
                </c:pt>
                <c:pt idx="79">
                  <c:v>1269.7375</c:v>
                </c:pt>
                <c:pt idx="80">
                  <c:v>1268.6333333333334</c:v>
                </c:pt>
                <c:pt idx="81">
                  <c:v>1263.8499999999999</c:v>
                </c:pt>
                <c:pt idx="82">
                  <c:v>1252.5999999999999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6-418D-9759-A26EA149136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Std Deviation(Volatility)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Sheet1!$A$2:$A$84</c:f>
              <c:numCache>
                <c:formatCode>m/d/yyyy\ h:mm:ss</c:formatCode>
                <c:ptCount val="83"/>
                <c:pt idx="0">
                  <c:v>45628.645833333299</c:v>
                </c:pt>
                <c:pt idx="1">
                  <c:v>45629.645833333299</c:v>
                </c:pt>
                <c:pt idx="2">
                  <c:v>45630.645833333299</c:v>
                </c:pt>
                <c:pt idx="3">
                  <c:v>45631.645833333299</c:v>
                </c:pt>
                <c:pt idx="4">
                  <c:v>45632.645833333299</c:v>
                </c:pt>
                <c:pt idx="5">
                  <c:v>45635.645833333299</c:v>
                </c:pt>
                <c:pt idx="6">
                  <c:v>45636.645833333299</c:v>
                </c:pt>
                <c:pt idx="7">
                  <c:v>45637.645833333299</c:v>
                </c:pt>
                <c:pt idx="8">
                  <c:v>45638.645833333299</c:v>
                </c:pt>
                <c:pt idx="9">
                  <c:v>45639.645833333299</c:v>
                </c:pt>
                <c:pt idx="10">
                  <c:v>45642.645833333299</c:v>
                </c:pt>
                <c:pt idx="11">
                  <c:v>45643.645833333299</c:v>
                </c:pt>
                <c:pt idx="12">
                  <c:v>45644.645833333299</c:v>
                </c:pt>
                <c:pt idx="13">
                  <c:v>45645.645833333299</c:v>
                </c:pt>
                <c:pt idx="14">
                  <c:v>45646.645833333299</c:v>
                </c:pt>
                <c:pt idx="15">
                  <c:v>45649.645833333299</c:v>
                </c:pt>
                <c:pt idx="16">
                  <c:v>45650.645833333299</c:v>
                </c:pt>
                <c:pt idx="17">
                  <c:v>45652.645833333299</c:v>
                </c:pt>
                <c:pt idx="18">
                  <c:v>45653.645833333299</c:v>
                </c:pt>
                <c:pt idx="19">
                  <c:v>45656.645833333299</c:v>
                </c:pt>
                <c:pt idx="20">
                  <c:v>45657.645833333299</c:v>
                </c:pt>
                <c:pt idx="21">
                  <c:v>45658.645833333299</c:v>
                </c:pt>
                <c:pt idx="22">
                  <c:v>45659.645833333299</c:v>
                </c:pt>
                <c:pt idx="23">
                  <c:v>45660.645833333299</c:v>
                </c:pt>
                <c:pt idx="24">
                  <c:v>45663.645833333299</c:v>
                </c:pt>
                <c:pt idx="25">
                  <c:v>45664.645833333299</c:v>
                </c:pt>
                <c:pt idx="26">
                  <c:v>45665.645833333299</c:v>
                </c:pt>
                <c:pt idx="27">
                  <c:v>45666.645833333299</c:v>
                </c:pt>
                <c:pt idx="28">
                  <c:v>45667.645833333299</c:v>
                </c:pt>
                <c:pt idx="29">
                  <c:v>45670.645833333299</c:v>
                </c:pt>
                <c:pt idx="30">
                  <c:v>45671.645833333299</c:v>
                </c:pt>
                <c:pt idx="31">
                  <c:v>45672.645833333299</c:v>
                </c:pt>
                <c:pt idx="32">
                  <c:v>45673.645833333299</c:v>
                </c:pt>
                <c:pt idx="33">
                  <c:v>45674.645833333299</c:v>
                </c:pt>
                <c:pt idx="34">
                  <c:v>45677.645833333299</c:v>
                </c:pt>
                <c:pt idx="35">
                  <c:v>45678.645833333299</c:v>
                </c:pt>
                <c:pt idx="36">
                  <c:v>45679.645833333299</c:v>
                </c:pt>
                <c:pt idx="37">
                  <c:v>45680.645833333299</c:v>
                </c:pt>
                <c:pt idx="38">
                  <c:v>45681.645833333299</c:v>
                </c:pt>
                <c:pt idx="39">
                  <c:v>45684.645833333299</c:v>
                </c:pt>
                <c:pt idx="40">
                  <c:v>45685.645833333299</c:v>
                </c:pt>
                <c:pt idx="41">
                  <c:v>45686.645833333299</c:v>
                </c:pt>
                <c:pt idx="42">
                  <c:v>45687.645833333299</c:v>
                </c:pt>
                <c:pt idx="43">
                  <c:v>45688.645833333299</c:v>
                </c:pt>
                <c:pt idx="44">
                  <c:v>45691.645833333299</c:v>
                </c:pt>
                <c:pt idx="45">
                  <c:v>45692.645833333299</c:v>
                </c:pt>
                <c:pt idx="46">
                  <c:v>45693.645833333299</c:v>
                </c:pt>
                <c:pt idx="47">
                  <c:v>45694.645833333299</c:v>
                </c:pt>
                <c:pt idx="48">
                  <c:v>45695.645833333299</c:v>
                </c:pt>
                <c:pt idx="49">
                  <c:v>45698.645833333299</c:v>
                </c:pt>
                <c:pt idx="50">
                  <c:v>45699.645833333299</c:v>
                </c:pt>
                <c:pt idx="51">
                  <c:v>45700.645833333299</c:v>
                </c:pt>
                <c:pt idx="52">
                  <c:v>45701.645833333299</c:v>
                </c:pt>
                <c:pt idx="53">
                  <c:v>45702.645833333299</c:v>
                </c:pt>
                <c:pt idx="54">
                  <c:v>45705.645833333299</c:v>
                </c:pt>
                <c:pt idx="55">
                  <c:v>45706.645833333299</c:v>
                </c:pt>
                <c:pt idx="56">
                  <c:v>45707.645833333299</c:v>
                </c:pt>
                <c:pt idx="57">
                  <c:v>45708.645833333299</c:v>
                </c:pt>
                <c:pt idx="58">
                  <c:v>45709.645833333299</c:v>
                </c:pt>
                <c:pt idx="59">
                  <c:v>45712.645833333299</c:v>
                </c:pt>
                <c:pt idx="60">
                  <c:v>45713.645833333299</c:v>
                </c:pt>
                <c:pt idx="61">
                  <c:v>45715.645833333299</c:v>
                </c:pt>
                <c:pt idx="62">
                  <c:v>45716.645833333299</c:v>
                </c:pt>
                <c:pt idx="63">
                  <c:v>45719.645833333299</c:v>
                </c:pt>
                <c:pt idx="64">
                  <c:v>45720.645833333299</c:v>
                </c:pt>
                <c:pt idx="65">
                  <c:v>45721.645833333299</c:v>
                </c:pt>
                <c:pt idx="66">
                  <c:v>45722.645833333299</c:v>
                </c:pt>
                <c:pt idx="67">
                  <c:v>45723.645833333299</c:v>
                </c:pt>
                <c:pt idx="68">
                  <c:v>45726.645833333299</c:v>
                </c:pt>
                <c:pt idx="69">
                  <c:v>45727.645833333299</c:v>
                </c:pt>
                <c:pt idx="70">
                  <c:v>45728.645833333299</c:v>
                </c:pt>
                <c:pt idx="71">
                  <c:v>45729.645833333299</c:v>
                </c:pt>
                <c:pt idx="72">
                  <c:v>45733.645833333299</c:v>
                </c:pt>
                <c:pt idx="73">
                  <c:v>45734.645833333299</c:v>
                </c:pt>
                <c:pt idx="74">
                  <c:v>45735.645833333299</c:v>
                </c:pt>
                <c:pt idx="75">
                  <c:v>45736.645833333299</c:v>
                </c:pt>
                <c:pt idx="76">
                  <c:v>45737.645833333299</c:v>
                </c:pt>
                <c:pt idx="77">
                  <c:v>45740.645833333299</c:v>
                </c:pt>
                <c:pt idx="78">
                  <c:v>45741.645833333299</c:v>
                </c:pt>
                <c:pt idx="79">
                  <c:v>45742.645833333299</c:v>
                </c:pt>
                <c:pt idx="80">
                  <c:v>45743.645833333299</c:v>
                </c:pt>
                <c:pt idx="81">
                  <c:v>45744.645833333299</c:v>
                </c:pt>
                <c:pt idx="82">
                  <c:v>45748.645833333299</c:v>
                </c:pt>
              </c:numCache>
            </c:numRef>
          </c:cat>
          <c:val>
            <c:numRef>
              <c:f>Sheet1!$I$2:$I$84</c:f>
              <c:numCache>
                <c:formatCode>General</c:formatCode>
                <c:ptCount val="83"/>
                <c:pt idx="0">
                  <c:v>34.950127801387701</c:v>
                </c:pt>
                <c:pt idx="1">
                  <c:v>33.584382117618631</c:v>
                </c:pt>
                <c:pt idx="2">
                  <c:v>30.932003204160935</c:v>
                </c:pt>
                <c:pt idx="3">
                  <c:v>29.142374455230804</c:v>
                </c:pt>
                <c:pt idx="4">
                  <c:v>27.674995934959046</c:v>
                </c:pt>
                <c:pt idx="5">
                  <c:v>27.229016181680571</c:v>
                </c:pt>
                <c:pt idx="6">
                  <c:v>26.250472006338391</c:v>
                </c:pt>
                <c:pt idx="7">
                  <c:v>25.917378125282831</c:v>
                </c:pt>
                <c:pt idx="8">
                  <c:v>25.465171258450674</c:v>
                </c:pt>
                <c:pt idx="9">
                  <c:v>25.287496086669655</c:v>
                </c:pt>
                <c:pt idx="10">
                  <c:v>24.961419397408743</c:v>
                </c:pt>
                <c:pt idx="11">
                  <c:v>24.633778807428907</c:v>
                </c:pt>
                <c:pt idx="12">
                  <c:v>24.673948756172422</c:v>
                </c:pt>
                <c:pt idx="13">
                  <c:v>24.671277778465843</c:v>
                </c:pt>
                <c:pt idx="14">
                  <c:v>24.85485309194609</c:v>
                </c:pt>
                <c:pt idx="15">
                  <c:v>23.769765810093009</c:v>
                </c:pt>
                <c:pt idx="16">
                  <c:v>24.373521607587925</c:v>
                </c:pt>
                <c:pt idx="17">
                  <c:v>24.500905255384616</c:v>
                </c:pt>
                <c:pt idx="18">
                  <c:v>24.345805536523574</c:v>
                </c:pt>
                <c:pt idx="19">
                  <c:v>23.791507354983249</c:v>
                </c:pt>
                <c:pt idx="20">
                  <c:v>22.432172394427901</c:v>
                </c:pt>
                <c:pt idx="21">
                  <c:v>21.549746647131506</c:v>
                </c:pt>
                <c:pt idx="22">
                  <c:v>21.813511676634437</c:v>
                </c:pt>
                <c:pt idx="23">
                  <c:v>22.809747489956042</c:v>
                </c:pt>
                <c:pt idx="24">
                  <c:v>23.765818182610278</c:v>
                </c:pt>
                <c:pt idx="25">
                  <c:v>23.454052540138044</c:v>
                </c:pt>
                <c:pt idx="26">
                  <c:v>23.893178710437191</c:v>
                </c:pt>
                <c:pt idx="27">
                  <c:v>24.206659379875891</c:v>
                </c:pt>
                <c:pt idx="28">
                  <c:v>24.431664563294362</c:v>
                </c:pt>
                <c:pt idx="29">
                  <c:v>24.726401151176223</c:v>
                </c:pt>
                <c:pt idx="30">
                  <c:v>25.498127654572773</c:v>
                </c:pt>
                <c:pt idx="31">
                  <c:v>26.731395399417519</c:v>
                </c:pt>
                <c:pt idx="32">
                  <c:v>27.735966221176117</c:v>
                </c:pt>
                <c:pt idx="33">
                  <c:v>28.732041202578479</c:v>
                </c:pt>
                <c:pt idx="34">
                  <c:v>29.615809826284803</c:v>
                </c:pt>
                <c:pt idx="35">
                  <c:v>30.325876189595363</c:v>
                </c:pt>
                <c:pt idx="36">
                  <c:v>31.32776830013059</c:v>
                </c:pt>
                <c:pt idx="37">
                  <c:v>30.452611820115987</c:v>
                </c:pt>
                <c:pt idx="38">
                  <c:v>30.044404590908819</c:v>
                </c:pt>
                <c:pt idx="39">
                  <c:v>29.932591351234539</c:v>
                </c:pt>
                <c:pt idx="40">
                  <c:v>30.102833015441522</c:v>
                </c:pt>
                <c:pt idx="41">
                  <c:v>30.483265035462043</c:v>
                </c:pt>
                <c:pt idx="42">
                  <c:v>30.627399180399831</c:v>
                </c:pt>
                <c:pt idx="43">
                  <c:v>30.496832303627155</c:v>
                </c:pt>
                <c:pt idx="44">
                  <c:v>29.876798923058843</c:v>
                </c:pt>
                <c:pt idx="45">
                  <c:v>29.89958175106953</c:v>
                </c:pt>
                <c:pt idx="46">
                  <c:v>29.042022666397678</c:v>
                </c:pt>
                <c:pt idx="47">
                  <c:v>28.940694340130982</c:v>
                </c:pt>
                <c:pt idx="48">
                  <c:v>30.369946996258584</c:v>
                </c:pt>
                <c:pt idx="49">
                  <c:v>31.291727696345287</c:v>
                </c:pt>
                <c:pt idx="50">
                  <c:v>31.948413975588142</c:v>
                </c:pt>
                <c:pt idx="51">
                  <c:v>33.026540043156544</c:v>
                </c:pt>
                <c:pt idx="52">
                  <c:v>33.719001566871263</c:v>
                </c:pt>
                <c:pt idx="53">
                  <c:v>33.675012331928777</c:v>
                </c:pt>
                <c:pt idx="54">
                  <c:v>34.063643570784954</c:v>
                </c:pt>
                <c:pt idx="55">
                  <c:v>34.590580724706676</c:v>
                </c:pt>
                <c:pt idx="56">
                  <c:v>35.148613937513879</c:v>
                </c:pt>
                <c:pt idx="57">
                  <c:v>35.759609541439531</c:v>
                </c:pt>
                <c:pt idx="58">
                  <c:v>36.453018201515228</c:v>
                </c:pt>
                <c:pt idx="59">
                  <c:v>37.144659438826316</c:v>
                </c:pt>
                <c:pt idx="60">
                  <c:v>37.592842851377881</c:v>
                </c:pt>
                <c:pt idx="61">
                  <c:v>37.638718086214809</c:v>
                </c:pt>
                <c:pt idx="62">
                  <c:v>37.75544621403462</c:v>
                </c:pt>
                <c:pt idx="63">
                  <c:v>37.416822419868843</c:v>
                </c:pt>
                <c:pt idx="64">
                  <c:v>34.219583416468929</c:v>
                </c:pt>
                <c:pt idx="65">
                  <c:v>28.11643189104818</c:v>
                </c:pt>
                <c:pt idx="66">
                  <c:v>21.334336004046708</c:v>
                </c:pt>
                <c:pt idx="67">
                  <c:v>18.020888216438561</c:v>
                </c:pt>
                <c:pt idx="68">
                  <c:v>18.345535333335622</c:v>
                </c:pt>
                <c:pt idx="69">
                  <c:v>17.796078807376826</c:v>
                </c:pt>
                <c:pt idx="70">
                  <c:v>17.82667620773384</c:v>
                </c:pt>
                <c:pt idx="71">
                  <c:v>18.386236171537515</c:v>
                </c:pt>
                <c:pt idx="72">
                  <c:v>18.334280090755684</c:v>
                </c:pt>
                <c:pt idx="73">
                  <c:v>17.918181408837214</c:v>
                </c:pt>
                <c:pt idx="74">
                  <c:v>15.431493370841343</c:v>
                </c:pt>
                <c:pt idx="75">
                  <c:v>13.121880581684927</c:v>
                </c:pt>
                <c:pt idx="76">
                  <c:v>13.709902573374794</c:v>
                </c:pt>
                <c:pt idx="77">
                  <c:v>14.798930141511365</c:v>
                </c:pt>
                <c:pt idx="78">
                  <c:v>10.977640912327246</c:v>
                </c:pt>
                <c:pt idx="79">
                  <c:v>10.062763971692899</c:v>
                </c:pt>
                <c:pt idx="80">
                  <c:v>11.407697206516152</c:v>
                </c:pt>
                <c:pt idx="81">
                  <c:v>11.25</c:v>
                </c:pt>
                <c:pt idx="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16-418D-9759-A26EA149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2706831"/>
        <c:axId val="152709231"/>
      </c:barChart>
      <c:dateAx>
        <c:axId val="152706831"/>
        <c:scaling>
          <c:orientation val="minMax"/>
        </c:scaling>
        <c:delete val="0"/>
        <c:axPos val="l"/>
        <c:numFmt formatCode="m/d/yyyy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9231"/>
        <c:crosses val="autoZero"/>
        <c:auto val="1"/>
        <c:lblOffset val="100"/>
        <c:baseTimeUnit val="days"/>
      </c:dateAx>
      <c:valAx>
        <c:axId val="1527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Sheet1!$E$2:$E$84</c:f>
              <c:numCache>
                <c:formatCode>General</c:formatCode>
                <c:ptCount val="83"/>
                <c:pt idx="0">
                  <c:v>1309.1500000000001</c:v>
                </c:pt>
                <c:pt idx="1">
                  <c:v>1323.3</c:v>
                </c:pt>
                <c:pt idx="2">
                  <c:v>1308.95</c:v>
                </c:pt>
                <c:pt idx="3">
                  <c:v>1322.05</c:v>
                </c:pt>
                <c:pt idx="4">
                  <c:v>1311.55</c:v>
                </c:pt>
                <c:pt idx="5">
                  <c:v>1295.1500000000001</c:v>
                </c:pt>
                <c:pt idx="6">
                  <c:v>1284.8499999999999</c:v>
                </c:pt>
                <c:pt idx="7">
                  <c:v>1278.2</c:v>
                </c:pt>
                <c:pt idx="8">
                  <c:v>1262.9000000000001</c:v>
                </c:pt>
                <c:pt idx="9">
                  <c:v>1272.8499999999999</c:v>
                </c:pt>
                <c:pt idx="10">
                  <c:v>1268.3</c:v>
                </c:pt>
                <c:pt idx="11">
                  <c:v>1245.3</c:v>
                </c:pt>
                <c:pt idx="12">
                  <c:v>1253.25</c:v>
                </c:pt>
                <c:pt idx="13">
                  <c:v>1230.45</c:v>
                </c:pt>
                <c:pt idx="14">
                  <c:v>1205.3</c:v>
                </c:pt>
                <c:pt idx="15">
                  <c:v>1222.3</c:v>
                </c:pt>
                <c:pt idx="16">
                  <c:v>1222.75</c:v>
                </c:pt>
                <c:pt idx="17">
                  <c:v>1216.55</c:v>
                </c:pt>
                <c:pt idx="18">
                  <c:v>1221.05</c:v>
                </c:pt>
                <c:pt idx="19">
                  <c:v>1210.7</c:v>
                </c:pt>
                <c:pt idx="20">
                  <c:v>1215.45</c:v>
                </c:pt>
                <c:pt idx="21">
                  <c:v>1221.25</c:v>
                </c:pt>
                <c:pt idx="22">
                  <c:v>1241.8</c:v>
                </c:pt>
                <c:pt idx="23">
                  <c:v>1251.1500000000001</c:v>
                </c:pt>
                <c:pt idx="24">
                  <c:v>1218</c:v>
                </c:pt>
                <c:pt idx="25">
                  <c:v>1240.8499999999999</c:v>
                </c:pt>
                <c:pt idx="26">
                  <c:v>1265.5</c:v>
                </c:pt>
                <c:pt idx="27">
                  <c:v>1254.75</c:v>
                </c:pt>
                <c:pt idx="28">
                  <c:v>1241.9000000000001</c:v>
                </c:pt>
                <c:pt idx="29">
                  <c:v>1239.8499999999999</c:v>
                </c:pt>
                <c:pt idx="30">
                  <c:v>1238.75</c:v>
                </c:pt>
                <c:pt idx="31">
                  <c:v>1252.2</c:v>
                </c:pt>
                <c:pt idx="32">
                  <c:v>1266.45</c:v>
                </c:pt>
                <c:pt idx="33">
                  <c:v>1302.3499999999999</c:v>
                </c:pt>
                <c:pt idx="34">
                  <c:v>1305.45</c:v>
                </c:pt>
                <c:pt idx="35">
                  <c:v>1273.7</c:v>
                </c:pt>
                <c:pt idx="36">
                  <c:v>1277.0999999999999</c:v>
                </c:pt>
                <c:pt idx="37">
                  <c:v>1263.6500000000001</c:v>
                </c:pt>
                <c:pt idx="38">
                  <c:v>1246.3</c:v>
                </c:pt>
                <c:pt idx="39">
                  <c:v>1229.3499999999999</c:v>
                </c:pt>
                <c:pt idx="40">
                  <c:v>1234.4000000000001</c:v>
                </c:pt>
                <c:pt idx="41">
                  <c:v>1235.5</c:v>
                </c:pt>
                <c:pt idx="42">
                  <c:v>1253.05</c:v>
                </c:pt>
                <c:pt idx="43">
                  <c:v>1265.0999999999999</c:v>
                </c:pt>
                <c:pt idx="44">
                  <c:v>1245.9000000000001</c:v>
                </c:pt>
                <c:pt idx="45">
                  <c:v>1285.2</c:v>
                </c:pt>
                <c:pt idx="46">
                  <c:v>1278.2</c:v>
                </c:pt>
                <c:pt idx="47">
                  <c:v>1281.55</c:v>
                </c:pt>
                <c:pt idx="48">
                  <c:v>1266.7</c:v>
                </c:pt>
                <c:pt idx="49">
                  <c:v>1253.6500000000001</c:v>
                </c:pt>
                <c:pt idx="50">
                  <c:v>1234.8499999999999</c:v>
                </c:pt>
                <c:pt idx="51">
                  <c:v>1216.55</c:v>
                </c:pt>
                <c:pt idx="52">
                  <c:v>1216.0999999999999</c:v>
                </c:pt>
                <c:pt idx="53">
                  <c:v>1217.25</c:v>
                </c:pt>
                <c:pt idx="54">
                  <c:v>1224.9000000000001</c:v>
                </c:pt>
                <c:pt idx="55">
                  <c:v>1225.4000000000001</c:v>
                </c:pt>
                <c:pt idx="56">
                  <c:v>1227.45</c:v>
                </c:pt>
                <c:pt idx="57">
                  <c:v>1233</c:v>
                </c:pt>
                <c:pt idx="58">
                  <c:v>1228.1500000000001</c:v>
                </c:pt>
                <c:pt idx="59">
                  <c:v>1214.55</c:v>
                </c:pt>
                <c:pt idx="60">
                  <c:v>1204</c:v>
                </c:pt>
                <c:pt idx="61">
                  <c:v>1207.0999999999999</c:v>
                </c:pt>
                <c:pt idx="62">
                  <c:v>1200.0999999999999</c:v>
                </c:pt>
                <c:pt idx="63">
                  <c:v>1171.25</c:v>
                </c:pt>
                <c:pt idx="64">
                  <c:v>1161.9000000000001</c:v>
                </c:pt>
                <c:pt idx="65">
                  <c:v>1175.5999999999999</c:v>
                </c:pt>
                <c:pt idx="66">
                  <c:v>1209.5999999999999</c:v>
                </c:pt>
                <c:pt idx="67">
                  <c:v>1249.8</c:v>
                </c:pt>
                <c:pt idx="68">
                  <c:v>1238.4000000000001</c:v>
                </c:pt>
                <c:pt idx="69">
                  <c:v>1247.3</c:v>
                </c:pt>
                <c:pt idx="70">
                  <c:v>1257.05</c:v>
                </c:pt>
                <c:pt idx="71">
                  <c:v>1247.9000000000001</c:v>
                </c:pt>
                <c:pt idx="72">
                  <c:v>1246.6500000000001</c:v>
                </c:pt>
                <c:pt idx="73">
                  <c:v>1238.8</c:v>
                </c:pt>
                <c:pt idx="74">
                  <c:v>1247.1500000000001</c:v>
                </c:pt>
                <c:pt idx="75">
                  <c:v>1269.1500000000001</c:v>
                </c:pt>
                <c:pt idx="76">
                  <c:v>1276.3499999999999</c:v>
                </c:pt>
                <c:pt idx="77">
                  <c:v>1302.0999999999999</c:v>
                </c:pt>
                <c:pt idx="78">
                  <c:v>1285.45</c:v>
                </c:pt>
                <c:pt idx="79">
                  <c:v>1273.05</c:v>
                </c:pt>
                <c:pt idx="80">
                  <c:v>1278.2</c:v>
                </c:pt>
                <c:pt idx="81">
                  <c:v>1275.0999999999999</c:v>
                </c:pt>
                <c:pt idx="82">
                  <c:v>1252.5999999999999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9-4306-955B-733756560C8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Sheet1!$F$2:$F$84</c:f>
              <c:numCache>
                <c:formatCode>General</c:formatCode>
                <c:ptCount val="83"/>
                <c:pt idx="0">
                  <c:v>11024152</c:v>
                </c:pt>
                <c:pt idx="1">
                  <c:v>16869482</c:v>
                </c:pt>
                <c:pt idx="2">
                  <c:v>19608540</c:v>
                </c:pt>
                <c:pt idx="3">
                  <c:v>16858723</c:v>
                </c:pt>
                <c:pt idx="4">
                  <c:v>9037514</c:v>
                </c:pt>
                <c:pt idx="5">
                  <c:v>14650002</c:v>
                </c:pt>
                <c:pt idx="6">
                  <c:v>16043729</c:v>
                </c:pt>
                <c:pt idx="7">
                  <c:v>11724373</c:v>
                </c:pt>
                <c:pt idx="8">
                  <c:v>20906813</c:v>
                </c:pt>
                <c:pt idx="9">
                  <c:v>28630222</c:v>
                </c:pt>
                <c:pt idx="10">
                  <c:v>9486781</c:v>
                </c:pt>
                <c:pt idx="11">
                  <c:v>17462791</c:v>
                </c:pt>
                <c:pt idx="12">
                  <c:v>12670179</c:v>
                </c:pt>
                <c:pt idx="13">
                  <c:v>14244653</c:v>
                </c:pt>
                <c:pt idx="14">
                  <c:v>20312896</c:v>
                </c:pt>
                <c:pt idx="15">
                  <c:v>10052824</c:v>
                </c:pt>
                <c:pt idx="16">
                  <c:v>6734917</c:v>
                </c:pt>
                <c:pt idx="17">
                  <c:v>10016178</c:v>
                </c:pt>
                <c:pt idx="18">
                  <c:v>7000397</c:v>
                </c:pt>
                <c:pt idx="19">
                  <c:v>8818766</c:v>
                </c:pt>
                <c:pt idx="20">
                  <c:v>6405475</c:v>
                </c:pt>
                <c:pt idx="21">
                  <c:v>5892590</c:v>
                </c:pt>
                <c:pt idx="22">
                  <c:v>15486276</c:v>
                </c:pt>
                <c:pt idx="23">
                  <c:v>15521102</c:v>
                </c:pt>
                <c:pt idx="24">
                  <c:v>14816766</c:v>
                </c:pt>
                <c:pt idx="25">
                  <c:v>10070505</c:v>
                </c:pt>
                <c:pt idx="26">
                  <c:v>19346579</c:v>
                </c:pt>
                <c:pt idx="27">
                  <c:v>12794704</c:v>
                </c:pt>
                <c:pt idx="28">
                  <c:v>8120332</c:v>
                </c:pt>
                <c:pt idx="29">
                  <c:v>13764861</c:v>
                </c:pt>
                <c:pt idx="30">
                  <c:v>13095266</c:v>
                </c:pt>
                <c:pt idx="31">
                  <c:v>9578856</c:v>
                </c:pt>
                <c:pt idx="32">
                  <c:v>14117603</c:v>
                </c:pt>
                <c:pt idx="33">
                  <c:v>29366277</c:v>
                </c:pt>
                <c:pt idx="34">
                  <c:v>14040244</c:v>
                </c:pt>
                <c:pt idx="35">
                  <c:v>14562976</c:v>
                </c:pt>
                <c:pt idx="36">
                  <c:v>10273590</c:v>
                </c:pt>
                <c:pt idx="37">
                  <c:v>8720682</c:v>
                </c:pt>
                <c:pt idx="38">
                  <c:v>14235970</c:v>
                </c:pt>
                <c:pt idx="39">
                  <c:v>9536019</c:v>
                </c:pt>
                <c:pt idx="40">
                  <c:v>10568025</c:v>
                </c:pt>
                <c:pt idx="41">
                  <c:v>5928156</c:v>
                </c:pt>
                <c:pt idx="42">
                  <c:v>9269259</c:v>
                </c:pt>
                <c:pt idx="43">
                  <c:v>6584612</c:v>
                </c:pt>
                <c:pt idx="44">
                  <c:v>9252345</c:v>
                </c:pt>
                <c:pt idx="45">
                  <c:v>16691069</c:v>
                </c:pt>
                <c:pt idx="46">
                  <c:v>10112028</c:v>
                </c:pt>
                <c:pt idx="47">
                  <c:v>9956001</c:v>
                </c:pt>
                <c:pt idx="48">
                  <c:v>8764283</c:v>
                </c:pt>
                <c:pt idx="49">
                  <c:v>6970972</c:v>
                </c:pt>
                <c:pt idx="50">
                  <c:v>8859714</c:v>
                </c:pt>
                <c:pt idx="51">
                  <c:v>21131654</c:v>
                </c:pt>
                <c:pt idx="52">
                  <c:v>8511216</c:v>
                </c:pt>
                <c:pt idx="53">
                  <c:v>10298145</c:v>
                </c:pt>
                <c:pt idx="54">
                  <c:v>8166683</c:v>
                </c:pt>
                <c:pt idx="55">
                  <c:v>6673250</c:v>
                </c:pt>
                <c:pt idx="56">
                  <c:v>6217338</c:v>
                </c:pt>
                <c:pt idx="57">
                  <c:v>7795582</c:v>
                </c:pt>
                <c:pt idx="58">
                  <c:v>6904025</c:v>
                </c:pt>
                <c:pt idx="59">
                  <c:v>7172498</c:v>
                </c:pt>
                <c:pt idx="60">
                  <c:v>11552182</c:v>
                </c:pt>
                <c:pt idx="61">
                  <c:v>11509215</c:v>
                </c:pt>
                <c:pt idx="62">
                  <c:v>23007298</c:v>
                </c:pt>
                <c:pt idx="63">
                  <c:v>17944938</c:v>
                </c:pt>
                <c:pt idx="64">
                  <c:v>11377373</c:v>
                </c:pt>
                <c:pt idx="65">
                  <c:v>8664095</c:v>
                </c:pt>
                <c:pt idx="66">
                  <c:v>14468014</c:v>
                </c:pt>
                <c:pt idx="67">
                  <c:v>16474965</c:v>
                </c:pt>
                <c:pt idx="68">
                  <c:v>11931051</c:v>
                </c:pt>
                <c:pt idx="69">
                  <c:v>10089838</c:v>
                </c:pt>
                <c:pt idx="70">
                  <c:v>11977555</c:v>
                </c:pt>
                <c:pt idx="71">
                  <c:v>9505270</c:v>
                </c:pt>
                <c:pt idx="72">
                  <c:v>0</c:v>
                </c:pt>
                <c:pt idx="73">
                  <c:v>15745877</c:v>
                </c:pt>
                <c:pt idx="74">
                  <c:v>16162399</c:v>
                </c:pt>
                <c:pt idx="75">
                  <c:v>15971477</c:v>
                </c:pt>
                <c:pt idx="76">
                  <c:v>21780769</c:v>
                </c:pt>
                <c:pt idx="77">
                  <c:v>20299319</c:v>
                </c:pt>
                <c:pt idx="78">
                  <c:v>13713899</c:v>
                </c:pt>
                <c:pt idx="79">
                  <c:v>12074747</c:v>
                </c:pt>
                <c:pt idx="80">
                  <c:v>15028056</c:v>
                </c:pt>
                <c:pt idx="81">
                  <c:v>18147129</c:v>
                </c:pt>
                <c:pt idx="82">
                  <c:v>12099648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9-4306-955B-73375656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89455"/>
        <c:axId val="304984655"/>
      </c:barChart>
      <c:lineChart>
        <c:grouping val="standar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Daily Return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Sheet1!$G$2:$G$84</c:f>
              <c:numCache>
                <c:formatCode>General</c:formatCode>
                <c:ptCount val="83"/>
                <c:pt idx="0">
                  <c:v>1.642080745341622</c:v>
                </c:pt>
                <c:pt idx="1">
                  <c:v>0.4783599088838234</c:v>
                </c:pt>
                <c:pt idx="2">
                  <c:v>-1.2858220211161353</c:v>
                </c:pt>
                <c:pt idx="3">
                  <c:v>0.58584090995549476</c:v>
                </c:pt>
                <c:pt idx="4">
                  <c:v>-0.93284991313544352</c:v>
                </c:pt>
                <c:pt idx="5">
                  <c:v>-0.60245587106676202</c:v>
                </c:pt>
                <c:pt idx="6">
                  <c:v>-0.34128369206903941</c:v>
                </c:pt>
                <c:pt idx="7">
                  <c:v>-0.52918287937742836</c:v>
                </c:pt>
                <c:pt idx="8">
                  <c:v>-0.55905511811022901</c:v>
                </c:pt>
                <c:pt idx="9">
                  <c:v>1.0198412698412627</c:v>
                </c:pt>
                <c:pt idx="10">
                  <c:v>-0.52549019607843495</c:v>
                </c:pt>
                <c:pt idx="11">
                  <c:v>-1.2489592006661117</c:v>
                </c:pt>
                <c:pt idx="12">
                  <c:v>1.0155966630395283</c:v>
                </c:pt>
                <c:pt idx="13">
                  <c:v>-0.69007263922517792</c:v>
                </c:pt>
                <c:pt idx="14">
                  <c:v>-1.5277777777777815</c:v>
                </c:pt>
                <c:pt idx="15">
                  <c:v>0.60082304526748598</c:v>
                </c:pt>
                <c:pt idx="16">
                  <c:v>3.6815838992067862E-2</c:v>
                </c:pt>
                <c:pt idx="17">
                  <c:v>-0.62895650398203351</c:v>
                </c:pt>
                <c:pt idx="18">
                  <c:v>0.22572437002380369</c:v>
                </c:pt>
                <c:pt idx="19">
                  <c:v>-0.46859585662611358</c:v>
                </c:pt>
                <c:pt idx="20">
                  <c:v>0.61672185430463955</c:v>
                </c:pt>
                <c:pt idx="21">
                  <c:v>0.52681400996008498</c:v>
                </c:pt>
                <c:pt idx="22">
                  <c:v>1.6827021494370482</c:v>
                </c:pt>
                <c:pt idx="23">
                  <c:v>0.58284428008682365</c:v>
                </c:pt>
                <c:pt idx="24">
                  <c:v>-2.8669404681207418</c:v>
                </c:pt>
                <c:pt idx="25">
                  <c:v>1.5425531914893542</c:v>
                </c:pt>
                <c:pt idx="26">
                  <c:v>1.3210568454763811</c:v>
                </c:pt>
                <c:pt idx="27">
                  <c:v>-0.96685082872928174</c:v>
                </c:pt>
                <c:pt idx="28">
                  <c:v>-0.95306456115163851</c:v>
                </c:pt>
                <c:pt idx="29">
                  <c:v>0.80081300813007394</c:v>
                </c:pt>
                <c:pt idx="30">
                  <c:v>-0.43002974037456071</c:v>
                </c:pt>
                <c:pt idx="31">
                  <c:v>0.58235270492790869</c:v>
                </c:pt>
                <c:pt idx="32">
                  <c:v>0.59972992294860228</c:v>
                </c:pt>
                <c:pt idx="33">
                  <c:v>-1.5050103989412056</c:v>
                </c:pt>
                <c:pt idx="34">
                  <c:v>-0.80167173252279289</c:v>
                </c:pt>
                <c:pt idx="35">
                  <c:v>-2.8080885158336479</c:v>
                </c:pt>
                <c:pt idx="36">
                  <c:v>-9.3874677305800319E-2</c:v>
                </c:pt>
                <c:pt idx="37">
                  <c:v>-0.49999999999999278</c:v>
                </c:pt>
                <c:pt idx="38">
                  <c:v>-1.5560821484992138</c:v>
                </c:pt>
                <c:pt idx="39">
                  <c:v>-0.78686143168428713</c:v>
                </c:pt>
                <c:pt idx="40">
                  <c:v>-0.29079159935378907</c:v>
                </c:pt>
                <c:pt idx="41">
                  <c:v>-4.0453074433656963E-2</c:v>
                </c:pt>
                <c:pt idx="42">
                  <c:v>1.41637327505969</c:v>
                </c:pt>
                <c:pt idx="43">
                  <c:v>0.73655293227694396</c:v>
                </c:pt>
                <c:pt idx="44">
                  <c:v>-0.40767386091126367</c:v>
                </c:pt>
                <c:pt idx="45">
                  <c:v>2.9766435639597848</c:v>
                </c:pt>
                <c:pt idx="46">
                  <c:v>-0.34693797996336062</c:v>
                </c:pt>
                <c:pt idx="47">
                  <c:v>0.61631467378502858</c:v>
                </c:pt>
                <c:pt idx="48">
                  <c:v>-0.74050856090585315</c:v>
                </c:pt>
                <c:pt idx="49">
                  <c:v>-0.85804665875839536</c:v>
                </c:pt>
                <c:pt idx="50">
                  <c:v>-2.3486615792179073</c:v>
                </c:pt>
                <c:pt idx="51">
                  <c:v>-0.23781212841855678</c:v>
                </c:pt>
                <c:pt idx="52">
                  <c:v>-7.805759829095317E-2</c:v>
                </c:pt>
                <c:pt idx="53">
                  <c:v>-0.14356029532403611</c:v>
                </c:pt>
                <c:pt idx="54">
                  <c:v>1.1394599950458413</c:v>
                </c:pt>
                <c:pt idx="55">
                  <c:v>4.4903457566247452E-2</c:v>
                </c:pt>
                <c:pt idx="56">
                  <c:v>0.65190651906519437</c:v>
                </c:pt>
                <c:pt idx="57">
                  <c:v>0.7394092895951595</c:v>
                </c:pt>
                <c:pt idx="58">
                  <c:v>-4.4762757385851268E-2</c:v>
                </c:pt>
                <c:pt idx="59">
                  <c:v>-0.16439932596276358</c:v>
                </c:pt>
                <c:pt idx="60">
                  <c:v>-0.57803468208092479</c:v>
                </c:pt>
                <c:pt idx="61">
                  <c:v>-0.46998680738786658</c:v>
                </c:pt>
                <c:pt idx="62">
                  <c:v>-0.15806988352746182</c:v>
                </c:pt>
                <c:pt idx="63">
                  <c:v>-2.7200996677740865</c:v>
                </c:pt>
                <c:pt idx="64">
                  <c:v>-2.5813113061431296E-2</c:v>
                </c:pt>
                <c:pt idx="65">
                  <c:v>1.2575366063738078</c:v>
                </c:pt>
                <c:pt idx="66">
                  <c:v>1.0526315789473608</c:v>
                </c:pt>
                <c:pt idx="67">
                  <c:v>2.7796052631578907</c:v>
                </c:pt>
                <c:pt idx="68">
                  <c:v>-0.53012048192770356</c:v>
                </c:pt>
                <c:pt idx="69">
                  <c:v>0.58870967741935121</c:v>
                </c:pt>
                <c:pt idx="70">
                  <c:v>-7.5516693163755602E-2</c:v>
                </c:pt>
                <c:pt idx="71">
                  <c:v>-0.96424745049798533</c:v>
                </c:pt>
                <c:pt idx="72">
                  <c:v>0.3622750875498128</c:v>
                </c:pt>
                <c:pt idx="73">
                  <c:v>-0.47400980155861583</c:v>
                </c:pt>
                <c:pt idx="74">
                  <c:v>0.49151927803071083</c:v>
                </c:pt>
                <c:pt idx="75">
                  <c:v>1.3819547070336049</c:v>
                </c:pt>
                <c:pt idx="76">
                  <c:v>0.10588235294116932</c:v>
                </c:pt>
                <c:pt idx="77">
                  <c:v>0.85979860573198363</c:v>
                </c:pt>
                <c:pt idx="78">
                  <c:v>-1.7014605796436493</c:v>
                </c:pt>
                <c:pt idx="79">
                  <c:v>-1.3903950426026372</c:v>
                </c:pt>
                <c:pt idx="80">
                  <c:v>3.9119039236360769E-3</c:v>
                </c:pt>
                <c:pt idx="81">
                  <c:v>-0.38281250000000711</c:v>
                </c:pt>
                <c:pt idx="82">
                  <c:v>-0.94891665348726884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9-4306-955B-733756560C84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10 Days Average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Sheet1!$H$2:$H$84</c:f>
              <c:numCache>
                <c:formatCode>General</c:formatCode>
                <c:ptCount val="83"/>
                <c:pt idx="0">
                  <c:v>1296.895</c:v>
                </c:pt>
                <c:pt idx="1">
                  <c:v>1292.81</c:v>
                </c:pt>
                <c:pt idx="2">
                  <c:v>1285.01</c:v>
                </c:pt>
                <c:pt idx="3">
                  <c:v>1279.44</c:v>
                </c:pt>
                <c:pt idx="4">
                  <c:v>1270.28</c:v>
                </c:pt>
                <c:pt idx="5">
                  <c:v>1259.6550000000002</c:v>
                </c:pt>
                <c:pt idx="6">
                  <c:v>1252.3700000000001</c:v>
                </c:pt>
                <c:pt idx="7">
                  <c:v>1246.1599999999999</c:v>
                </c:pt>
                <c:pt idx="8">
                  <c:v>1239.9949999999999</c:v>
                </c:pt>
                <c:pt idx="9">
                  <c:v>1235.81</c:v>
                </c:pt>
                <c:pt idx="10">
                  <c:v>1229.595</c:v>
                </c:pt>
                <c:pt idx="11">
                  <c:v>1224.31</c:v>
                </c:pt>
                <c:pt idx="12">
                  <c:v>1221.9050000000002</c:v>
                </c:pt>
                <c:pt idx="13">
                  <c:v>1220.76</c:v>
                </c:pt>
                <c:pt idx="14">
                  <c:v>1222.83</c:v>
                </c:pt>
                <c:pt idx="15">
                  <c:v>1224.0999999999999</c:v>
                </c:pt>
                <c:pt idx="16">
                  <c:v>1225.9549999999999</c:v>
                </c:pt>
                <c:pt idx="17">
                  <c:v>1230.23</c:v>
                </c:pt>
                <c:pt idx="18">
                  <c:v>1234.05</c:v>
                </c:pt>
                <c:pt idx="19">
                  <c:v>1236.135</c:v>
                </c:pt>
                <c:pt idx="20">
                  <c:v>1239.05</c:v>
                </c:pt>
                <c:pt idx="21">
                  <c:v>1241.3800000000001</c:v>
                </c:pt>
                <c:pt idx="22">
                  <c:v>1244.4749999999999</c:v>
                </c:pt>
                <c:pt idx="23">
                  <c:v>1246.94</c:v>
                </c:pt>
                <c:pt idx="24">
                  <c:v>1252.0600000000002</c:v>
                </c:pt>
                <c:pt idx="25">
                  <c:v>1260.8050000000003</c:v>
                </c:pt>
                <c:pt idx="26">
                  <c:v>1264.0900000000001</c:v>
                </c:pt>
                <c:pt idx="27">
                  <c:v>1265.2500000000002</c:v>
                </c:pt>
                <c:pt idx="28">
                  <c:v>1266.1400000000001</c:v>
                </c:pt>
                <c:pt idx="29">
                  <c:v>1266.58</c:v>
                </c:pt>
                <c:pt idx="30">
                  <c:v>1265.53</c:v>
                </c:pt>
                <c:pt idx="31">
                  <c:v>1265.0949999999998</c:v>
                </c:pt>
                <c:pt idx="32">
                  <c:v>1263.4249999999997</c:v>
                </c:pt>
                <c:pt idx="33">
                  <c:v>1262.0849999999998</c:v>
                </c:pt>
                <c:pt idx="34">
                  <c:v>1258.3599999999999</c:v>
                </c:pt>
                <c:pt idx="35">
                  <c:v>1252.405</c:v>
                </c:pt>
                <c:pt idx="36">
                  <c:v>1253.5549999999998</c:v>
                </c:pt>
                <c:pt idx="37">
                  <c:v>1253.6650000000002</c:v>
                </c:pt>
                <c:pt idx="38">
                  <c:v>1255.4549999999999</c:v>
                </c:pt>
                <c:pt idx="39">
                  <c:v>1257.4950000000001</c:v>
                </c:pt>
                <c:pt idx="40">
                  <c:v>1259.9249999999997</c:v>
                </c:pt>
                <c:pt idx="41">
                  <c:v>1259.97</c:v>
                </c:pt>
                <c:pt idx="42">
                  <c:v>1258.075</c:v>
                </c:pt>
                <c:pt idx="43">
                  <c:v>1254.3799999999999</c:v>
                </c:pt>
                <c:pt idx="44">
                  <c:v>1249.595</c:v>
                </c:pt>
                <c:pt idx="45">
                  <c:v>1247.4949999999999</c:v>
                </c:pt>
                <c:pt idx="46">
                  <c:v>1241.5149999999999</c:v>
                </c:pt>
                <c:pt idx="47">
                  <c:v>1236.44</c:v>
                </c:pt>
                <c:pt idx="48">
                  <c:v>1231.585</c:v>
                </c:pt>
                <c:pt idx="49">
                  <c:v>1227.73</c:v>
                </c:pt>
                <c:pt idx="50">
                  <c:v>1223.82</c:v>
                </c:pt>
                <c:pt idx="51">
                  <c:v>1220.7349999999997</c:v>
                </c:pt>
                <c:pt idx="52">
                  <c:v>1219.79</c:v>
                </c:pt>
                <c:pt idx="53">
                  <c:v>1218.19</c:v>
                </c:pt>
                <c:pt idx="54">
                  <c:v>1213.5900000000001</c:v>
                </c:pt>
                <c:pt idx="55">
                  <c:v>1207.29</c:v>
                </c:pt>
                <c:pt idx="56">
                  <c:v>1202.31</c:v>
                </c:pt>
                <c:pt idx="57">
                  <c:v>1200.5250000000001</c:v>
                </c:pt>
                <c:pt idx="58">
                  <c:v>1202.2049999999999</c:v>
                </c:pt>
                <c:pt idx="59">
                  <c:v>1203.23</c:v>
                </c:pt>
                <c:pt idx="60">
                  <c:v>1206.5049999999999</c:v>
                </c:pt>
                <c:pt idx="61">
                  <c:v>1211.81</c:v>
                </c:pt>
                <c:pt idx="62">
                  <c:v>1215.8899999999999</c:v>
                </c:pt>
                <c:pt idx="63">
                  <c:v>1220.5449999999998</c:v>
                </c:pt>
                <c:pt idx="64">
                  <c:v>1227.2999999999997</c:v>
                </c:pt>
                <c:pt idx="65">
                  <c:v>1235.8249999999998</c:v>
                </c:pt>
                <c:pt idx="66">
                  <c:v>1245.1799999999998</c:v>
                </c:pt>
                <c:pt idx="67">
                  <c:v>1251.855</c:v>
                </c:pt>
                <c:pt idx="68">
                  <c:v>1257.085</c:v>
                </c:pt>
                <c:pt idx="69">
                  <c:v>1261.7900000000002</c:v>
                </c:pt>
                <c:pt idx="70">
                  <c:v>1264.365</c:v>
                </c:pt>
                <c:pt idx="71">
                  <c:v>1266.48</c:v>
                </c:pt>
                <c:pt idx="72">
                  <c:v>1269.2000000000003</c:v>
                </c:pt>
                <c:pt idx="73">
                  <c:v>1269.7950000000001</c:v>
                </c:pt>
                <c:pt idx="74">
                  <c:v>1273.2388888888891</c:v>
                </c:pt>
                <c:pt idx="75">
                  <c:v>1276.5</c:v>
                </c:pt>
                <c:pt idx="76">
                  <c:v>1277.55</c:v>
                </c:pt>
                <c:pt idx="77">
                  <c:v>1277.75</c:v>
                </c:pt>
                <c:pt idx="78">
                  <c:v>1272.8799999999999</c:v>
                </c:pt>
                <c:pt idx="79">
                  <c:v>1269.7375</c:v>
                </c:pt>
                <c:pt idx="80">
                  <c:v>1268.6333333333334</c:v>
                </c:pt>
                <c:pt idx="81">
                  <c:v>1263.8499999999999</c:v>
                </c:pt>
                <c:pt idx="82">
                  <c:v>1252.5999999999999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9-4306-955B-73375656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988975"/>
        <c:axId val="304988495"/>
      </c:lineChart>
      <c:catAx>
        <c:axId val="30498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84655"/>
        <c:crosses val="autoZero"/>
        <c:auto val="1"/>
        <c:lblAlgn val="ctr"/>
        <c:lblOffset val="100"/>
        <c:noMultiLvlLbl val="0"/>
      </c:catAx>
      <c:valAx>
        <c:axId val="304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89455"/>
        <c:crosses val="autoZero"/>
        <c:crossBetween val="between"/>
      </c:valAx>
      <c:valAx>
        <c:axId val="3049884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88975"/>
        <c:crosses val="max"/>
        <c:crossBetween val="between"/>
      </c:valAx>
      <c:catAx>
        <c:axId val="304988975"/>
        <c:scaling>
          <c:orientation val="minMax"/>
        </c:scaling>
        <c:delete val="1"/>
        <c:axPos val="b"/>
        <c:majorTickMark val="none"/>
        <c:minorTickMark val="none"/>
        <c:tickLblPos val="nextTo"/>
        <c:crossAx val="304988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Scatter Plot</a:t>
            </a:r>
            <a:r>
              <a:rPr lang="en-IN" b="1" baseline="0">
                <a:solidFill>
                  <a:schemeClr val="tx1"/>
                </a:solidFill>
              </a:rPr>
              <a:t> Chart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Sheet1!$B$1:$P$1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4-4077-B8DB-656CA0FDC04D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12-2-2024 15:30:00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Sheet1!$B$2:$P$2</c:f>
              <c:numCache>
                <c:formatCode>General</c:formatCode>
                <c:ptCount val="15"/>
                <c:pt idx="0">
                  <c:v>1288</c:v>
                </c:pt>
                <c:pt idx="1">
                  <c:v>1311.35</c:v>
                </c:pt>
                <c:pt idx="2">
                  <c:v>1277.05</c:v>
                </c:pt>
                <c:pt idx="3">
                  <c:v>1309.1500000000001</c:v>
                </c:pt>
                <c:pt idx="4">
                  <c:v>11024152</c:v>
                </c:pt>
                <c:pt idx="5">
                  <c:v>1.642080745341622</c:v>
                </c:pt>
                <c:pt idx="6">
                  <c:v>1296.895</c:v>
                </c:pt>
                <c:pt idx="7">
                  <c:v>34.950127801387701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4-4077-B8DB-656CA0FDC04D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12-3-2024 15:30:00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Sheet1!$B$3:$P$3</c:f>
              <c:numCache>
                <c:formatCode>General</c:formatCode>
                <c:ptCount val="15"/>
                <c:pt idx="0">
                  <c:v>1317</c:v>
                </c:pt>
                <c:pt idx="1">
                  <c:v>1326.8</c:v>
                </c:pt>
                <c:pt idx="2">
                  <c:v>1307</c:v>
                </c:pt>
                <c:pt idx="3">
                  <c:v>1323.3</c:v>
                </c:pt>
                <c:pt idx="4">
                  <c:v>16869482</c:v>
                </c:pt>
                <c:pt idx="5">
                  <c:v>0.4783599088838234</c:v>
                </c:pt>
                <c:pt idx="6">
                  <c:v>1292.81</c:v>
                </c:pt>
                <c:pt idx="7">
                  <c:v>33.584382117618631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4-4077-B8DB-656CA0FDC04D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12-4-2024 15:30:00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Sheet1!$B$4:$P$4</c:f>
              <c:numCache>
                <c:formatCode>General</c:formatCode>
                <c:ptCount val="15"/>
                <c:pt idx="0">
                  <c:v>1326</c:v>
                </c:pt>
                <c:pt idx="1">
                  <c:v>1328.4</c:v>
                </c:pt>
                <c:pt idx="2">
                  <c:v>1304.05</c:v>
                </c:pt>
                <c:pt idx="3">
                  <c:v>1308.95</c:v>
                </c:pt>
                <c:pt idx="4">
                  <c:v>19608540</c:v>
                </c:pt>
                <c:pt idx="5">
                  <c:v>-1.2858220211161353</c:v>
                </c:pt>
                <c:pt idx="6">
                  <c:v>1285.01</c:v>
                </c:pt>
                <c:pt idx="7">
                  <c:v>30.932003204160935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4-4077-B8DB-656CA0FDC04D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12-5-2024 15:30:00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Sheet1!$B$5:$P$5</c:f>
              <c:numCache>
                <c:formatCode>General</c:formatCode>
                <c:ptCount val="15"/>
                <c:pt idx="0">
                  <c:v>1314.35</c:v>
                </c:pt>
                <c:pt idx="1">
                  <c:v>1329.95</c:v>
                </c:pt>
                <c:pt idx="2">
                  <c:v>1306.1500000000001</c:v>
                </c:pt>
                <c:pt idx="3">
                  <c:v>1322.05</c:v>
                </c:pt>
                <c:pt idx="4">
                  <c:v>16858723</c:v>
                </c:pt>
                <c:pt idx="5">
                  <c:v>0.58584090995549476</c:v>
                </c:pt>
                <c:pt idx="6">
                  <c:v>1279.44</c:v>
                </c:pt>
                <c:pt idx="7">
                  <c:v>29.142374455230804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4-4077-B8DB-656CA0FDC04D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12-6-2024 15:30:00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Sheet1!$B$6:$P$6</c:f>
              <c:numCache>
                <c:formatCode>General</c:formatCode>
                <c:ptCount val="15"/>
                <c:pt idx="0">
                  <c:v>1323.9</c:v>
                </c:pt>
                <c:pt idx="1">
                  <c:v>1323.9</c:v>
                </c:pt>
                <c:pt idx="2">
                  <c:v>1310</c:v>
                </c:pt>
                <c:pt idx="3">
                  <c:v>1311.55</c:v>
                </c:pt>
                <c:pt idx="4">
                  <c:v>9037514</c:v>
                </c:pt>
                <c:pt idx="5">
                  <c:v>-0.93284991313544352</c:v>
                </c:pt>
                <c:pt idx="6">
                  <c:v>1270.28</c:v>
                </c:pt>
                <c:pt idx="7">
                  <c:v>27.674995934959046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84-4077-B8DB-656CA0FDC04D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12-9-2024 15:30:00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Sheet1!$B$7:$P$7</c:f>
              <c:numCache>
                <c:formatCode>General</c:formatCode>
                <c:ptCount val="15"/>
                <c:pt idx="0">
                  <c:v>1303</c:v>
                </c:pt>
                <c:pt idx="1">
                  <c:v>1315</c:v>
                </c:pt>
                <c:pt idx="2">
                  <c:v>1293.0999999999999</c:v>
                </c:pt>
                <c:pt idx="3">
                  <c:v>1295.1500000000001</c:v>
                </c:pt>
                <c:pt idx="4">
                  <c:v>14650002</c:v>
                </c:pt>
                <c:pt idx="5">
                  <c:v>-0.60245587106676202</c:v>
                </c:pt>
                <c:pt idx="6">
                  <c:v>1259.6550000000002</c:v>
                </c:pt>
                <c:pt idx="7">
                  <c:v>27.229016181680571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84-4077-B8DB-656CA0FDC04D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12-10-2024 15:30:00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Sheet1!$B$8:$P$8</c:f>
              <c:numCache>
                <c:formatCode>General</c:formatCode>
                <c:ptCount val="15"/>
                <c:pt idx="0">
                  <c:v>1289.25</c:v>
                </c:pt>
                <c:pt idx="1">
                  <c:v>1294.9000000000001</c:v>
                </c:pt>
                <c:pt idx="2">
                  <c:v>1280.2</c:v>
                </c:pt>
                <c:pt idx="3">
                  <c:v>1284.8499999999999</c:v>
                </c:pt>
                <c:pt idx="4">
                  <c:v>16043729</c:v>
                </c:pt>
                <c:pt idx="5">
                  <c:v>-0.34128369206903941</c:v>
                </c:pt>
                <c:pt idx="6">
                  <c:v>1252.3700000000001</c:v>
                </c:pt>
                <c:pt idx="7">
                  <c:v>26.250472006338391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84-4077-B8DB-656CA0FDC04D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12-11-2024 15:30:00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Sheet1!$B$9:$P$9</c:f>
              <c:numCache>
                <c:formatCode>General</c:formatCode>
                <c:ptCount val="15"/>
                <c:pt idx="0">
                  <c:v>1285</c:v>
                </c:pt>
                <c:pt idx="1">
                  <c:v>1290</c:v>
                </c:pt>
                <c:pt idx="2">
                  <c:v>1276.05</c:v>
                </c:pt>
                <c:pt idx="3">
                  <c:v>1278.2</c:v>
                </c:pt>
                <c:pt idx="4">
                  <c:v>11724373</c:v>
                </c:pt>
                <c:pt idx="5">
                  <c:v>-0.52918287937742836</c:v>
                </c:pt>
                <c:pt idx="6">
                  <c:v>1246.1599999999999</c:v>
                </c:pt>
                <c:pt idx="7">
                  <c:v>25.917378125282831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84-4077-B8DB-656CA0FDC04D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12-12-2024 15:30:00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Sheet1!$B$10:$P$10</c:f>
              <c:numCache>
                <c:formatCode>General</c:formatCode>
                <c:ptCount val="15"/>
                <c:pt idx="0">
                  <c:v>1270</c:v>
                </c:pt>
                <c:pt idx="1">
                  <c:v>1278.2</c:v>
                </c:pt>
                <c:pt idx="2">
                  <c:v>1260.5999999999999</c:v>
                </c:pt>
                <c:pt idx="3">
                  <c:v>1262.9000000000001</c:v>
                </c:pt>
                <c:pt idx="4">
                  <c:v>20906813</c:v>
                </c:pt>
                <c:pt idx="5">
                  <c:v>-0.55905511811022901</c:v>
                </c:pt>
                <c:pt idx="6">
                  <c:v>1239.9949999999999</c:v>
                </c:pt>
                <c:pt idx="7">
                  <c:v>25.465171258450674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84-4077-B8DB-656CA0FDC04D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12-13-2024 15:30:00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Sheet1!$B$11:$P$11</c:f>
              <c:numCache>
                <c:formatCode>General</c:formatCode>
                <c:ptCount val="15"/>
                <c:pt idx="0">
                  <c:v>1260</c:v>
                </c:pt>
                <c:pt idx="1">
                  <c:v>1275.2</c:v>
                </c:pt>
                <c:pt idx="2">
                  <c:v>1239.5999999999999</c:v>
                </c:pt>
                <c:pt idx="3">
                  <c:v>1272.8499999999999</c:v>
                </c:pt>
                <c:pt idx="4">
                  <c:v>28630222</c:v>
                </c:pt>
                <c:pt idx="5">
                  <c:v>1.0198412698412627</c:v>
                </c:pt>
                <c:pt idx="6">
                  <c:v>1235.81</c:v>
                </c:pt>
                <c:pt idx="7">
                  <c:v>25.287496086669655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84-4077-B8DB-656CA0FDC04D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12-16-2024 15:30:00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Sheet1!$B$12:$P$12</c:f>
              <c:numCache>
                <c:formatCode>General</c:formatCode>
                <c:ptCount val="15"/>
                <c:pt idx="0">
                  <c:v>1275</c:v>
                </c:pt>
                <c:pt idx="1">
                  <c:v>1281</c:v>
                </c:pt>
                <c:pt idx="2">
                  <c:v>1266.55</c:v>
                </c:pt>
                <c:pt idx="3">
                  <c:v>1268.3</c:v>
                </c:pt>
                <c:pt idx="4">
                  <c:v>9486781</c:v>
                </c:pt>
                <c:pt idx="5">
                  <c:v>-0.52549019607843495</c:v>
                </c:pt>
                <c:pt idx="6">
                  <c:v>1229.595</c:v>
                </c:pt>
                <c:pt idx="7">
                  <c:v>24.961419397408743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84-4077-B8DB-656CA0FDC04D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12-17-2024 15:30:00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Sheet1!$B$13:$P$13</c:f>
              <c:numCache>
                <c:formatCode>General</c:formatCode>
                <c:ptCount val="15"/>
                <c:pt idx="0">
                  <c:v>1261.05</c:v>
                </c:pt>
                <c:pt idx="1">
                  <c:v>1263.9000000000001</c:v>
                </c:pt>
                <c:pt idx="2">
                  <c:v>1242.8</c:v>
                </c:pt>
                <c:pt idx="3">
                  <c:v>1245.3</c:v>
                </c:pt>
                <c:pt idx="4">
                  <c:v>17462791</c:v>
                </c:pt>
                <c:pt idx="5">
                  <c:v>-1.2489592006661117</c:v>
                </c:pt>
                <c:pt idx="6">
                  <c:v>1224.31</c:v>
                </c:pt>
                <c:pt idx="7">
                  <c:v>24.633778807428907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84-4077-B8DB-656CA0FDC04D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12-18-2024 15:30:00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Sheet1!$B$14:$P$14</c:f>
              <c:numCache>
                <c:formatCode>General</c:formatCode>
                <c:ptCount val="15"/>
                <c:pt idx="0">
                  <c:v>1240.6500000000001</c:v>
                </c:pt>
                <c:pt idx="1">
                  <c:v>1259.95</c:v>
                </c:pt>
                <c:pt idx="2">
                  <c:v>1240.6500000000001</c:v>
                </c:pt>
                <c:pt idx="3">
                  <c:v>1253.25</c:v>
                </c:pt>
                <c:pt idx="4">
                  <c:v>12670179</c:v>
                </c:pt>
                <c:pt idx="5">
                  <c:v>1.0155966630395283</c:v>
                </c:pt>
                <c:pt idx="6">
                  <c:v>1221.9050000000002</c:v>
                </c:pt>
                <c:pt idx="7">
                  <c:v>24.673948756172422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84-4077-B8DB-656CA0FDC04D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12-19-2024 15:30:00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Sheet1!$B$15:$P$15</c:f>
              <c:numCache>
                <c:formatCode>General</c:formatCode>
                <c:ptCount val="15"/>
                <c:pt idx="0">
                  <c:v>1239</c:v>
                </c:pt>
                <c:pt idx="1">
                  <c:v>1244.9000000000001</c:v>
                </c:pt>
                <c:pt idx="2">
                  <c:v>1229</c:v>
                </c:pt>
                <c:pt idx="3">
                  <c:v>1230.45</c:v>
                </c:pt>
                <c:pt idx="4">
                  <c:v>14244653</c:v>
                </c:pt>
                <c:pt idx="5">
                  <c:v>-0.69007263922517792</c:v>
                </c:pt>
                <c:pt idx="6">
                  <c:v>1220.76</c:v>
                </c:pt>
                <c:pt idx="7">
                  <c:v>24.671277778465843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84-4077-B8DB-656CA0FDC04D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12-20-2024 15:30:00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Sheet1!$B$16:$P$16</c:f>
              <c:numCache>
                <c:formatCode>General</c:formatCode>
                <c:ptCount val="15"/>
                <c:pt idx="0">
                  <c:v>1224</c:v>
                </c:pt>
                <c:pt idx="1">
                  <c:v>1239.5</c:v>
                </c:pt>
                <c:pt idx="2">
                  <c:v>1201.5</c:v>
                </c:pt>
                <c:pt idx="3">
                  <c:v>1205.3</c:v>
                </c:pt>
                <c:pt idx="4">
                  <c:v>20312896</c:v>
                </c:pt>
                <c:pt idx="5">
                  <c:v>-1.5277777777777815</c:v>
                </c:pt>
                <c:pt idx="6">
                  <c:v>1222.83</c:v>
                </c:pt>
                <c:pt idx="7">
                  <c:v>24.85485309194609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4F84-4077-B8DB-656CA0FDC04D}"/>
            </c:ext>
          </c:extLst>
        </c:ser>
        <c:ser>
          <c:idx val="16"/>
          <c:order val="16"/>
          <c:tx>
            <c:strRef>
              <c:f>Sheet1!$A$17</c:f>
              <c:strCache>
                <c:ptCount val="1"/>
                <c:pt idx="0">
                  <c:v>12-23-2024 15:30:00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Sheet1!$B$17:$P$17</c:f>
              <c:numCache>
                <c:formatCode>General</c:formatCode>
                <c:ptCount val="15"/>
                <c:pt idx="0">
                  <c:v>1215</c:v>
                </c:pt>
                <c:pt idx="1">
                  <c:v>1227.2</c:v>
                </c:pt>
                <c:pt idx="2">
                  <c:v>1213.2</c:v>
                </c:pt>
                <c:pt idx="3">
                  <c:v>1222.3</c:v>
                </c:pt>
                <c:pt idx="4">
                  <c:v>10052824</c:v>
                </c:pt>
                <c:pt idx="5">
                  <c:v>0.60082304526748598</c:v>
                </c:pt>
                <c:pt idx="6">
                  <c:v>1224.0999999999999</c:v>
                </c:pt>
                <c:pt idx="7">
                  <c:v>23.769765810093009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4F84-4077-B8DB-656CA0FDC04D}"/>
            </c:ext>
          </c:extLst>
        </c:ser>
        <c:ser>
          <c:idx val="17"/>
          <c:order val="17"/>
          <c:tx>
            <c:strRef>
              <c:f>Sheet1!$A$18</c:f>
              <c:strCache>
                <c:ptCount val="1"/>
                <c:pt idx="0">
                  <c:v>12-24-2024 15:30:00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Sheet1!$B$18:$P$18</c:f>
              <c:numCache>
                <c:formatCode>General</c:formatCode>
                <c:ptCount val="15"/>
                <c:pt idx="0">
                  <c:v>1222.3</c:v>
                </c:pt>
                <c:pt idx="1">
                  <c:v>1233.55</c:v>
                </c:pt>
                <c:pt idx="2">
                  <c:v>1221</c:v>
                </c:pt>
                <c:pt idx="3">
                  <c:v>1222.75</c:v>
                </c:pt>
                <c:pt idx="4">
                  <c:v>6734917</c:v>
                </c:pt>
                <c:pt idx="5">
                  <c:v>3.6815838992067862E-2</c:v>
                </c:pt>
                <c:pt idx="6">
                  <c:v>1225.9549999999999</c:v>
                </c:pt>
                <c:pt idx="7">
                  <c:v>24.373521607587925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4F84-4077-B8DB-656CA0FDC04D}"/>
            </c:ext>
          </c:extLst>
        </c:ser>
        <c:ser>
          <c:idx val="18"/>
          <c:order val="18"/>
          <c:tx>
            <c:strRef>
              <c:f>Sheet1!$A$19</c:f>
              <c:strCache>
                <c:ptCount val="1"/>
                <c:pt idx="0">
                  <c:v>12-26-2024 15:30:00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Sheet1!$B$19:$P$19</c:f>
              <c:numCache>
                <c:formatCode>General</c:formatCode>
                <c:ptCount val="15"/>
                <c:pt idx="0">
                  <c:v>1224.25</c:v>
                </c:pt>
                <c:pt idx="1">
                  <c:v>1227.7</c:v>
                </c:pt>
                <c:pt idx="2">
                  <c:v>1214.25</c:v>
                </c:pt>
                <c:pt idx="3">
                  <c:v>1216.55</c:v>
                </c:pt>
                <c:pt idx="4">
                  <c:v>10016178</c:v>
                </c:pt>
                <c:pt idx="5">
                  <c:v>-0.62895650398203351</c:v>
                </c:pt>
                <c:pt idx="6">
                  <c:v>1230.23</c:v>
                </c:pt>
                <c:pt idx="7">
                  <c:v>24.500905255384616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4F84-4077-B8DB-656CA0FDC04D}"/>
            </c:ext>
          </c:extLst>
        </c:ser>
        <c:ser>
          <c:idx val="19"/>
          <c:order val="19"/>
          <c:tx>
            <c:strRef>
              <c:f>Sheet1!$A$20</c:f>
              <c:strCache>
                <c:ptCount val="1"/>
                <c:pt idx="0">
                  <c:v>12-27-2024 15:30:00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Sheet1!$B$20:$P$20</c:f>
              <c:numCache>
                <c:formatCode>General</c:formatCode>
                <c:ptCount val="15"/>
                <c:pt idx="0">
                  <c:v>1218.3</c:v>
                </c:pt>
                <c:pt idx="1">
                  <c:v>1227.9000000000001</c:v>
                </c:pt>
                <c:pt idx="2">
                  <c:v>1217</c:v>
                </c:pt>
                <c:pt idx="3">
                  <c:v>1221.05</c:v>
                </c:pt>
                <c:pt idx="4">
                  <c:v>7000397</c:v>
                </c:pt>
                <c:pt idx="5">
                  <c:v>0.22572437002380369</c:v>
                </c:pt>
                <c:pt idx="6">
                  <c:v>1234.05</c:v>
                </c:pt>
                <c:pt idx="7">
                  <c:v>24.345805536523574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4F84-4077-B8DB-656CA0FDC04D}"/>
            </c:ext>
          </c:extLst>
        </c:ser>
        <c:ser>
          <c:idx val="20"/>
          <c:order val="20"/>
          <c:tx>
            <c:strRef>
              <c:f>Sheet1!$A$21</c:f>
              <c:strCache>
                <c:ptCount val="1"/>
                <c:pt idx="0">
                  <c:v>12-30-2024 15:30:00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Sheet1!$B$21:$P$21</c:f>
              <c:numCache>
                <c:formatCode>General</c:formatCode>
                <c:ptCount val="15"/>
                <c:pt idx="0">
                  <c:v>1216.4000000000001</c:v>
                </c:pt>
                <c:pt idx="1">
                  <c:v>1223.2</c:v>
                </c:pt>
                <c:pt idx="2">
                  <c:v>1208.0999999999999</c:v>
                </c:pt>
                <c:pt idx="3">
                  <c:v>1210.7</c:v>
                </c:pt>
                <c:pt idx="4">
                  <c:v>8818766</c:v>
                </c:pt>
                <c:pt idx="5">
                  <c:v>-0.46859585662611358</c:v>
                </c:pt>
                <c:pt idx="6">
                  <c:v>1236.135</c:v>
                </c:pt>
                <c:pt idx="7">
                  <c:v>23.791507354983249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4F84-4077-B8DB-656CA0FDC04D}"/>
            </c:ext>
          </c:extLst>
        </c:ser>
        <c:ser>
          <c:idx val="21"/>
          <c:order val="21"/>
          <c:tx>
            <c:strRef>
              <c:f>Sheet1!$A$22</c:f>
              <c:strCache>
                <c:ptCount val="1"/>
                <c:pt idx="0">
                  <c:v>12-31-2024 15:30:00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Sheet1!$B$22:$P$22</c:f>
              <c:numCache>
                <c:formatCode>General</c:formatCode>
                <c:ptCount val="15"/>
                <c:pt idx="0">
                  <c:v>1208</c:v>
                </c:pt>
                <c:pt idx="1">
                  <c:v>1219.0999999999999</c:v>
                </c:pt>
                <c:pt idx="2">
                  <c:v>1206.1500000000001</c:v>
                </c:pt>
                <c:pt idx="3">
                  <c:v>1215.45</c:v>
                </c:pt>
                <c:pt idx="4">
                  <c:v>6405475</c:v>
                </c:pt>
                <c:pt idx="5">
                  <c:v>0.61672185430463955</c:v>
                </c:pt>
                <c:pt idx="6">
                  <c:v>1239.05</c:v>
                </c:pt>
                <c:pt idx="7">
                  <c:v>22.432172394427901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4F84-4077-B8DB-656CA0FDC04D}"/>
            </c:ext>
          </c:extLst>
        </c:ser>
        <c:ser>
          <c:idx val="22"/>
          <c:order val="22"/>
          <c:tx>
            <c:strRef>
              <c:f>Sheet1!$A$23</c:f>
              <c:strCache>
                <c:ptCount val="1"/>
                <c:pt idx="0">
                  <c:v>1-1-2025 15:30:00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Sheet1!$B$23:$P$23</c:f>
              <c:numCache>
                <c:formatCode>General</c:formatCode>
                <c:ptCount val="15"/>
                <c:pt idx="0">
                  <c:v>1214.8499999999999</c:v>
                </c:pt>
                <c:pt idx="1">
                  <c:v>1226.3</c:v>
                </c:pt>
                <c:pt idx="2">
                  <c:v>1211.5999999999999</c:v>
                </c:pt>
                <c:pt idx="3">
                  <c:v>1221.25</c:v>
                </c:pt>
                <c:pt idx="4">
                  <c:v>5892590</c:v>
                </c:pt>
                <c:pt idx="5">
                  <c:v>0.52681400996008498</c:v>
                </c:pt>
                <c:pt idx="6">
                  <c:v>1241.3800000000001</c:v>
                </c:pt>
                <c:pt idx="7">
                  <c:v>21.549746647131506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4F84-4077-B8DB-656CA0FDC04D}"/>
            </c:ext>
          </c:extLst>
        </c:ser>
        <c:ser>
          <c:idx val="23"/>
          <c:order val="23"/>
          <c:tx>
            <c:strRef>
              <c:f>Sheet1!$A$24</c:f>
              <c:strCache>
                <c:ptCount val="1"/>
                <c:pt idx="0">
                  <c:v>1-2-2025 15:30:00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Sheet1!$B$24:$P$24</c:f>
              <c:numCache>
                <c:formatCode>General</c:formatCode>
                <c:ptCount val="15"/>
                <c:pt idx="0">
                  <c:v>1221.25</c:v>
                </c:pt>
                <c:pt idx="1">
                  <c:v>1244.45</c:v>
                </c:pt>
                <c:pt idx="2">
                  <c:v>1220</c:v>
                </c:pt>
                <c:pt idx="3">
                  <c:v>1241.8</c:v>
                </c:pt>
                <c:pt idx="4">
                  <c:v>15486276</c:v>
                </c:pt>
                <c:pt idx="5">
                  <c:v>1.6827021494370482</c:v>
                </c:pt>
                <c:pt idx="6">
                  <c:v>1244.4749999999999</c:v>
                </c:pt>
                <c:pt idx="7">
                  <c:v>21.813511676634437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4F84-4077-B8DB-656CA0FDC04D}"/>
            </c:ext>
          </c:extLst>
        </c:ser>
        <c:ser>
          <c:idx val="24"/>
          <c:order val="24"/>
          <c:tx>
            <c:strRef>
              <c:f>Sheet1!$A$25</c:f>
              <c:strCache>
                <c:ptCount val="1"/>
                <c:pt idx="0">
                  <c:v>1-3-2025 15:30:00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Sheet1!$B$25:$P$25</c:f>
              <c:numCache>
                <c:formatCode>General</c:formatCode>
                <c:ptCount val="15"/>
                <c:pt idx="0">
                  <c:v>1243.9000000000001</c:v>
                </c:pt>
                <c:pt idx="1">
                  <c:v>1262.05</c:v>
                </c:pt>
                <c:pt idx="2">
                  <c:v>1235.5</c:v>
                </c:pt>
                <c:pt idx="3">
                  <c:v>1251.1500000000001</c:v>
                </c:pt>
                <c:pt idx="4">
                  <c:v>15521102</c:v>
                </c:pt>
                <c:pt idx="5">
                  <c:v>0.58284428008682365</c:v>
                </c:pt>
                <c:pt idx="6">
                  <c:v>1246.94</c:v>
                </c:pt>
                <c:pt idx="7">
                  <c:v>22.809747489956042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4F84-4077-B8DB-656CA0FDC04D}"/>
            </c:ext>
          </c:extLst>
        </c:ser>
        <c:ser>
          <c:idx val="25"/>
          <c:order val="25"/>
          <c:tx>
            <c:strRef>
              <c:f>Sheet1!$A$26</c:f>
              <c:strCache>
                <c:ptCount val="1"/>
                <c:pt idx="0">
                  <c:v>1-6-2025 15:30:00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Sheet1!$B$26:$P$26</c:f>
              <c:numCache>
                <c:formatCode>General</c:formatCode>
                <c:ptCount val="15"/>
                <c:pt idx="0">
                  <c:v>1253.95</c:v>
                </c:pt>
                <c:pt idx="1">
                  <c:v>1262</c:v>
                </c:pt>
                <c:pt idx="2">
                  <c:v>1215</c:v>
                </c:pt>
                <c:pt idx="3">
                  <c:v>1218</c:v>
                </c:pt>
                <c:pt idx="4">
                  <c:v>14816766</c:v>
                </c:pt>
                <c:pt idx="5">
                  <c:v>-2.8669404681207418</c:v>
                </c:pt>
                <c:pt idx="6">
                  <c:v>1252.0600000000002</c:v>
                </c:pt>
                <c:pt idx="7">
                  <c:v>23.765818182610278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4F84-4077-B8DB-656CA0FDC04D}"/>
            </c:ext>
          </c:extLst>
        </c:ser>
        <c:ser>
          <c:idx val="26"/>
          <c:order val="26"/>
          <c:tx>
            <c:strRef>
              <c:f>Sheet1!$A$27</c:f>
              <c:strCache>
                <c:ptCount val="1"/>
                <c:pt idx="0">
                  <c:v>1-7-2025 15:30:00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Sheet1!$B$27:$P$27</c:f>
              <c:numCache>
                <c:formatCode>General</c:formatCode>
                <c:ptCount val="15"/>
                <c:pt idx="0">
                  <c:v>1222</c:v>
                </c:pt>
                <c:pt idx="1">
                  <c:v>1244.5</c:v>
                </c:pt>
                <c:pt idx="2">
                  <c:v>1221.25</c:v>
                </c:pt>
                <c:pt idx="3">
                  <c:v>1240.8499999999999</c:v>
                </c:pt>
                <c:pt idx="4">
                  <c:v>10070505</c:v>
                </c:pt>
                <c:pt idx="5">
                  <c:v>1.5425531914893542</c:v>
                </c:pt>
                <c:pt idx="6">
                  <c:v>1260.8050000000003</c:v>
                </c:pt>
                <c:pt idx="7">
                  <c:v>23.454052540138044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4F84-4077-B8DB-656CA0FDC04D}"/>
            </c:ext>
          </c:extLst>
        </c:ser>
        <c:ser>
          <c:idx val="27"/>
          <c:order val="27"/>
          <c:tx>
            <c:strRef>
              <c:f>Sheet1!$A$28</c:f>
              <c:strCache>
                <c:ptCount val="1"/>
                <c:pt idx="0">
                  <c:v>1-8-2025 15:30:00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Sheet1!$B$28:$P$28</c:f>
              <c:numCache>
                <c:formatCode>General</c:formatCode>
                <c:ptCount val="15"/>
                <c:pt idx="0">
                  <c:v>1249</c:v>
                </c:pt>
                <c:pt idx="1">
                  <c:v>1271.05</c:v>
                </c:pt>
                <c:pt idx="2">
                  <c:v>1245.3499999999999</c:v>
                </c:pt>
                <c:pt idx="3">
                  <c:v>1265.5</c:v>
                </c:pt>
                <c:pt idx="4">
                  <c:v>19346579</c:v>
                </c:pt>
                <c:pt idx="5">
                  <c:v>1.3210568454763811</c:v>
                </c:pt>
                <c:pt idx="6">
                  <c:v>1264.0900000000001</c:v>
                </c:pt>
                <c:pt idx="7">
                  <c:v>23.893178710437191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4F84-4077-B8DB-656CA0FDC04D}"/>
            </c:ext>
          </c:extLst>
        </c:ser>
        <c:ser>
          <c:idx val="28"/>
          <c:order val="28"/>
          <c:tx>
            <c:strRef>
              <c:f>Sheet1!$A$29</c:f>
              <c:strCache>
                <c:ptCount val="1"/>
                <c:pt idx="0">
                  <c:v>1-9-2025 15:30:00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Sheet1!$B$29:$P$29</c:f>
              <c:numCache>
                <c:formatCode>General</c:formatCode>
                <c:ptCount val="15"/>
                <c:pt idx="0">
                  <c:v>1267</c:v>
                </c:pt>
                <c:pt idx="1">
                  <c:v>1269.75</c:v>
                </c:pt>
                <c:pt idx="2">
                  <c:v>1248.05</c:v>
                </c:pt>
                <c:pt idx="3">
                  <c:v>1254.75</c:v>
                </c:pt>
                <c:pt idx="4">
                  <c:v>12794704</c:v>
                </c:pt>
                <c:pt idx="5">
                  <c:v>-0.96685082872928174</c:v>
                </c:pt>
                <c:pt idx="6">
                  <c:v>1265.2500000000002</c:v>
                </c:pt>
                <c:pt idx="7">
                  <c:v>24.206659379875891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4F84-4077-B8DB-656CA0FDC04D}"/>
            </c:ext>
          </c:extLst>
        </c:ser>
        <c:ser>
          <c:idx val="29"/>
          <c:order val="29"/>
          <c:tx>
            <c:strRef>
              <c:f>Sheet1!$A$30</c:f>
              <c:strCache>
                <c:ptCount val="1"/>
                <c:pt idx="0">
                  <c:v>1-10-2025 15:30:00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Sheet1!$B$30:$P$30</c:f>
              <c:numCache>
                <c:formatCode>General</c:formatCode>
                <c:ptCount val="15"/>
                <c:pt idx="0">
                  <c:v>1253.8499999999999</c:v>
                </c:pt>
                <c:pt idx="1">
                  <c:v>1256.75</c:v>
                </c:pt>
                <c:pt idx="2">
                  <c:v>1236</c:v>
                </c:pt>
                <c:pt idx="3">
                  <c:v>1241.9000000000001</c:v>
                </c:pt>
                <c:pt idx="4">
                  <c:v>8120332</c:v>
                </c:pt>
                <c:pt idx="5">
                  <c:v>-0.95306456115163851</c:v>
                </c:pt>
                <c:pt idx="6">
                  <c:v>1266.1400000000001</c:v>
                </c:pt>
                <c:pt idx="7">
                  <c:v>24.431664563294362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4F84-4077-B8DB-656CA0FDC04D}"/>
            </c:ext>
          </c:extLst>
        </c:ser>
        <c:ser>
          <c:idx val="30"/>
          <c:order val="30"/>
          <c:tx>
            <c:strRef>
              <c:f>Sheet1!$A$31</c:f>
              <c:strCache>
                <c:ptCount val="1"/>
                <c:pt idx="0">
                  <c:v>1-13-2025 15:30:00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Sheet1!$B$31:$P$31</c:f>
              <c:numCache>
                <c:formatCode>General</c:formatCode>
                <c:ptCount val="15"/>
                <c:pt idx="0">
                  <c:v>1230</c:v>
                </c:pt>
                <c:pt idx="1">
                  <c:v>1245.25</c:v>
                </c:pt>
                <c:pt idx="2">
                  <c:v>1226.4000000000001</c:v>
                </c:pt>
                <c:pt idx="3">
                  <c:v>1239.8499999999999</c:v>
                </c:pt>
                <c:pt idx="4">
                  <c:v>13764861</c:v>
                </c:pt>
                <c:pt idx="5">
                  <c:v>0.80081300813007394</c:v>
                </c:pt>
                <c:pt idx="6">
                  <c:v>1266.58</c:v>
                </c:pt>
                <c:pt idx="7">
                  <c:v>24.726401151176223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4F84-4077-B8DB-656CA0FDC04D}"/>
            </c:ext>
          </c:extLst>
        </c:ser>
        <c:ser>
          <c:idx val="31"/>
          <c:order val="31"/>
          <c:tx>
            <c:strRef>
              <c:f>Sheet1!$A$32</c:f>
              <c:strCache>
                <c:ptCount val="1"/>
                <c:pt idx="0">
                  <c:v>1-14-2025 15:30:00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Sheet1!$B$32:$P$32</c:f>
              <c:numCache>
                <c:formatCode>General</c:formatCode>
                <c:ptCount val="15"/>
                <c:pt idx="0">
                  <c:v>1244.0999999999999</c:v>
                </c:pt>
                <c:pt idx="1">
                  <c:v>1253.3499999999999</c:v>
                </c:pt>
                <c:pt idx="2">
                  <c:v>1227.25</c:v>
                </c:pt>
                <c:pt idx="3">
                  <c:v>1238.75</c:v>
                </c:pt>
                <c:pt idx="4">
                  <c:v>13095266</c:v>
                </c:pt>
                <c:pt idx="5">
                  <c:v>-0.43002974037456071</c:v>
                </c:pt>
                <c:pt idx="6">
                  <c:v>1265.53</c:v>
                </c:pt>
                <c:pt idx="7">
                  <c:v>25.498127654572773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E-4F84-4077-B8DB-656CA0FDC04D}"/>
            </c:ext>
          </c:extLst>
        </c:ser>
        <c:ser>
          <c:idx val="32"/>
          <c:order val="32"/>
          <c:tx>
            <c:strRef>
              <c:f>Sheet1!$A$33</c:f>
              <c:strCache>
                <c:ptCount val="1"/>
                <c:pt idx="0">
                  <c:v>1-15-2025 15:30:00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Sheet1!$B$33:$P$33</c:f>
              <c:numCache>
                <c:formatCode>General</c:formatCode>
                <c:ptCount val="15"/>
                <c:pt idx="0">
                  <c:v>1244.95</c:v>
                </c:pt>
                <c:pt idx="1">
                  <c:v>1257</c:v>
                </c:pt>
                <c:pt idx="2">
                  <c:v>1241.8499999999999</c:v>
                </c:pt>
                <c:pt idx="3">
                  <c:v>1252.2</c:v>
                </c:pt>
                <c:pt idx="4">
                  <c:v>9578856</c:v>
                </c:pt>
                <c:pt idx="5">
                  <c:v>0.58235270492790869</c:v>
                </c:pt>
                <c:pt idx="6">
                  <c:v>1265.0949999999998</c:v>
                </c:pt>
                <c:pt idx="7">
                  <c:v>26.731395399417519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4F84-4077-B8DB-656CA0FDC04D}"/>
            </c:ext>
          </c:extLst>
        </c:ser>
        <c:ser>
          <c:idx val="33"/>
          <c:order val="33"/>
          <c:tx>
            <c:strRef>
              <c:f>Sheet1!$A$34</c:f>
              <c:strCache>
                <c:ptCount val="1"/>
                <c:pt idx="0">
                  <c:v>1-16-2025 15:30:00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Sheet1!$B$34:$P$34</c:f>
              <c:numCache>
                <c:formatCode>General</c:formatCode>
                <c:ptCount val="15"/>
                <c:pt idx="0">
                  <c:v>1258.9000000000001</c:v>
                </c:pt>
                <c:pt idx="1">
                  <c:v>1275</c:v>
                </c:pt>
                <c:pt idx="2">
                  <c:v>1251.3</c:v>
                </c:pt>
                <c:pt idx="3">
                  <c:v>1266.45</c:v>
                </c:pt>
                <c:pt idx="4">
                  <c:v>14117603</c:v>
                </c:pt>
                <c:pt idx="5">
                  <c:v>0.59972992294860228</c:v>
                </c:pt>
                <c:pt idx="6">
                  <c:v>1263.4249999999997</c:v>
                </c:pt>
                <c:pt idx="7">
                  <c:v>27.735966221176117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0-4F84-4077-B8DB-656CA0FDC04D}"/>
            </c:ext>
          </c:extLst>
        </c:ser>
        <c:ser>
          <c:idx val="34"/>
          <c:order val="34"/>
          <c:tx>
            <c:strRef>
              <c:f>Sheet1!$A$35</c:f>
              <c:strCache>
                <c:ptCount val="1"/>
                <c:pt idx="0">
                  <c:v>1-17-2025 15:30:00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Sheet1!$B$35:$P$35</c:f>
              <c:numCache>
                <c:formatCode>General</c:formatCode>
                <c:ptCount val="15"/>
                <c:pt idx="0">
                  <c:v>1322.25</c:v>
                </c:pt>
                <c:pt idx="1">
                  <c:v>1326</c:v>
                </c:pt>
                <c:pt idx="2">
                  <c:v>1285</c:v>
                </c:pt>
                <c:pt idx="3">
                  <c:v>1302.3499999999999</c:v>
                </c:pt>
                <c:pt idx="4">
                  <c:v>29366277</c:v>
                </c:pt>
                <c:pt idx="5">
                  <c:v>-1.5050103989412056</c:v>
                </c:pt>
                <c:pt idx="6">
                  <c:v>1262.0849999999998</c:v>
                </c:pt>
                <c:pt idx="7">
                  <c:v>28.732041202578479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4F84-4077-B8DB-656CA0FDC04D}"/>
            </c:ext>
          </c:extLst>
        </c:ser>
        <c:ser>
          <c:idx val="35"/>
          <c:order val="35"/>
          <c:tx>
            <c:strRef>
              <c:f>Sheet1!$A$36</c:f>
              <c:strCache>
                <c:ptCount val="1"/>
                <c:pt idx="0">
                  <c:v>1-20-2025 15:30:00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Sheet1!$B$36:$P$36</c:f>
              <c:numCache>
                <c:formatCode>General</c:formatCode>
                <c:ptCount val="15"/>
                <c:pt idx="0">
                  <c:v>1316</c:v>
                </c:pt>
                <c:pt idx="1">
                  <c:v>1316</c:v>
                </c:pt>
                <c:pt idx="2">
                  <c:v>1300.25</c:v>
                </c:pt>
                <c:pt idx="3">
                  <c:v>1305.45</c:v>
                </c:pt>
                <c:pt idx="4">
                  <c:v>14040244</c:v>
                </c:pt>
                <c:pt idx="5">
                  <c:v>-0.80167173252279289</c:v>
                </c:pt>
                <c:pt idx="6">
                  <c:v>1258.3599999999999</c:v>
                </c:pt>
                <c:pt idx="7">
                  <c:v>29.615809826284803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2-4F84-4077-B8DB-656CA0FDC04D}"/>
            </c:ext>
          </c:extLst>
        </c:ser>
        <c:ser>
          <c:idx val="36"/>
          <c:order val="36"/>
          <c:tx>
            <c:strRef>
              <c:f>Sheet1!$A$37</c:f>
              <c:strCache>
                <c:ptCount val="1"/>
                <c:pt idx="0">
                  <c:v>1-21-2025 15:30:00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Sheet1!$B$37:$P$37</c:f>
              <c:numCache>
                <c:formatCode>General</c:formatCode>
                <c:ptCount val="15"/>
                <c:pt idx="0">
                  <c:v>1310.5</c:v>
                </c:pt>
                <c:pt idx="1">
                  <c:v>1313</c:v>
                </c:pt>
                <c:pt idx="2">
                  <c:v>1270.2</c:v>
                </c:pt>
                <c:pt idx="3">
                  <c:v>1273.7</c:v>
                </c:pt>
                <c:pt idx="4">
                  <c:v>14562976</c:v>
                </c:pt>
                <c:pt idx="5">
                  <c:v>-2.8080885158336479</c:v>
                </c:pt>
                <c:pt idx="6">
                  <c:v>1252.405</c:v>
                </c:pt>
                <c:pt idx="7">
                  <c:v>30.325876189595363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4F84-4077-B8DB-656CA0FDC04D}"/>
            </c:ext>
          </c:extLst>
        </c:ser>
        <c:ser>
          <c:idx val="37"/>
          <c:order val="37"/>
          <c:tx>
            <c:strRef>
              <c:f>Sheet1!$A$38</c:f>
              <c:strCache>
                <c:ptCount val="1"/>
                <c:pt idx="0">
                  <c:v>1-22-2025 15:30:00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Sheet1!$B$38:$P$38</c:f>
              <c:numCache>
                <c:formatCode>General</c:formatCode>
                <c:ptCount val="15"/>
                <c:pt idx="0">
                  <c:v>1278.3</c:v>
                </c:pt>
                <c:pt idx="1">
                  <c:v>1282.9000000000001</c:v>
                </c:pt>
                <c:pt idx="2">
                  <c:v>1268.7</c:v>
                </c:pt>
                <c:pt idx="3">
                  <c:v>1277.0999999999999</c:v>
                </c:pt>
                <c:pt idx="4">
                  <c:v>10273590</c:v>
                </c:pt>
                <c:pt idx="5">
                  <c:v>-9.3874677305800319E-2</c:v>
                </c:pt>
                <c:pt idx="6">
                  <c:v>1253.5549999999998</c:v>
                </c:pt>
                <c:pt idx="7">
                  <c:v>31.32776830013059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4-4F84-4077-B8DB-656CA0FDC04D}"/>
            </c:ext>
          </c:extLst>
        </c:ser>
        <c:ser>
          <c:idx val="38"/>
          <c:order val="38"/>
          <c:tx>
            <c:strRef>
              <c:f>Sheet1!$A$39</c:f>
              <c:strCache>
                <c:ptCount val="1"/>
                <c:pt idx="0">
                  <c:v>1-23-2025 15:30:00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Sheet1!$B$39:$P$39</c:f>
              <c:numCache>
                <c:formatCode>General</c:formatCode>
                <c:ptCount val="15"/>
                <c:pt idx="0">
                  <c:v>1270</c:v>
                </c:pt>
                <c:pt idx="1">
                  <c:v>1277.3499999999999</c:v>
                </c:pt>
                <c:pt idx="2">
                  <c:v>1261.5999999999999</c:v>
                </c:pt>
                <c:pt idx="3">
                  <c:v>1263.6500000000001</c:v>
                </c:pt>
                <c:pt idx="4">
                  <c:v>8720682</c:v>
                </c:pt>
                <c:pt idx="5">
                  <c:v>-0.49999999999999278</c:v>
                </c:pt>
                <c:pt idx="6">
                  <c:v>1253.6650000000002</c:v>
                </c:pt>
                <c:pt idx="7">
                  <c:v>30.452611820115987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4F84-4077-B8DB-656CA0FDC04D}"/>
            </c:ext>
          </c:extLst>
        </c:ser>
        <c:ser>
          <c:idx val="39"/>
          <c:order val="39"/>
          <c:tx>
            <c:strRef>
              <c:f>Sheet1!$A$40</c:f>
              <c:strCache>
                <c:ptCount val="1"/>
                <c:pt idx="0">
                  <c:v>1-24-2025 15:30:00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Sheet1!$B$40:$P$40</c:f>
              <c:numCache>
                <c:formatCode>General</c:formatCode>
                <c:ptCount val="15"/>
                <c:pt idx="0">
                  <c:v>1266</c:v>
                </c:pt>
                <c:pt idx="1">
                  <c:v>1273</c:v>
                </c:pt>
                <c:pt idx="2">
                  <c:v>1243.5</c:v>
                </c:pt>
                <c:pt idx="3">
                  <c:v>1246.3</c:v>
                </c:pt>
                <c:pt idx="4">
                  <c:v>14235970</c:v>
                </c:pt>
                <c:pt idx="5">
                  <c:v>-1.5560821484992138</c:v>
                </c:pt>
                <c:pt idx="6">
                  <c:v>1255.4549999999999</c:v>
                </c:pt>
                <c:pt idx="7">
                  <c:v>30.044404590908819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6-4F84-4077-B8DB-656CA0FDC04D}"/>
            </c:ext>
          </c:extLst>
        </c:ser>
        <c:ser>
          <c:idx val="40"/>
          <c:order val="40"/>
          <c:tx>
            <c:strRef>
              <c:f>Sheet1!$A$41</c:f>
              <c:strCache>
                <c:ptCount val="1"/>
                <c:pt idx="0">
                  <c:v>1-27-2025 15:30:00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Sheet1!$B$41:$P$41</c:f>
              <c:numCache>
                <c:formatCode>General</c:formatCode>
                <c:ptCount val="15"/>
                <c:pt idx="0">
                  <c:v>1239.0999999999999</c:v>
                </c:pt>
                <c:pt idx="1">
                  <c:v>1240.45</c:v>
                </c:pt>
                <c:pt idx="2">
                  <c:v>1220</c:v>
                </c:pt>
                <c:pt idx="3">
                  <c:v>1229.3499999999999</c:v>
                </c:pt>
                <c:pt idx="4">
                  <c:v>9536019</c:v>
                </c:pt>
                <c:pt idx="5">
                  <c:v>-0.78686143168428713</c:v>
                </c:pt>
                <c:pt idx="6">
                  <c:v>1257.4950000000001</c:v>
                </c:pt>
                <c:pt idx="7">
                  <c:v>29.932591351234539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4F84-4077-B8DB-656CA0FDC04D}"/>
            </c:ext>
          </c:extLst>
        </c:ser>
        <c:ser>
          <c:idx val="41"/>
          <c:order val="41"/>
          <c:tx>
            <c:strRef>
              <c:f>Sheet1!$A$42</c:f>
              <c:strCache>
                <c:ptCount val="1"/>
                <c:pt idx="0">
                  <c:v>1-28-2025 15:30:00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Sheet1!$B$42:$P$42</c:f>
              <c:numCache>
                <c:formatCode>General</c:formatCode>
                <c:ptCount val="15"/>
                <c:pt idx="0">
                  <c:v>1238</c:v>
                </c:pt>
                <c:pt idx="1">
                  <c:v>1244.75</c:v>
                </c:pt>
                <c:pt idx="2">
                  <c:v>1218.5</c:v>
                </c:pt>
                <c:pt idx="3">
                  <c:v>1234.4000000000001</c:v>
                </c:pt>
                <c:pt idx="4">
                  <c:v>10568025</c:v>
                </c:pt>
                <c:pt idx="5">
                  <c:v>-0.29079159935378907</c:v>
                </c:pt>
                <c:pt idx="6">
                  <c:v>1259.9249999999997</c:v>
                </c:pt>
                <c:pt idx="7">
                  <c:v>30.102833015441522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8-4F84-4077-B8DB-656CA0FDC04D}"/>
            </c:ext>
          </c:extLst>
        </c:ser>
        <c:ser>
          <c:idx val="42"/>
          <c:order val="42"/>
          <c:tx>
            <c:strRef>
              <c:f>Sheet1!$A$43</c:f>
              <c:strCache>
                <c:ptCount val="1"/>
                <c:pt idx="0">
                  <c:v>1-29-2025 15:30:00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Sheet1!$B$43:$P$43</c:f>
              <c:numCache>
                <c:formatCode>General</c:formatCode>
                <c:ptCount val="15"/>
                <c:pt idx="0">
                  <c:v>1236</c:v>
                </c:pt>
                <c:pt idx="1">
                  <c:v>1242.75</c:v>
                </c:pt>
                <c:pt idx="2">
                  <c:v>1228.05</c:v>
                </c:pt>
                <c:pt idx="3">
                  <c:v>1235.5</c:v>
                </c:pt>
                <c:pt idx="4">
                  <c:v>5928156</c:v>
                </c:pt>
                <c:pt idx="5">
                  <c:v>-4.0453074433656963E-2</c:v>
                </c:pt>
                <c:pt idx="6">
                  <c:v>1259.97</c:v>
                </c:pt>
                <c:pt idx="7">
                  <c:v>30.483265035462043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4F84-4077-B8DB-656CA0FDC04D}"/>
            </c:ext>
          </c:extLst>
        </c:ser>
        <c:ser>
          <c:idx val="43"/>
          <c:order val="43"/>
          <c:tx>
            <c:strRef>
              <c:f>Sheet1!$A$44</c:f>
              <c:strCache>
                <c:ptCount val="1"/>
                <c:pt idx="0">
                  <c:v>1-30-2025 15:30:00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Sheet1!$B$44:$P$44</c:f>
              <c:numCache>
                <c:formatCode>General</c:formatCode>
                <c:ptCount val="15"/>
                <c:pt idx="0">
                  <c:v>1235.55</c:v>
                </c:pt>
                <c:pt idx="1">
                  <c:v>1257</c:v>
                </c:pt>
                <c:pt idx="2">
                  <c:v>1232.4000000000001</c:v>
                </c:pt>
                <c:pt idx="3">
                  <c:v>1253.05</c:v>
                </c:pt>
                <c:pt idx="4">
                  <c:v>9269259</c:v>
                </c:pt>
                <c:pt idx="5">
                  <c:v>1.41637327505969</c:v>
                </c:pt>
                <c:pt idx="6">
                  <c:v>1258.075</c:v>
                </c:pt>
                <c:pt idx="7">
                  <c:v>30.627399180399831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A-4F84-4077-B8DB-656CA0FDC04D}"/>
            </c:ext>
          </c:extLst>
        </c:ser>
        <c:ser>
          <c:idx val="44"/>
          <c:order val="44"/>
          <c:tx>
            <c:strRef>
              <c:f>Sheet1!$A$45</c:f>
              <c:strCache>
                <c:ptCount val="1"/>
                <c:pt idx="0">
                  <c:v>1-31-2025 15:30:00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Sheet1!$B$45:$P$45</c:f>
              <c:numCache>
                <c:formatCode>General</c:formatCode>
                <c:ptCount val="15"/>
                <c:pt idx="0">
                  <c:v>1255.8499999999999</c:v>
                </c:pt>
                <c:pt idx="1">
                  <c:v>1267</c:v>
                </c:pt>
                <c:pt idx="2">
                  <c:v>1249</c:v>
                </c:pt>
                <c:pt idx="3">
                  <c:v>1265.0999999999999</c:v>
                </c:pt>
                <c:pt idx="4">
                  <c:v>6584612</c:v>
                </c:pt>
                <c:pt idx="5">
                  <c:v>0.73655293227694396</c:v>
                </c:pt>
                <c:pt idx="6">
                  <c:v>1254.3799999999999</c:v>
                </c:pt>
                <c:pt idx="7">
                  <c:v>30.496832303627155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B-4F84-4077-B8DB-656CA0FDC04D}"/>
            </c:ext>
          </c:extLst>
        </c:ser>
        <c:ser>
          <c:idx val="45"/>
          <c:order val="45"/>
          <c:tx>
            <c:strRef>
              <c:f>Sheet1!$A$46</c:f>
              <c:strCache>
                <c:ptCount val="1"/>
                <c:pt idx="0">
                  <c:v>2-3-2025 15:30:00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Sheet1!$B$46:$P$46</c:f>
              <c:numCache>
                <c:formatCode>General</c:formatCode>
                <c:ptCount val="15"/>
                <c:pt idx="0">
                  <c:v>1251</c:v>
                </c:pt>
                <c:pt idx="1">
                  <c:v>1256</c:v>
                </c:pt>
                <c:pt idx="2">
                  <c:v>1237.55</c:v>
                </c:pt>
                <c:pt idx="3">
                  <c:v>1245.9000000000001</c:v>
                </c:pt>
                <c:pt idx="4">
                  <c:v>9252345</c:v>
                </c:pt>
                <c:pt idx="5">
                  <c:v>-0.40767386091126367</c:v>
                </c:pt>
                <c:pt idx="6">
                  <c:v>1249.595</c:v>
                </c:pt>
                <c:pt idx="7">
                  <c:v>29.876798923058843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C-4F84-4077-B8DB-656CA0FDC04D}"/>
            </c:ext>
          </c:extLst>
        </c:ser>
        <c:ser>
          <c:idx val="46"/>
          <c:order val="46"/>
          <c:tx>
            <c:strRef>
              <c:f>Sheet1!$A$47</c:f>
              <c:strCache>
                <c:ptCount val="1"/>
                <c:pt idx="0">
                  <c:v>2-4-2025 15:30:00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Sheet1!$B$47:$P$47</c:f>
              <c:numCache>
                <c:formatCode>General</c:formatCode>
                <c:ptCount val="15"/>
                <c:pt idx="0">
                  <c:v>1248.05</c:v>
                </c:pt>
                <c:pt idx="1">
                  <c:v>1288.8</c:v>
                </c:pt>
                <c:pt idx="2">
                  <c:v>1246.5999999999999</c:v>
                </c:pt>
                <c:pt idx="3">
                  <c:v>1285.2</c:v>
                </c:pt>
                <c:pt idx="4">
                  <c:v>16691069</c:v>
                </c:pt>
                <c:pt idx="5">
                  <c:v>2.9766435639597848</c:v>
                </c:pt>
                <c:pt idx="6">
                  <c:v>1247.4949999999999</c:v>
                </c:pt>
                <c:pt idx="7">
                  <c:v>29.89958175106953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4F84-4077-B8DB-656CA0FDC04D}"/>
            </c:ext>
          </c:extLst>
        </c:ser>
        <c:ser>
          <c:idx val="47"/>
          <c:order val="47"/>
          <c:tx>
            <c:strRef>
              <c:f>Sheet1!$A$48</c:f>
              <c:strCache>
                <c:ptCount val="1"/>
                <c:pt idx="0">
                  <c:v>2-5-2025 15:30:00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Sheet1!$B$48:$P$48</c:f>
              <c:numCache>
                <c:formatCode>General</c:formatCode>
                <c:ptCount val="15"/>
                <c:pt idx="0">
                  <c:v>1282.6500000000001</c:v>
                </c:pt>
                <c:pt idx="1">
                  <c:v>1290.5</c:v>
                </c:pt>
                <c:pt idx="2">
                  <c:v>1276.7</c:v>
                </c:pt>
                <c:pt idx="3">
                  <c:v>1278.2</c:v>
                </c:pt>
                <c:pt idx="4">
                  <c:v>10112028</c:v>
                </c:pt>
                <c:pt idx="5">
                  <c:v>-0.34693797996336062</c:v>
                </c:pt>
                <c:pt idx="6">
                  <c:v>1241.5149999999999</c:v>
                </c:pt>
                <c:pt idx="7">
                  <c:v>29.042022666397678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E-4F84-4077-B8DB-656CA0FDC04D}"/>
            </c:ext>
          </c:extLst>
        </c:ser>
        <c:ser>
          <c:idx val="48"/>
          <c:order val="48"/>
          <c:tx>
            <c:strRef>
              <c:f>Sheet1!$A$49</c:f>
              <c:strCache>
                <c:ptCount val="1"/>
                <c:pt idx="0">
                  <c:v>2-6-2025 15:30:00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Sheet1!$B$49:$P$49</c:f>
              <c:numCache>
                <c:formatCode>General</c:formatCode>
                <c:ptCount val="15"/>
                <c:pt idx="0">
                  <c:v>1273.7</c:v>
                </c:pt>
                <c:pt idx="1">
                  <c:v>1288</c:v>
                </c:pt>
                <c:pt idx="2">
                  <c:v>1270.3499999999999</c:v>
                </c:pt>
                <c:pt idx="3">
                  <c:v>1281.55</c:v>
                </c:pt>
                <c:pt idx="4">
                  <c:v>9956001</c:v>
                </c:pt>
                <c:pt idx="5">
                  <c:v>0.61631467378502858</c:v>
                </c:pt>
                <c:pt idx="6">
                  <c:v>1236.44</c:v>
                </c:pt>
                <c:pt idx="7">
                  <c:v>28.940694340130982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4F84-4077-B8DB-656CA0FDC04D}"/>
            </c:ext>
          </c:extLst>
        </c:ser>
        <c:ser>
          <c:idx val="49"/>
          <c:order val="49"/>
          <c:tx>
            <c:strRef>
              <c:f>Sheet1!$A$50</c:f>
              <c:strCache>
                <c:ptCount val="1"/>
                <c:pt idx="0">
                  <c:v>2-7-2025 15:30:00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Sheet1!$B$50:$P$50</c:f>
              <c:numCache>
                <c:formatCode>General</c:formatCode>
                <c:ptCount val="15"/>
                <c:pt idx="0">
                  <c:v>1276.1500000000001</c:v>
                </c:pt>
                <c:pt idx="1">
                  <c:v>1283.7</c:v>
                </c:pt>
                <c:pt idx="2">
                  <c:v>1262</c:v>
                </c:pt>
                <c:pt idx="3">
                  <c:v>1266.7</c:v>
                </c:pt>
                <c:pt idx="4">
                  <c:v>8764283</c:v>
                </c:pt>
                <c:pt idx="5">
                  <c:v>-0.74050856090585315</c:v>
                </c:pt>
                <c:pt idx="6">
                  <c:v>1231.585</c:v>
                </c:pt>
                <c:pt idx="7">
                  <c:v>30.369946996258584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0-4F84-4077-B8DB-656CA0FDC04D}"/>
            </c:ext>
          </c:extLst>
        </c:ser>
        <c:ser>
          <c:idx val="50"/>
          <c:order val="50"/>
          <c:tx>
            <c:strRef>
              <c:f>Sheet1!$A$51</c:f>
              <c:strCache>
                <c:ptCount val="1"/>
                <c:pt idx="0">
                  <c:v>2-10-2025 15:30:00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Sheet1!$B$51:$P$51</c:f>
              <c:numCache>
                <c:formatCode>General</c:formatCode>
                <c:ptCount val="15"/>
                <c:pt idx="0">
                  <c:v>1264.5</c:v>
                </c:pt>
                <c:pt idx="1">
                  <c:v>1266.5</c:v>
                </c:pt>
                <c:pt idx="2">
                  <c:v>1245.55</c:v>
                </c:pt>
                <c:pt idx="3">
                  <c:v>1253.6500000000001</c:v>
                </c:pt>
                <c:pt idx="4">
                  <c:v>6970972</c:v>
                </c:pt>
                <c:pt idx="5">
                  <c:v>-0.85804665875839536</c:v>
                </c:pt>
                <c:pt idx="6">
                  <c:v>1227.73</c:v>
                </c:pt>
                <c:pt idx="7">
                  <c:v>31.291727696345287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1-4F84-4077-B8DB-656CA0FDC04D}"/>
            </c:ext>
          </c:extLst>
        </c:ser>
        <c:ser>
          <c:idx val="51"/>
          <c:order val="51"/>
          <c:tx>
            <c:strRef>
              <c:f>Sheet1!$A$52</c:f>
              <c:strCache>
                <c:ptCount val="1"/>
                <c:pt idx="0">
                  <c:v>2-11-2025 15:30:00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Sheet1!$B$52:$P$52</c:f>
              <c:numCache>
                <c:formatCode>General</c:formatCode>
                <c:ptCount val="15"/>
                <c:pt idx="0">
                  <c:v>1264.55</c:v>
                </c:pt>
                <c:pt idx="1">
                  <c:v>1264.55</c:v>
                </c:pt>
                <c:pt idx="2">
                  <c:v>1230.0999999999999</c:v>
                </c:pt>
                <c:pt idx="3">
                  <c:v>1234.8499999999999</c:v>
                </c:pt>
                <c:pt idx="4">
                  <c:v>8859714</c:v>
                </c:pt>
                <c:pt idx="5">
                  <c:v>-2.3486615792179073</c:v>
                </c:pt>
                <c:pt idx="6">
                  <c:v>1223.82</c:v>
                </c:pt>
                <c:pt idx="7">
                  <c:v>31.948413975588142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2-4F84-4077-B8DB-656CA0FDC04D}"/>
            </c:ext>
          </c:extLst>
        </c:ser>
        <c:ser>
          <c:idx val="52"/>
          <c:order val="52"/>
          <c:tx>
            <c:strRef>
              <c:f>Sheet1!$A$53</c:f>
              <c:strCache>
                <c:ptCount val="1"/>
                <c:pt idx="0">
                  <c:v>2-12-2025 15:30:00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Sheet1!$B$53:$P$53</c:f>
              <c:numCache>
                <c:formatCode>General</c:formatCode>
                <c:ptCount val="15"/>
                <c:pt idx="0">
                  <c:v>1219.45</c:v>
                </c:pt>
                <c:pt idx="1">
                  <c:v>1226.9000000000001</c:v>
                </c:pt>
                <c:pt idx="2">
                  <c:v>1193.3499999999999</c:v>
                </c:pt>
                <c:pt idx="3">
                  <c:v>1216.55</c:v>
                </c:pt>
                <c:pt idx="4">
                  <c:v>21131654</c:v>
                </c:pt>
                <c:pt idx="5">
                  <c:v>-0.23781212841855678</c:v>
                </c:pt>
                <c:pt idx="6">
                  <c:v>1220.7349999999997</c:v>
                </c:pt>
                <c:pt idx="7">
                  <c:v>33.026540043156544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3-4F84-4077-B8DB-656CA0FDC04D}"/>
            </c:ext>
          </c:extLst>
        </c:ser>
        <c:ser>
          <c:idx val="53"/>
          <c:order val="53"/>
          <c:tx>
            <c:strRef>
              <c:f>Sheet1!$A$54</c:f>
              <c:strCache>
                <c:ptCount val="1"/>
                <c:pt idx="0">
                  <c:v>2-13-2025 15:30:00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Sheet1!$B$54:$P$54</c:f>
              <c:numCache>
                <c:formatCode>General</c:formatCode>
                <c:ptCount val="15"/>
                <c:pt idx="0">
                  <c:v>1217.05</c:v>
                </c:pt>
                <c:pt idx="1">
                  <c:v>1228</c:v>
                </c:pt>
                <c:pt idx="2">
                  <c:v>1212</c:v>
                </c:pt>
                <c:pt idx="3">
                  <c:v>1216.0999999999999</c:v>
                </c:pt>
                <c:pt idx="4">
                  <c:v>8511216</c:v>
                </c:pt>
                <c:pt idx="5">
                  <c:v>-7.805759829095317E-2</c:v>
                </c:pt>
                <c:pt idx="6">
                  <c:v>1219.79</c:v>
                </c:pt>
                <c:pt idx="7">
                  <c:v>33.719001566871263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4-4F84-4077-B8DB-656CA0FDC04D}"/>
            </c:ext>
          </c:extLst>
        </c:ser>
        <c:ser>
          <c:idx val="54"/>
          <c:order val="54"/>
          <c:tx>
            <c:strRef>
              <c:f>Sheet1!$A$55</c:f>
              <c:strCache>
                <c:ptCount val="1"/>
                <c:pt idx="0">
                  <c:v>2-14-2025 15:30:00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Sheet1!$B$55:$P$55</c:f>
              <c:numCache>
                <c:formatCode>General</c:formatCode>
                <c:ptCount val="15"/>
                <c:pt idx="0">
                  <c:v>1219</c:v>
                </c:pt>
                <c:pt idx="1">
                  <c:v>1224</c:v>
                </c:pt>
                <c:pt idx="2">
                  <c:v>1205.45</c:v>
                </c:pt>
                <c:pt idx="3">
                  <c:v>1217.25</c:v>
                </c:pt>
                <c:pt idx="4">
                  <c:v>10298145</c:v>
                </c:pt>
                <c:pt idx="5">
                  <c:v>-0.14356029532403611</c:v>
                </c:pt>
                <c:pt idx="6">
                  <c:v>1218.19</c:v>
                </c:pt>
                <c:pt idx="7">
                  <c:v>33.675012331928777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5-4F84-4077-B8DB-656CA0FDC04D}"/>
            </c:ext>
          </c:extLst>
        </c:ser>
        <c:ser>
          <c:idx val="55"/>
          <c:order val="55"/>
          <c:tx>
            <c:strRef>
              <c:f>Sheet1!$A$56</c:f>
              <c:strCache>
                <c:ptCount val="1"/>
                <c:pt idx="0">
                  <c:v>2-17-2025 15:30:00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Sheet1!$B$56:$P$56</c:f>
              <c:numCache>
                <c:formatCode>General</c:formatCode>
                <c:ptCount val="15"/>
                <c:pt idx="0">
                  <c:v>1211.0999999999999</c:v>
                </c:pt>
                <c:pt idx="1">
                  <c:v>1227.5</c:v>
                </c:pt>
                <c:pt idx="2">
                  <c:v>1204.5</c:v>
                </c:pt>
                <c:pt idx="3">
                  <c:v>1224.9000000000001</c:v>
                </c:pt>
                <c:pt idx="4">
                  <c:v>8166683</c:v>
                </c:pt>
                <c:pt idx="5">
                  <c:v>1.1394599950458413</c:v>
                </c:pt>
                <c:pt idx="6">
                  <c:v>1213.5900000000001</c:v>
                </c:pt>
                <c:pt idx="7">
                  <c:v>34.063643570784954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6-4F84-4077-B8DB-656CA0FDC04D}"/>
            </c:ext>
          </c:extLst>
        </c:ser>
        <c:ser>
          <c:idx val="56"/>
          <c:order val="56"/>
          <c:tx>
            <c:strRef>
              <c:f>Sheet1!$A$57</c:f>
              <c:strCache>
                <c:ptCount val="1"/>
                <c:pt idx="0">
                  <c:v>2-18-2025 15:30:00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Sheet1!$B$57:$P$57</c:f>
              <c:numCache>
                <c:formatCode>General</c:formatCode>
                <c:ptCount val="15"/>
                <c:pt idx="0">
                  <c:v>1224.8499999999999</c:v>
                </c:pt>
                <c:pt idx="1">
                  <c:v>1229.9000000000001</c:v>
                </c:pt>
                <c:pt idx="2">
                  <c:v>1216.0999999999999</c:v>
                </c:pt>
                <c:pt idx="3">
                  <c:v>1225.4000000000001</c:v>
                </c:pt>
                <c:pt idx="4">
                  <c:v>6673250</c:v>
                </c:pt>
                <c:pt idx="5">
                  <c:v>4.4903457566247452E-2</c:v>
                </c:pt>
                <c:pt idx="6">
                  <c:v>1207.29</c:v>
                </c:pt>
                <c:pt idx="7">
                  <c:v>34.590580724706676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7-4F84-4077-B8DB-656CA0FDC04D}"/>
            </c:ext>
          </c:extLst>
        </c:ser>
        <c:ser>
          <c:idx val="57"/>
          <c:order val="57"/>
          <c:tx>
            <c:strRef>
              <c:f>Sheet1!$A$58</c:f>
              <c:strCache>
                <c:ptCount val="1"/>
                <c:pt idx="0">
                  <c:v>2-19-2025 15:30:00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Sheet1!$B$58:$P$58</c:f>
              <c:numCache>
                <c:formatCode>General</c:formatCode>
                <c:ptCount val="15"/>
                <c:pt idx="0">
                  <c:v>1219.5</c:v>
                </c:pt>
                <c:pt idx="1">
                  <c:v>1232.75</c:v>
                </c:pt>
                <c:pt idx="2">
                  <c:v>1217.55</c:v>
                </c:pt>
                <c:pt idx="3">
                  <c:v>1227.45</c:v>
                </c:pt>
                <c:pt idx="4">
                  <c:v>6217338</c:v>
                </c:pt>
                <c:pt idx="5">
                  <c:v>0.65190651906519437</c:v>
                </c:pt>
                <c:pt idx="6">
                  <c:v>1202.31</c:v>
                </c:pt>
                <c:pt idx="7">
                  <c:v>35.148613937513879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8-4F84-4077-B8DB-656CA0FDC04D}"/>
            </c:ext>
          </c:extLst>
        </c:ser>
        <c:ser>
          <c:idx val="58"/>
          <c:order val="58"/>
          <c:tx>
            <c:strRef>
              <c:f>Sheet1!$A$59</c:f>
              <c:strCache>
                <c:ptCount val="1"/>
                <c:pt idx="0">
                  <c:v>2-20-2025 15:30:00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Sheet1!$B$59:$P$59</c:f>
              <c:numCache>
                <c:formatCode>General</c:formatCode>
                <c:ptCount val="15"/>
                <c:pt idx="0">
                  <c:v>1223.95</c:v>
                </c:pt>
                <c:pt idx="1">
                  <c:v>1239.3499999999999</c:v>
                </c:pt>
                <c:pt idx="2">
                  <c:v>1222</c:v>
                </c:pt>
                <c:pt idx="3">
                  <c:v>1233</c:v>
                </c:pt>
                <c:pt idx="4">
                  <c:v>7795582</c:v>
                </c:pt>
                <c:pt idx="5">
                  <c:v>0.7394092895951595</c:v>
                </c:pt>
                <c:pt idx="6">
                  <c:v>1200.5250000000001</c:v>
                </c:pt>
                <c:pt idx="7">
                  <c:v>35.759609541439531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9-4F84-4077-B8DB-656CA0FDC04D}"/>
            </c:ext>
          </c:extLst>
        </c:ser>
        <c:ser>
          <c:idx val="59"/>
          <c:order val="59"/>
          <c:tx>
            <c:strRef>
              <c:f>Sheet1!$A$60</c:f>
              <c:strCache>
                <c:ptCount val="1"/>
                <c:pt idx="0">
                  <c:v>2-21-2025 15:30:00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Sheet1!$B$60:$P$60</c:f>
              <c:numCache>
                <c:formatCode>General</c:formatCode>
                <c:ptCount val="15"/>
                <c:pt idx="0">
                  <c:v>1228.7</c:v>
                </c:pt>
                <c:pt idx="1">
                  <c:v>1240</c:v>
                </c:pt>
                <c:pt idx="2">
                  <c:v>1222.1500000000001</c:v>
                </c:pt>
                <c:pt idx="3">
                  <c:v>1228.1500000000001</c:v>
                </c:pt>
                <c:pt idx="4">
                  <c:v>6904025</c:v>
                </c:pt>
                <c:pt idx="5">
                  <c:v>-4.4762757385851268E-2</c:v>
                </c:pt>
                <c:pt idx="6">
                  <c:v>1202.2049999999999</c:v>
                </c:pt>
                <c:pt idx="7">
                  <c:v>36.453018201515228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A-4F84-4077-B8DB-656CA0FDC04D}"/>
            </c:ext>
          </c:extLst>
        </c:ser>
        <c:ser>
          <c:idx val="60"/>
          <c:order val="60"/>
          <c:tx>
            <c:strRef>
              <c:f>Sheet1!$A$61</c:f>
              <c:strCache>
                <c:ptCount val="1"/>
                <c:pt idx="0">
                  <c:v>2-24-2025 15:30:00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Sheet1!$B$61:$P$61</c:f>
              <c:numCache>
                <c:formatCode>General</c:formatCode>
                <c:ptCount val="15"/>
                <c:pt idx="0">
                  <c:v>1216.55</c:v>
                </c:pt>
                <c:pt idx="1">
                  <c:v>1223.25</c:v>
                </c:pt>
                <c:pt idx="2">
                  <c:v>1210.5</c:v>
                </c:pt>
                <c:pt idx="3">
                  <c:v>1214.55</c:v>
                </c:pt>
                <c:pt idx="4">
                  <c:v>7172498</c:v>
                </c:pt>
                <c:pt idx="5">
                  <c:v>-0.16439932596276358</c:v>
                </c:pt>
                <c:pt idx="6">
                  <c:v>1203.23</c:v>
                </c:pt>
                <c:pt idx="7">
                  <c:v>37.144659438826316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B-4F84-4077-B8DB-656CA0FDC04D}"/>
            </c:ext>
          </c:extLst>
        </c:ser>
        <c:ser>
          <c:idx val="61"/>
          <c:order val="61"/>
          <c:tx>
            <c:strRef>
              <c:f>Sheet1!$A$62</c:f>
              <c:strCache>
                <c:ptCount val="1"/>
                <c:pt idx="0">
                  <c:v>2-25-2025 15:30:00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Sheet1!$B$62:$P$62</c:f>
              <c:numCache>
                <c:formatCode>General</c:formatCode>
                <c:ptCount val="15"/>
                <c:pt idx="0">
                  <c:v>1211</c:v>
                </c:pt>
                <c:pt idx="1">
                  <c:v>1221</c:v>
                </c:pt>
                <c:pt idx="2">
                  <c:v>1201.5</c:v>
                </c:pt>
                <c:pt idx="3">
                  <c:v>1204</c:v>
                </c:pt>
                <c:pt idx="4">
                  <c:v>11552182</c:v>
                </c:pt>
                <c:pt idx="5">
                  <c:v>-0.57803468208092479</c:v>
                </c:pt>
                <c:pt idx="6">
                  <c:v>1206.5049999999999</c:v>
                </c:pt>
                <c:pt idx="7">
                  <c:v>37.592842851377881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C-4F84-4077-B8DB-656CA0FDC04D}"/>
            </c:ext>
          </c:extLst>
        </c:ser>
        <c:ser>
          <c:idx val="62"/>
          <c:order val="62"/>
          <c:tx>
            <c:strRef>
              <c:f>Sheet1!$A$63</c:f>
              <c:strCache>
                <c:ptCount val="1"/>
                <c:pt idx="0">
                  <c:v>2-27-2025 15:30:00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Sheet1!$B$63:$P$63</c:f>
              <c:numCache>
                <c:formatCode>General</c:formatCode>
                <c:ptCount val="15"/>
                <c:pt idx="0">
                  <c:v>1212.8</c:v>
                </c:pt>
                <c:pt idx="1">
                  <c:v>1215</c:v>
                </c:pt>
                <c:pt idx="2">
                  <c:v>1200.6500000000001</c:v>
                </c:pt>
                <c:pt idx="3">
                  <c:v>1207.0999999999999</c:v>
                </c:pt>
                <c:pt idx="4">
                  <c:v>11509215</c:v>
                </c:pt>
                <c:pt idx="5">
                  <c:v>-0.46998680738786658</c:v>
                </c:pt>
                <c:pt idx="6">
                  <c:v>1211.81</c:v>
                </c:pt>
                <c:pt idx="7">
                  <c:v>37.638718086214809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D-4F84-4077-B8DB-656CA0FDC04D}"/>
            </c:ext>
          </c:extLst>
        </c:ser>
        <c:ser>
          <c:idx val="63"/>
          <c:order val="63"/>
          <c:tx>
            <c:strRef>
              <c:f>Sheet1!$A$64</c:f>
              <c:strCache>
                <c:ptCount val="1"/>
                <c:pt idx="0">
                  <c:v>2-28-2025 15:30:00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Sheet1!$B$64:$P$64</c:f>
              <c:numCache>
                <c:formatCode>General</c:formatCode>
                <c:ptCount val="15"/>
                <c:pt idx="0">
                  <c:v>1202</c:v>
                </c:pt>
                <c:pt idx="1">
                  <c:v>1217.3499999999999</c:v>
                </c:pt>
                <c:pt idx="2">
                  <c:v>1193.3</c:v>
                </c:pt>
                <c:pt idx="3">
                  <c:v>1200.0999999999999</c:v>
                </c:pt>
                <c:pt idx="4">
                  <c:v>23007298</c:v>
                </c:pt>
                <c:pt idx="5">
                  <c:v>-0.15806988352746182</c:v>
                </c:pt>
                <c:pt idx="6">
                  <c:v>1215.8899999999999</c:v>
                </c:pt>
                <c:pt idx="7">
                  <c:v>37.75544621403462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E-4F84-4077-B8DB-656CA0FDC04D}"/>
            </c:ext>
          </c:extLst>
        </c:ser>
        <c:ser>
          <c:idx val="64"/>
          <c:order val="64"/>
          <c:tx>
            <c:strRef>
              <c:f>Sheet1!$A$65</c:f>
              <c:strCache>
                <c:ptCount val="1"/>
                <c:pt idx="0">
                  <c:v>3-3-2025 15:30:00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Sheet1!$B$65:$P$65</c:f>
              <c:numCache>
                <c:formatCode>General</c:formatCode>
                <c:ptCount val="15"/>
                <c:pt idx="0">
                  <c:v>1204</c:v>
                </c:pt>
                <c:pt idx="1">
                  <c:v>1206.45</c:v>
                </c:pt>
                <c:pt idx="2">
                  <c:v>1156</c:v>
                </c:pt>
                <c:pt idx="3">
                  <c:v>1171.25</c:v>
                </c:pt>
                <c:pt idx="4">
                  <c:v>17944938</c:v>
                </c:pt>
                <c:pt idx="5">
                  <c:v>-2.7200996677740865</c:v>
                </c:pt>
                <c:pt idx="6">
                  <c:v>1220.5449999999998</c:v>
                </c:pt>
                <c:pt idx="7">
                  <c:v>37.416822419868843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F-4F84-4077-B8DB-656CA0FDC04D}"/>
            </c:ext>
          </c:extLst>
        </c:ser>
        <c:ser>
          <c:idx val="65"/>
          <c:order val="65"/>
          <c:tx>
            <c:strRef>
              <c:f>Sheet1!$A$66</c:f>
              <c:strCache>
                <c:ptCount val="1"/>
                <c:pt idx="0">
                  <c:v>3-4-2025 15:30:00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Sheet1!$B$66:$P$66</c:f>
              <c:numCache>
                <c:formatCode>General</c:formatCode>
                <c:ptCount val="15"/>
                <c:pt idx="0">
                  <c:v>1162.2</c:v>
                </c:pt>
                <c:pt idx="1">
                  <c:v>1174</c:v>
                </c:pt>
                <c:pt idx="2">
                  <c:v>1159.55</c:v>
                </c:pt>
                <c:pt idx="3">
                  <c:v>1161.9000000000001</c:v>
                </c:pt>
                <c:pt idx="4">
                  <c:v>11377373</c:v>
                </c:pt>
                <c:pt idx="5">
                  <c:v>-2.5813113061431296E-2</c:v>
                </c:pt>
                <c:pt idx="6">
                  <c:v>1227.2999999999997</c:v>
                </c:pt>
                <c:pt idx="7">
                  <c:v>34.219583416468929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0-4F84-4077-B8DB-656CA0FDC04D}"/>
            </c:ext>
          </c:extLst>
        </c:ser>
        <c:ser>
          <c:idx val="66"/>
          <c:order val="66"/>
          <c:tx>
            <c:strRef>
              <c:f>Sheet1!$A$67</c:f>
              <c:strCache>
                <c:ptCount val="1"/>
                <c:pt idx="0">
                  <c:v>3-5-2025 15:30:00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Sheet1!$B$67:$P$67</c:f>
              <c:numCache>
                <c:formatCode>General</c:formatCode>
                <c:ptCount val="15"/>
                <c:pt idx="0">
                  <c:v>1161</c:v>
                </c:pt>
                <c:pt idx="1">
                  <c:v>1183</c:v>
                </c:pt>
                <c:pt idx="2">
                  <c:v>1157</c:v>
                </c:pt>
                <c:pt idx="3">
                  <c:v>1175.5999999999999</c:v>
                </c:pt>
                <c:pt idx="4">
                  <c:v>8664095</c:v>
                </c:pt>
                <c:pt idx="5">
                  <c:v>1.2575366063738078</c:v>
                </c:pt>
                <c:pt idx="6">
                  <c:v>1235.8249999999998</c:v>
                </c:pt>
                <c:pt idx="7">
                  <c:v>28.11643189104818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4F84-4077-B8DB-656CA0FDC04D}"/>
            </c:ext>
          </c:extLst>
        </c:ser>
        <c:ser>
          <c:idx val="67"/>
          <c:order val="67"/>
          <c:tx>
            <c:strRef>
              <c:f>Sheet1!$A$68</c:f>
              <c:strCache>
                <c:ptCount val="1"/>
                <c:pt idx="0">
                  <c:v>3-6-2025 15:30:00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Sheet1!$B$68:$P$68</c:f>
              <c:numCache>
                <c:formatCode>General</c:formatCode>
                <c:ptCount val="15"/>
                <c:pt idx="0">
                  <c:v>1197</c:v>
                </c:pt>
                <c:pt idx="1">
                  <c:v>1213.95</c:v>
                </c:pt>
                <c:pt idx="2">
                  <c:v>1185.1500000000001</c:v>
                </c:pt>
                <c:pt idx="3">
                  <c:v>1209.5999999999999</c:v>
                </c:pt>
                <c:pt idx="4">
                  <c:v>14468014</c:v>
                </c:pt>
                <c:pt idx="5">
                  <c:v>1.0526315789473608</c:v>
                </c:pt>
                <c:pt idx="6">
                  <c:v>1245.1799999999998</c:v>
                </c:pt>
                <c:pt idx="7">
                  <c:v>21.334336004046708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2-4F84-4077-B8DB-656CA0FDC04D}"/>
            </c:ext>
          </c:extLst>
        </c:ser>
        <c:ser>
          <c:idx val="68"/>
          <c:order val="68"/>
          <c:tx>
            <c:strRef>
              <c:f>Sheet1!$A$69</c:f>
              <c:strCache>
                <c:ptCount val="1"/>
                <c:pt idx="0">
                  <c:v>3-7-2025 15:30:00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Sheet1!$B$69:$P$69</c:f>
              <c:numCache>
                <c:formatCode>General</c:formatCode>
                <c:ptCount val="15"/>
                <c:pt idx="0">
                  <c:v>1216</c:v>
                </c:pt>
                <c:pt idx="1">
                  <c:v>1254.8</c:v>
                </c:pt>
                <c:pt idx="2">
                  <c:v>1212</c:v>
                </c:pt>
                <c:pt idx="3">
                  <c:v>1249.8</c:v>
                </c:pt>
                <c:pt idx="4">
                  <c:v>16474965</c:v>
                </c:pt>
                <c:pt idx="5">
                  <c:v>2.7796052631578907</c:v>
                </c:pt>
                <c:pt idx="6">
                  <c:v>1251.855</c:v>
                </c:pt>
                <c:pt idx="7">
                  <c:v>18.020888216438561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3-4F84-4077-B8DB-656CA0FDC04D}"/>
            </c:ext>
          </c:extLst>
        </c:ser>
        <c:ser>
          <c:idx val="69"/>
          <c:order val="69"/>
          <c:tx>
            <c:strRef>
              <c:f>Sheet1!$A$70</c:f>
              <c:strCache>
                <c:ptCount val="1"/>
                <c:pt idx="0">
                  <c:v>3-10-2025 15:30:00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Sheet1!$B$70:$P$70</c:f>
              <c:numCache>
                <c:formatCode>General</c:formatCode>
                <c:ptCount val="15"/>
                <c:pt idx="0">
                  <c:v>1245</c:v>
                </c:pt>
                <c:pt idx="1">
                  <c:v>1258</c:v>
                </c:pt>
                <c:pt idx="2">
                  <c:v>1235.4000000000001</c:v>
                </c:pt>
                <c:pt idx="3">
                  <c:v>1238.4000000000001</c:v>
                </c:pt>
                <c:pt idx="4">
                  <c:v>11931051</c:v>
                </c:pt>
                <c:pt idx="5">
                  <c:v>-0.53012048192770356</c:v>
                </c:pt>
                <c:pt idx="6">
                  <c:v>1257.085</c:v>
                </c:pt>
                <c:pt idx="7">
                  <c:v>18.345535333335622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4-4F84-4077-B8DB-656CA0FDC04D}"/>
            </c:ext>
          </c:extLst>
        </c:ser>
        <c:ser>
          <c:idx val="70"/>
          <c:order val="70"/>
          <c:tx>
            <c:strRef>
              <c:f>Sheet1!$A$71</c:f>
              <c:strCache>
                <c:ptCount val="1"/>
                <c:pt idx="0">
                  <c:v>3-11-2025 15:30:00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Sheet1!$B$71:$P$71</c:f>
              <c:numCache>
                <c:formatCode>General</c:formatCode>
                <c:ptCount val="15"/>
                <c:pt idx="0">
                  <c:v>1240</c:v>
                </c:pt>
                <c:pt idx="1">
                  <c:v>1249.5</c:v>
                </c:pt>
                <c:pt idx="2">
                  <c:v>1229.75</c:v>
                </c:pt>
                <c:pt idx="3">
                  <c:v>1247.3</c:v>
                </c:pt>
                <c:pt idx="4">
                  <c:v>10089838</c:v>
                </c:pt>
                <c:pt idx="5">
                  <c:v>0.58870967741935121</c:v>
                </c:pt>
                <c:pt idx="6">
                  <c:v>1261.7900000000002</c:v>
                </c:pt>
                <c:pt idx="7">
                  <c:v>17.796078807376826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5-4F84-4077-B8DB-656CA0FDC04D}"/>
            </c:ext>
          </c:extLst>
        </c:ser>
        <c:ser>
          <c:idx val="71"/>
          <c:order val="71"/>
          <c:tx>
            <c:strRef>
              <c:f>Sheet1!$A$72</c:f>
              <c:strCache>
                <c:ptCount val="1"/>
                <c:pt idx="0">
                  <c:v>3-12-2025 15:30:00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Sheet1!$B$72:$P$72</c:f>
              <c:numCache>
                <c:formatCode>General</c:formatCode>
                <c:ptCount val="15"/>
                <c:pt idx="0">
                  <c:v>1258</c:v>
                </c:pt>
                <c:pt idx="1">
                  <c:v>1263</c:v>
                </c:pt>
                <c:pt idx="2">
                  <c:v>1244</c:v>
                </c:pt>
                <c:pt idx="3">
                  <c:v>1257.05</c:v>
                </c:pt>
                <c:pt idx="4">
                  <c:v>11977555</c:v>
                </c:pt>
                <c:pt idx="5">
                  <c:v>-7.5516693163755602E-2</c:v>
                </c:pt>
                <c:pt idx="6">
                  <c:v>1264.365</c:v>
                </c:pt>
                <c:pt idx="7">
                  <c:v>17.82667620773384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6-4F84-4077-B8DB-656CA0FDC04D}"/>
            </c:ext>
          </c:extLst>
        </c:ser>
        <c:ser>
          <c:idx val="72"/>
          <c:order val="72"/>
          <c:tx>
            <c:strRef>
              <c:f>Sheet1!$A$73</c:f>
              <c:strCache>
                <c:ptCount val="1"/>
                <c:pt idx="0">
                  <c:v>3-13-2025 15:30:00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Sheet1!$B$73:$P$73</c:f>
              <c:numCache>
                <c:formatCode>General</c:formatCode>
                <c:ptCount val="15"/>
                <c:pt idx="0">
                  <c:v>1260.05</c:v>
                </c:pt>
                <c:pt idx="1">
                  <c:v>1264.1500000000001</c:v>
                </c:pt>
                <c:pt idx="2">
                  <c:v>1243.8499999999999</c:v>
                </c:pt>
                <c:pt idx="3">
                  <c:v>1247.9000000000001</c:v>
                </c:pt>
                <c:pt idx="4">
                  <c:v>9505270</c:v>
                </c:pt>
                <c:pt idx="5">
                  <c:v>-0.96424745049798533</c:v>
                </c:pt>
                <c:pt idx="6">
                  <c:v>1266.48</c:v>
                </c:pt>
                <c:pt idx="7">
                  <c:v>18.386236171537515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7-4F84-4077-B8DB-656CA0FDC04D}"/>
            </c:ext>
          </c:extLst>
        </c:ser>
        <c:ser>
          <c:idx val="73"/>
          <c:order val="73"/>
          <c:tx>
            <c:strRef>
              <c:f>Sheet1!$A$74</c:f>
              <c:strCache>
                <c:ptCount val="1"/>
                <c:pt idx="0">
                  <c:v>3-17-2025 15:30:00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Sheet1!$B$74:$P$74</c:f>
              <c:numCache>
                <c:formatCode>General</c:formatCode>
                <c:ptCount val="15"/>
                <c:pt idx="0">
                  <c:v>1242.1500000000001</c:v>
                </c:pt>
                <c:pt idx="1">
                  <c:v>0</c:v>
                </c:pt>
                <c:pt idx="2">
                  <c:v>0</c:v>
                </c:pt>
                <c:pt idx="3">
                  <c:v>1246.6500000000001</c:v>
                </c:pt>
                <c:pt idx="4">
                  <c:v>0</c:v>
                </c:pt>
                <c:pt idx="5">
                  <c:v>0.3622750875498128</c:v>
                </c:pt>
                <c:pt idx="6">
                  <c:v>1269.2000000000003</c:v>
                </c:pt>
                <c:pt idx="7">
                  <c:v>18.334280090755684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8-4F84-4077-B8DB-656CA0FDC04D}"/>
            </c:ext>
          </c:extLst>
        </c:ser>
        <c:ser>
          <c:idx val="74"/>
          <c:order val="74"/>
          <c:tx>
            <c:strRef>
              <c:f>Sheet1!$A$75</c:f>
              <c:strCache>
                <c:ptCount val="1"/>
                <c:pt idx="0">
                  <c:v>3-18-2025 15:30:00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Sheet1!$B$75:$P$75</c:f>
              <c:numCache>
                <c:formatCode>General</c:formatCode>
                <c:ptCount val="15"/>
                <c:pt idx="0">
                  <c:v>1244.7</c:v>
                </c:pt>
                <c:pt idx="1">
                  <c:v>1248.3499999999999</c:v>
                </c:pt>
                <c:pt idx="2">
                  <c:v>1235</c:v>
                </c:pt>
                <c:pt idx="3">
                  <c:v>1238.8</c:v>
                </c:pt>
                <c:pt idx="4">
                  <c:v>15745877</c:v>
                </c:pt>
                <c:pt idx="5">
                  <c:v>-0.47400980155861583</c:v>
                </c:pt>
                <c:pt idx="6">
                  <c:v>1269.7950000000001</c:v>
                </c:pt>
                <c:pt idx="7">
                  <c:v>17.918181408837214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9-4F84-4077-B8DB-656CA0FDC04D}"/>
            </c:ext>
          </c:extLst>
        </c:ser>
        <c:ser>
          <c:idx val="75"/>
          <c:order val="75"/>
          <c:tx>
            <c:strRef>
              <c:f>Sheet1!$A$76</c:f>
              <c:strCache>
                <c:ptCount val="1"/>
                <c:pt idx="0">
                  <c:v>3-19-2025 15:30:00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Sheet1!$B$76:$P$76</c:f>
              <c:numCache>
                <c:formatCode>General</c:formatCode>
                <c:ptCount val="15"/>
                <c:pt idx="0">
                  <c:v>1241.05</c:v>
                </c:pt>
                <c:pt idx="1">
                  <c:v>1253.25</c:v>
                </c:pt>
                <c:pt idx="2">
                  <c:v>1238.8</c:v>
                </c:pt>
                <c:pt idx="3">
                  <c:v>1247.1500000000001</c:v>
                </c:pt>
                <c:pt idx="4">
                  <c:v>16162399</c:v>
                </c:pt>
                <c:pt idx="5">
                  <c:v>0.49151927803071083</c:v>
                </c:pt>
                <c:pt idx="6">
                  <c:v>1273.2388888888891</c:v>
                </c:pt>
                <c:pt idx="7">
                  <c:v>15.431493370841343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A-4F84-4077-B8DB-656CA0FDC04D}"/>
            </c:ext>
          </c:extLst>
        </c:ser>
        <c:ser>
          <c:idx val="76"/>
          <c:order val="76"/>
          <c:tx>
            <c:strRef>
              <c:f>Sheet1!$A$77</c:f>
              <c:strCache>
                <c:ptCount val="1"/>
                <c:pt idx="0">
                  <c:v>3-20-2025 15:30:00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Sheet1!$B$77:$P$77</c:f>
              <c:numCache>
                <c:formatCode>General</c:formatCode>
                <c:ptCount val="15"/>
                <c:pt idx="0">
                  <c:v>1251.8499999999999</c:v>
                </c:pt>
                <c:pt idx="1">
                  <c:v>1273</c:v>
                </c:pt>
                <c:pt idx="2">
                  <c:v>1250.05</c:v>
                </c:pt>
                <c:pt idx="3">
                  <c:v>1269.1500000000001</c:v>
                </c:pt>
                <c:pt idx="4">
                  <c:v>15971477</c:v>
                </c:pt>
                <c:pt idx="5">
                  <c:v>1.3819547070336049</c:v>
                </c:pt>
                <c:pt idx="6">
                  <c:v>1276.5</c:v>
                </c:pt>
                <c:pt idx="7">
                  <c:v>13.121880581684927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B-4F84-4077-B8DB-656CA0FDC04D}"/>
            </c:ext>
          </c:extLst>
        </c:ser>
        <c:ser>
          <c:idx val="77"/>
          <c:order val="77"/>
          <c:tx>
            <c:strRef>
              <c:f>Sheet1!$A$78</c:f>
              <c:strCache>
                <c:ptCount val="1"/>
                <c:pt idx="0">
                  <c:v>3-21-2025 15:30:00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Sheet1!$B$78:$P$78</c:f>
              <c:numCache>
                <c:formatCode>General</c:formatCode>
                <c:ptCount val="15"/>
                <c:pt idx="0">
                  <c:v>1275</c:v>
                </c:pt>
                <c:pt idx="1">
                  <c:v>1281</c:v>
                </c:pt>
                <c:pt idx="2">
                  <c:v>1270.0999999999999</c:v>
                </c:pt>
                <c:pt idx="3">
                  <c:v>1276.3499999999999</c:v>
                </c:pt>
                <c:pt idx="4">
                  <c:v>21780769</c:v>
                </c:pt>
                <c:pt idx="5">
                  <c:v>0.10588235294116932</c:v>
                </c:pt>
                <c:pt idx="6">
                  <c:v>1277.55</c:v>
                </c:pt>
                <c:pt idx="7">
                  <c:v>13.709902573374794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C-4F84-4077-B8DB-656CA0FDC04D}"/>
            </c:ext>
          </c:extLst>
        </c:ser>
        <c:ser>
          <c:idx val="78"/>
          <c:order val="78"/>
          <c:tx>
            <c:strRef>
              <c:f>Sheet1!$A$79</c:f>
              <c:strCache>
                <c:ptCount val="1"/>
                <c:pt idx="0">
                  <c:v>3-24-2025 15:30:00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Sheet1!$B$79:$P$79</c:f>
              <c:numCache>
                <c:formatCode>General</c:formatCode>
                <c:ptCount val="15"/>
                <c:pt idx="0">
                  <c:v>1291</c:v>
                </c:pt>
                <c:pt idx="1">
                  <c:v>1306</c:v>
                </c:pt>
                <c:pt idx="2">
                  <c:v>1284.25</c:v>
                </c:pt>
                <c:pt idx="3">
                  <c:v>1302.0999999999999</c:v>
                </c:pt>
                <c:pt idx="4">
                  <c:v>20299319</c:v>
                </c:pt>
                <c:pt idx="5">
                  <c:v>0.85979860573198363</c:v>
                </c:pt>
                <c:pt idx="6">
                  <c:v>1277.75</c:v>
                </c:pt>
                <c:pt idx="7">
                  <c:v>14.798930141511365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D-4F84-4077-B8DB-656CA0FDC04D}"/>
            </c:ext>
          </c:extLst>
        </c:ser>
        <c:ser>
          <c:idx val="79"/>
          <c:order val="79"/>
          <c:tx>
            <c:strRef>
              <c:f>Sheet1!$A$80</c:f>
              <c:strCache>
                <c:ptCount val="1"/>
                <c:pt idx="0">
                  <c:v>3-25-2025 15:30:00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Sheet1!$B$80:$P$80</c:f>
              <c:numCache>
                <c:formatCode>General</c:formatCode>
                <c:ptCount val="15"/>
                <c:pt idx="0">
                  <c:v>1307.7</c:v>
                </c:pt>
                <c:pt idx="1">
                  <c:v>1307.7</c:v>
                </c:pt>
                <c:pt idx="2">
                  <c:v>1282.5999999999999</c:v>
                </c:pt>
                <c:pt idx="3">
                  <c:v>1285.45</c:v>
                </c:pt>
                <c:pt idx="4">
                  <c:v>13713899</c:v>
                </c:pt>
                <c:pt idx="5">
                  <c:v>-1.7014605796436493</c:v>
                </c:pt>
                <c:pt idx="6">
                  <c:v>1272.8799999999999</c:v>
                </c:pt>
                <c:pt idx="7">
                  <c:v>10.977640912327246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E-4F84-4077-B8DB-656CA0FDC04D}"/>
            </c:ext>
          </c:extLst>
        </c:ser>
        <c:ser>
          <c:idx val="80"/>
          <c:order val="80"/>
          <c:tx>
            <c:strRef>
              <c:f>Sheet1!$A$81</c:f>
              <c:strCache>
                <c:ptCount val="1"/>
                <c:pt idx="0">
                  <c:v>3-26-2025 15:30:00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Sheet1!$B$81:$P$81</c:f>
              <c:numCache>
                <c:formatCode>General</c:formatCode>
                <c:ptCount val="15"/>
                <c:pt idx="0">
                  <c:v>1291</c:v>
                </c:pt>
                <c:pt idx="1">
                  <c:v>1293.8</c:v>
                </c:pt>
                <c:pt idx="2">
                  <c:v>1268.75</c:v>
                </c:pt>
                <c:pt idx="3">
                  <c:v>1273.05</c:v>
                </c:pt>
                <c:pt idx="4">
                  <c:v>12074747</c:v>
                </c:pt>
                <c:pt idx="5">
                  <c:v>-1.3903950426026372</c:v>
                </c:pt>
                <c:pt idx="6">
                  <c:v>1269.7375</c:v>
                </c:pt>
                <c:pt idx="7">
                  <c:v>10.062763971692899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F-4F84-4077-B8DB-656CA0FDC04D}"/>
            </c:ext>
          </c:extLst>
        </c:ser>
        <c:ser>
          <c:idx val="81"/>
          <c:order val="81"/>
          <c:tx>
            <c:strRef>
              <c:f>Sheet1!$A$82</c:f>
              <c:strCache>
                <c:ptCount val="1"/>
                <c:pt idx="0">
                  <c:v>3-27-2025 15:30:00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Sheet1!$B$82:$P$82</c:f>
              <c:numCache>
                <c:formatCode>General</c:formatCode>
                <c:ptCount val="15"/>
                <c:pt idx="0">
                  <c:v>1278.1500000000001</c:v>
                </c:pt>
                <c:pt idx="1">
                  <c:v>1285</c:v>
                </c:pt>
                <c:pt idx="2">
                  <c:v>1271.3</c:v>
                </c:pt>
                <c:pt idx="3">
                  <c:v>1278.2</c:v>
                </c:pt>
                <c:pt idx="4">
                  <c:v>15028056</c:v>
                </c:pt>
                <c:pt idx="5">
                  <c:v>3.9119039236360769E-3</c:v>
                </c:pt>
                <c:pt idx="6">
                  <c:v>1268.6333333333334</c:v>
                </c:pt>
                <c:pt idx="7">
                  <c:v>11.407697206516152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0-4F84-4077-B8DB-656CA0FDC04D}"/>
            </c:ext>
          </c:extLst>
        </c:ser>
        <c:ser>
          <c:idx val="82"/>
          <c:order val="82"/>
          <c:tx>
            <c:strRef>
              <c:f>Sheet1!$A$83</c:f>
              <c:strCache>
                <c:ptCount val="1"/>
                <c:pt idx="0">
                  <c:v>3-28-2025 15:30:00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Sheet1!$B$83:$P$83</c:f>
              <c:numCache>
                <c:formatCode>General</c:formatCode>
                <c:ptCount val="15"/>
                <c:pt idx="0">
                  <c:v>1280</c:v>
                </c:pt>
                <c:pt idx="1">
                  <c:v>1295.75</c:v>
                </c:pt>
                <c:pt idx="2">
                  <c:v>1269</c:v>
                </c:pt>
                <c:pt idx="3">
                  <c:v>1275.0999999999999</c:v>
                </c:pt>
                <c:pt idx="4">
                  <c:v>18147129</c:v>
                </c:pt>
                <c:pt idx="5">
                  <c:v>-0.38281250000000711</c:v>
                </c:pt>
                <c:pt idx="6">
                  <c:v>1263.8499999999999</c:v>
                </c:pt>
                <c:pt idx="7">
                  <c:v>11.25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1-4F84-4077-B8DB-656CA0FDC04D}"/>
            </c:ext>
          </c:extLst>
        </c:ser>
        <c:ser>
          <c:idx val="83"/>
          <c:order val="83"/>
          <c:tx>
            <c:strRef>
              <c:f>Sheet1!$A$84</c:f>
              <c:strCache>
                <c:ptCount val="1"/>
                <c:pt idx="0">
                  <c:v>4-1-2025 15:30:00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Sheet1!$B$84:$P$84</c:f>
              <c:numCache>
                <c:formatCode>General</c:formatCode>
                <c:ptCount val="15"/>
                <c:pt idx="0">
                  <c:v>1264.5999999999999</c:v>
                </c:pt>
                <c:pt idx="1">
                  <c:v>1277.9000000000001</c:v>
                </c:pt>
                <c:pt idx="2">
                  <c:v>1249.3</c:v>
                </c:pt>
                <c:pt idx="3">
                  <c:v>1252.5999999999999</c:v>
                </c:pt>
                <c:pt idx="4">
                  <c:v>12099648</c:v>
                </c:pt>
                <c:pt idx="5">
                  <c:v>-0.94891665348726884</c:v>
                </c:pt>
                <c:pt idx="6">
                  <c:v>1252.5999999999999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2-4F84-4077-B8DB-656CA0FDC04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9307183"/>
        <c:axId val="199318703"/>
      </c:scatterChart>
      <c:valAx>
        <c:axId val="19930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8703"/>
        <c:crosses val="autoZero"/>
        <c:crossBetween val="midCat"/>
      </c:valAx>
      <c:valAx>
        <c:axId val="1993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4</xdr:row>
      <xdr:rowOff>3810</xdr:rowOff>
    </xdr:from>
    <xdr:to>
      <xdr:col>16</xdr:col>
      <xdr:colOff>441960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1D1FF-2328-CDAE-0E3A-EFA0437FF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26</xdr:row>
      <xdr:rowOff>3810</xdr:rowOff>
    </xdr:from>
    <xdr:to>
      <xdr:col>16</xdr:col>
      <xdr:colOff>480060</xdr:colOff>
      <xdr:row>42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0543F2-5265-2B61-16D5-2FB008A1E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44</xdr:row>
      <xdr:rowOff>186690</xdr:rowOff>
    </xdr:from>
    <xdr:to>
      <xdr:col>16</xdr:col>
      <xdr:colOff>487680</xdr:colOff>
      <xdr:row>59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51CC36-55B4-E218-921C-5D916475D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62</xdr:row>
      <xdr:rowOff>3810</xdr:rowOff>
    </xdr:from>
    <xdr:to>
      <xdr:col>16</xdr:col>
      <xdr:colOff>472440</xdr:colOff>
      <xdr:row>80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9EF2A-7CF4-DD6C-6C6D-6043ED29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853440</xdr:colOff>
      <xdr:row>82</xdr:row>
      <xdr:rowOff>163830</xdr:rowOff>
    </xdr:from>
    <xdr:to>
      <xdr:col>16</xdr:col>
      <xdr:colOff>487680</xdr:colOff>
      <xdr:row>98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F64306-A2F8-7C3A-3756-8E776D8D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4"/>
  <sheetViews>
    <sheetView tabSelected="1" topLeftCell="D79" workbookViewId="0">
      <selection activeCell="R15" sqref="R15"/>
    </sheetView>
  </sheetViews>
  <sheetFormatPr defaultColWidth="12.6640625" defaultRowHeight="15.75" customHeight="1" x14ac:dyDescent="0.25"/>
  <cols>
    <col min="1" max="1" width="19.77734375" style="2" customWidth="1"/>
    <col min="2" max="6" width="12.6640625" style="2"/>
    <col min="7" max="7" width="17.21875" style="2" customWidth="1"/>
    <col min="8" max="8" width="16.109375" style="2" customWidth="1"/>
    <col min="9" max="9" width="22.21875" style="2" customWidth="1"/>
    <col min="10" max="10" width="12.6640625" style="2"/>
    <col min="11" max="11" width="12.6640625" style="2" customWidth="1"/>
    <col min="12" max="16384" width="12.6640625" style="2"/>
  </cols>
  <sheetData>
    <row r="1" spans="1:14" ht="15.75" customHeight="1" x14ac:dyDescent="0.25">
      <c r="A1" s="1" t="str">
        <f ca="1">IFERROR(__xludf.DUMMYFUNCTION("GOOGLEFINANCE(""NSE:RELIANCE"", ""all"", DATE(2024,12,1), DATE(2025,4,1), ""DAILY"")
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  <c r="G1" s="5" t="s">
        <v>0</v>
      </c>
      <c r="H1" s="5" t="s">
        <v>1</v>
      </c>
      <c r="I1" s="5" t="s">
        <v>2</v>
      </c>
    </row>
    <row r="2" spans="1:14" ht="21" x14ac:dyDescent="0.4">
      <c r="A2" s="3">
        <f ca="1">IFERROR(__xludf.DUMMYFUNCTION("""COMPUTED_VALUE"""),45628.6458333333)</f>
        <v>45628.645833333299</v>
      </c>
      <c r="B2" s="4">
        <f ca="1">IFERROR(__xludf.DUMMYFUNCTION("""COMPUTED_VALUE"""),1288)</f>
        <v>1288</v>
      </c>
      <c r="C2" s="4">
        <f ca="1">IFERROR(__xludf.DUMMYFUNCTION("""COMPUTED_VALUE"""),1311.35)</f>
        <v>1311.35</v>
      </c>
      <c r="D2" s="4">
        <f ca="1">IFERROR(__xludf.DUMMYFUNCTION("""COMPUTED_VALUE"""),1277.05)</f>
        <v>1277.05</v>
      </c>
      <c r="E2" s="4">
        <f ca="1">IFERROR(__xludf.DUMMYFUNCTION("""COMPUTED_VALUE"""),1309.15)</f>
        <v>1309.1500000000001</v>
      </c>
      <c r="F2" s="4">
        <f ca="1">IFERROR(__xludf.DUMMYFUNCTION("""COMPUTED_VALUE"""),11024152)</f>
        <v>11024152</v>
      </c>
      <c r="G2" s="2">
        <f ca="1">(E2 - B2)/B2 * 100</f>
        <v>1.642080745341622</v>
      </c>
      <c r="H2" s="2">
        <f ca="1">AVERAGE(E2:E11)</f>
        <v>1296.895</v>
      </c>
      <c r="I2" s="2">
        <f ca="1">_xlfn.STDEV.P(E2:E31)</f>
        <v>34.950127801387701</v>
      </c>
      <c r="N2" s="6" t="s">
        <v>3</v>
      </c>
    </row>
    <row r="3" spans="1:14" x14ac:dyDescent="0.25">
      <c r="A3" s="3">
        <f ca="1">IFERROR(__xludf.DUMMYFUNCTION("""COMPUTED_VALUE"""),45629.6458333333)</f>
        <v>45629.645833333299</v>
      </c>
      <c r="B3" s="4">
        <f ca="1">IFERROR(__xludf.DUMMYFUNCTION("""COMPUTED_VALUE"""),1317)</f>
        <v>1317</v>
      </c>
      <c r="C3" s="4">
        <f ca="1">IFERROR(__xludf.DUMMYFUNCTION("""COMPUTED_VALUE"""),1326.8)</f>
        <v>1326.8</v>
      </c>
      <c r="D3" s="4">
        <f ca="1">IFERROR(__xludf.DUMMYFUNCTION("""COMPUTED_VALUE"""),1307)</f>
        <v>1307</v>
      </c>
      <c r="E3" s="4">
        <f ca="1">IFERROR(__xludf.DUMMYFUNCTION("""COMPUTED_VALUE"""),1323.3)</f>
        <v>1323.3</v>
      </c>
      <c r="F3" s="4">
        <f ca="1">IFERROR(__xludf.DUMMYFUNCTION("""COMPUTED_VALUE"""),16869482)</f>
        <v>16869482</v>
      </c>
      <c r="G3" s="2">
        <f t="shared" ref="G3:G66" ca="1" si="0">(E3 - B3)/B3 * 100</f>
        <v>0.4783599088838234</v>
      </c>
      <c r="H3" s="2">
        <f t="shared" ref="H3:H68" ca="1" si="1">AVERAGE(E3:E12)</f>
        <v>1292.81</v>
      </c>
      <c r="I3" s="2">
        <f t="shared" ref="I3:I66" ca="1" si="2">_xlfn.STDEV.P(E3:E32)</f>
        <v>33.584382117618631</v>
      </c>
    </row>
    <row r="4" spans="1:14" x14ac:dyDescent="0.25">
      <c r="A4" s="3">
        <f ca="1">IFERROR(__xludf.DUMMYFUNCTION("""COMPUTED_VALUE"""),45630.6458333333)</f>
        <v>45630.645833333299</v>
      </c>
      <c r="B4" s="4">
        <f ca="1">IFERROR(__xludf.DUMMYFUNCTION("""COMPUTED_VALUE"""),1326)</f>
        <v>1326</v>
      </c>
      <c r="C4" s="4">
        <f ca="1">IFERROR(__xludf.DUMMYFUNCTION("""COMPUTED_VALUE"""),1328.4)</f>
        <v>1328.4</v>
      </c>
      <c r="D4" s="4">
        <f ca="1">IFERROR(__xludf.DUMMYFUNCTION("""COMPUTED_VALUE"""),1304.05)</f>
        <v>1304.05</v>
      </c>
      <c r="E4" s="4">
        <f ca="1">IFERROR(__xludf.DUMMYFUNCTION("""COMPUTED_VALUE"""),1308.95)</f>
        <v>1308.95</v>
      </c>
      <c r="F4" s="4">
        <f ca="1">IFERROR(__xludf.DUMMYFUNCTION("""COMPUTED_VALUE"""),19608540)</f>
        <v>19608540</v>
      </c>
      <c r="G4" s="2">
        <f t="shared" ca="1" si="0"/>
        <v>-1.2858220211161353</v>
      </c>
      <c r="H4" s="2">
        <f t="shared" ca="1" si="1"/>
        <v>1285.01</v>
      </c>
      <c r="I4" s="2">
        <f t="shared" ca="1" si="2"/>
        <v>30.932003204160935</v>
      </c>
    </row>
    <row r="5" spans="1:14" x14ac:dyDescent="0.25">
      <c r="A5" s="3">
        <f ca="1">IFERROR(__xludf.DUMMYFUNCTION("""COMPUTED_VALUE"""),45631.6458333333)</f>
        <v>45631.645833333299</v>
      </c>
      <c r="B5" s="4">
        <f ca="1">IFERROR(__xludf.DUMMYFUNCTION("""COMPUTED_VALUE"""),1314.35)</f>
        <v>1314.35</v>
      </c>
      <c r="C5" s="4">
        <f ca="1">IFERROR(__xludf.DUMMYFUNCTION("""COMPUTED_VALUE"""),1329.95)</f>
        <v>1329.95</v>
      </c>
      <c r="D5" s="4">
        <f ca="1">IFERROR(__xludf.DUMMYFUNCTION("""COMPUTED_VALUE"""),1306.15)</f>
        <v>1306.1500000000001</v>
      </c>
      <c r="E5" s="4">
        <f ca="1">IFERROR(__xludf.DUMMYFUNCTION("""COMPUTED_VALUE"""),1322.05)</f>
        <v>1322.05</v>
      </c>
      <c r="F5" s="4">
        <f ca="1">IFERROR(__xludf.DUMMYFUNCTION("""COMPUTED_VALUE"""),16858723)</f>
        <v>16858723</v>
      </c>
      <c r="G5" s="2">
        <f t="shared" ca="1" si="0"/>
        <v>0.58584090995549476</v>
      </c>
      <c r="H5" s="2">
        <f t="shared" ca="1" si="1"/>
        <v>1279.44</v>
      </c>
      <c r="I5" s="2">
        <f t="shared" ca="1" si="2"/>
        <v>29.142374455230804</v>
      </c>
    </row>
    <row r="6" spans="1:14" x14ac:dyDescent="0.25">
      <c r="A6" s="3">
        <f ca="1">IFERROR(__xludf.DUMMYFUNCTION("""COMPUTED_VALUE"""),45632.6458333333)</f>
        <v>45632.645833333299</v>
      </c>
      <c r="B6" s="4">
        <f ca="1">IFERROR(__xludf.DUMMYFUNCTION("""COMPUTED_VALUE"""),1323.9)</f>
        <v>1323.9</v>
      </c>
      <c r="C6" s="4">
        <f ca="1">IFERROR(__xludf.DUMMYFUNCTION("""COMPUTED_VALUE"""),1323.9)</f>
        <v>1323.9</v>
      </c>
      <c r="D6" s="4">
        <f ca="1">IFERROR(__xludf.DUMMYFUNCTION("""COMPUTED_VALUE"""),1310)</f>
        <v>1310</v>
      </c>
      <c r="E6" s="4">
        <f ca="1">IFERROR(__xludf.DUMMYFUNCTION("""COMPUTED_VALUE"""),1311.55)</f>
        <v>1311.55</v>
      </c>
      <c r="F6" s="4">
        <f ca="1">IFERROR(__xludf.DUMMYFUNCTION("""COMPUTED_VALUE"""),9037514)</f>
        <v>9037514</v>
      </c>
      <c r="G6" s="2">
        <f t="shared" ca="1" si="0"/>
        <v>-0.93284991313544352</v>
      </c>
      <c r="H6" s="2">
        <f t="shared" ca="1" si="1"/>
        <v>1270.28</v>
      </c>
      <c r="I6" s="2">
        <f t="shared" ca="1" si="2"/>
        <v>27.674995934959046</v>
      </c>
    </row>
    <row r="7" spans="1:14" x14ac:dyDescent="0.25">
      <c r="A7" s="3">
        <f ca="1">IFERROR(__xludf.DUMMYFUNCTION("""COMPUTED_VALUE"""),45635.6458333333)</f>
        <v>45635.645833333299</v>
      </c>
      <c r="B7" s="4">
        <f ca="1">IFERROR(__xludf.DUMMYFUNCTION("""COMPUTED_VALUE"""),1303)</f>
        <v>1303</v>
      </c>
      <c r="C7" s="4">
        <f ca="1">IFERROR(__xludf.DUMMYFUNCTION("""COMPUTED_VALUE"""),1315)</f>
        <v>1315</v>
      </c>
      <c r="D7" s="4">
        <f ca="1">IFERROR(__xludf.DUMMYFUNCTION("""COMPUTED_VALUE"""),1293.1)</f>
        <v>1293.0999999999999</v>
      </c>
      <c r="E7" s="4">
        <f ca="1">IFERROR(__xludf.DUMMYFUNCTION("""COMPUTED_VALUE"""),1295.15)</f>
        <v>1295.1500000000001</v>
      </c>
      <c r="F7" s="4">
        <f ca="1">IFERROR(__xludf.DUMMYFUNCTION("""COMPUTED_VALUE"""),14650002)</f>
        <v>14650002</v>
      </c>
      <c r="G7" s="2">
        <f t="shared" ca="1" si="0"/>
        <v>-0.60245587106676202</v>
      </c>
      <c r="H7" s="2">
        <f t="shared" ca="1" si="1"/>
        <v>1259.6550000000002</v>
      </c>
      <c r="I7" s="2">
        <f t="shared" ca="1" si="2"/>
        <v>27.229016181680571</v>
      </c>
    </row>
    <row r="8" spans="1:14" x14ac:dyDescent="0.25">
      <c r="A8" s="3">
        <f ca="1">IFERROR(__xludf.DUMMYFUNCTION("""COMPUTED_VALUE"""),45636.6458333333)</f>
        <v>45636.645833333299</v>
      </c>
      <c r="B8" s="4">
        <f ca="1">IFERROR(__xludf.DUMMYFUNCTION("""COMPUTED_VALUE"""),1289.25)</f>
        <v>1289.25</v>
      </c>
      <c r="C8" s="4">
        <f ca="1">IFERROR(__xludf.DUMMYFUNCTION("""COMPUTED_VALUE"""),1294.9)</f>
        <v>1294.9000000000001</v>
      </c>
      <c r="D8" s="4">
        <f ca="1">IFERROR(__xludf.DUMMYFUNCTION("""COMPUTED_VALUE"""),1280.2)</f>
        <v>1280.2</v>
      </c>
      <c r="E8" s="4">
        <f ca="1">IFERROR(__xludf.DUMMYFUNCTION("""COMPUTED_VALUE"""),1284.85)</f>
        <v>1284.8499999999999</v>
      </c>
      <c r="F8" s="4">
        <f ca="1">IFERROR(__xludf.DUMMYFUNCTION("""COMPUTED_VALUE"""),16043729)</f>
        <v>16043729</v>
      </c>
      <c r="G8" s="2">
        <f t="shared" ca="1" si="0"/>
        <v>-0.34128369206903941</v>
      </c>
      <c r="H8" s="2">
        <f t="shared" ca="1" si="1"/>
        <v>1252.3700000000001</v>
      </c>
      <c r="I8" s="2">
        <f t="shared" ca="1" si="2"/>
        <v>26.250472006338391</v>
      </c>
    </row>
    <row r="9" spans="1:14" x14ac:dyDescent="0.25">
      <c r="A9" s="3">
        <f ca="1">IFERROR(__xludf.DUMMYFUNCTION("""COMPUTED_VALUE"""),45637.6458333333)</f>
        <v>45637.645833333299</v>
      </c>
      <c r="B9" s="4">
        <f ca="1">IFERROR(__xludf.DUMMYFUNCTION("""COMPUTED_VALUE"""),1285)</f>
        <v>1285</v>
      </c>
      <c r="C9" s="4">
        <f ca="1">IFERROR(__xludf.DUMMYFUNCTION("""COMPUTED_VALUE"""),1290)</f>
        <v>1290</v>
      </c>
      <c r="D9" s="4">
        <f ca="1">IFERROR(__xludf.DUMMYFUNCTION("""COMPUTED_VALUE"""),1276.05)</f>
        <v>1276.05</v>
      </c>
      <c r="E9" s="4">
        <f ca="1">IFERROR(__xludf.DUMMYFUNCTION("""COMPUTED_VALUE"""),1278.2)</f>
        <v>1278.2</v>
      </c>
      <c r="F9" s="4">
        <f ca="1">IFERROR(__xludf.DUMMYFUNCTION("""COMPUTED_VALUE"""),11724373)</f>
        <v>11724373</v>
      </c>
      <c r="G9" s="2">
        <f t="shared" ca="1" si="0"/>
        <v>-0.52918287937742836</v>
      </c>
      <c r="H9" s="2">
        <f t="shared" ca="1" si="1"/>
        <v>1246.1599999999999</v>
      </c>
      <c r="I9" s="2">
        <f t="shared" ca="1" si="2"/>
        <v>25.917378125282831</v>
      </c>
    </row>
    <row r="10" spans="1:14" x14ac:dyDescent="0.25">
      <c r="A10" s="3">
        <f ca="1">IFERROR(__xludf.DUMMYFUNCTION("""COMPUTED_VALUE"""),45638.6458333333)</f>
        <v>45638.645833333299</v>
      </c>
      <c r="B10" s="4">
        <f ca="1">IFERROR(__xludf.DUMMYFUNCTION("""COMPUTED_VALUE"""),1270)</f>
        <v>1270</v>
      </c>
      <c r="C10" s="4">
        <f ca="1">IFERROR(__xludf.DUMMYFUNCTION("""COMPUTED_VALUE"""),1278.2)</f>
        <v>1278.2</v>
      </c>
      <c r="D10" s="4">
        <f ca="1">IFERROR(__xludf.DUMMYFUNCTION("""COMPUTED_VALUE"""),1260.6)</f>
        <v>1260.5999999999999</v>
      </c>
      <c r="E10" s="4">
        <f ca="1">IFERROR(__xludf.DUMMYFUNCTION("""COMPUTED_VALUE"""),1262.9)</f>
        <v>1262.9000000000001</v>
      </c>
      <c r="F10" s="4">
        <f ca="1">IFERROR(__xludf.DUMMYFUNCTION("""COMPUTED_VALUE"""),20906813)</f>
        <v>20906813</v>
      </c>
      <c r="G10" s="2">
        <f t="shared" ca="1" si="0"/>
        <v>-0.55905511811022901</v>
      </c>
      <c r="H10" s="2">
        <f t="shared" ca="1" si="1"/>
        <v>1239.9949999999999</v>
      </c>
      <c r="I10" s="2">
        <f t="shared" ca="1" si="2"/>
        <v>25.465171258450674</v>
      </c>
    </row>
    <row r="11" spans="1:14" x14ac:dyDescent="0.25">
      <c r="A11" s="3">
        <f ca="1">IFERROR(__xludf.DUMMYFUNCTION("""COMPUTED_VALUE"""),45639.6458333333)</f>
        <v>45639.645833333299</v>
      </c>
      <c r="B11" s="4">
        <f ca="1">IFERROR(__xludf.DUMMYFUNCTION("""COMPUTED_VALUE"""),1260)</f>
        <v>1260</v>
      </c>
      <c r="C11" s="4">
        <f ca="1">IFERROR(__xludf.DUMMYFUNCTION("""COMPUTED_VALUE"""),1275.2)</f>
        <v>1275.2</v>
      </c>
      <c r="D11" s="4">
        <f ca="1">IFERROR(__xludf.DUMMYFUNCTION("""COMPUTED_VALUE"""),1239.6)</f>
        <v>1239.5999999999999</v>
      </c>
      <c r="E11" s="4">
        <f ca="1">IFERROR(__xludf.DUMMYFUNCTION("""COMPUTED_VALUE"""),1272.85)</f>
        <v>1272.8499999999999</v>
      </c>
      <c r="F11" s="4">
        <f ca="1">IFERROR(__xludf.DUMMYFUNCTION("""COMPUTED_VALUE"""),28630222)</f>
        <v>28630222</v>
      </c>
      <c r="G11" s="2">
        <f t="shared" ca="1" si="0"/>
        <v>1.0198412698412627</v>
      </c>
      <c r="H11" s="2">
        <f t="shared" ca="1" si="1"/>
        <v>1235.81</v>
      </c>
      <c r="I11" s="2">
        <f t="shared" ca="1" si="2"/>
        <v>25.287496086669655</v>
      </c>
    </row>
    <row r="12" spans="1:14" x14ac:dyDescent="0.25">
      <c r="A12" s="3">
        <f ca="1">IFERROR(__xludf.DUMMYFUNCTION("""COMPUTED_VALUE"""),45642.6458333333)</f>
        <v>45642.645833333299</v>
      </c>
      <c r="B12" s="4">
        <f ca="1">IFERROR(__xludf.DUMMYFUNCTION("""COMPUTED_VALUE"""),1275)</f>
        <v>1275</v>
      </c>
      <c r="C12" s="4">
        <f ca="1">IFERROR(__xludf.DUMMYFUNCTION("""COMPUTED_VALUE"""),1281)</f>
        <v>1281</v>
      </c>
      <c r="D12" s="4">
        <f ca="1">IFERROR(__xludf.DUMMYFUNCTION("""COMPUTED_VALUE"""),1266.55)</f>
        <v>1266.55</v>
      </c>
      <c r="E12" s="4">
        <f ca="1">IFERROR(__xludf.DUMMYFUNCTION("""COMPUTED_VALUE"""),1268.3)</f>
        <v>1268.3</v>
      </c>
      <c r="F12" s="4">
        <f ca="1">IFERROR(__xludf.DUMMYFUNCTION("""COMPUTED_VALUE"""),9486781)</f>
        <v>9486781</v>
      </c>
      <c r="G12" s="2">
        <f t="shared" ca="1" si="0"/>
        <v>-0.52549019607843495</v>
      </c>
      <c r="H12" s="2">
        <f t="shared" ca="1" si="1"/>
        <v>1229.595</v>
      </c>
      <c r="I12" s="2">
        <f t="shared" ca="1" si="2"/>
        <v>24.961419397408743</v>
      </c>
    </row>
    <row r="13" spans="1:14" x14ac:dyDescent="0.25">
      <c r="A13" s="3">
        <f ca="1">IFERROR(__xludf.DUMMYFUNCTION("""COMPUTED_VALUE"""),45643.6458333333)</f>
        <v>45643.645833333299</v>
      </c>
      <c r="B13" s="4">
        <f ca="1">IFERROR(__xludf.DUMMYFUNCTION("""COMPUTED_VALUE"""),1261.05)</f>
        <v>1261.05</v>
      </c>
      <c r="C13" s="4">
        <f ca="1">IFERROR(__xludf.DUMMYFUNCTION("""COMPUTED_VALUE"""),1263.9)</f>
        <v>1263.9000000000001</v>
      </c>
      <c r="D13" s="4">
        <f ca="1">IFERROR(__xludf.DUMMYFUNCTION("""COMPUTED_VALUE"""),1242.8)</f>
        <v>1242.8</v>
      </c>
      <c r="E13" s="4">
        <f ca="1">IFERROR(__xludf.DUMMYFUNCTION("""COMPUTED_VALUE"""),1245.3)</f>
        <v>1245.3</v>
      </c>
      <c r="F13" s="4">
        <f ca="1">IFERROR(__xludf.DUMMYFUNCTION("""COMPUTED_VALUE"""),17462791)</f>
        <v>17462791</v>
      </c>
      <c r="G13" s="2">
        <f t="shared" ca="1" si="0"/>
        <v>-1.2489592006661117</v>
      </c>
      <c r="H13" s="2">
        <f t="shared" ca="1" si="1"/>
        <v>1224.31</v>
      </c>
      <c r="I13" s="2">
        <f t="shared" ca="1" si="2"/>
        <v>24.633778807428907</v>
      </c>
    </row>
    <row r="14" spans="1:14" x14ac:dyDescent="0.25">
      <c r="A14" s="3">
        <f ca="1">IFERROR(__xludf.DUMMYFUNCTION("""COMPUTED_VALUE"""),45644.6458333333)</f>
        <v>45644.645833333299</v>
      </c>
      <c r="B14" s="4">
        <f ca="1">IFERROR(__xludf.DUMMYFUNCTION("""COMPUTED_VALUE"""),1240.65)</f>
        <v>1240.6500000000001</v>
      </c>
      <c r="C14" s="4">
        <f ca="1">IFERROR(__xludf.DUMMYFUNCTION("""COMPUTED_VALUE"""),1259.95)</f>
        <v>1259.95</v>
      </c>
      <c r="D14" s="4">
        <f ca="1">IFERROR(__xludf.DUMMYFUNCTION("""COMPUTED_VALUE"""),1240.65)</f>
        <v>1240.6500000000001</v>
      </c>
      <c r="E14" s="4">
        <f ca="1">IFERROR(__xludf.DUMMYFUNCTION("""COMPUTED_VALUE"""),1253.25)</f>
        <v>1253.25</v>
      </c>
      <c r="F14" s="4">
        <f ca="1">IFERROR(__xludf.DUMMYFUNCTION("""COMPUTED_VALUE"""),12670179)</f>
        <v>12670179</v>
      </c>
      <c r="G14" s="2">
        <f t="shared" ca="1" si="0"/>
        <v>1.0155966630395283</v>
      </c>
      <c r="H14" s="2">
        <f t="shared" ca="1" si="1"/>
        <v>1221.9050000000002</v>
      </c>
      <c r="I14" s="2">
        <f t="shared" ca="1" si="2"/>
        <v>24.673948756172422</v>
      </c>
    </row>
    <row r="15" spans="1:14" x14ac:dyDescent="0.25">
      <c r="A15" s="3">
        <f ca="1">IFERROR(__xludf.DUMMYFUNCTION("""COMPUTED_VALUE"""),45645.6458333333)</f>
        <v>45645.645833333299</v>
      </c>
      <c r="B15" s="4">
        <f ca="1">IFERROR(__xludf.DUMMYFUNCTION("""COMPUTED_VALUE"""),1239)</f>
        <v>1239</v>
      </c>
      <c r="C15" s="4">
        <f ca="1">IFERROR(__xludf.DUMMYFUNCTION("""COMPUTED_VALUE"""),1244.9)</f>
        <v>1244.9000000000001</v>
      </c>
      <c r="D15" s="4">
        <f ca="1">IFERROR(__xludf.DUMMYFUNCTION("""COMPUTED_VALUE"""),1229)</f>
        <v>1229</v>
      </c>
      <c r="E15" s="4">
        <f ca="1">IFERROR(__xludf.DUMMYFUNCTION("""COMPUTED_VALUE"""),1230.45)</f>
        <v>1230.45</v>
      </c>
      <c r="F15" s="4">
        <f ca="1">IFERROR(__xludf.DUMMYFUNCTION("""COMPUTED_VALUE"""),14244653)</f>
        <v>14244653</v>
      </c>
      <c r="G15" s="2">
        <f t="shared" ca="1" si="0"/>
        <v>-0.69007263922517792</v>
      </c>
      <c r="H15" s="2">
        <f t="shared" ca="1" si="1"/>
        <v>1220.76</v>
      </c>
      <c r="I15" s="2">
        <f t="shared" ca="1" si="2"/>
        <v>24.671277778465843</v>
      </c>
    </row>
    <row r="16" spans="1:14" x14ac:dyDescent="0.25">
      <c r="A16" s="3">
        <f ca="1">IFERROR(__xludf.DUMMYFUNCTION("""COMPUTED_VALUE"""),45646.6458333333)</f>
        <v>45646.645833333299</v>
      </c>
      <c r="B16" s="4">
        <f ca="1">IFERROR(__xludf.DUMMYFUNCTION("""COMPUTED_VALUE"""),1224)</f>
        <v>1224</v>
      </c>
      <c r="C16" s="4">
        <f ca="1">IFERROR(__xludf.DUMMYFUNCTION("""COMPUTED_VALUE"""),1239.5)</f>
        <v>1239.5</v>
      </c>
      <c r="D16" s="4">
        <f ca="1">IFERROR(__xludf.DUMMYFUNCTION("""COMPUTED_VALUE"""),1201.5)</f>
        <v>1201.5</v>
      </c>
      <c r="E16" s="4">
        <f ca="1">IFERROR(__xludf.DUMMYFUNCTION("""COMPUTED_VALUE"""),1205.3)</f>
        <v>1205.3</v>
      </c>
      <c r="F16" s="4">
        <f ca="1">IFERROR(__xludf.DUMMYFUNCTION("""COMPUTED_VALUE"""),20312896)</f>
        <v>20312896</v>
      </c>
      <c r="G16" s="2">
        <f t="shared" ca="1" si="0"/>
        <v>-1.5277777777777815</v>
      </c>
      <c r="H16" s="2">
        <f t="shared" ca="1" si="1"/>
        <v>1222.83</v>
      </c>
      <c r="I16" s="2">
        <f t="shared" ca="1" si="2"/>
        <v>24.85485309194609</v>
      </c>
    </row>
    <row r="17" spans="1:9" x14ac:dyDescent="0.25">
      <c r="A17" s="3">
        <f ca="1">IFERROR(__xludf.DUMMYFUNCTION("""COMPUTED_VALUE"""),45649.6458333333)</f>
        <v>45649.645833333299</v>
      </c>
      <c r="B17" s="4">
        <f ca="1">IFERROR(__xludf.DUMMYFUNCTION("""COMPUTED_VALUE"""),1215)</f>
        <v>1215</v>
      </c>
      <c r="C17" s="4">
        <f ca="1">IFERROR(__xludf.DUMMYFUNCTION("""COMPUTED_VALUE"""),1227.2)</f>
        <v>1227.2</v>
      </c>
      <c r="D17" s="4">
        <f ca="1">IFERROR(__xludf.DUMMYFUNCTION("""COMPUTED_VALUE"""),1213.2)</f>
        <v>1213.2</v>
      </c>
      <c r="E17" s="4">
        <f ca="1">IFERROR(__xludf.DUMMYFUNCTION("""COMPUTED_VALUE"""),1222.3)</f>
        <v>1222.3</v>
      </c>
      <c r="F17" s="4">
        <f ca="1">IFERROR(__xludf.DUMMYFUNCTION("""COMPUTED_VALUE"""),10052824)</f>
        <v>10052824</v>
      </c>
      <c r="G17" s="2">
        <f t="shared" ca="1" si="0"/>
        <v>0.60082304526748598</v>
      </c>
      <c r="H17" s="2">
        <f t="shared" ca="1" si="1"/>
        <v>1224.0999999999999</v>
      </c>
      <c r="I17" s="2">
        <f t="shared" ca="1" si="2"/>
        <v>23.769765810093009</v>
      </c>
    </row>
    <row r="18" spans="1:9" x14ac:dyDescent="0.25">
      <c r="A18" s="3">
        <f ca="1">IFERROR(__xludf.DUMMYFUNCTION("""COMPUTED_VALUE"""),45650.6458333333)</f>
        <v>45650.645833333299</v>
      </c>
      <c r="B18" s="4">
        <f ca="1">IFERROR(__xludf.DUMMYFUNCTION("""COMPUTED_VALUE"""),1222.3)</f>
        <v>1222.3</v>
      </c>
      <c r="C18" s="4">
        <f ca="1">IFERROR(__xludf.DUMMYFUNCTION("""COMPUTED_VALUE"""),1233.55)</f>
        <v>1233.55</v>
      </c>
      <c r="D18" s="4">
        <f ca="1">IFERROR(__xludf.DUMMYFUNCTION("""COMPUTED_VALUE"""),1221)</f>
        <v>1221</v>
      </c>
      <c r="E18" s="4">
        <f ca="1">IFERROR(__xludf.DUMMYFUNCTION("""COMPUTED_VALUE"""),1222.75)</f>
        <v>1222.75</v>
      </c>
      <c r="F18" s="4">
        <f ca="1">IFERROR(__xludf.DUMMYFUNCTION("""COMPUTED_VALUE"""),6734917)</f>
        <v>6734917</v>
      </c>
      <c r="G18" s="2">
        <f t="shared" ca="1" si="0"/>
        <v>3.6815838992067862E-2</v>
      </c>
      <c r="H18" s="2">
        <f t="shared" ca="1" si="1"/>
        <v>1225.9549999999999</v>
      </c>
      <c r="I18" s="2">
        <f t="shared" ca="1" si="2"/>
        <v>24.373521607587925</v>
      </c>
    </row>
    <row r="19" spans="1:9" x14ac:dyDescent="0.25">
      <c r="A19" s="3">
        <f ca="1">IFERROR(__xludf.DUMMYFUNCTION("""COMPUTED_VALUE"""),45652.6458333333)</f>
        <v>45652.645833333299</v>
      </c>
      <c r="B19" s="4">
        <f ca="1">IFERROR(__xludf.DUMMYFUNCTION("""COMPUTED_VALUE"""),1224.25)</f>
        <v>1224.25</v>
      </c>
      <c r="C19" s="4">
        <f ca="1">IFERROR(__xludf.DUMMYFUNCTION("""COMPUTED_VALUE"""),1227.7)</f>
        <v>1227.7</v>
      </c>
      <c r="D19" s="4">
        <f ca="1">IFERROR(__xludf.DUMMYFUNCTION("""COMPUTED_VALUE"""),1214.25)</f>
        <v>1214.25</v>
      </c>
      <c r="E19" s="4">
        <f ca="1">IFERROR(__xludf.DUMMYFUNCTION("""COMPUTED_VALUE"""),1216.55)</f>
        <v>1216.55</v>
      </c>
      <c r="F19" s="4">
        <f ca="1">IFERROR(__xludf.DUMMYFUNCTION("""COMPUTED_VALUE"""),10016178)</f>
        <v>10016178</v>
      </c>
      <c r="G19" s="2">
        <f t="shared" ca="1" si="0"/>
        <v>-0.62895650398203351</v>
      </c>
      <c r="H19" s="2">
        <f t="shared" ca="1" si="1"/>
        <v>1230.23</v>
      </c>
      <c r="I19" s="2">
        <f t="shared" ca="1" si="2"/>
        <v>24.500905255384616</v>
      </c>
    </row>
    <row r="20" spans="1:9" x14ac:dyDescent="0.25">
      <c r="A20" s="3">
        <f ca="1">IFERROR(__xludf.DUMMYFUNCTION("""COMPUTED_VALUE"""),45653.6458333333)</f>
        <v>45653.645833333299</v>
      </c>
      <c r="B20" s="4">
        <f ca="1">IFERROR(__xludf.DUMMYFUNCTION("""COMPUTED_VALUE"""),1218.3)</f>
        <v>1218.3</v>
      </c>
      <c r="C20" s="4">
        <f ca="1">IFERROR(__xludf.DUMMYFUNCTION("""COMPUTED_VALUE"""),1227.9)</f>
        <v>1227.9000000000001</v>
      </c>
      <c r="D20" s="4">
        <f ca="1">IFERROR(__xludf.DUMMYFUNCTION("""COMPUTED_VALUE"""),1217)</f>
        <v>1217</v>
      </c>
      <c r="E20" s="4">
        <f ca="1">IFERROR(__xludf.DUMMYFUNCTION("""COMPUTED_VALUE"""),1221.05)</f>
        <v>1221.05</v>
      </c>
      <c r="F20" s="4">
        <f ca="1">IFERROR(__xludf.DUMMYFUNCTION("""COMPUTED_VALUE"""),7000397)</f>
        <v>7000397</v>
      </c>
      <c r="G20" s="2">
        <f t="shared" ca="1" si="0"/>
        <v>0.22572437002380369</v>
      </c>
      <c r="H20" s="2">
        <f t="shared" ca="1" si="1"/>
        <v>1234.05</v>
      </c>
      <c r="I20" s="2">
        <f t="shared" ca="1" si="2"/>
        <v>24.345805536523574</v>
      </c>
    </row>
    <row r="21" spans="1:9" x14ac:dyDescent="0.25">
      <c r="A21" s="3">
        <f ca="1">IFERROR(__xludf.DUMMYFUNCTION("""COMPUTED_VALUE"""),45656.6458333333)</f>
        <v>45656.645833333299</v>
      </c>
      <c r="B21" s="4">
        <f ca="1">IFERROR(__xludf.DUMMYFUNCTION("""COMPUTED_VALUE"""),1216.4)</f>
        <v>1216.4000000000001</v>
      </c>
      <c r="C21" s="4">
        <f ca="1">IFERROR(__xludf.DUMMYFUNCTION("""COMPUTED_VALUE"""),1223.2)</f>
        <v>1223.2</v>
      </c>
      <c r="D21" s="4">
        <f ca="1">IFERROR(__xludf.DUMMYFUNCTION("""COMPUTED_VALUE"""),1208.1)</f>
        <v>1208.0999999999999</v>
      </c>
      <c r="E21" s="4">
        <f ca="1">IFERROR(__xludf.DUMMYFUNCTION("""COMPUTED_VALUE"""),1210.7)</f>
        <v>1210.7</v>
      </c>
      <c r="F21" s="4">
        <f ca="1">IFERROR(__xludf.DUMMYFUNCTION("""COMPUTED_VALUE"""),8818766)</f>
        <v>8818766</v>
      </c>
      <c r="G21" s="2">
        <f t="shared" ca="1" si="0"/>
        <v>-0.46859585662611358</v>
      </c>
      <c r="H21" s="2">
        <f t="shared" ca="1" si="1"/>
        <v>1236.135</v>
      </c>
      <c r="I21" s="2">
        <f t="shared" ca="1" si="2"/>
        <v>23.791507354983249</v>
      </c>
    </row>
    <row r="22" spans="1:9" x14ac:dyDescent="0.25">
      <c r="A22" s="3">
        <f ca="1">IFERROR(__xludf.DUMMYFUNCTION("""COMPUTED_VALUE"""),45657.6458333333)</f>
        <v>45657.645833333299</v>
      </c>
      <c r="B22" s="4">
        <f ca="1">IFERROR(__xludf.DUMMYFUNCTION("""COMPUTED_VALUE"""),1208)</f>
        <v>1208</v>
      </c>
      <c r="C22" s="4">
        <f ca="1">IFERROR(__xludf.DUMMYFUNCTION("""COMPUTED_VALUE"""),1219.1)</f>
        <v>1219.0999999999999</v>
      </c>
      <c r="D22" s="4">
        <f ca="1">IFERROR(__xludf.DUMMYFUNCTION("""COMPUTED_VALUE"""),1206.15)</f>
        <v>1206.1500000000001</v>
      </c>
      <c r="E22" s="4">
        <f ca="1">IFERROR(__xludf.DUMMYFUNCTION("""COMPUTED_VALUE"""),1215.45)</f>
        <v>1215.45</v>
      </c>
      <c r="F22" s="4">
        <f ca="1">IFERROR(__xludf.DUMMYFUNCTION("""COMPUTED_VALUE"""),6405475)</f>
        <v>6405475</v>
      </c>
      <c r="G22" s="2">
        <f t="shared" ca="1" si="0"/>
        <v>0.61672185430463955</v>
      </c>
      <c r="H22" s="2">
        <f t="shared" ca="1" si="1"/>
        <v>1239.05</v>
      </c>
      <c r="I22" s="2">
        <f t="shared" ca="1" si="2"/>
        <v>22.432172394427901</v>
      </c>
    </row>
    <row r="23" spans="1:9" x14ac:dyDescent="0.25">
      <c r="A23" s="3">
        <f ca="1">IFERROR(__xludf.DUMMYFUNCTION("""COMPUTED_VALUE"""),45658.6458333333)</f>
        <v>45658.645833333299</v>
      </c>
      <c r="B23" s="4">
        <f ca="1">IFERROR(__xludf.DUMMYFUNCTION("""COMPUTED_VALUE"""),1214.85)</f>
        <v>1214.8499999999999</v>
      </c>
      <c r="C23" s="4">
        <f ca="1">IFERROR(__xludf.DUMMYFUNCTION("""COMPUTED_VALUE"""),1226.3)</f>
        <v>1226.3</v>
      </c>
      <c r="D23" s="4">
        <f ca="1">IFERROR(__xludf.DUMMYFUNCTION("""COMPUTED_VALUE"""),1211.6)</f>
        <v>1211.5999999999999</v>
      </c>
      <c r="E23" s="4">
        <f ca="1">IFERROR(__xludf.DUMMYFUNCTION("""COMPUTED_VALUE"""),1221.25)</f>
        <v>1221.25</v>
      </c>
      <c r="F23" s="4">
        <f ca="1">IFERROR(__xludf.DUMMYFUNCTION("""COMPUTED_VALUE"""),5892590)</f>
        <v>5892590</v>
      </c>
      <c r="G23" s="2">
        <f t="shared" ca="1" si="0"/>
        <v>0.52681400996008498</v>
      </c>
      <c r="H23" s="2">
        <f ca="1">AVERAGE(E23:E32)</f>
        <v>1241.3800000000001</v>
      </c>
      <c r="I23" s="2">
        <f t="shared" ca="1" si="2"/>
        <v>21.549746647131506</v>
      </c>
    </row>
    <row r="24" spans="1:9" x14ac:dyDescent="0.25">
      <c r="A24" s="3">
        <f ca="1">IFERROR(__xludf.DUMMYFUNCTION("""COMPUTED_VALUE"""),45659.6458333333)</f>
        <v>45659.645833333299</v>
      </c>
      <c r="B24" s="4">
        <f ca="1">IFERROR(__xludf.DUMMYFUNCTION("""COMPUTED_VALUE"""),1221.25)</f>
        <v>1221.25</v>
      </c>
      <c r="C24" s="4">
        <f ca="1">IFERROR(__xludf.DUMMYFUNCTION("""COMPUTED_VALUE"""),1244.45)</f>
        <v>1244.45</v>
      </c>
      <c r="D24" s="4">
        <f ca="1">IFERROR(__xludf.DUMMYFUNCTION("""COMPUTED_VALUE"""),1220)</f>
        <v>1220</v>
      </c>
      <c r="E24" s="4">
        <f ca="1">IFERROR(__xludf.DUMMYFUNCTION("""COMPUTED_VALUE"""),1241.8)</f>
        <v>1241.8</v>
      </c>
      <c r="F24" s="4">
        <f ca="1">IFERROR(__xludf.DUMMYFUNCTION("""COMPUTED_VALUE"""),15486276)</f>
        <v>15486276</v>
      </c>
      <c r="G24" s="2">
        <f t="shared" ca="1" si="0"/>
        <v>1.6827021494370482</v>
      </c>
      <c r="H24" s="2">
        <f t="shared" ca="1" si="1"/>
        <v>1244.4749999999999</v>
      </c>
      <c r="I24" s="2">
        <f t="shared" ca="1" si="2"/>
        <v>21.813511676634437</v>
      </c>
    </row>
    <row r="25" spans="1:9" x14ac:dyDescent="0.25">
      <c r="A25" s="3">
        <f ca="1">IFERROR(__xludf.DUMMYFUNCTION("""COMPUTED_VALUE"""),45660.6458333333)</f>
        <v>45660.645833333299</v>
      </c>
      <c r="B25" s="4">
        <f ca="1">IFERROR(__xludf.DUMMYFUNCTION("""COMPUTED_VALUE"""),1243.9)</f>
        <v>1243.9000000000001</v>
      </c>
      <c r="C25" s="4">
        <f ca="1">IFERROR(__xludf.DUMMYFUNCTION("""COMPUTED_VALUE"""),1262.05)</f>
        <v>1262.05</v>
      </c>
      <c r="D25" s="4">
        <f ca="1">IFERROR(__xludf.DUMMYFUNCTION("""COMPUTED_VALUE"""),1235.5)</f>
        <v>1235.5</v>
      </c>
      <c r="E25" s="4">
        <f ca="1">IFERROR(__xludf.DUMMYFUNCTION("""COMPUTED_VALUE"""),1251.15)</f>
        <v>1251.1500000000001</v>
      </c>
      <c r="F25" s="4">
        <f ca="1">IFERROR(__xludf.DUMMYFUNCTION("""COMPUTED_VALUE"""),15521102)</f>
        <v>15521102</v>
      </c>
      <c r="G25" s="2">
        <f ca="1">(E25 - B25)/B25 * 100</f>
        <v>0.58284428008682365</v>
      </c>
      <c r="H25" s="2">
        <f t="shared" ca="1" si="1"/>
        <v>1246.94</v>
      </c>
      <c r="I25" s="2">
        <f ca="1">_xlfn.STDEV.P(E25:E54)</f>
        <v>22.809747489956042</v>
      </c>
    </row>
    <row r="26" spans="1:9" x14ac:dyDescent="0.25">
      <c r="A26" s="3">
        <f ca="1">IFERROR(__xludf.DUMMYFUNCTION("""COMPUTED_VALUE"""),45663.6458333333)</f>
        <v>45663.645833333299</v>
      </c>
      <c r="B26" s="4">
        <f ca="1">IFERROR(__xludf.DUMMYFUNCTION("""COMPUTED_VALUE"""),1253.95)</f>
        <v>1253.95</v>
      </c>
      <c r="C26" s="4">
        <f ca="1">IFERROR(__xludf.DUMMYFUNCTION("""COMPUTED_VALUE"""),1262)</f>
        <v>1262</v>
      </c>
      <c r="D26" s="4">
        <f ca="1">IFERROR(__xludf.DUMMYFUNCTION("""COMPUTED_VALUE"""),1215)</f>
        <v>1215</v>
      </c>
      <c r="E26" s="4">
        <f ca="1">IFERROR(__xludf.DUMMYFUNCTION("""COMPUTED_VALUE"""),1218)</f>
        <v>1218</v>
      </c>
      <c r="F26" s="4">
        <f ca="1">IFERROR(__xludf.DUMMYFUNCTION("""COMPUTED_VALUE"""),14816766)</f>
        <v>14816766</v>
      </c>
      <c r="G26" s="2">
        <f t="shared" ca="1" si="0"/>
        <v>-2.8669404681207418</v>
      </c>
      <c r="H26" s="2">
        <f t="shared" ca="1" si="1"/>
        <v>1252.0600000000002</v>
      </c>
      <c r="I26" s="2">
        <f t="shared" ca="1" si="2"/>
        <v>23.765818182610278</v>
      </c>
    </row>
    <row r="27" spans="1:9" x14ac:dyDescent="0.25">
      <c r="A27" s="3">
        <f ca="1">IFERROR(__xludf.DUMMYFUNCTION("""COMPUTED_VALUE"""),45664.6458333333)</f>
        <v>45664.645833333299</v>
      </c>
      <c r="B27" s="4">
        <f ca="1">IFERROR(__xludf.DUMMYFUNCTION("""COMPUTED_VALUE"""),1222)</f>
        <v>1222</v>
      </c>
      <c r="C27" s="4">
        <f ca="1">IFERROR(__xludf.DUMMYFUNCTION("""COMPUTED_VALUE"""),1244.5)</f>
        <v>1244.5</v>
      </c>
      <c r="D27" s="4">
        <f ca="1">IFERROR(__xludf.DUMMYFUNCTION("""COMPUTED_VALUE"""),1221.25)</f>
        <v>1221.25</v>
      </c>
      <c r="E27" s="4">
        <f ca="1">IFERROR(__xludf.DUMMYFUNCTION("""COMPUTED_VALUE"""),1240.85)</f>
        <v>1240.8499999999999</v>
      </c>
      <c r="F27" s="4">
        <f ca="1">IFERROR(__xludf.DUMMYFUNCTION("""COMPUTED_VALUE"""),10070505)</f>
        <v>10070505</v>
      </c>
      <c r="G27" s="2">
        <f t="shared" ca="1" si="0"/>
        <v>1.5425531914893542</v>
      </c>
      <c r="H27" s="2">
        <f t="shared" ca="1" si="1"/>
        <v>1260.8050000000003</v>
      </c>
      <c r="I27" s="2">
        <f t="shared" ca="1" si="2"/>
        <v>23.454052540138044</v>
      </c>
    </row>
    <row r="28" spans="1:9" x14ac:dyDescent="0.25">
      <c r="A28" s="3">
        <f ca="1">IFERROR(__xludf.DUMMYFUNCTION("""COMPUTED_VALUE"""),45665.6458333333)</f>
        <v>45665.645833333299</v>
      </c>
      <c r="B28" s="4">
        <f ca="1">IFERROR(__xludf.DUMMYFUNCTION("""COMPUTED_VALUE"""),1249)</f>
        <v>1249</v>
      </c>
      <c r="C28" s="4">
        <f ca="1">IFERROR(__xludf.DUMMYFUNCTION("""COMPUTED_VALUE"""),1271.05)</f>
        <v>1271.05</v>
      </c>
      <c r="D28" s="4">
        <f ca="1">IFERROR(__xludf.DUMMYFUNCTION("""COMPUTED_VALUE"""),1245.35)</f>
        <v>1245.3499999999999</v>
      </c>
      <c r="E28" s="4">
        <f ca="1">IFERROR(__xludf.DUMMYFUNCTION("""COMPUTED_VALUE"""),1265.5)</f>
        <v>1265.5</v>
      </c>
      <c r="F28" s="4">
        <f ca="1">IFERROR(__xludf.DUMMYFUNCTION("""COMPUTED_VALUE"""),19346579)</f>
        <v>19346579</v>
      </c>
      <c r="G28" s="2">
        <f t="shared" ca="1" si="0"/>
        <v>1.3210568454763811</v>
      </c>
      <c r="H28" s="2">
        <f t="shared" ca="1" si="1"/>
        <v>1264.0900000000001</v>
      </c>
      <c r="I28" s="2">
        <f t="shared" ca="1" si="2"/>
        <v>23.893178710437191</v>
      </c>
    </row>
    <row r="29" spans="1:9" x14ac:dyDescent="0.25">
      <c r="A29" s="3">
        <f ca="1">IFERROR(__xludf.DUMMYFUNCTION("""COMPUTED_VALUE"""),45666.6458333333)</f>
        <v>45666.645833333299</v>
      </c>
      <c r="B29" s="4">
        <f ca="1">IFERROR(__xludf.DUMMYFUNCTION("""COMPUTED_VALUE"""),1267)</f>
        <v>1267</v>
      </c>
      <c r="C29" s="4">
        <f ca="1">IFERROR(__xludf.DUMMYFUNCTION("""COMPUTED_VALUE"""),1269.75)</f>
        <v>1269.75</v>
      </c>
      <c r="D29" s="4">
        <f ca="1">IFERROR(__xludf.DUMMYFUNCTION("""COMPUTED_VALUE"""),1248.05)</f>
        <v>1248.05</v>
      </c>
      <c r="E29" s="4">
        <f ca="1">IFERROR(__xludf.DUMMYFUNCTION("""COMPUTED_VALUE"""),1254.75)</f>
        <v>1254.75</v>
      </c>
      <c r="F29" s="4">
        <f ca="1">IFERROR(__xludf.DUMMYFUNCTION("""COMPUTED_VALUE"""),12794704)</f>
        <v>12794704</v>
      </c>
      <c r="G29" s="2">
        <f t="shared" ca="1" si="0"/>
        <v>-0.96685082872928174</v>
      </c>
      <c r="H29" s="2">
        <f t="shared" ca="1" si="1"/>
        <v>1265.2500000000002</v>
      </c>
      <c r="I29" s="2">
        <f t="shared" ca="1" si="2"/>
        <v>24.206659379875891</v>
      </c>
    </row>
    <row r="30" spans="1:9" x14ac:dyDescent="0.25">
      <c r="A30" s="3">
        <f ca="1">IFERROR(__xludf.DUMMYFUNCTION("""COMPUTED_VALUE"""),45667.6458333333)</f>
        <v>45667.645833333299</v>
      </c>
      <c r="B30" s="4">
        <f ca="1">IFERROR(__xludf.DUMMYFUNCTION("""COMPUTED_VALUE"""),1253.85)</f>
        <v>1253.8499999999999</v>
      </c>
      <c r="C30" s="4">
        <f ca="1">IFERROR(__xludf.DUMMYFUNCTION("""COMPUTED_VALUE"""),1256.75)</f>
        <v>1256.75</v>
      </c>
      <c r="D30" s="4">
        <f ca="1">IFERROR(__xludf.DUMMYFUNCTION("""COMPUTED_VALUE"""),1236)</f>
        <v>1236</v>
      </c>
      <c r="E30" s="4">
        <f ca="1">IFERROR(__xludf.DUMMYFUNCTION("""COMPUTED_VALUE"""),1241.9)</f>
        <v>1241.9000000000001</v>
      </c>
      <c r="F30" s="4">
        <f ca="1">IFERROR(__xludf.DUMMYFUNCTION("""COMPUTED_VALUE"""),8120332)</f>
        <v>8120332</v>
      </c>
      <c r="G30" s="2">
        <f t="shared" ca="1" si="0"/>
        <v>-0.95306456115163851</v>
      </c>
      <c r="H30" s="2">
        <f t="shared" ca="1" si="1"/>
        <v>1266.1400000000001</v>
      </c>
      <c r="I30" s="2">
        <f t="shared" ca="1" si="2"/>
        <v>24.431664563294362</v>
      </c>
    </row>
    <row r="31" spans="1:9" x14ac:dyDescent="0.25">
      <c r="A31" s="3">
        <f ca="1">IFERROR(__xludf.DUMMYFUNCTION("""COMPUTED_VALUE"""),45670.6458333333)</f>
        <v>45670.645833333299</v>
      </c>
      <c r="B31" s="4">
        <f ca="1">IFERROR(__xludf.DUMMYFUNCTION("""COMPUTED_VALUE"""),1230)</f>
        <v>1230</v>
      </c>
      <c r="C31" s="4">
        <f ca="1">IFERROR(__xludf.DUMMYFUNCTION("""COMPUTED_VALUE"""),1245.25)</f>
        <v>1245.25</v>
      </c>
      <c r="D31" s="4">
        <f ca="1">IFERROR(__xludf.DUMMYFUNCTION("""COMPUTED_VALUE"""),1226.4)</f>
        <v>1226.4000000000001</v>
      </c>
      <c r="E31" s="4">
        <f ca="1">IFERROR(__xludf.DUMMYFUNCTION("""COMPUTED_VALUE"""),1239.85)</f>
        <v>1239.8499999999999</v>
      </c>
      <c r="F31" s="4">
        <f ca="1">IFERROR(__xludf.DUMMYFUNCTION("""COMPUTED_VALUE"""),13764861)</f>
        <v>13764861</v>
      </c>
      <c r="G31" s="2">
        <f t="shared" ca="1" si="0"/>
        <v>0.80081300813007394</v>
      </c>
      <c r="H31" s="2">
        <f t="shared" ca="1" si="1"/>
        <v>1266.58</v>
      </c>
      <c r="I31" s="2">
        <f t="shared" ca="1" si="2"/>
        <v>24.726401151176223</v>
      </c>
    </row>
    <row r="32" spans="1:9" x14ac:dyDescent="0.25">
      <c r="A32" s="3">
        <f ca="1">IFERROR(__xludf.DUMMYFUNCTION("""COMPUTED_VALUE"""),45671.6458333333)</f>
        <v>45671.645833333299</v>
      </c>
      <c r="B32" s="4">
        <f ca="1">IFERROR(__xludf.DUMMYFUNCTION("""COMPUTED_VALUE"""),1244.1)</f>
        <v>1244.0999999999999</v>
      </c>
      <c r="C32" s="4">
        <f ca="1">IFERROR(__xludf.DUMMYFUNCTION("""COMPUTED_VALUE"""),1253.35)</f>
        <v>1253.3499999999999</v>
      </c>
      <c r="D32" s="4">
        <f ca="1">IFERROR(__xludf.DUMMYFUNCTION("""COMPUTED_VALUE"""),1227.25)</f>
        <v>1227.25</v>
      </c>
      <c r="E32" s="4">
        <f ca="1">IFERROR(__xludf.DUMMYFUNCTION("""COMPUTED_VALUE"""),1238.75)</f>
        <v>1238.75</v>
      </c>
      <c r="F32" s="4">
        <f ca="1">IFERROR(__xludf.DUMMYFUNCTION("""COMPUTED_VALUE"""),13095266)</f>
        <v>13095266</v>
      </c>
      <c r="G32" s="2">
        <f t="shared" ca="1" si="0"/>
        <v>-0.43002974037456071</v>
      </c>
      <c r="H32" s="2">
        <f ca="1">AVERAGE(E32:E41)</f>
        <v>1265.53</v>
      </c>
      <c r="I32" s="2">
        <f t="shared" ca="1" si="2"/>
        <v>25.498127654572773</v>
      </c>
    </row>
    <row r="33" spans="1:9" x14ac:dyDescent="0.25">
      <c r="A33" s="3">
        <f ca="1">IFERROR(__xludf.DUMMYFUNCTION("""COMPUTED_VALUE"""),45672.6458333333)</f>
        <v>45672.645833333299</v>
      </c>
      <c r="B33" s="4">
        <f ca="1">IFERROR(__xludf.DUMMYFUNCTION("""COMPUTED_VALUE"""),1244.95)</f>
        <v>1244.95</v>
      </c>
      <c r="C33" s="4">
        <f ca="1">IFERROR(__xludf.DUMMYFUNCTION("""COMPUTED_VALUE"""),1257)</f>
        <v>1257</v>
      </c>
      <c r="D33" s="4">
        <f ca="1">IFERROR(__xludf.DUMMYFUNCTION("""COMPUTED_VALUE"""),1241.85)</f>
        <v>1241.8499999999999</v>
      </c>
      <c r="E33" s="4">
        <f ca="1">IFERROR(__xludf.DUMMYFUNCTION("""COMPUTED_VALUE"""),1252.2)</f>
        <v>1252.2</v>
      </c>
      <c r="F33" s="4">
        <f ca="1">IFERROR(__xludf.DUMMYFUNCTION("""COMPUTED_VALUE"""),9578856)</f>
        <v>9578856</v>
      </c>
      <c r="G33" s="2">
        <f ca="1">(E33 - B33)/B33 * 100</f>
        <v>0.58235270492790869</v>
      </c>
      <c r="H33" s="2">
        <f t="shared" ca="1" si="1"/>
        <v>1265.0949999999998</v>
      </c>
      <c r="I33" s="2">
        <f t="shared" ca="1" si="2"/>
        <v>26.731395399417519</v>
      </c>
    </row>
    <row r="34" spans="1:9" x14ac:dyDescent="0.25">
      <c r="A34" s="3">
        <f ca="1">IFERROR(__xludf.DUMMYFUNCTION("""COMPUTED_VALUE"""),45673.6458333333)</f>
        <v>45673.645833333299</v>
      </c>
      <c r="B34" s="4">
        <f ca="1">IFERROR(__xludf.DUMMYFUNCTION("""COMPUTED_VALUE"""),1258.9)</f>
        <v>1258.9000000000001</v>
      </c>
      <c r="C34" s="4">
        <f ca="1">IFERROR(__xludf.DUMMYFUNCTION("""COMPUTED_VALUE"""),1275)</f>
        <v>1275</v>
      </c>
      <c r="D34" s="4">
        <f ca="1">IFERROR(__xludf.DUMMYFUNCTION("""COMPUTED_VALUE"""),1251.3)</f>
        <v>1251.3</v>
      </c>
      <c r="E34" s="4">
        <f ca="1">IFERROR(__xludf.DUMMYFUNCTION("""COMPUTED_VALUE"""),1266.45)</f>
        <v>1266.45</v>
      </c>
      <c r="F34" s="4">
        <f ca="1">IFERROR(__xludf.DUMMYFUNCTION("""COMPUTED_VALUE"""),14117603)</f>
        <v>14117603</v>
      </c>
      <c r="G34" s="2">
        <f t="shared" ca="1" si="0"/>
        <v>0.59972992294860228</v>
      </c>
      <c r="H34" s="2">
        <f t="shared" ca="1" si="1"/>
        <v>1263.4249999999997</v>
      </c>
      <c r="I34" s="2">
        <f t="shared" ca="1" si="2"/>
        <v>27.735966221176117</v>
      </c>
    </row>
    <row r="35" spans="1:9" x14ac:dyDescent="0.25">
      <c r="A35" s="3">
        <f ca="1">IFERROR(__xludf.DUMMYFUNCTION("""COMPUTED_VALUE"""),45674.6458333333)</f>
        <v>45674.645833333299</v>
      </c>
      <c r="B35" s="4">
        <f ca="1">IFERROR(__xludf.DUMMYFUNCTION("""COMPUTED_VALUE"""),1322.25)</f>
        <v>1322.25</v>
      </c>
      <c r="C35" s="4">
        <f ca="1">IFERROR(__xludf.DUMMYFUNCTION("""COMPUTED_VALUE"""),1326)</f>
        <v>1326</v>
      </c>
      <c r="D35" s="4">
        <f ca="1">IFERROR(__xludf.DUMMYFUNCTION("""COMPUTED_VALUE"""),1285)</f>
        <v>1285</v>
      </c>
      <c r="E35" s="4">
        <f ca="1">IFERROR(__xludf.DUMMYFUNCTION("""COMPUTED_VALUE"""),1302.35)</f>
        <v>1302.3499999999999</v>
      </c>
      <c r="F35" s="4">
        <f ca="1">IFERROR(__xludf.DUMMYFUNCTION("""COMPUTED_VALUE"""),29366277)</f>
        <v>29366277</v>
      </c>
      <c r="G35" s="2">
        <f t="shared" ca="1" si="0"/>
        <v>-1.5050103989412056</v>
      </c>
      <c r="H35" s="2">
        <f t="shared" ca="1" si="1"/>
        <v>1262.0849999999998</v>
      </c>
      <c r="I35" s="2">
        <f ca="1">_xlfn.STDEV.P(E35:E64)</f>
        <v>28.732041202578479</v>
      </c>
    </row>
    <row r="36" spans="1:9" x14ac:dyDescent="0.25">
      <c r="A36" s="3">
        <f ca="1">IFERROR(__xludf.DUMMYFUNCTION("""COMPUTED_VALUE"""),45677.6458333333)</f>
        <v>45677.645833333299</v>
      </c>
      <c r="B36" s="4">
        <f ca="1">IFERROR(__xludf.DUMMYFUNCTION("""COMPUTED_VALUE"""),1316)</f>
        <v>1316</v>
      </c>
      <c r="C36" s="4">
        <f ca="1">IFERROR(__xludf.DUMMYFUNCTION("""COMPUTED_VALUE"""),1316)</f>
        <v>1316</v>
      </c>
      <c r="D36" s="4">
        <f ca="1">IFERROR(__xludf.DUMMYFUNCTION("""COMPUTED_VALUE"""),1300.25)</f>
        <v>1300.25</v>
      </c>
      <c r="E36" s="4">
        <f ca="1">IFERROR(__xludf.DUMMYFUNCTION("""COMPUTED_VALUE"""),1305.45)</f>
        <v>1305.45</v>
      </c>
      <c r="F36" s="4">
        <f ca="1">IFERROR(__xludf.DUMMYFUNCTION("""COMPUTED_VALUE"""),14040244)</f>
        <v>14040244</v>
      </c>
      <c r="G36" s="2">
        <f t="shared" ca="1" si="0"/>
        <v>-0.80167173252279289</v>
      </c>
      <c r="H36" s="2">
        <f t="shared" ca="1" si="1"/>
        <v>1258.3599999999999</v>
      </c>
      <c r="I36" s="2">
        <f t="shared" ca="1" si="2"/>
        <v>29.615809826284803</v>
      </c>
    </row>
    <row r="37" spans="1:9" x14ac:dyDescent="0.25">
      <c r="A37" s="3">
        <f ca="1">IFERROR(__xludf.DUMMYFUNCTION("""COMPUTED_VALUE"""),45678.6458333333)</f>
        <v>45678.645833333299</v>
      </c>
      <c r="B37" s="4">
        <f ca="1">IFERROR(__xludf.DUMMYFUNCTION("""COMPUTED_VALUE"""),1310.5)</f>
        <v>1310.5</v>
      </c>
      <c r="C37" s="4">
        <f ca="1">IFERROR(__xludf.DUMMYFUNCTION("""COMPUTED_VALUE"""),1313)</f>
        <v>1313</v>
      </c>
      <c r="D37" s="4">
        <f ca="1">IFERROR(__xludf.DUMMYFUNCTION("""COMPUTED_VALUE"""),1270.2)</f>
        <v>1270.2</v>
      </c>
      <c r="E37" s="4">
        <f ca="1">IFERROR(__xludf.DUMMYFUNCTION("""COMPUTED_VALUE"""),1273.7)</f>
        <v>1273.7</v>
      </c>
      <c r="F37" s="4">
        <f ca="1">IFERROR(__xludf.DUMMYFUNCTION("""COMPUTED_VALUE"""),14562976)</f>
        <v>14562976</v>
      </c>
      <c r="G37" s="2">
        <f t="shared" ca="1" si="0"/>
        <v>-2.8080885158336479</v>
      </c>
      <c r="H37" s="2">
        <f t="shared" ca="1" si="1"/>
        <v>1252.405</v>
      </c>
      <c r="I37" s="2">
        <f t="shared" ca="1" si="2"/>
        <v>30.325876189595363</v>
      </c>
    </row>
    <row r="38" spans="1:9" x14ac:dyDescent="0.25">
      <c r="A38" s="3">
        <f ca="1">IFERROR(__xludf.DUMMYFUNCTION("""COMPUTED_VALUE"""),45679.6458333333)</f>
        <v>45679.645833333299</v>
      </c>
      <c r="B38" s="4">
        <f ca="1">IFERROR(__xludf.DUMMYFUNCTION("""COMPUTED_VALUE"""),1278.3)</f>
        <v>1278.3</v>
      </c>
      <c r="C38" s="4">
        <f ca="1">IFERROR(__xludf.DUMMYFUNCTION("""COMPUTED_VALUE"""),1282.9)</f>
        <v>1282.9000000000001</v>
      </c>
      <c r="D38" s="4">
        <f ca="1">IFERROR(__xludf.DUMMYFUNCTION("""COMPUTED_VALUE"""),1268.7)</f>
        <v>1268.7</v>
      </c>
      <c r="E38" s="4">
        <f ca="1">IFERROR(__xludf.DUMMYFUNCTION("""COMPUTED_VALUE"""),1277.1)</f>
        <v>1277.0999999999999</v>
      </c>
      <c r="F38" s="4">
        <f ca="1">IFERROR(__xludf.DUMMYFUNCTION("""COMPUTED_VALUE"""),10273590)</f>
        <v>10273590</v>
      </c>
      <c r="G38" s="2">
        <f t="shared" ca="1" si="0"/>
        <v>-9.3874677305800319E-2</v>
      </c>
      <c r="H38" s="2">
        <f t="shared" ca="1" si="1"/>
        <v>1253.5549999999998</v>
      </c>
      <c r="I38" s="2">
        <f t="shared" ca="1" si="2"/>
        <v>31.32776830013059</v>
      </c>
    </row>
    <row r="39" spans="1:9" x14ac:dyDescent="0.25">
      <c r="A39" s="3">
        <f ca="1">IFERROR(__xludf.DUMMYFUNCTION("""COMPUTED_VALUE"""),45680.6458333333)</f>
        <v>45680.645833333299</v>
      </c>
      <c r="B39" s="4">
        <f ca="1">IFERROR(__xludf.DUMMYFUNCTION("""COMPUTED_VALUE"""),1270)</f>
        <v>1270</v>
      </c>
      <c r="C39" s="4">
        <f ca="1">IFERROR(__xludf.DUMMYFUNCTION("""COMPUTED_VALUE"""),1277.35)</f>
        <v>1277.3499999999999</v>
      </c>
      <c r="D39" s="4">
        <f ca="1">IFERROR(__xludf.DUMMYFUNCTION("""COMPUTED_VALUE"""),1261.6)</f>
        <v>1261.5999999999999</v>
      </c>
      <c r="E39" s="4">
        <f ca="1">IFERROR(__xludf.DUMMYFUNCTION("""COMPUTED_VALUE"""),1263.65)</f>
        <v>1263.6500000000001</v>
      </c>
      <c r="F39" s="4">
        <f ca="1">IFERROR(__xludf.DUMMYFUNCTION("""COMPUTED_VALUE"""),8720682)</f>
        <v>8720682</v>
      </c>
      <c r="G39" s="2">
        <f t="shared" ca="1" si="0"/>
        <v>-0.49999999999999278</v>
      </c>
      <c r="H39" s="2">
        <f ca="1">AVERAGE(E39:E48)</f>
        <v>1253.6650000000002</v>
      </c>
      <c r="I39" s="2">
        <f t="shared" ca="1" si="2"/>
        <v>30.452611820115987</v>
      </c>
    </row>
    <row r="40" spans="1:9" x14ac:dyDescent="0.25">
      <c r="A40" s="3">
        <f ca="1">IFERROR(__xludf.DUMMYFUNCTION("""COMPUTED_VALUE"""),45681.6458333333)</f>
        <v>45681.645833333299</v>
      </c>
      <c r="B40" s="4">
        <f ca="1">IFERROR(__xludf.DUMMYFUNCTION("""COMPUTED_VALUE"""),1266)</f>
        <v>1266</v>
      </c>
      <c r="C40" s="4">
        <f ca="1">IFERROR(__xludf.DUMMYFUNCTION("""COMPUTED_VALUE"""),1273)</f>
        <v>1273</v>
      </c>
      <c r="D40" s="4">
        <f ca="1">IFERROR(__xludf.DUMMYFUNCTION("""COMPUTED_VALUE"""),1243.5)</f>
        <v>1243.5</v>
      </c>
      <c r="E40" s="4">
        <f ca="1">IFERROR(__xludf.DUMMYFUNCTION("""COMPUTED_VALUE"""),1246.3)</f>
        <v>1246.3</v>
      </c>
      <c r="F40" s="4">
        <f ca="1">IFERROR(__xludf.DUMMYFUNCTION("""COMPUTED_VALUE"""),14235970)</f>
        <v>14235970</v>
      </c>
      <c r="G40" s="2">
        <f t="shared" ca="1" si="0"/>
        <v>-1.5560821484992138</v>
      </c>
      <c r="H40" s="2">
        <f t="shared" ca="1" si="1"/>
        <v>1255.4549999999999</v>
      </c>
      <c r="I40" s="2">
        <f t="shared" ca="1" si="2"/>
        <v>30.044404590908819</v>
      </c>
    </row>
    <row r="41" spans="1:9" x14ac:dyDescent="0.25">
      <c r="A41" s="3">
        <f ca="1">IFERROR(__xludf.DUMMYFUNCTION("""COMPUTED_VALUE"""),45684.6458333333)</f>
        <v>45684.645833333299</v>
      </c>
      <c r="B41" s="4">
        <f ca="1">IFERROR(__xludf.DUMMYFUNCTION("""COMPUTED_VALUE"""),1239.1)</f>
        <v>1239.0999999999999</v>
      </c>
      <c r="C41" s="4">
        <f ca="1">IFERROR(__xludf.DUMMYFUNCTION("""COMPUTED_VALUE"""),1240.45)</f>
        <v>1240.45</v>
      </c>
      <c r="D41" s="4">
        <f ca="1">IFERROR(__xludf.DUMMYFUNCTION("""COMPUTED_VALUE"""),1220)</f>
        <v>1220</v>
      </c>
      <c r="E41" s="4">
        <f ca="1">IFERROR(__xludf.DUMMYFUNCTION("""COMPUTED_VALUE"""),1229.35)</f>
        <v>1229.3499999999999</v>
      </c>
      <c r="F41" s="4">
        <f ca="1">IFERROR(__xludf.DUMMYFUNCTION("""COMPUTED_VALUE"""),9536019)</f>
        <v>9536019</v>
      </c>
      <c r="G41" s="2">
        <f t="shared" ca="1" si="0"/>
        <v>-0.78686143168428713</v>
      </c>
      <c r="H41" s="2">
        <f t="shared" ca="1" si="1"/>
        <v>1257.4950000000001</v>
      </c>
      <c r="I41" s="2">
        <f t="shared" ca="1" si="2"/>
        <v>29.932591351234539</v>
      </c>
    </row>
    <row r="42" spans="1:9" x14ac:dyDescent="0.25">
      <c r="A42" s="3">
        <f ca="1">IFERROR(__xludf.DUMMYFUNCTION("""COMPUTED_VALUE"""),45685.6458333333)</f>
        <v>45685.645833333299</v>
      </c>
      <c r="B42" s="4">
        <f ca="1">IFERROR(__xludf.DUMMYFUNCTION("""COMPUTED_VALUE"""),1238)</f>
        <v>1238</v>
      </c>
      <c r="C42" s="4">
        <f ca="1">IFERROR(__xludf.DUMMYFUNCTION("""COMPUTED_VALUE"""),1244.75)</f>
        <v>1244.75</v>
      </c>
      <c r="D42" s="4">
        <f ca="1">IFERROR(__xludf.DUMMYFUNCTION("""COMPUTED_VALUE"""),1218.5)</f>
        <v>1218.5</v>
      </c>
      <c r="E42" s="4">
        <f ca="1">IFERROR(__xludf.DUMMYFUNCTION("""COMPUTED_VALUE"""),1234.4)</f>
        <v>1234.4000000000001</v>
      </c>
      <c r="F42" s="4">
        <f ca="1">IFERROR(__xludf.DUMMYFUNCTION("""COMPUTED_VALUE"""),10568025)</f>
        <v>10568025</v>
      </c>
      <c r="G42" s="2">
        <f ca="1">(E42 - B42)/B42 * 100</f>
        <v>-0.29079159935378907</v>
      </c>
      <c r="H42" s="2">
        <f t="shared" ca="1" si="1"/>
        <v>1259.9249999999997</v>
      </c>
      <c r="I42" s="2">
        <f t="shared" ca="1" si="2"/>
        <v>30.102833015441522</v>
      </c>
    </row>
    <row r="43" spans="1:9" x14ac:dyDescent="0.25">
      <c r="A43" s="3">
        <f ca="1">IFERROR(__xludf.DUMMYFUNCTION("""COMPUTED_VALUE"""),45686.6458333333)</f>
        <v>45686.645833333299</v>
      </c>
      <c r="B43" s="4">
        <f ca="1">IFERROR(__xludf.DUMMYFUNCTION("""COMPUTED_VALUE"""),1236)</f>
        <v>1236</v>
      </c>
      <c r="C43" s="4">
        <f ca="1">IFERROR(__xludf.DUMMYFUNCTION("""COMPUTED_VALUE"""),1242.75)</f>
        <v>1242.75</v>
      </c>
      <c r="D43" s="4">
        <f ca="1">IFERROR(__xludf.DUMMYFUNCTION("""COMPUTED_VALUE"""),1228.05)</f>
        <v>1228.05</v>
      </c>
      <c r="E43" s="4">
        <f ca="1">IFERROR(__xludf.DUMMYFUNCTION("""COMPUTED_VALUE"""),1235.5)</f>
        <v>1235.5</v>
      </c>
      <c r="F43" s="4">
        <f ca="1">IFERROR(__xludf.DUMMYFUNCTION("""COMPUTED_VALUE"""),5928156)</f>
        <v>5928156</v>
      </c>
      <c r="G43" s="2">
        <f t="shared" ca="1" si="0"/>
        <v>-4.0453074433656963E-2</v>
      </c>
      <c r="H43" s="2">
        <f t="shared" ca="1" si="1"/>
        <v>1259.97</v>
      </c>
      <c r="I43" s="2">
        <f t="shared" ca="1" si="2"/>
        <v>30.483265035462043</v>
      </c>
    </row>
    <row r="44" spans="1:9" x14ac:dyDescent="0.25">
      <c r="A44" s="3">
        <f ca="1">IFERROR(__xludf.DUMMYFUNCTION("""COMPUTED_VALUE"""),45687.6458333333)</f>
        <v>45687.645833333299</v>
      </c>
      <c r="B44" s="4">
        <f ca="1">IFERROR(__xludf.DUMMYFUNCTION("""COMPUTED_VALUE"""),1235.55)</f>
        <v>1235.55</v>
      </c>
      <c r="C44" s="4">
        <f ca="1">IFERROR(__xludf.DUMMYFUNCTION("""COMPUTED_VALUE"""),1257)</f>
        <v>1257</v>
      </c>
      <c r="D44" s="4">
        <f ca="1">IFERROR(__xludf.DUMMYFUNCTION("""COMPUTED_VALUE"""),1232.4)</f>
        <v>1232.4000000000001</v>
      </c>
      <c r="E44" s="4">
        <f ca="1">IFERROR(__xludf.DUMMYFUNCTION("""COMPUTED_VALUE"""),1253.05)</f>
        <v>1253.05</v>
      </c>
      <c r="F44" s="4">
        <f ca="1">IFERROR(__xludf.DUMMYFUNCTION("""COMPUTED_VALUE"""),9269259)</f>
        <v>9269259</v>
      </c>
      <c r="G44" s="2">
        <f t="shared" ca="1" si="0"/>
        <v>1.41637327505969</v>
      </c>
      <c r="H44" s="2">
        <f t="shared" ca="1" si="1"/>
        <v>1258.075</v>
      </c>
      <c r="I44" s="2">
        <f t="shared" ca="1" si="2"/>
        <v>30.627399180399831</v>
      </c>
    </row>
    <row r="45" spans="1:9" x14ac:dyDescent="0.25">
      <c r="A45" s="3">
        <f ca="1">IFERROR(__xludf.DUMMYFUNCTION("""COMPUTED_VALUE"""),45688.6458333333)</f>
        <v>45688.645833333299</v>
      </c>
      <c r="B45" s="4">
        <f ca="1">IFERROR(__xludf.DUMMYFUNCTION("""COMPUTED_VALUE"""),1255.85)</f>
        <v>1255.8499999999999</v>
      </c>
      <c r="C45" s="4">
        <f ca="1">IFERROR(__xludf.DUMMYFUNCTION("""COMPUTED_VALUE"""),1267)</f>
        <v>1267</v>
      </c>
      <c r="D45" s="4">
        <f ca="1">IFERROR(__xludf.DUMMYFUNCTION("""COMPUTED_VALUE"""),1249)</f>
        <v>1249</v>
      </c>
      <c r="E45" s="4">
        <f ca="1">IFERROR(__xludf.DUMMYFUNCTION("""COMPUTED_VALUE"""),1265.1)</f>
        <v>1265.0999999999999</v>
      </c>
      <c r="F45" s="4">
        <f ca="1">IFERROR(__xludf.DUMMYFUNCTION("""COMPUTED_VALUE"""),6584612)</f>
        <v>6584612</v>
      </c>
      <c r="G45" s="2">
        <f t="shared" ca="1" si="0"/>
        <v>0.73655293227694396</v>
      </c>
      <c r="H45" s="2">
        <f t="shared" ca="1" si="1"/>
        <v>1254.3799999999999</v>
      </c>
      <c r="I45" s="2">
        <f t="shared" ca="1" si="2"/>
        <v>30.496832303627155</v>
      </c>
    </row>
    <row r="46" spans="1:9" x14ac:dyDescent="0.25">
      <c r="A46" s="3">
        <f ca="1">IFERROR(__xludf.DUMMYFUNCTION("""COMPUTED_VALUE"""),45691.6458333333)</f>
        <v>45691.645833333299</v>
      </c>
      <c r="B46" s="4">
        <f ca="1">IFERROR(__xludf.DUMMYFUNCTION("""COMPUTED_VALUE"""),1251)</f>
        <v>1251</v>
      </c>
      <c r="C46" s="4">
        <f ca="1">IFERROR(__xludf.DUMMYFUNCTION("""COMPUTED_VALUE"""),1256)</f>
        <v>1256</v>
      </c>
      <c r="D46" s="4">
        <f ca="1">IFERROR(__xludf.DUMMYFUNCTION("""COMPUTED_VALUE"""),1237.55)</f>
        <v>1237.55</v>
      </c>
      <c r="E46" s="4">
        <f ca="1">IFERROR(__xludf.DUMMYFUNCTION("""COMPUTED_VALUE"""),1245.9)</f>
        <v>1245.9000000000001</v>
      </c>
      <c r="F46" s="4">
        <f ca="1">IFERROR(__xludf.DUMMYFUNCTION("""COMPUTED_VALUE"""),9252345)</f>
        <v>9252345</v>
      </c>
      <c r="G46" s="2">
        <f t="shared" ca="1" si="0"/>
        <v>-0.40767386091126367</v>
      </c>
      <c r="H46" s="2">
        <f t="shared" ca="1" si="1"/>
        <v>1249.595</v>
      </c>
      <c r="I46" s="2">
        <f t="shared" ca="1" si="2"/>
        <v>29.876798923058843</v>
      </c>
    </row>
    <row r="47" spans="1:9" x14ac:dyDescent="0.25">
      <c r="A47" s="3">
        <f ca="1">IFERROR(__xludf.DUMMYFUNCTION("""COMPUTED_VALUE"""),45692.6458333333)</f>
        <v>45692.645833333299</v>
      </c>
      <c r="B47" s="4">
        <f ca="1">IFERROR(__xludf.DUMMYFUNCTION("""COMPUTED_VALUE"""),1248.05)</f>
        <v>1248.05</v>
      </c>
      <c r="C47" s="4">
        <f ca="1">IFERROR(__xludf.DUMMYFUNCTION("""COMPUTED_VALUE"""),1288.8)</f>
        <v>1288.8</v>
      </c>
      <c r="D47" s="4">
        <f ca="1">IFERROR(__xludf.DUMMYFUNCTION("""COMPUTED_VALUE"""),1246.6)</f>
        <v>1246.5999999999999</v>
      </c>
      <c r="E47" s="4">
        <f ca="1">IFERROR(__xludf.DUMMYFUNCTION("""COMPUTED_VALUE"""),1285.2)</f>
        <v>1285.2</v>
      </c>
      <c r="F47" s="4">
        <f ca="1">IFERROR(__xludf.DUMMYFUNCTION("""COMPUTED_VALUE"""),16691069)</f>
        <v>16691069</v>
      </c>
      <c r="G47" s="2">
        <f t="shared" ca="1" si="0"/>
        <v>2.9766435639597848</v>
      </c>
      <c r="H47" s="2">
        <f t="shared" ca="1" si="1"/>
        <v>1247.4949999999999</v>
      </c>
      <c r="I47" s="2">
        <f t="shared" ca="1" si="2"/>
        <v>29.89958175106953</v>
      </c>
    </row>
    <row r="48" spans="1:9" x14ac:dyDescent="0.25">
      <c r="A48" s="3">
        <f ca="1">IFERROR(__xludf.DUMMYFUNCTION("""COMPUTED_VALUE"""),45693.6458333333)</f>
        <v>45693.645833333299</v>
      </c>
      <c r="B48" s="4">
        <f ca="1">IFERROR(__xludf.DUMMYFUNCTION("""COMPUTED_VALUE"""),1282.65)</f>
        <v>1282.6500000000001</v>
      </c>
      <c r="C48" s="4">
        <f ca="1">IFERROR(__xludf.DUMMYFUNCTION("""COMPUTED_VALUE"""),1290.5)</f>
        <v>1290.5</v>
      </c>
      <c r="D48" s="4">
        <f ca="1">IFERROR(__xludf.DUMMYFUNCTION("""COMPUTED_VALUE"""),1276.7)</f>
        <v>1276.7</v>
      </c>
      <c r="E48" s="4">
        <f ca="1">IFERROR(__xludf.DUMMYFUNCTION("""COMPUTED_VALUE"""),1278.2)</f>
        <v>1278.2</v>
      </c>
      <c r="F48" s="4">
        <f ca="1">IFERROR(__xludf.DUMMYFUNCTION("""COMPUTED_VALUE"""),10112028)</f>
        <v>10112028</v>
      </c>
      <c r="G48" s="2">
        <f t="shared" ca="1" si="0"/>
        <v>-0.34693797996336062</v>
      </c>
      <c r="H48" s="2">
        <f ca="1">AVERAGE(E48:E57)</f>
        <v>1241.5149999999999</v>
      </c>
      <c r="I48" s="2">
        <f t="shared" ca="1" si="2"/>
        <v>29.042022666397678</v>
      </c>
    </row>
    <row r="49" spans="1:9" x14ac:dyDescent="0.25">
      <c r="A49" s="3">
        <f ca="1">IFERROR(__xludf.DUMMYFUNCTION("""COMPUTED_VALUE"""),45694.6458333333)</f>
        <v>45694.645833333299</v>
      </c>
      <c r="B49" s="4">
        <f ca="1">IFERROR(__xludf.DUMMYFUNCTION("""COMPUTED_VALUE"""),1273.7)</f>
        <v>1273.7</v>
      </c>
      <c r="C49" s="4">
        <f ca="1">IFERROR(__xludf.DUMMYFUNCTION("""COMPUTED_VALUE"""),1288)</f>
        <v>1288</v>
      </c>
      <c r="D49" s="4">
        <f ca="1">IFERROR(__xludf.DUMMYFUNCTION("""COMPUTED_VALUE"""),1270.35)</f>
        <v>1270.3499999999999</v>
      </c>
      <c r="E49" s="4">
        <f ca="1">IFERROR(__xludf.DUMMYFUNCTION("""COMPUTED_VALUE"""),1281.55)</f>
        <v>1281.55</v>
      </c>
      <c r="F49" s="4">
        <f ca="1">IFERROR(__xludf.DUMMYFUNCTION("""COMPUTED_VALUE"""),9956001)</f>
        <v>9956001</v>
      </c>
      <c r="G49" s="2">
        <f t="shared" ca="1" si="0"/>
        <v>0.61631467378502858</v>
      </c>
      <c r="H49" s="2">
        <f t="shared" ca="1" si="1"/>
        <v>1236.44</v>
      </c>
      <c r="I49" s="2">
        <f ca="1">_xlfn.STDEV.P(E49:E78)</f>
        <v>28.940694340130982</v>
      </c>
    </row>
    <row r="50" spans="1:9" x14ac:dyDescent="0.25">
      <c r="A50" s="3">
        <f ca="1">IFERROR(__xludf.DUMMYFUNCTION("""COMPUTED_VALUE"""),45695.6458333333)</f>
        <v>45695.645833333299</v>
      </c>
      <c r="B50" s="4">
        <f ca="1">IFERROR(__xludf.DUMMYFUNCTION("""COMPUTED_VALUE"""),1276.15)</f>
        <v>1276.1500000000001</v>
      </c>
      <c r="C50" s="4">
        <f ca="1">IFERROR(__xludf.DUMMYFUNCTION("""COMPUTED_VALUE"""),1283.7)</f>
        <v>1283.7</v>
      </c>
      <c r="D50" s="4">
        <f ca="1">IFERROR(__xludf.DUMMYFUNCTION("""COMPUTED_VALUE"""),1262)</f>
        <v>1262</v>
      </c>
      <c r="E50" s="4">
        <f ca="1">IFERROR(__xludf.DUMMYFUNCTION("""COMPUTED_VALUE"""),1266.7)</f>
        <v>1266.7</v>
      </c>
      <c r="F50" s="4">
        <f ca="1">IFERROR(__xludf.DUMMYFUNCTION("""COMPUTED_VALUE"""),8764283)</f>
        <v>8764283</v>
      </c>
      <c r="G50" s="2">
        <f t="shared" ca="1" si="0"/>
        <v>-0.74050856090585315</v>
      </c>
      <c r="H50" s="2">
        <f t="shared" ca="1" si="1"/>
        <v>1231.585</v>
      </c>
      <c r="I50" s="2">
        <f t="shared" ca="1" si="2"/>
        <v>30.369946996258584</v>
      </c>
    </row>
    <row r="51" spans="1:9" x14ac:dyDescent="0.25">
      <c r="A51" s="3">
        <f ca="1">IFERROR(__xludf.DUMMYFUNCTION("""COMPUTED_VALUE"""),45698.6458333333)</f>
        <v>45698.645833333299</v>
      </c>
      <c r="B51" s="4">
        <f ca="1">IFERROR(__xludf.DUMMYFUNCTION("""COMPUTED_VALUE"""),1264.5)</f>
        <v>1264.5</v>
      </c>
      <c r="C51" s="4">
        <f ca="1">IFERROR(__xludf.DUMMYFUNCTION("""COMPUTED_VALUE"""),1266.5)</f>
        <v>1266.5</v>
      </c>
      <c r="D51" s="4">
        <f ca="1">IFERROR(__xludf.DUMMYFUNCTION("""COMPUTED_VALUE"""),1245.55)</f>
        <v>1245.55</v>
      </c>
      <c r="E51" s="4">
        <f ca="1">IFERROR(__xludf.DUMMYFUNCTION("""COMPUTED_VALUE"""),1253.65)</f>
        <v>1253.6500000000001</v>
      </c>
      <c r="F51" s="4">
        <f ca="1">IFERROR(__xludf.DUMMYFUNCTION("""COMPUTED_VALUE"""),6970972)</f>
        <v>6970972</v>
      </c>
      <c r="G51" s="2">
        <f t="shared" ca="1" si="0"/>
        <v>-0.85804665875839536</v>
      </c>
      <c r="H51" s="2">
        <f t="shared" ca="1" si="1"/>
        <v>1227.73</v>
      </c>
      <c r="I51" s="2">
        <f t="shared" ca="1" si="2"/>
        <v>31.291727696345287</v>
      </c>
    </row>
    <row r="52" spans="1:9" x14ac:dyDescent="0.25">
      <c r="A52" s="3">
        <f ca="1">IFERROR(__xludf.DUMMYFUNCTION("""COMPUTED_VALUE"""),45699.6458333333)</f>
        <v>45699.645833333299</v>
      </c>
      <c r="B52" s="4">
        <f ca="1">IFERROR(__xludf.DUMMYFUNCTION("""COMPUTED_VALUE"""),1264.55)</f>
        <v>1264.55</v>
      </c>
      <c r="C52" s="4">
        <f ca="1">IFERROR(__xludf.DUMMYFUNCTION("""COMPUTED_VALUE"""),1264.55)</f>
        <v>1264.55</v>
      </c>
      <c r="D52" s="4">
        <f ca="1">IFERROR(__xludf.DUMMYFUNCTION("""COMPUTED_VALUE"""),1230.1)</f>
        <v>1230.0999999999999</v>
      </c>
      <c r="E52" s="4">
        <f ca="1">IFERROR(__xludf.DUMMYFUNCTION("""COMPUTED_VALUE"""),1234.85)</f>
        <v>1234.8499999999999</v>
      </c>
      <c r="F52" s="4">
        <f ca="1">IFERROR(__xludf.DUMMYFUNCTION("""COMPUTED_VALUE"""),8859714)</f>
        <v>8859714</v>
      </c>
      <c r="G52" s="2">
        <f t="shared" ca="1" si="0"/>
        <v>-2.3486615792179073</v>
      </c>
      <c r="H52" s="2">
        <f t="shared" ca="1" si="1"/>
        <v>1223.82</v>
      </c>
      <c r="I52" s="2">
        <f t="shared" ca="1" si="2"/>
        <v>31.948413975588142</v>
      </c>
    </row>
    <row r="53" spans="1:9" x14ac:dyDescent="0.25">
      <c r="A53" s="3">
        <f ca="1">IFERROR(__xludf.DUMMYFUNCTION("""COMPUTED_VALUE"""),45700.6458333333)</f>
        <v>45700.645833333299</v>
      </c>
      <c r="B53" s="4">
        <f ca="1">IFERROR(__xludf.DUMMYFUNCTION("""COMPUTED_VALUE"""),1219.45)</f>
        <v>1219.45</v>
      </c>
      <c r="C53" s="4">
        <f ca="1">IFERROR(__xludf.DUMMYFUNCTION("""COMPUTED_VALUE"""),1226.9)</f>
        <v>1226.9000000000001</v>
      </c>
      <c r="D53" s="4">
        <f ca="1">IFERROR(__xludf.DUMMYFUNCTION("""COMPUTED_VALUE"""),1193.35)</f>
        <v>1193.3499999999999</v>
      </c>
      <c r="E53" s="4">
        <f ca="1">IFERROR(__xludf.DUMMYFUNCTION("""COMPUTED_VALUE"""),1216.55)</f>
        <v>1216.55</v>
      </c>
      <c r="F53" s="4">
        <f ca="1">IFERROR(__xludf.DUMMYFUNCTION("""COMPUTED_VALUE"""),21131654)</f>
        <v>21131654</v>
      </c>
      <c r="G53" s="2">
        <f t="shared" ca="1" si="0"/>
        <v>-0.23781212841855678</v>
      </c>
      <c r="H53" s="2">
        <f t="shared" ca="1" si="1"/>
        <v>1220.7349999999997</v>
      </c>
      <c r="I53" s="2">
        <f t="shared" ca="1" si="2"/>
        <v>33.026540043156544</v>
      </c>
    </row>
    <row r="54" spans="1:9" x14ac:dyDescent="0.25">
      <c r="A54" s="3">
        <f ca="1">IFERROR(__xludf.DUMMYFUNCTION("""COMPUTED_VALUE"""),45701.6458333333)</f>
        <v>45701.645833333299</v>
      </c>
      <c r="B54" s="4">
        <f ca="1">IFERROR(__xludf.DUMMYFUNCTION("""COMPUTED_VALUE"""),1217.05)</f>
        <v>1217.05</v>
      </c>
      <c r="C54" s="4">
        <f ca="1">IFERROR(__xludf.DUMMYFUNCTION("""COMPUTED_VALUE"""),1228)</f>
        <v>1228</v>
      </c>
      <c r="D54" s="4">
        <f ca="1">IFERROR(__xludf.DUMMYFUNCTION("""COMPUTED_VALUE"""),1212)</f>
        <v>1212</v>
      </c>
      <c r="E54" s="4">
        <f ca="1">IFERROR(__xludf.DUMMYFUNCTION("""COMPUTED_VALUE"""),1216.1)</f>
        <v>1216.0999999999999</v>
      </c>
      <c r="F54" s="4">
        <f ca="1">IFERROR(__xludf.DUMMYFUNCTION("""COMPUTED_VALUE"""),8511216)</f>
        <v>8511216</v>
      </c>
      <c r="G54" s="2">
        <f ca="1">(E54 - B54)/B54 * 100</f>
        <v>-7.805759829095317E-2</v>
      </c>
      <c r="H54" s="2">
        <f t="shared" ca="1" si="1"/>
        <v>1219.79</v>
      </c>
      <c r="I54" s="2">
        <f t="shared" ca="1" si="2"/>
        <v>33.719001566871263</v>
      </c>
    </row>
    <row r="55" spans="1:9" x14ac:dyDescent="0.25">
      <c r="A55" s="3">
        <f ca="1">IFERROR(__xludf.DUMMYFUNCTION("""COMPUTED_VALUE"""),45702.6458333333)</f>
        <v>45702.645833333299</v>
      </c>
      <c r="B55" s="4">
        <f ca="1">IFERROR(__xludf.DUMMYFUNCTION("""COMPUTED_VALUE"""),1219)</f>
        <v>1219</v>
      </c>
      <c r="C55" s="4">
        <f ca="1">IFERROR(__xludf.DUMMYFUNCTION("""COMPUTED_VALUE"""),1224)</f>
        <v>1224</v>
      </c>
      <c r="D55" s="4">
        <f ca="1">IFERROR(__xludf.DUMMYFUNCTION("""COMPUTED_VALUE"""),1205.45)</f>
        <v>1205.45</v>
      </c>
      <c r="E55" s="4">
        <f ca="1">IFERROR(__xludf.DUMMYFUNCTION("""COMPUTED_VALUE"""),1217.25)</f>
        <v>1217.25</v>
      </c>
      <c r="F55" s="4">
        <f ca="1">IFERROR(__xludf.DUMMYFUNCTION("""COMPUTED_VALUE"""),10298145)</f>
        <v>10298145</v>
      </c>
      <c r="G55" s="2">
        <f t="shared" ca="1" si="0"/>
        <v>-0.14356029532403611</v>
      </c>
      <c r="H55" s="2">
        <f t="shared" ca="1" si="1"/>
        <v>1218.19</v>
      </c>
      <c r="I55" s="2">
        <f t="shared" ca="1" si="2"/>
        <v>33.675012331928777</v>
      </c>
    </row>
    <row r="56" spans="1:9" x14ac:dyDescent="0.25">
      <c r="A56" s="3">
        <f ca="1">IFERROR(__xludf.DUMMYFUNCTION("""COMPUTED_VALUE"""),45705.6458333333)</f>
        <v>45705.645833333299</v>
      </c>
      <c r="B56" s="4">
        <f ca="1">IFERROR(__xludf.DUMMYFUNCTION("""COMPUTED_VALUE"""),1211.1)</f>
        <v>1211.0999999999999</v>
      </c>
      <c r="C56" s="4">
        <f ca="1">IFERROR(__xludf.DUMMYFUNCTION("""COMPUTED_VALUE"""),1227.5)</f>
        <v>1227.5</v>
      </c>
      <c r="D56" s="4">
        <f ca="1">IFERROR(__xludf.DUMMYFUNCTION("""COMPUTED_VALUE"""),1204.5)</f>
        <v>1204.5</v>
      </c>
      <c r="E56" s="4">
        <f ca="1">IFERROR(__xludf.DUMMYFUNCTION("""COMPUTED_VALUE"""),1224.9)</f>
        <v>1224.9000000000001</v>
      </c>
      <c r="F56" s="4">
        <f ca="1">IFERROR(__xludf.DUMMYFUNCTION("""COMPUTED_VALUE"""),8166683)</f>
        <v>8166683</v>
      </c>
      <c r="G56" s="2">
        <f t="shared" ca="1" si="0"/>
        <v>1.1394599950458413</v>
      </c>
      <c r="H56" s="2">
        <f t="shared" ca="1" si="1"/>
        <v>1213.5900000000001</v>
      </c>
      <c r="I56" s="2">
        <f t="shared" ca="1" si="2"/>
        <v>34.063643570784954</v>
      </c>
    </row>
    <row r="57" spans="1:9" x14ac:dyDescent="0.25">
      <c r="A57" s="3">
        <f ca="1">IFERROR(__xludf.DUMMYFUNCTION("""COMPUTED_VALUE"""),45706.6458333333)</f>
        <v>45706.645833333299</v>
      </c>
      <c r="B57" s="4">
        <f ca="1">IFERROR(__xludf.DUMMYFUNCTION("""COMPUTED_VALUE"""),1224.85)</f>
        <v>1224.8499999999999</v>
      </c>
      <c r="C57" s="4">
        <f ca="1">IFERROR(__xludf.DUMMYFUNCTION("""COMPUTED_VALUE"""),1229.9)</f>
        <v>1229.9000000000001</v>
      </c>
      <c r="D57" s="4">
        <f ca="1">IFERROR(__xludf.DUMMYFUNCTION("""COMPUTED_VALUE"""),1216.1)</f>
        <v>1216.0999999999999</v>
      </c>
      <c r="E57" s="4">
        <f ca="1">IFERROR(__xludf.DUMMYFUNCTION("""COMPUTED_VALUE"""),1225.4)</f>
        <v>1225.4000000000001</v>
      </c>
      <c r="F57" s="4">
        <f ca="1">IFERROR(__xludf.DUMMYFUNCTION("""COMPUTED_VALUE"""),6673250)</f>
        <v>6673250</v>
      </c>
      <c r="G57" s="2">
        <f t="shared" ca="1" si="0"/>
        <v>4.4903457566247452E-2</v>
      </c>
      <c r="H57" s="2">
        <f t="shared" ca="1" si="1"/>
        <v>1207.29</v>
      </c>
      <c r="I57" s="2">
        <f t="shared" ca="1" si="2"/>
        <v>34.590580724706676</v>
      </c>
    </row>
    <row r="58" spans="1:9" x14ac:dyDescent="0.25">
      <c r="A58" s="3">
        <f ca="1">IFERROR(__xludf.DUMMYFUNCTION("""COMPUTED_VALUE"""),45707.6458333333)</f>
        <v>45707.645833333299</v>
      </c>
      <c r="B58" s="4">
        <f ca="1">IFERROR(__xludf.DUMMYFUNCTION("""COMPUTED_VALUE"""),1219.5)</f>
        <v>1219.5</v>
      </c>
      <c r="C58" s="4">
        <f ca="1">IFERROR(__xludf.DUMMYFUNCTION("""COMPUTED_VALUE"""),1232.75)</f>
        <v>1232.75</v>
      </c>
      <c r="D58" s="4">
        <f ca="1">IFERROR(__xludf.DUMMYFUNCTION("""COMPUTED_VALUE"""),1217.55)</f>
        <v>1217.55</v>
      </c>
      <c r="E58" s="4">
        <f ca="1">IFERROR(__xludf.DUMMYFUNCTION("""COMPUTED_VALUE"""),1227.45)</f>
        <v>1227.45</v>
      </c>
      <c r="F58" s="4">
        <f ca="1">IFERROR(__xludf.DUMMYFUNCTION("""COMPUTED_VALUE"""),6217338)</f>
        <v>6217338</v>
      </c>
      <c r="G58" s="2">
        <f t="shared" ca="1" si="0"/>
        <v>0.65190651906519437</v>
      </c>
      <c r="H58" s="2">
        <f t="shared" ca="1" si="1"/>
        <v>1202.31</v>
      </c>
      <c r="I58" s="2">
        <f t="shared" ca="1" si="2"/>
        <v>35.148613937513879</v>
      </c>
    </row>
    <row r="59" spans="1:9" x14ac:dyDescent="0.25">
      <c r="A59" s="3">
        <f ca="1">IFERROR(__xludf.DUMMYFUNCTION("""COMPUTED_VALUE"""),45708.6458333333)</f>
        <v>45708.645833333299</v>
      </c>
      <c r="B59" s="4">
        <f ca="1">IFERROR(__xludf.DUMMYFUNCTION("""COMPUTED_VALUE"""),1223.95)</f>
        <v>1223.95</v>
      </c>
      <c r="C59" s="4">
        <f ca="1">IFERROR(__xludf.DUMMYFUNCTION("""COMPUTED_VALUE"""),1239.35)</f>
        <v>1239.3499999999999</v>
      </c>
      <c r="D59" s="4">
        <f ca="1">IFERROR(__xludf.DUMMYFUNCTION("""COMPUTED_VALUE"""),1222)</f>
        <v>1222</v>
      </c>
      <c r="E59" s="4">
        <f ca="1">IFERROR(__xludf.DUMMYFUNCTION("""COMPUTED_VALUE"""),1233)</f>
        <v>1233</v>
      </c>
      <c r="F59" s="4">
        <f ca="1">IFERROR(__xludf.DUMMYFUNCTION("""COMPUTED_VALUE"""),7795582)</f>
        <v>7795582</v>
      </c>
      <c r="G59" s="2">
        <f t="shared" ca="1" si="0"/>
        <v>0.7394092895951595</v>
      </c>
      <c r="H59" s="2">
        <f ca="1">AVERAGE(E59:E68)</f>
        <v>1200.5250000000001</v>
      </c>
      <c r="I59" s="2">
        <f t="shared" ca="1" si="2"/>
        <v>35.759609541439531</v>
      </c>
    </row>
    <row r="60" spans="1:9" x14ac:dyDescent="0.25">
      <c r="A60" s="3">
        <f ca="1">IFERROR(__xludf.DUMMYFUNCTION("""COMPUTED_VALUE"""),45709.6458333333)</f>
        <v>45709.645833333299</v>
      </c>
      <c r="B60" s="4">
        <f ca="1">IFERROR(__xludf.DUMMYFUNCTION("""COMPUTED_VALUE"""),1228.7)</f>
        <v>1228.7</v>
      </c>
      <c r="C60" s="4">
        <f ca="1">IFERROR(__xludf.DUMMYFUNCTION("""COMPUTED_VALUE"""),1240)</f>
        <v>1240</v>
      </c>
      <c r="D60" s="4">
        <f ca="1">IFERROR(__xludf.DUMMYFUNCTION("""COMPUTED_VALUE"""),1222.15)</f>
        <v>1222.1500000000001</v>
      </c>
      <c r="E60" s="4">
        <f ca="1">IFERROR(__xludf.DUMMYFUNCTION("""COMPUTED_VALUE"""),1228.15)</f>
        <v>1228.1500000000001</v>
      </c>
      <c r="F60" s="4">
        <f ca="1">IFERROR(__xludf.DUMMYFUNCTION("""COMPUTED_VALUE"""),6904025)</f>
        <v>6904025</v>
      </c>
      <c r="G60" s="2">
        <f ca="1">(E60 - B60)/B60 * 100</f>
        <v>-4.4762757385851268E-2</v>
      </c>
      <c r="H60" s="2">
        <f t="shared" ca="1" si="1"/>
        <v>1202.2049999999999</v>
      </c>
      <c r="I60" s="2">
        <f t="shared" ca="1" si="2"/>
        <v>36.453018201515228</v>
      </c>
    </row>
    <row r="61" spans="1:9" x14ac:dyDescent="0.25">
      <c r="A61" s="3">
        <f ca="1">IFERROR(__xludf.DUMMYFUNCTION("""COMPUTED_VALUE"""),45712.6458333333)</f>
        <v>45712.645833333299</v>
      </c>
      <c r="B61" s="4">
        <f ca="1">IFERROR(__xludf.DUMMYFUNCTION("""COMPUTED_VALUE"""),1216.55)</f>
        <v>1216.55</v>
      </c>
      <c r="C61" s="4">
        <f ca="1">IFERROR(__xludf.DUMMYFUNCTION("""COMPUTED_VALUE"""),1223.25)</f>
        <v>1223.25</v>
      </c>
      <c r="D61" s="4">
        <f ca="1">IFERROR(__xludf.DUMMYFUNCTION("""COMPUTED_VALUE"""),1210.5)</f>
        <v>1210.5</v>
      </c>
      <c r="E61" s="4">
        <f ca="1">IFERROR(__xludf.DUMMYFUNCTION("""COMPUTED_VALUE"""),1214.55)</f>
        <v>1214.55</v>
      </c>
      <c r="F61" s="4">
        <f ca="1">IFERROR(__xludf.DUMMYFUNCTION("""COMPUTED_VALUE"""),7172498)</f>
        <v>7172498</v>
      </c>
      <c r="G61" s="2">
        <f t="shared" ca="1" si="0"/>
        <v>-0.16439932596276358</v>
      </c>
      <c r="H61" s="2">
        <f t="shared" ca="1" si="1"/>
        <v>1203.23</v>
      </c>
      <c r="I61" s="2">
        <f t="shared" ca="1" si="2"/>
        <v>37.144659438826316</v>
      </c>
    </row>
    <row r="62" spans="1:9" x14ac:dyDescent="0.25">
      <c r="A62" s="3">
        <f ca="1">IFERROR(__xludf.DUMMYFUNCTION("""COMPUTED_VALUE"""),45713.6458333333)</f>
        <v>45713.645833333299</v>
      </c>
      <c r="B62" s="4">
        <f ca="1">IFERROR(__xludf.DUMMYFUNCTION("""COMPUTED_VALUE"""),1211)</f>
        <v>1211</v>
      </c>
      <c r="C62" s="4">
        <f ca="1">IFERROR(__xludf.DUMMYFUNCTION("""COMPUTED_VALUE"""),1221)</f>
        <v>1221</v>
      </c>
      <c r="D62" s="4">
        <f ca="1">IFERROR(__xludf.DUMMYFUNCTION("""COMPUTED_VALUE"""),1201.5)</f>
        <v>1201.5</v>
      </c>
      <c r="E62" s="4">
        <f ca="1">IFERROR(__xludf.DUMMYFUNCTION("""COMPUTED_VALUE"""),1204)</f>
        <v>1204</v>
      </c>
      <c r="F62" s="4">
        <f ca="1">IFERROR(__xludf.DUMMYFUNCTION("""COMPUTED_VALUE"""),11552182)</f>
        <v>11552182</v>
      </c>
      <c r="G62" s="2">
        <f t="shared" ca="1" si="0"/>
        <v>-0.57803468208092479</v>
      </c>
      <c r="H62" s="2">
        <f t="shared" ca="1" si="1"/>
        <v>1206.5049999999999</v>
      </c>
      <c r="I62" s="2">
        <f t="shared" ca="1" si="2"/>
        <v>37.592842851377881</v>
      </c>
    </row>
    <row r="63" spans="1:9" x14ac:dyDescent="0.25">
      <c r="A63" s="3">
        <f ca="1">IFERROR(__xludf.DUMMYFUNCTION("""COMPUTED_VALUE"""),45715.6458333333)</f>
        <v>45715.645833333299</v>
      </c>
      <c r="B63" s="4">
        <f ca="1">IFERROR(__xludf.DUMMYFUNCTION("""COMPUTED_VALUE"""),1212.8)</f>
        <v>1212.8</v>
      </c>
      <c r="C63" s="4">
        <f ca="1">IFERROR(__xludf.DUMMYFUNCTION("""COMPUTED_VALUE"""),1215)</f>
        <v>1215</v>
      </c>
      <c r="D63" s="4">
        <f ca="1">IFERROR(__xludf.DUMMYFUNCTION("""COMPUTED_VALUE"""),1200.65)</f>
        <v>1200.6500000000001</v>
      </c>
      <c r="E63" s="4">
        <f ca="1">IFERROR(__xludf.DUMMYFUNCTION("""COMPUTED_VALUE"""),1207.1)</f>
        <v>1207.0999999999999</v>
      </c>
      <c r="F63" s="4">
        <f ca="1">IFERROR(__xludf.DUMMYFUNCTION("""COMPUTED_VALUE"""),11509215)</f>
        <v>11509215</v>
      </c>
      <c r="G63" s="2">
        <f t="shared" ca="1" si="0"/>
        <v>-0.46998680738786658</v>
      </c>
      <c r="H63" s="2">
        <f t="shared" ca="1" si="1"/>
        <v>1211.81</v>
      </c>
      <c r="I63" s="2">
        <f t="shared" ca="1" si="2"/>
        <v>37.638718086214809</v>
      </c>
    </row>
    <row r="64" spans="1:9" x14ac:dyDescent="0.25">
      <c r="A64" s="3">
        <f ca="1">IFERROR(__xludf.DUMMYFUNCTION("""COMPUTED_VALUE"""),45716.6458333333)</f>
        <v>45716.645833333299</v>
      </c>
      <c r="B64" s="4">
        <f ca="1">IFERROR(__xludf.DUMMYFUNCTION("""COMPUTED_VALUE"""),1202)</f>
        <v>1202</v>
      </c>
      <c r="C64" s="4">
        <f ca="1">IFERROR(__xludf.DUMMYFUNCTION("""COMPUTED_VALUE"""),1217.35)</f>
        <v>1217.3499999999999</v>
      </c>
      <c r="D64" s="4">
        <f ca="1">IFERROR(__xludf.DUMMYFUNCTION("""COMPUTED_VALUE"""),1193.3)</f>
        <v>1193.3</v>
      </c>
      <c r="E64" s="4">
        <f ca="1">IFERROR(__xludf.DUMMYFUNCTION("""COMPUTED_VALUE"""),1200.1)</f>
        <v>1200.0999999999999</v>
      </c>
      <c r="F64" s="4">
        <f ca="1">IFERROR(__xludf.DUMMYFUNCTION("""COMPUTED_VALUE"""),23007298)</f>
        <v>23007298</v>
      </c>
      <c r="G64" s="2">
        <f t="shared" ca="1" si="0"/>
        <v>-0.15806988352746182</v>
      </c>
      <c r="H64" s="2">
        <f t="shared" ca="1" si="1"/>
        <v>1215.8899999999999</v>
      </c>
      <c r="I64" s="2">
        <f t="shared" ca="1" si="2"/>
        <v>37.75544621403462</v>
      </c>
    </row>
    <row r="65" spans="1:9" x14ac:dyDescent="0.25">
      <c r="A65" s="3">
        <f ca="1">IFERROR(__xludf.DUMMYFUNCTION("""COMPUTED_VALUE"""),45719.6458333333)</f>
        <v>45719.645833333299</v>
      </c>
      <c r="B65" s="4">
        <f ca="1">IFERROR(__xludf.DUMMYFUNCTION("""COMPUTED_VALUE"""),1204)</f>
        <v>1204</v>
      </c>
      <c r="C65" s="4">
        <f ca="1">IFERROR(__xludf.DUMMYFUNCTION("""COMPUTED_VALUE"""),1206.45)</f>
        <v>1206.45</v>
      </c>
      <c r="D65" s="4">
        <f ca="1">IFERROR(__xludf.DUMMYFUNCTION("""COMPUTED_VALUE"""),1156)</f>
        <v>1156</v>
      </c>
      <c r="E65" s="4">
        <f ca="1">IFERROR(__xludf.DUMMYFUNCTION("""COMPUTED_VALUE"""),1171.25)</f>
        <v>1171.25</v>
      </c>
      <c r="F65" s="4">
        <f ca="1">IFERROR(__xludf.DUMMYFUNCTION("""COMPUTED_VALUE"""),17944938)</f>
        <v>17944938</v>
      </c>
      <c r="G65" s="2">
        <f t="shared" ca="1" si="0"/>
        <v>-2.7200996677740865</v>
      </c>
      <c r="H65" s="2">
        <f t="shared" ca="1" si="1"/>
        <v>1220.5449999999998</v>
      </c>
      <c r="I65" s="2">
        <f ca="1">_xlfn.STDEV.P(E65:E94)</f>
        <v>37.416822419868843</v>
      </c>
    </row>
    <row r="66" spans="1:9" x14ac:dyDescent="0.25">
      <c r="A66" s="3">
        <f ca="1">IFERROR(__xludf.DUMMYFUNCTION("""COMPUTED_VALUE"""),45720.6458333333)</f>
        <v>45720.645833333299</v>
      </c>
      <c r="B66" s="4">
        <f ca="1">IFERROR(__xludf.DUMMYFUNCTION("""COMPUTED_VALUE"""),1162.2)</f>
        <v>1162.2</v>
      </c>
      <c r="C66" s="4">
        <f ca="1">IFERROR(__xludf.DUMMYFUNCTION("""COMPUTED_VALUE"""),1174)</f>
        <v>1174</v>
      </c>
      <c r="D66" s="4">
        <f ca="1">IFERROR(__xludf.DUMMYFUNCTION("""COMPUTED_VALUE"""),1159.55)</f>
        <v>1159.55</v>
      </c>
      <c r="E66" s="4">
        <f ca="1">IFERROR(__xludf.DUMMYFUNCTION("""COMPUTED_VALUE"""),1161.9)</f>
        <v>1161.9000000000001</v>
      </c>
      <c r="F66" s="4">
        <f ca="1">IFERROR(__xludf.DUMMYFUNCTION("""COMPUTED_VALUE"""),11377373)</f>
        <v>11377373</v>
      </c>
      <c r="G66" s="2">
        <f t="shared" ca="1" si="0"/>
        <v>-2.5813113061431296E-2</v>
      </c>
      <c r="H66" s="2">
        <f t="shared" ca="1" si="1"/>
        <v>1227.2999999999997</v>
      </c>
      <c r="I66" s="2">
        <f t="shared" ca="1" si="2"/>
        <v>34.219583416468929</v>
      </c>
    </row>
    <row r="67" spans="1:9" x14ac:dyDescent="0.25">
      <c r="A67" s="3">
        <f ca="1">IFERROR(__xludf.DUMMYFUNCTION("""COMPUTED_VALUE"""),45721.6458333333)</f>
        <v>45721.645833333299</v>
      </c>
      <c r="B67" s="4">
        <f ca="1">IFERROR(__xludf.DUMMYFUNCTION("""COMPUTED_VALUE"""),1161)</f>
        <v>1161</v>
      </c>
      <c r="C67" s="4">
        <f ca="1">IFERROR(__xludf.DUMMYFUNCTION("""COMPUTED_VALUE"""),1183)</f>
        <v>1183</v>
      </c>
      <c r="D67" s="4">
        <f ca="1">IFERROR(__xludf.DUMMYFUNCTION("""COMPUTED_VALUE"""),1157)</f>
        <v>1157</v>
      </c>
      <c r="E67" s="4">
        <f ca="1">IFERROR(__xludf.DUMMYFUNCTION("""COMPUTED_VALUE"""),1175.6)</f>
        <v>1175.5999999999999</v>
      </c>
      <c r="F67" s="4">
        <f ca="1">IFERROR(__xludf.DUMMYFUNCTION("""COMPUTED_VALUE"""),8664095)</f>
        <v>8664095</v>
      </c>
      <c r="G67" s="2">
        <f t="shared" ref="G67" ca="1" si="3">(E67 - B67)/B67 * 100</f>
        <v>1.2575366063738078</v>
      </c>
      <c r="H67" s="2">
        <f ca="1">AVERAGE(E67:E76)</f>
        <v>1235.8249999999998</v>
      </c>
      <c r="I67" s="2">
        <f t="shared" ref="I67:I78" ca="1" si="4">_xlfn.STDEV.P(E67:E96)</f>
        <v>28.11643189104818</v>
      </c>
    </row>
    <row r="68" spans="1:9" x14ac:dyDescent="0.25">
      <c r="A68" s="3">
        <f ca="1">IFERROR(__xludf.DUMMYFUNCTION("""COMPUTED_VALUE"""),45722.6458333333)</f>
        <v>45722.645833333299</v>
      </c>
      <c r="B68" s="4">
        <f ca="1">IFERROR(__xludf.DUMMYFUNCTION("""COMPUTED_VALUE"""),1197)</f>
        <v>1197</v>
      </c>
      <c r="C68" s="4">
        <f ca="1">IFERROR(__xludf.DUMMYFUNCTION("""COMPUTED_VALUE"""),1213.95)</f>
        <v>1213.95</v>
      </c>
      <c r="D68" s="4">
        <f ca="1">IFERROR(__xludf.DUMMYFUNCTION("""COMPUTED_VALUE"""),1185.15)</f>
        <v>1185.1500000000001</v>
      </c>
      <c r="E68" s="4">
        <f ca="1">IFERROR(__xludf.DUMMYFUNCTION("""COMPUTED_VALUE"""),1209.6)</f>
        <v>1209.5999999999999</v>
      </c>
      <c r="F68" s="4">
        <f ca="1">IFERROR(__xludf.DUMMYFUNCTION("""COMPUTED_VALUE"""),14468014)</f>
        <v>14468014</v>
      </c>
      <c r="G68" s="2">
        <f ca="1">(E68 - B68)/B68 * 100</f>
        <v>1.0526315789473608</v>
      </c>
      <c r="H68" s="2">
        <f t="shared" ca="1" si="1"/>
        <v>1245.1799999999998</v>
      </c>
      <c r="I68" s="2">
        <f t="shared" ca="1" si="4"/>
        <v>21.334336004046708</v>
      </c>
    </row>
    <row r="69" spans="1:9" x14ac:dyDescent="0.25">
      <c r="A69" s="3">
        <f ca="1">IFERROR(__xludf.DUMMYFUNCTION("""COMPUTED_VALUE"""),45723.6458333333)</f>
        <v>45723.645833333299</v>
      </c>
      <c r="B69" s="4">
        <f ca="1">IFERROR(__xludf.DUMMYFUNCTION("""COMPUTED_VALUE"""),1216)</f>
        <v>1216</v>
      </c>
      <c r="C69" s="4">
        <f ca="1">IFERROR(__xludf.DUMMYFUNCTION("""COMPUTED_VALUE"""),1254.8)</f>
        <v>1254.8</v>
      </c>
      <c r="D69" s="4">
        <f ca="1">IFERROR(__xludf.DUMMYFUNCTION("""COMPUTED_VALUE"""),1212)</f>
        <v>1212</v>
      </c>
      <c r="E69" s="4">
        <f ca="1">IFERROR(__xludf.DUMMYFUNCTION("""COMPUTED_VALUE"""),1249.8)</f>
        <v>1249.8</v>
      </c>
      <c r="F69" s="4">
        <f ca="1">IFERROR(__xludf.DUMMYFUNCTION("""COMPUTED_VALUE"""),16474965)</f>
        <v>16474965</v>
      </c>
      <c r="G69" s="2">
        <f t="shared" ref="G69:G77" ca="1" si="5">(E69 - B69)/B69 * 100</f>
        <v>2.7796052631578907</v>
      </c>
      <c r="H69" s="2">
        <f t="shared" ref="H69:H73" ca="1" si="6">AVERAGE(E69:E78)</f>
        <v>1251.855</v>
      </c>
      <c r="I69" s="2">
        <f t="shared" ca="1" si="4"/>
        <v>18.020888216438561</v>
      </c>
    </row>
    <row r="70" spans="1:9" x14ac:dyDescent="0.25">
      <c r="A70" s="3">
        <f ca="1">IFERROR(__xludf.DUMMYFUNCTION("""COMPUTED_VALUE"""),45726.6458333333)</f>
        <v>45726.645833333299</v>
      </c>
      <c r="B70" s="4">
        <f ca="1">IFERROR(__xludf.DUMMYFUNCTION("""COMPUTED_VALUE"""),1245)</f>
        <v>1245</v>
      </c>
      <c r="C70" s="4">
        <f ca="1">IFERROR(__xludf.DUMMYFUNCTION("""COMPUTED_VALUE"""),1258)</f>
        <v>1258</v>
      </c>
      <c r="D70" s="4">
        <f ca="1">IFERROR(__xludf.DUMMYFUNCTION("""COMPUTED_VALUE"""),1235.4)</f>
        <v>1235.4000000000001</v>
      </c>
      <c r="E70" s="4">
        <f ca="1">IFERROR(__xludf.DUMMYFUNCTION("""COMPUTED_VALUE"""),1238.4)</f>
        <v>1238.4000000000001</v>
      </c>
      <c r="F70" s="4">
        <f ca="1">IFERROR(__xludf.DUMMYFUNCTION("""COMPUTED_VALUE"""),11931051)</f>
        <v>11931051</v>
      </c>
      <c r="G70" s="2">
        <f t="shared" ca="1" si="5"/>
        <v>-0.53012048192770356</v>
      </c>
      <c r="H70" s="2">
        <f t="shared" ca="1" si="6"/>
        <v>1257.085</v>
      </c>
      <c r="I70" s="2">
        <f t="shared" ca="1" si="4"/>
        <v>18.345535333335622</v>
      </c>
    </row>
    <row r="71" spans="1:9" x14ac:dyDescent="0.25">
      <c r="A71" s="3">
        <f ca="1">IFERROR(__xludf.DUMMYFUNCTION("""COMPUTED_VALUE"""),45727.6458333333)</f>
        <v>45727.645833333299</v>
      </c>
      <c r="B71" s="4">
        <f ca="1">IFERROR(__xludf.DUMMYFUNCTION("""COMPUTED_VALUE"""),1240)</f>
        <v>1240</v>
      </c>
      <c r="C71" s="4">
        <f ca="1">IFERROR(__xludf.DUMMYFUNCTION("""COMPUTED_VALUE"""),1249.5)</f>
        <v>1249.5</v>
      </c>
      <c r="D71" s="4">
        <f ca="1">IFERROR(__xludf.DUMMYFUNCTION("""COMPUTED_VALUE"""),1229.75)</f>
        <v>1229.75</v>
      </c>
      <c r="E71" s="4">
        <f ca="1">IFERROR(__xludf.DUMMYFUNCTION("""COMPUTED_VALUE"""),1247.3)</f>
        <v>1247.3</v>
      </c>
      <c r="F71" s="4">
        <f ca="1">IFERROR(__xludf.DUMMYFUNCTION("""COMPUTED_VALUE"""),10089838)</f>
        <v>10089838</v>
      </c>
      <c r="G71" s="2">
        <f t="shared" ca="1" si="5"/>
        <v>0.58870967741935121</v>
      </c>
      <c r="H71" s="2">
        <f t="shared" ca="1" si="6"/>
        <v>1261.7900000000002</v>
      </c>
      <c r="I71" s="2">
        <f t="shared" ca="1" si="4"/>
        <v>17.796078807376826</v>
      </c>
    </row>
    <row r="72" spans="1:9" x14ac:dyDescent="0.25">
      <c r="A72" s="3">
        <f ca="1">IFERROR(__xludf.DUMMYFUNCTION("""COMPUTED_VALUE"""),45728.6458333333)</f>
        <v>45728.645833333299</v>
      </c>
      <c r="B72" s="4">
        <f ca="1">IFERROR(__xludf.DUMMYFUNCTION("""COMPUTED_VALUE"""),1258)</f>
        <v>1258</v>
      </c>
      <c r="C72" s="4">
        <f ca="1">IFERROR(__xludf.DUMMYFUNCTION("""COMPUTED_VALUE"""),1263)</f>
        <v>1263</v>
      </c>
      <c r="D72" s="4">
        <f ca="1">IFERROR(__xludf.DUMMYFUNCTION("""COMPUTED_VALUE"""),1244)</f>
        <v>1244</v>
      </c>
      <c r="E72" s="4">
        <f ca="1">IFERROR(__xludf.DUMMYFUNCTION("""COMPUTED_VALUE"""),1257.05)</f>
        <v>1257.05</v>
      </c>
      <c r="F72" s="4">
        <f ca="1">IFERROR(__xludf.DUMMYFUNCTION("""COMPUTED_VALUE"""),11977555)</f>
        <v>11977555</v>
      </c>
      <c r="G72" s="2">
        <f t="shared" ca="1" si="5"/>
        <v>-7.5516693163755602E-2</v>
      </c>
      <c r="H72" s="2">
        <f t="shared" ca="1" si="6"/>
        <v>1264.365</v>
      </c>
      <c r="I72" s="2">
        <f t="shared" ca="1" si="4"/>
        <v>17.82667620773384</v>
      </c>
    </row>
    <row r="73" spans="1:9" x14ac:dyDescent="0.25">
      <c r="A73" s="3">
        <f ca="1">IFERROR(__xludf.DUMMYFUNCTION("""COMPUTED_VALUE"""),45729.6458333333)</f>
        <v>45729.645833333299</v>
      </c>
      <c r="B73" s="4">
        <f ca="1">IFERROR(__xludf.DUMMYFUNCTION("""COMPUTED_VALUE"""),1260.05)</f>
        <v>1260.05</v>
      </c>
      <c r="C73" s="4">
        <f ca="1">IFERROR(__xludf.DUMMYFUNCTION("""COMPUTED_VALUE"""),1264.15)</f>
        <v>1264.1500000000001</v>
      </c>
      <c r="D73" s="4">
        <f ca="1">IFERROR(__xludf.DUMMYFUNCTION("""COMPUTED_VALUE"""),1243.85)</f>
        <v>1243.8499999999999</v>
      </c>
      <c r="E73" s="4">
        <f ca="1">IFERROR(__xludf.DUMMYFUNCTION("""COMPUTED_VALUE"""),1247.9)</f>
        <v>1247.9000000000001</v>
      </c>
      <c r="F73" s="4">
        <f ca="1">IFERROR(__xludf.DUMMYFUNCTION("""COMPUTED_VALUE"""),9505270)</f>
        <v>9505270</v>
      </c>
      <c r="G73" s="2">
        <f t="shared" ca="1" si="5"/>
        <v>-0.96424745049798533</v>
      </c>
      <c r="H73" s="2">
        <f t="shared" ca="1" si="6"/>
        <v>1266.48</v>
      </c>
      <c r="I73" s="2">
        <f t="shared" ca="1" si="4"/>
        <v>18.386236171537515</v>
      </c>
    </row>
    <row r="74" spans="1:9" x14ac:dyDescent="0.25">
      <c r="A74" s="3">
        <f ca="1">IFERROR(__xludf.DUMMYFUNCTION("""COMPUTED_VALUE"""),45733.6458333333)</f>
        <v>45733.645833333299</v>
      </c>
      <c r="B74" s="4">
        <f ca="1">IFERROR(__xludf.DUMMYFUNCTION("""COMPUTED_VALUE"""),1242.15)</f>
        <v>1242.1500000000001</v>
      </c>
      <c r="C74" s="4">
        <f ca="1">IFERROR(__xludf.DUMMYFUNCTION("""COMPUTED_VALUE"""),0)</f>
        <v>0</v>
      </c>
      <c r="D74" s="4">
        <f ca="1">IFERROR(__xludf.DUMMYFUNCTION("""COMPUTED_VALUE"""),0)</f>
        <v>0</v>
      </c>
      <c r="E74" s="4">
        <f ca="1">IFERROR(__xludf.DUMMYFUNCTION("""COMPUTED_VALUE"""),1246.65)</f>
        <v>1246.6500000000001</v>
      </c>
      <c r="F74" s="4">
        <f ca="1">IFERROR(__xludf.DUMMYFUNCTION("""COMPUTED_VALUE"""),0)</f>
        <v>0</v>
      </c>
      <c r="G74" s="2">
        <f t="shared" ca="1" si="5"/>
        <v>0.3622750875498128</v>
      </c>
      <c r="H74" s="2">
        <f ca="1">AVERAGE(E74:E83)</f>
        <v>1269.2000000000003</v>
      </c>
      <c r="I74" s="2">
        <f t="shared" ca="1" si="4"/>
        <v>18.334280090755684</v>
      </c>
    </row>
    <row r="75" spans="1:9" x14ac:dyDescent="0.25">
      <c r="A75" s="3">
        <f ca="1">IFERROR(__xludf.DUMMYFUNCTION("""COMPUTED_VALUE"""),45734.6458333333)</f>
        <v>45734.645833333299</v>
      </c>
      <c r="B75" s="4">
        <f ca="1">IFERROR(__xludf.DUMMYFUNCTION("""COMPUTED_VALUE"""),1244.7)</f>
        <v>1244.7</v>
      </c>
      <c r="C75" s="4">
        <f ca="1">IFERROR(__xludf.DUMMYFUNCTION("""COMPUTED_VALUE"""),1248.35)</f>
        <v>1248.3499999999999</v>
      </c>
      <c r="D75" s="4">
        <f ca="1">IFERROR(__xludf.DUMMYFUNCTION("""COMPUTED_VALUE"""),1235)</f>
        <v>1235</v>
      </c>
      <c r="E75" s="4">
        <f ca="1">IFERROR(__xludf.DUMMYFUNCTION("""COMPUTED_VALUE"""),1238.8)</f>
        <v>1238.8</v>
      </c>
      <c r="F75" s="4">
        <f ca="1">IFERROR(__xludf.DUMMYFUNCTION("""COMPUTED_VALUE"""),15745877)</f>
        <v>15745877</v>
      </c>
      <c r="G75" s="2">
        <f t="shared" ca="1" si="5"/>
        <v>-0.47400980155861583</v>
      </c>
      <c r="H75" s="2">
        <f t="shared" ref="H75:H84" ca="1" si="7">AVERAGE(E75:E84)</f>
        <v>1269.7950000000001</v>
      </c>
      <c r="I75" s="2">
        <f t="shared" ca="1" si="4"/>
        <v>17.918181408837214</v>
      </c>
    </row>
    <row r="76" spans="1:9" x14ac:dyDescent="0.25">
      <c r="A76" s="3">
        <f ca="1">IFERROR(__xludf.DUMMYFUNCTION("""COMPUTED_VALUE"""),45735.6458333333)</f>
        <v>45735.645833333299</v>
      </c>
      <c r="B76" s="4">
        <f ca="1">IFERROR(__xludf.DUMMYFUNCTION("""COMPUTED_VALUE"""),1241.05)</f>
        <v>1241.05</v>
      </c>
      <c r="C76" s="4">
        <f ca="1">IFERROR(__xludf.DUMMYFUNCTION("""COMPUTED_VALUE"""),1253.25)</f>
        <v>1253.25</v>
      </c>
      <c r="D76" s="4">
        <f ca="1">IFERROR(__xludf.DUMMYFUNCTION("""COMPUTED_VALUE"""),1238.8)</f>
        <v>1238.8</v>
      </c>
      <c r="E76" s="4">
        <f ca="1">IFERROR(__xludf.DUMMYFUNCTION("""COMPUTED_VALUE"""),1247.15)</f>
        <v>1247.1500000000001</v>
      </c>
      <c r="F76" s="4">
        <f ca="1">IFERROR(__xludf.DUMMYFUNCTION("""COMPUTED_VALUE"""),16162399)</f>
        <v>16162399</v>
      </c>
      <c r="G76" s="2">
        <f t="shared" ca="1" si="5"/>
        <v>0.49151927803071083</v>
      </c>
      <c r="H76" s="2">
        <f t="shared" ca="1" si="7"/>
        <v>1273.2388888888891</v>
      </c>
      <c r="I76" s="2">
        <f t="shared" ca="1" si="4"/>
        <v>15.431493370841343</v>
      </c>
    </row>
    <row r="77" spans="1:9" x14ac:dyDescent="0.25">
      <c r="A77" s="3">
        <f ca="1">IFERROR(__xludf.DUMMYFUNCTION("""COMPUTED_VALUE"""),45736.6458333333)</f>
        <v>45736.645833333299</v>
      </c>
      <c r="B77" s="4">
        <f ca="1">IFERROR(__xludf.DUMMYFUNCTION("""COMPUTED_VALUE"""),1251.85)</f>
        <v>1251.8499999999999</v>
      </c>
      <c r="C77" s="4">
        <f ca="1">IFERROR(__xludf.DUMMYFUNCTION("""COMPUTED_VALUE"""),1273)</f>
        <v>1273</v>
      </c>
      <c r="D77" s="4">
        <f ca="1">IFERROR(__xludf.DUMMYFUNCTION("""COMPUTED_VALUE"""),1250.05)</f>
        <v>1250.05</v>
      </c>
      <c r="E77" s="4">
        <f ca="1">IFERROR(__xludf.DUMMYFUNCTION("""COMPUTED_VALUE"""),1269.15)</f>
        <v>1269.1500000000001</v>
      </c>
      <c r="F77" s="4">
        <f ca="1">IFERROR(__xludf.DUMMYFUNCTION("""COMPUTED_VALUE"""),15971477)</f>
        <v>15971477</v>
      </c>
      <c r="G77" s="2">
        <f t="shared" ca="1" si="5"/>
        <v>1.3819547070336049</v>
      </c>
      <c r="H77" s="2">
        <f t="shared" ca="1" si="7"/>
        <v>1276.5</v>
      </c>
      <c r="I77" s="2">
        <f t="shared" ca="1" si="4"/>
        <v>13.121880581684927</v>
      </c>
    </row>
    <row r="78" spans="1:9" x14ac:dyDescent="0.25">
      <c r="A78" s="3">
        <f ca="1">IFERROR(__xludf.DUMMYFUNCTION("""COMPUTED_VALUE"""),45737.6458333333)</f>
        <v>45737.645833333299</v>
      </c>
      <c r="B78" s="4">
        <f ca="1">IFERROR(__xludf.DUMMYFUNCTION("""COMPUTED_VALUE"""),1275)</f>
        <v>1275</v>
      </c>
      <c r="C78" s="4">
        <f ca="1">IFERROR(__xludf.DUMMYFUNCTION("""COMPUTED_VALUE"""),1281)</f>
        <v>1281</v>
      </c>
      <c r="D78" s="4">
        <f ca="1">IFERROR(__xludf.DUMMYFUNCTION("""COMPUTED_VALUE"""),1270.1)</f>
        <v>1270.0999999999999</v>
      </c>
      <c r="E78" s="4">
        <f ca="1">IFERROR(__xludf.DUMMYFUNCTION("""COMPUTED_VALUE"""),1276.35)</f>
        <v>1276.3499999999999</v>
      </c>
      <c r="F78" s="4">
        <f ca="1">IFERROR(__xludf.DUMMYFUNCTION("""COMPUTED_VALUE"""),21780769)</f>
        <v>21780769</v>
      </c>
      <c r="G78" s="2">
        <f ca="1">(E78 - B78)/B78 * 100</f>
        <v>0.10588235294116932</v>
      </c>
      <c r="H78" s="2">
        <f t="shared" ca="1" si="7"/>
        <v>1277.55</v>
      </c>
      <c r="I78" s="2">
        <f t="shared" ca="1" si="4"/>
        <v>13.709902573374794</v>
      </c>
    </row>
    <row r="79" spans="1:9" x14ac:dyDescent="0.25">
      <c r="A79" s="3">
        <f ca="1">IFERROR(__xludf.DUMMYFUNCTION("""COMPUTED_VALUE"""),45740.6458333333)</f>
        <v>45740.645833333299</v>
      </c>
      <c r="B79" s="4">
        <f ca="1">IFERROR(__xludf.DUMMYFUNCTION("""COMPUTED_VALUE"""),1291)</f>
        <v>1291</v>
      </c>
      <c r="C79" s="4">
        <f ca="1">IFERROR(__xludf.DUMMYFUNCTION("""COMPUTED_VALUE"""),1306)</f>
        <v>1306</v>
      </c>
      <c r="D79" s="4">
        <f ca="1">IFERROR(__xludf.DUMMYFUNCTION("""COMPUTED_VALUE"""),1284.25)</f>
        <v>1284.25</v>
      </c>
      <c r="E79" s="4">
        <f ca="1">IFERROR(__xludf.DUMMYFUNCTION("""COMPUTED_VALUE"""),1302.1)</f>
        <v>1302.0999999999999</v>
      </c>
      <c r="F79" s="4">
        <f ca="1">IFERROR(__xludf.DUMMYFUNCTION("""COMPUTED_VALUE"""),20299319)</f>
        <v>20299319</v>
      </c>
      <c r="G79" s="2">
        <f t="shared" ref="G79:G84" ca="1" si="8">(E79 - B79)/B79 * 100</f>
        <v>0.85979860573198363</v>
      </c>
      <c r="H79" s="2">
        <f t="shared" ca="1" si="7"/>
        <v>1277.75</v>
      </c>
      <c r="I79" s="2">
        <f ca="1">_xlfn.STDEV.P(E79:E108)</f>
        <v>14.798930141511365</v>
      </c>
    </row>
    <row r="80" spans="1:9" x14ac:dyDescent="0.25">
      <c r="A80" s="3">
        <f ca="1">IFERROR(__xludf.DUMMYFUNCTION("""COMPUTED_VALUE"""),45741.6458333333)</f>
        <v>45741.645833333299</v>
      </c>
      <c r="B80" s="4">
        <f ca="1">IFERROR(__xludf.DUMMYFUNCTION("""COMPUTED_VALUE"""),1307.7)</f>
        <v>1307.7</v>
      </c>
      <c r="C80" s="4">
        <f ca="1">IFERROR(__xludf.DUMMYFUNCTION("""COMPUTED_VALUE"""),1307.7)</f>
        <v>1307.7</v>
      </c>
      <c r="D80" s="4">
        <f ca="1">IFERROR(__xludf.DUMMYFUNCTION("""COMPUTED_VALUE"""),1282.6)</f>
        <v>1282.5999999999999</v>
      </c>
      <c r="E80" s="4">
        <f ca="1">IFERROR(__xludf.DUMMYFUNCTION("""COMPUTED_VALUE"""),1285.45)</f>
        <v>1285.45</v>
      </c>
      <c r="F80" s="4">
        <f ca="1">IFERROR(__xludf.DUMMYFUNCTION("""COMPUTED_VALUE"""),13713899)</f>
        <v>13713899</v>
      </c>
      <c r="G80" s="2">
        <f t="shared" ca="1" si="8"/>
        <v>-1.7014605796436493</v>
      </c>
      <c r="H80" s="2">
        <f t="shared" ca="1" si="7"/>
        <v>1272.8799999999999</v>
      </c>
      <c r="I80" s="2">
        <f t="shared" ref="I80:I84" ca="1" si="9">_xlfn.STDEV.P(E80:E109)</f>
        <v>10.977640912327246</v>
      </c>
    </row>
    <row r="81" spans="1:9" x14ac:dyDescent="0.25">
      <c r="A81" s="3">
        <f ca="1">IFERROR(__xludf.DUMMYFUNCTION("""COMPUTED_VALUE"""),45742.6458333333)</f>
        <v>45742.645833333299</v>
      </c>
      <c r="B81" s="4">
        <f ca="1">IFERROR(__xludf.DUMMYFUNCTION("""COMPUTED_VALUE"""),1291)</f>
        <v>1291</v>
      </c>
      <c r="C81" s="4">
        <f ca="1">IFERROR(__xludf.DUMMYFUNCTION("""COMPUTED_VALUE"""),1293.8)</f>
        <v>1293.8</v>
      </c>
      <c r="D81" s="4">
        <f ca="1">IFERROR(__xludf.DUMMYFUNCTION("""COMPUTED_VALUE"""),1268.75)</f>
        <v>1268.75</v>
      </c>
      <c r="E81" s="4">
        <f ca="1">IFERROR(__xludf.DUMMYFUNCTION("""COMPUTED_VALUE"""),1273.05)</f>
        <v>1273.05</v>
      </c>
      <c r="F81" s="4">
        <f ca="1">IFERROR(__xludf.DUMMYFUNCTION("""COMPUTED_VALUE"""),12074747)</f>
        <v>12074747</v>
      </c>
      <c r="G81" s="2">
        <f t="shared" ca="1" si="8"/>
        <v>-1.3903950426026372</v>
      </c>
      <c r="H81" s="2">
        <f t="shared" ca="1" si="7"/>
        <v>1269.7375</v>
      </c>
      <c r="I81" s="2">
        <f t="shared" ca="1" si="9"/>
        <v>10.062763971692899</v>
      </c>
    </row>
    <row r="82" spans="1:9" x14ac:dyDescent="0.25">
      <c r="A82" s="3">
        <f ca="1">IFERROR(__xludf.DUMMYFUNCTION("""COMPUTED_VALUE"""),45743.6458333333)</f>
        <v>45743.645833333299</v>
      </c>
      <c r="B82" s="4">
        <f ca="1">IFERROR(__xludf.DUMMYFUNCTION("""COMPUTED_VALUE"""),1278.15)</f>
        <v>1278.1500000000001</v>
      </c>
      <c r="C82" s="4">
        <f ca="1">IFERROR(__xludf.DUMMYFUNCTION("""COMPUTED_VALUE"""),1285)</f>
        <v>1285</v>
      </c>
      <c r="D82" s="4">
        <f ca="1">IFERROR(__xludf.DUMMYFUNCTION("""COMPUTED_VALUE"""),1271.3)</f>
        <v>1271.3</v>
      </c>
      <c r="E82" s="4">
        <f ca="1">IFERROR(__xludf.DUMMYFUNCTION("""COMPUTED_VALUE"""),1278.2)</f>
        <v>1278.2</v>
      </c>
      <c r="F82" s="4">
        <f ca="1">IFERROR(__xludf.DUMMYFUNCTION("""COMPUTED_VALUE"""),15028056)</f>
        <v>15028056</v>
      </c>
      <c r="G82" s="2">
        <f t="shared" ca="1" si="8"/>
        <v>3.9119039236360769E-3</v>
      </c>
      <c r="H82" s="2">
        <f t="shared" ca="1" si="7"/>
        <v>1268.6333333333334</v>
      </c>
      <c r="I82" s="2">
        <f t="shared" ca="1" si="9"/>
        <v>11.407697206516152</v>
      </c>
    </row>
    <row r="83" spans="1:9" x14ac:dyDescent="0.25">
      <c r="A83" s="3">
        <f ca="1">IFERROR(__xludf.DUMMYFUNCTION("""COMPUTED_VALUE"""),45744.6458333333)</f>
        <v>45744.645833333299</v>
      </c>
      <c r="B83" s="4">
        <f ca="1">IFERROR(__xludf.DUMMYFUNCTION("""COMPUTED_VALUE"""),1280)</f>
        <v>1280</v>
      </c>
      <c r="C83" s="4">
        <f ca="1">IFERROR(__xludf.DUMMYFUNCTION("""COMPUTED_VALUE"""),1295.75)</f>
        <v>1295.75</v>
      </c>
      <c r="D83" s="4">
        <f ca="1">IFERROR(__xludf.DUMMYFUNCTION("""COMPUTED_VALUE"""),1269)</f>
        <v>1269</v>
      </c>
      <c r="E83" s="4">
        <f ca="1">IFERROR(__xludf.DUMMYFUNCTION("""COMPUTED_VALUE"""),1275.1)</f>
        <v>1275.0999999999999</v>
      </c>
      <c r="F83" s="4">
        <f ca="1">IFERROR(__xludf.DUMMYFUNCTION("""COMPUTED_VALUE"""),18147129)</f>
        <v>18147129</v>
      </c>
      <c r="G83" s="2">
        <f t="shared" ca="1" si="8"/>
        <v>-0.38281250000000711</v>
      </c>
      <c r="H83" s="2">
        <f t="shared" ca="1" si="7"/>
        <v>1263.8499999999999</v>
      </c>
      <c r="I83" s="2">
        <f t="shared" ca="1" si="9"/>
        <v>11.25</v>
      </c>
    </row>
    <row r="84" spans="1:9" x14ac:dyDescent="0.25">
      <c r="A84" s="3">
        <f ca="1">IFERROR(__xludf.DUMMYFUNCTION("""COMPUTED_VALUE"""),45748.6458333333)</f>
        <v>45748.645833333299</v>
      </c>
      <c r="B84" s="4">
        <f ca="1">IFERROR(__xludf.DUMMYFUNCTION("""COMPUTED_VALUE"""),1264.6)</f>
        <v>1264.5999999999999</v>
      </c>
      <c r="C84" s="4">
        <f ca="1">IFERROR(__xludf.DUMMYFUNCTION("""COMPUTED_VALUE"""),1277.9)</f>
        <v>1277.9000000000001</v>
      </c>
      <c r="D84" s="4">
        <f ca="1">IFERROR(__xludf.DUMMYFUNCTION("""COMPUTED_VALUE"""),1249.3)</f>
        <v>1249.3</v>
      </c>
      <c r="E84" s="4">
        <f ca="1">IFERROR(__xludf.DUMMYFUNCTION("""COMPUTED_VALUE"""),1252.6)</f>
        <v>1252.5999999999999</v>
      </c>
      <c r="F84" s="4">
        <f ca="1">IFERROR(__xludf.DUMMYFUNCTION("""COMPUTED_VALUE"""),12099648)</f>
        <v>12099648</v>
      </c>
      <c r="G84" s="2">
        <f t="shared" ca="1" si="8"/>
        <v>-0.94891665348726884</v>
      </c>
      <c r="H84" s="2">
        <f t="shared" ca="1" si="7"/>
        <v>1252.5999999999999</v>
      </c>
      <c r="I84" s="2">
        <f t="shared" ca="1" si="9"/>
        <v>0</v>
      </c>
    </row>
  </sheetData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5F1E149-50FB-4830-8023-FAECB44FA69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 GUPTA</cp:lastModifiedBy>
  <dcterms:modified xsi:type="dcterms:W3CDTF">2025-04-09T16:34:44Z</dcterms:modified>
</cp:coreProperties>
</file>