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sgeiger/suspicion_machines_workshop/data/05_feature_information/"/>
    </mc:Choice>
  </mc:AlternateContent>
  <xr:revisionPtr revIDLastSave="0" documentId="13_ncr:1_{4E302AB7-2190-0547-BB5E-9F38E6C9BD0D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final_model_features" sheetId="2" r:id="rId1"/>
    <sheet name="selected_features" sheetId="3" r:id="rId2"/>
    <sheet name="r-rel_imp" sheetId="4" r:id="rId3"/>
    <sheet name="Sheet9" sheetId="5" r:id="rId4"/>
    <sheet name="average_feature_importance" sheetId="6" r:id="rId5"/>
    <sheet name="Person " sheetId="7" r:id="rId6"/>
    <sheet name="Relationship " sheetId="8" r:id="rId7"/>
    <sheet name="Skill " sheetId="9" r:id="rId8"/>
    <sheet name="Contact " sheetId="10" r:id="rId9"/>
    <sheet name="Action Plan " sheetId="11" r:id="rId10"/>
    <sheet name="Address " sheetId="12" r:id="rId11"/>
    <sheet name="Instrument ladder " sheetId="13" r:id="rId12"/>
    <sheet name="Personal qualities " sheetId="14" r:id="rId13"/>
    <sheet name="Exemption " sheetId="15" r:id="rId14"/>
    <sheet name="Appointment " sheetId="16" r:id="rId15"/>
    <sheet name="Obstacle " sheetId="17" r:id="rId16"/>
    <sheet name="Availability " sheetId="18" r:id="rId17"/>
    <sheet name="Customer type " sheetId="19" r:id="rId18"/>
    <sheet name="Participation Act " sheetId="20" r:id="rId19"/>
  </sheets>
  <definedNames>
    <definedName name="_xlnm._FilterDatabase" localSheetId="0" hidden="1">final_model_features!$E$1:$E$1000</definedName>
    <definedName name="_xlnm._FilterDatabase" localSheetId="2" hidden="1">'r-rel_imp'!$A$1:$K$317</definedName>
    <definedName name="Z_6B8A4FFC_DCEA_430D_8D0E_3BCC62F2DB39_.wvu.FilterData" localSheetId="10" hidden="1">'Address '!$A$1:$H$24</definedName>
    <definedName name="Z_B5763548_DE6F_44E8_834D_07734F71FD52_.wvu.FilterData" localSheetId="0" hidden="1">final_model_features!$A$1:$E$317</definedName>
    <definedName name="Z_B5763548_DE6F_44E8_834D_07734F71FD52_.wvu.FilterData" localSheetId="1" hidden="1">selected_features!$C$1:$J$50</definedName>
  </definedNames>
  <calcPr calcId="191029"/>
  <customWorkbookViews>
    <customWorkbookView name="not_understood" guid="{B5763548-DE6F-44E8-834D-07734F71FD52}" maximized="1" windowWidth="0" windowHeight="0" activeSheetId="0"/>
    <customWorkbookView name="Filter 1" guid="{6B8A4FFC-DCEA-430D-8D0E-3BCC62F2DB39}" maximized="1" windowWidth="0" windowHeight="0" activeSheetId="0"/>
  </customWorkbookViews>
  <pivotCaches>
    <pivotCache cacheId="25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0" l="1"/>
  <c r="B4" i="20"/>
  <c r="B2" i="20"/>
  <c r="B2" i="19"/>
  <c r="B7" i="18"/>
  <c r="B6" i="18"/>
  <c r="B10" i="17"/>
  <c r="B30" i="16"/>
  <c r="B29" i="16"/>
  <c r="B28" i="16"/>
  <c r="B27" i="16"/>
  <c r="B26" i="16"/>
  <c r="B25" i="16"/>
  <c r="B24" i="16"/>
  <c r="B21" i="16"/>
  <c r="B20" i="16"/>
  <c r="B19" i="16"/>
  <c r="B18" i="16"/>
  <c r="B16" i="16"/>
  <c r="B13" i="16"/>
  <c r="B11" i="16"/>
  <c r="B10" i="16"/>
  <c r="B9" i="16"/>
  <c r="B7" i="16"/>
  <c r="B6" i="16"/>
  <c r="B5" i="16"/>
  <c r="B4" i="16"/>
  <c r="B3" i="16"/>
  <c r="B12" i="15"/>
  <c r="B11" i="15"/>
  <c r="B9" i="15"/>
  <c r="B6" i="15"/>
  <c r="B37" i="14"/>
  <c r="B36" i="14"/>
  <c r="B35" i="14"/>
  <c r="B34" i="14"/>
  <c r="B33" i="14"/>
  <c r="B32" i="14"/>
  <c r="B31" i="14"/>
  <c r="B30" i="14"/>
  <c r="B28" i="14"/>
  <c r="B27" i="14"/>
  <c r="B25" i="14"/>
  <c r="B24" i="14"/>
  <c r="B20" i="14"/>
  <c r="B19" i="14"/>
  <c r="B18" i="14"/>
  <c r="B17" i="14"/>
  <c r="B16" i="14"/>
  <c r="B14" i="14"/>
  <c r="B11" i="14"/>
  <c r="B10" i="14"/>
  <c r="B9" i="14"/>
  <c r="B5" i="14"/>
  <c r="B2" i="14"/>
  <c r="B26" i="13"/>
  <c r="B25" i="13"/>
  <c r="B24" i="13"/>
  <c r="B23" i="13"/>
  <c r="B22" i="13"/>
  <c r="B21" i="13"/>
  <c r="B18" i="13"/>
  <c r="B17" i="13"/>
  <c r="B15" i="13"/>
  <c r="B14" i="13"/>
  <c r="B13" i="13"/>
  <c r="B12" i="13"/>
  <c r="B10" i="13"/>
  <c r="B8" i="13"/>
  <c r="B6" i="13"/>
  <c r="B5" i="13"/>
  <c r="B2" i="13"/>
  <c r="B23" i="12"/>
  <c r="B22" i="12"/>
  <c r="B19" i="12"/>
  <c r="B18" i="12"/>
  <c r="B17" i="12"/>
  <c r="B15" i="12"/>
  <c r="B13" i="12"/>
  <c r="B12" i="12"/>
  <c r="B11" i="12"/>
  <c r="B10" i="12"/>
  <c r="B8" i="12"/>
  <c r="B7" i="12"/>
  <c r="B5" i="12"/>
  <c r="B4" i="12"/>
  <c r="B2" i="12"/>
  <c r="B31" i="11"/>
  <c r="B30" i="11"/>
  <c r="B29" i="11"/>
  <c r="B28" i="11"/>
  <c r="B27" i="11"/>
  <c r="B26" i="11"/>
  <c r="B25" i="11"/>
  <c r="B24" i="11"/>
  <c r="B23" i="11"/>
  <c r="B22" i="11"/>
  <c r="B21" i="11"/>
  <c r="B19" i="11"/>
  <c r="B17" i="11"/>
  <c r="B16" i="11"/>
  <c r="B15" i="11"/>
  <c r="B14" i="11"/>
  <c r="B12" i="11"/>
  <c r="B11" i="11"/>
  <c r="B10" i="11"/>
  <c r="B9" i="11"/>
  <c r="B7" i="11"/>
  <c r="B3" i="11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7" i="10"/>
  <c r="B56" i="10"/>
  <c r="B55" i="10"/>
  <c r="B54" i="10"/>
  <c r="B53" i="10"/>
  <c r="B52" i="10"/>
  <c r="B51" i="10"/>
  <c r="B50" i="10"/>
  <c r="B48" i="10"/>
  <c r="B47" i="10"/>
  <c r="B46" i="10"/>
  <c r="B45" i="10"/>
  <c r="B44" i="10"/>
  <c r="B43" i="10"/>
  <c r="B40" i="10"/>
  <c r="B39" i="10"/>
  <c r="B37" i="10"/>
  <c r="B35" i="10"/>
  <c r="B34" i="10"/>
  <c r="B33" i="10"/>
  <c r="B32" i="10"/>
  <c r="B30" i="10"/>
  <c r="B29" i="10"/>
  <c r="B27" i="10"/>
  <c r="B26" i="10"/>
  <c r="B25" i="10"/>
  <c r="B24" i="10"/>
  <c r="B23" i="10"/>
  <c r="B21" i="10"/>
  <c r="B20" i="10"/>
  <c r="B19" i="10"/>
  <c r="B18" i="10"/>
  <c r="B17" i="10"/>
  <c r="B16" i="10"/>
  <c r="B15" i="10"/>
  <c r="B14" i="10"/>
  <c r="B12" i="10"/>
  <c r="B11" i="10"/>
  <c r="B9" i="10"/>
  <c r="B8" i="10"/>
  <c r="B7" i="10"/>
  <c r="B6" i="10"/>
  <c r="B5" i="10"/>
  <c r="B17" i="9"/>
  <c r="B15" i="9"/>
  <c r="B10" i="9"/>
  <c r="B7" i="9"/>
  <c r="B23" i="8"/>
  <c r="B22" i="8"/>
  <c r="B21" i="8"/>
  <c r="B19" i="8"/>
  <c r="B18" i="8"/>
  <c r="B17" i="8"/>
  <c r="B16" i="8"/>
  <c r="B14" i="8"/>
  <c r="B13" i="8"/>
  <c r="B12" i="8"/>
  <c r="B10" i="8"/>
  <c r="B8" i="8"/>
  <c r="B7" i="8"/>
  <c r="B6" i="8"/>
  <c r="B5" i="8"/>
  <c r="B4" i="8"/>
  <c r="B3" i="7"/>
  <c r="D317" i="4"/>
  <c r="B317" i="4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K305" i="4"/>
  <c r="J305" i="4"/>
  <c r="J304" i="4"/>
  <c r="K304" i="4" s="1"/>
  <c r="J303" i="4"/>
  <c r="K303" i="4" s="1"/>
  <c r="J302" i="4"/>
  <c r="K302" i="4" s="1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J253" i="4"/>
  <c r="K253" i="4" s="1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J229" i="4"/>
  <c r="D229" i="4"/>
  <c r="B229" i="4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D223" i="4"/>
  <c r="B223" i="4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D217" i="4"/>
  <c r="B217" i="4"/>
  <c r="J216" i="4"/>
  <c r="K216" i="4" s="1"/>
  <c r="J215" i="4"/>
  <c r="D215" i="4"/>
  <c r="B215" i="4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D208" i="4"/>
  <c r="B208" i="4"/>
  <c r="J207" i="4"/>
  <c r="K207" i="4" s="1"/>
  <c r="J206" i="4"/>
  <c r="K206" i="4" s="1"/>
  <c r="J205" i="4"/>
  <c r="D205" i="4"/>
  <c r="B205" i="4"/>
  <c r="J204" i="4"/>
  <c r="K204" i="4" s="1"/>
  <c r="J203" i="4"/>
  <c r="K203" i="4" s="1"/>
  <c r="J202" i="4"/>
  <c r="K202" i="4" s="1"/>
  <c r="J201" i="4"/>
  <c r="D201" i="4"/>
  <c r="B201" i="4"/>
  <c r="J200" i="4"/>
  <c r="K200" i="4" s="1"/>
  <c r="J199" i="4"/>
  <c r="D199" i="4"/>
  <c r="B199" i="4"/>
  <c r="J198" i="4"/>
  <c r="D198" i="4"/>
  <c r="B198" i="4"/>
  <c r="K197" i="4"/>
  <c r="J197" i="4"/>
  <c r="J196" i="4"/>
  <c r="D196" i="4"/>
  <c r="B196" i="4"/>
  <c r="J195" i="4"/>
  <c r="D195" i="4"/>
  <c r="B195" i="4"/>
  <c r="J194" i="4"/>
  <c r="K194" i="4" s="1"/>
  <c r="J193" i="4"/>
  <c r="K193" i="4" s="1"/>
  <c r="J192" i="4"/>
  <c r="D192" i="4"/>
  <c r="B192" i="4"/>
  <c r="J191" i="4"/>
  <c r="D191" i="4"/>
  <c r="B191" i="4"/>
  <c r="J190" i="4"/>
  <c r="D190" i="4"/>
  <c r="B190" i="4"/>
  <c r="J189" i="4"/>
  <c r="K189" i="4" s="1"/>
  <c r="J188" i="4"/>
  <c r="D188" i="4"/>
  <c r="B188" i="4"/>
  <c r="J187" i="4"/>
  <c r="D187" i="4"/>
  <c r="B187" i="4"/>
  <c r="J186" i="4"/>
  <c r="D186" i="4"/>
  <c r="B186" i="4"/>
  <c r="J185" i="4"/>
  <c r="D185" i="4"/>
  <c r="B185" i="4"/>
  <c r="J184" i="4"/>
  <c r="K184" i="4" s="1"/>
  <c r="J183" i="4"/>
  <c r="D183" i="4"/>
  <c r="B183" i="4"/>
  <c r="J182" i="4"/>
  <c r="K182" i="4" s="1"/>
  <c r="J181" i="4"/>
  <c r="D181" i="4"/>
  <c r="B181" i="4"/>
  <c r="J180" i="4"/>
  <c r="D180" i="4"/>
  <c r="B180" i="4"/>
  <c r="J179" i="4"/>
  <c r="K179" i="4" s="1"/>
  <c r="J178" i="4"/>
  <c r="K178" i="4" s="1"/>
  <c r="J177" i="4"/>
  <c r="D177" i="4"/>
  <c r="B177" i="4"/>
  <c r="J176" i="4"/>
  <c r="D176" i="4"/>
  <c r="B176" i="4"/>
  <c r="J175" i="4"/>
  <c r="K175" i="4" s="1"/>
  <c r="J174" i="4"/>
  <c r="K174" i="4" s="1"/>
  <c r="J173" i="4"/>
  <c r="D173" i="4"/>
  <c r="B173" i="4"/>
  <c r="J172" i="4"/>
  <c r="K172" i="4" s="1"/>
  <c r="J171" i="4"/>
  <c r="D171" i="4"/>
  <c r="B171" i="4"/>
  <c r="J170" i="4"/>
  <c r="D170" i="4"/>
  <c r="B170" i="4"/>
  <c r="J169" i="4"/>
  <c r="D169" i="4"/>
  <c r="B169" i="4"/>
  <c r="J168" i="4"/>
  <c r="D168" i="4"/>
  <c r="B168" i="4"/>
  <c r="J167" i="4"/>
  <c r="D167" i="4"/>
  <c r="B167" i="4"/>
  <c r="J166" i="4"/>
  <c r="D166" i="4"/>
  <c r="B166" i="4"/>
  <c r="J165" i="4"/>
  <c r="D165" i="4"/>
  <c r="B165" i="4"/>
  <c r="J164" i="4"/>
  <c r="K164" i="4" s="1"/>
  <c r="J163" i="4"/>
  <c r="D163" i="4"/>
  <c r="B163" i="4"/>
  <c r="J162" i="4"/>
  <c r="K162" i="4" s="1"/>
  <c r="J161" i="4"/>
  <c r="D161" i="4"/>
  <c r="B161" i="4"/>
  <c r="J160" i="4"/>
  <c r="D160" i="4"/>
  <c r="B160" i="4"/>
  <c r="J159" i="4"/>
  <c r="D159" i="4"/>
  <c r="B159" i="4"/>
  <c r="J158" i="4"/>
  <c r="K158" i="4" s="1"/>
  <c r="J157" i="4"/>
  <c r="D157" i="4"/>
  <c r="B157" i="4"/>
  <c r="J156" i="4"/>
  <c r="K156" i="4" s="1"/>
  <c r="J155" i="4"/>
  <c r="K155" i="4" s="1"/>
  <c r="J154" i="4"/>
  <c r="D154" i="4"/>
  <c r="B154" i="4"/>
  <c r="J153" i="4"/>
  <c r="K153" i="4" s="1"/>
  <c r="J152" i="4"/>
  <c r="K152" i="4" s="1"/>
  <c r="J151" i="4"/>
  <c r="D151" i="4"/>
  <c r="B151" i="4"/>
  <c r="J150" i="4"/>
  <c r="D150" i="4"/>
  <c r="B150" i="4"/>
  <c r="J149" i="4"/>
  <c r="D149" i="4"/>
  <c r="B149" i="4"/>
  <c r="J148" i="4"/>
  <c r="K148" i="4" s="1"/>
  <c r="J147" i="4"/>
  <c r="K147" i="4" s="1"/>
  <c r="J146" i="4"/>
  <c r="D146" i="4"/>
  <c r="B146" i="4"/>
  <c r="J145" i="4"/>
  <c r="D145" i="4"/>
  <c r="B145" i="4"/>
  <c r="J144" i="4"/>
  <c r="D144" i="4"/>
  <c r="B144" i="4"/>
  <c r="J143" i="4"/>
  <c r="D143" i="4"/>
  <c r="B143" i="4"/>
  <c r="J142" i="4"/>
  <c r="D142" i="4"/>
  <c r="B142" i="4"/>
  <c r="J141" i="4"/>
  <c r="D141" i="4"/>
  <c r="B141" i="4"/>
  <c r="J140" i="4"/>
  <c r="D140" i="4"/>
  <c r="B140" i="4"/>
  <c r="J139" i="4"/>
  <c r="D139" i="4"/>
  <c r="B139" i="4"/>
  <c r="J138" i="4"/>
  <c r="D138" i="4"/>
  <c r="B138" i="4"/>
  <c r="J137" i="4"/>
  <c r="D137" i="4"/>
  <c r="B137" i="4"/>
  <c r="J136" i="4"/>
  <c r="D136" i="4"/>
  <c r="B136" i="4"/>
  <c r="J135" i="4"/>
  <c r="K135" i="4" s="1"/>
  <c r="J134" i="4"/>
  <c r="K134" i="4" s="1"/>
  <c r="J133" i="4"/>
  <c r="D133" i="4"/>
  <c r="B133" i="4"/>
  <c r="J132" i="4"/>
  <c r="K132" i="4" s="1"/>
  <c r="J131" i="4"/>
  <c r="K131" i="4" s="1"/>
  <c r="J130" i="4"/>
  <c r="D130" i="4"/>
  <c r="B130" i="4"/>
  <c r="J129" i="4"/>
  <c r="D129" i="4"/>
  <c r="B129" i="4"/>
  <c r="J128" i="4"/>
  <c r="D128" i="4"/>
  <c r="B128" i="4"/>
  <c r="J127" i="4"/>
  <c r="K127" i="4" s="1"/>
  <c r="J126" i="4"/>
  <c r="D126" i="4"/>
  <c r="B126" i="4"/>
  <c r="J125" i="4"/>
  <c r="D125" i="4"/>
  <c r="B125" i="4"/>
  <c r="J124" i="4"/>
  <c r="D124" i="4"/>
  <c r="B124" i="4"/>
  <c r="J123" i="4"/>
  <c r="D123" i="4"/>
  <c r="B123" i="4"/>
  <c r="J122" i="4"/>
  <c r="D122" i="4"/>
  <c r="B122" i="4"/>
  <c r="J121" i="4"/>
  <c r="D121" i="4"/>
  <c r="B121" i="4"/>
  <c r="J120" i="4"/>
  <c r="D120" i="4"/>
  <c r="B120" i="4"/>
  <c r="J119" i="4"/>
  <c r="D119" i="4"/>
  <c r="B119" i="4"/>
  <c r="J118" i="4"/>
  <c r="D118" i="4"/>
  <c r="B118" i="4"/>
  <c r="J117" i="4"/>
  <c r="K117" i="4" s="1"/>
  <c r="J116" i="4"/>
  <c r="D116" i="4"/>
  <c r="B116" i="4"/>
  <c r="J115" i="4"/>
  <c r="D115" i="4"/>
  <c r="B115" i="4"/>
  <c r="J114" i="4"/>
  <c r="D114" i="4"/>
  <c r="B114" i="4"/>
  <c r="J113" i="4"/>
  <c r="D113" i="4"/>
  <c r="B113" i="4"/>
  <c r="J112" i="4"/>
  <c r="K112" i="4" s="1"/>
  <c r="J111" i="4"/>
  <c r="K111" i="4" s="1"/>
  <c r="J110" i="4"/>
  <c r="D110" i="4"/>
  <c r="B110" i="4"/>
  <c r="J109" i="4"/>
  <c r="K109" i="4" s="1"/>
  <c r="J108" i="4"/>
  <c r="D108" i="4"/>
  <c r="B108" i="4"/>
  <c r="J107" i="4"/>
  <c r="D107" i="4"/>
  <c r="B107" i="4"/>
  <c r="J106" i="4"/>
  <c r="D106" i="4"/>
  <c r="B106" i="4"/>
  <c r="J105" i="4"/>
  <c r="D105" i="4"/>
  <c r="B105" i="4"/>
  <c r="J104" i="4"/>
  <c r="D104" i="4"/>
  <c r="B104" i="4"/>
  <c r="J103" i="4"/>
  <c r="D103" i="4"/>
  <c r="B103" i="4"/>
  <c r="J102" i="4"/>
  <c r="D102" i="4"/>
  <c r="B102" i="4"/>
  <c r="J101" i="4"/>
  <c r="D101" i="4"/>
  <c r="B101" i="4"/>
  <c r="J100" i="4"/>
  <c r="D100" i="4"/>
  <c r="B100" i="4"/>
  <c r="J99" i="4"/>
  <c r="K99" i="4" s="1"/>
  <c r="J98" i="4"/>
  <c r="D98" i="4"/>
  <c r="B98" i="4"/>
  <c r="J97" i="4"/>
  <c r="D97" i="4"/>
  <c r="B97" i="4"/>
  <c r="J96" i="4"/>
  <c r="D96" i="4"/>
  <c r="B96" i="4"/>
  <c r="J95" i="4"/>
  <c r="K95" i="4" s="1"/>
  <c r="J94" i="4"/>
  <c r="D94" i="4"/>
  <c r="B94" i="4"/>
  <c r="J93" i="4"/>
  <c r="D93" i="4"/>
  <c r="B93" i="4"/>
  <c r="K92" i="4"/>
  <c r="J92" i="4"/>
  <c r="J91" i="4"/>
  <c r="K91" i="4" s="1"/>
  <c r="J90" i="4"/>
  <c r="D90" i="4"/>
  <c r="B90" i="4"/>
  <c r="J89" i="4"/>
  <c r="D89" i="4"/>
  <c r="B89" i="4"/>
  <c r="J88" i="4"/>
  <c r="K88" i="4" s="1"/>
  <c r="J87" i="4"/>
  <c r="D87" i="4"/>
  <c r="B87" i="4"/>
  <c r="J86" i="4"/>
  <c r="D86" i="4"/>
  <c r="B86" i="4"/>
  <c r="J85" i="4"/>
  <c r="K85" i="4" s="1"/>
  <c r="J84" i="4"/>
  <c r="D84" i="4"/>
  <c r="B84" i="4"/>
  <c r="J83" i="4"/>
  <c r="D83" i="4"/>
  <c r="B83" i="4"/>
  <c r="J82" i="4"/>
  <c r="K82" i="4" s="1"/>
  <c r="J81" i="4"/>
  <c r="K81" i="4" s="1"/>
  <c r="J80" i="4"/>
  <c r="D80" i="4"/>
  <c r="B80" i="4"/>
  <c r="J79" i="4"/>
  <c r="D79" i="4"/>
  <c r="B79" i="4"/>
  <c r="J78" i="4"/>
  <c r="K78" i="4" s="1"/>
  <c r="J77" i="4"/>
  <c r="D77" i="4"/>
  <c r="B77" i="4"/>
  <c r="J76" i="4"/>
  <c r="D76" i="4"/>
  <c r="B76" i="4"/>
  <c r="J75" i="4"/>
  <c r="K75" i="4" s="1"/>
  <c r="J74" i="4"/>
  <c r="D74" i="4"/>
  <c r="B74" i="4"/>
  <c r="J73" i="4"/>
  <c r="D73" i="4"/>
  <c r="B73" i="4"/>
  <c r="J72" i="4"/>
  <c r="D72" i="4"/>
  <c r="B72" i="4"/>
  <c r="J71" i="4"/>
  <c r="D71" i="4"/>
  <c r="B71" i="4"/>
  <c r="J70" i="4"/>
  <c r="K70" i="4" s="1"/>
  <c r="J69" i="4"/>
  <c r="D69" i="4"/>
  <c r="B69" i="4"/>
  <c r="J68" i="4"/>
  <c r="K68" i="4" s="1"/>
  <c r="J67" i="4"/>
  <c r="D67" i="4"/>
  <c r="B67" i="4"/>
  <c r="J66" i="4"/>
  <c r="D66" i="4"/>
  <c r="B66" i="4"/>
  <c r="J65" i="4"/>
  <c r="K65" i="4" s="1"/>
  <c r="J64" i="4"/>
  <c r="D64" i="4"/>
  <c r="B64" i="4"/>
  <c r="J63" i="4"/>
  <c r="D63" i="4"/>
  <c r="B63" i="4"/>
  <c r="J62" i="4"/>
  <c r="D62" i="4"/>
  <c r="B62" i="4"/>
  <c r="J61" i="4"/>
  <c r="D61" i="4"/>
  <c r="B61" i="4"/>
  <c r="J60" i="4"/>
  <c r="D60" i="4"/>
  <c r="B60" i="4"/>
  <c r="J59" i="4"/>
  <c r="D59" i="4"/>
  <c r="B59" i="4"/>
  <c r="J58" i="4"/>
  <c r="D58" i="4"/>
  <c r="B58" i="4"/>
  <c r="J57" i="4"/>
  <c r="D57" i="4"/>
  <c r="B57" i="4"/>
  <c r="J56" i="4"/>
  <c r="D56" i="4"/>
  <c r="B56" i="4"/>
  <c r="J55" i="4"/>
  <c r="D55" i="4"/>
  <c r="B55" i="4"/>
  <c r="J54" i="4"/>
  <c r="D54" i="4"/>
  <c r="B54" i="4"/>
  <c r="J53" i="4"/>
  <c r="D53" i="4"/>
  <c r="B53" i="4"/>
  <c r="J52" i="4"/>
  <c r="D52" i="4"/>
  <c r="B52" i="4"/>
  <c r="J51" i="4"/>
  <c r="K51" i="4" s="1"/>
  <c r="J50" i="4"/>
  <c r="D50" i="4"/>
  <c r="B50" i="4"/>
  <c r="J49" i="4"/>
  <c r="D49" i="4"/>
  <c r="B49" i="4"/>
  <c r="J48" i="4"/>
  <c r="D48" i="4"/>
  <c r="B48" i="4"/>
  <c r="J47" i="4"/>
  <c r="D47" i="4"/>
  <c r="B47" i="4"/>
  <c r="J46" i="4"/>
  <c r="D46" i="4"/>
  <c r="B46" i="4"/>
  <c r="J45" i="4"/>
  <c r="D45" i="4"/>
  <c r="B45" i="4"/>
  <c r="J44" i="4"/>
  <c r="D44" i="4"/>
  <c r="B44" i="4"/>
  <c r="J43" i="4"/>
  <c r="D43" i="4"/>
  <c r="B43" i="4"/>
  <c r="J42" i="4"/>
  <c r="D42" i="4"/>
  <c r="B42" i="4"/>
  <c r="J41" i="4"/>
  <c r="D41" i="4"/>
  <c r="B41" i="4"/>
  <c r="J40" i="4"/>
  <c r="D40" i="4"/>
  <c r="B40" i="4"/>
  <c r="J39" i="4"/>
  <c r="K39" i="4" s="1"/>
  <c r="J38" i="4"/>
  <c r="D38" i="4"/>
  <c r="B38" i="4"/>
  <c r="J37" i="4"/>
  <c r="D37" i="4"/>
  <c r="B37" i="4"/>
  <c r="J36" i="4"/>
  <c r="D36" i="4"/>
  <c r="B36" i="4"/>
  <c r="J35" i="4"/>
  <c r="D35" i="4"/>
  <c r="B35" i="4"/>
  <c r="J34" i="4"/>
  <c r="K34" i="4" s="1"/>
  <c r="J33" i="4"/>
  <c r="D33" i="4"/>
  <c r="B33" i="4"/>
  <c r="J32" i="4"/>
  <c r="D32" i="4"/>
  <c r="B32" i="4"/>
  <c r="J31" i="4"/>
  <c r="D31" i="4"/>
  <c r="B31" i="4"/>
  <c r="J30" i="4"/>
  <c r="D30" i="4"/>
  <c r="B30" i="4"/>
  <c r="J29" i="4"/>
  <c r="D29" i="4"/>
  <c r="B29" i="4"/>
  <c r="J28" i="4"/>
  <c r="D28" i="4"/>
  <c r="B28" i="4"/>
  <c r="J27" i="4"/>
  <c r="K27" i="4" s="1"/>
  <c r="J26" i="4"/>
  <c r="K26" i="4" s="1"/>
  <c r="J25" i="4"/>
  <c r="K25" i="4" s="1"/>
  <c r="J24" i="4"/>
  <c r="D24" i="4"/>
  <c r="B24" i="4"/>
  <c r="J23" i="4"/>
  <c r="D23" i="4"/>
  <c r="B23" i="4"/>
  <c r="J22" i="4"/>
  <c r="D22" i="4"/>
  <c r="B22" i="4"/>
  <c r="J21" i="4"/>
  <c r="D21" i="4"/>
  <c r="B21" i="4"/>
  <c r="J20" i="4"/>
  <c r="D20" i="4"/>
  <c r="B20" i="4"/>
  <c r="J19" i="4"/>
  <c r="D19" i="4"/>
  <c r="B19" i="4"/>
  <c r="J18" i="4"/>
  <c r="D18" i="4"/>
  <c r="B18" i="4"/>
  <c r="J17" i="4"/>
  <c r="K17" i="4" s="1"/>
  <c r="J16" i="4"/>
  <c r="D16" i="4"/>
  <c r="B16" i="4"/>
  <c r="J15" i="4"/>
  <c r="D15" i="4"/>
  <c r="B15" i="4"/>
  <c r="J14" i="4"/>
  <c r="D14" i="4"/>
  <c r="B14" i="4"/>
  <c r="J13" i="4"/>
  <c r="K13" i="4" s="1"/>
  <c r="J12" i="4"/>
  <c r="D12" i="4"/>
  <c r="B12" i="4"/>
  <c r="J11" i="4"/>
  <c r="D11" i="4"/>
  <c r="B11" i="4"/>
  <c r="J10" i="4"/>
  <c r="D10" i="4"/>
  <c r="B10" i="4"/>
  <c r="J9" i="4"/>
  <c r="D9" i="4"/>
  <c r="B9" i="4"/>
  <c r="J8" i="4"/>
  <c r="K8" i="4" s="1"/>
  <c r="J7" i="4"/>
  <c r="D7" i="4"/>
  <c r="B7" i="4"/>
  <c r="J6" i="4"/>
  <c r="D6" i="4"/>
  <c r="B6" i="4"/>
  <c r="J5" i="4"/>
  <c r="D5" i="4"/>
  <c r="B5" i="4"/>
  <c r="J4" i="4"/>
  <c r="K4" i="4" s="1"/>
  <c r="J3" i="4"/>
  <c r="D3" i="4"/>
  <c r="B3" i="4"/>
  <c r="J2" i="4"/>
  <c r="D2" i="4"/>
  <c r="B2" i="4"/>
  <c r="D48" i="3"/>
  <c r="D45" i="3"/>
  <c r="D44" i="3"/>
  <c r="D42" i="3"/>
  <c r="D36" i="3"/>
  <c r="D35" i="3"/>
  <c r="D34" i="3"/>
  <c r="D31" i="3"/>
  <c r="D27" i="3"/>
  <c r="D26" i="3"/>
  <c r="D25" i="3"/>
  <c r="D23" i="3"/>
  <c r="D19" i="3"/>
  <c r="D17" i="3"/>
  <c r="D15" i="3"/>
  <c r="D14" i="3"/>
  <c r="D12" i="3"/>
  <c r="D9" i="3"/>
  <c r="D5" i="3"/>
  <c r="D3" i="3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0" i="2"/>
  <c r="B289" i="2"/>
  <c r="B288" i="2"/>
  <c r="B287" i="2"/>
  <c r="B285" i="2"/>
  <c r="B284" i="2"/>
  <c r="B283" i="2"/>
  <c r="B282" i="2"/>
  <c r="B281" i="2"/>
  <c r="B280" i="2"/>
  <c r="B279" i="2"/>
  <c r="B278" i="2"/>
  <c r="B277" i="2"/>
  <c r="B276" i="2"/>
  <c r="B274" i="2"/>
  <c r="B273" i="2"/>
  <c r="B271" i="2"/>
  <c r="B269" i="2"/>
  <c r="B267" i="2"/>
  <c r="B266" i="2"/>
  <c r="B265" i="2"/>
  <c r="B264" i="2"/>
  <c r="B263" i="2"/>
  <c r="B257" i="2"/>
  <c r="B256" i="2"/>
  <c r="B255" i="2"/>
  <c r="B254" i="2"/>
  <c r="B252" i="2"/>
  <c r="B251" i="2"/>
  <c r="B249" i="2"/>
  <c r="B248" i="2"/>
  <c r="B246" i="2"/>
  <c r="B242" i="2"/>
  <c r="B237" i="2"/>
  <c r="B236" i="2"/>
  <c r="B235" i="2"/>
  <c r="B232" i="2"/>
  <c r="B231" i="2"/>
  <c r="B230" i="2"/>
  <c r="B228" i="2"/>
  <c r="B226" i="2"/>
  <c r="B225" i="2"/>
  <c r="B224" i="2"/>
  <c r="B221" i="2"/>
  <c r="B220" i="2"/>
  <c r="B219" i="2"/>
  <c r="B214" i="2"/>
  <c r="B213" i="2"/>
  <c r="B212" i="2"/>
  <c r="B211" i="2"/>
  <c r="B210" i="2"/>
  <c r="B208" i="2"/>
  <c r="B205" i="2"/>
  <c r="B204" i="2"/>
  <c r="B203" i="2"/>
  <c r="B202" i="2"/>
  <c r="B201" i="2"/>
  <c r="B200" i="2"/>
  <c r="B197" i="2"/>
  <c r="B196" i="2"/>
  <c r="B193" i="2"/>
  <c r="B192" i="2"/>
  <c r="B191" i="2"/>
  <c r="B189" i="2"/>
  <c r="B188" i="2"/>
  <c r="B186" i="2"/>
  <c r="B185" i="2"/>
  <c r="B184" i="2"/>
  <c r="B183" i="2"/>
  <c r="B182" i="2"/>
  <c r="B181" i="2"/>
  <c r="B176" i="2"/>
  <c r="B174" i="2"/>
  <c r="B172" i="2"/>
  <c r="B171" i="2"/>
  <c r="B168" i="2"/>
  <c r="B167" i="2"/>
  <c r="B164" i="2"/>
  <c r="B162" i="2"/>
  <c r="B160" i="2"/>
  <c r="B159" i="2"/>
  <c r="B158" i="2"/>
  <c r="B157" i="2"/>
  <c r="B151" i="2"/>
  <c r="B150" i="2"/>
  <c r="B149" i="2"/>
  <c r="B148" i="2"/>
  <c r="B145" i="2"/>
  <c r="B144" i="2"/>
  <c r="B142" i="2"/>
  <c r="B141" i="2"/>
  <c r="B138" i="2"/>
  <c r="B137" i="2"/>
  <c r="B136" i="2"/>
  <c r="B135" i="2"/>
  <c r="B134" i="2"/>
  <c r="B131" i="2"/>
  <c r="B130" i="2"/>
  <c r="B129" i="2"/>
  <c r="B128" i="2"/>
  <c r="B124" i="2"/>
  <c r="B123" i="2"/>
  <c r="B122" i="2"/>
  <c r="B121" i="2"/>
  <c r="B120" i="2"/>
  <c r="B115" i="2"/>
  <c r="B114" i="2"/>
  <c r="B113" i="2"/>
  <c r="B111" i="2"/>
  <c r="B110" i="2"/>
  <c r="B109" i="2"/>
  <c r="B108" i="2"/>
  <c r="B107" i="2"/>
  <c r="B106" i="2"/>
  <c r="B103" i="2"/>
  <c r="B98" i="2"/>
  <c r="B96" i="2"/>
  <c r="B95" i="2"/>
  <c r="B94" i="2"/>
  <c r="B93" i="2"/>
  <c r="B92" i="2"/>
  <c r="B90" i="2"/>
  <c r="B89" i="2"/>
  <c r="B87" i="2"/>
  <c r="B86" i="2"/>
  <c r="B85" i="2"/>
  <c r="B84" i="2"/>
  <c r="B82" i="2"/>
  <c r="B80" i="2"/>
  <c r="B78" i="2"/>
  <c r="B75" i="2"/>
  <c r="B74" i="2"/>
  <c r="B72" i="2"/>
  <c r="B70" i="2"/>
  <c r="B68" i="2"/>
  <c r="B67" i="2"/>
  <c r="B65" i="2"/>
  <c r="B64" i="2"/>
  <c r="B63" i="2"/>
  <c r="B62" i="2"/>
  <c r="B61" i="2"/>
  <c r="B59" i="2"/>
  <c r="B58" i="2"/>
  <c r="B56" i="2"/>
  <c r="B53" i="2"/>
  <c r="B52" i="2"/>
  <c r="B51" i="2"/>
  <c r="B46" i="2"/>
  <c r="B45" i="2"/>
  <c r="B43" i="2"/>
  <c r="B41" i="2"/>
  <c r="B39" i="2"/>
  <c r="B37" i="2"/>
  <c r="B34" i="2"/>
  <c r="B33" i="2"/>
  <c r="B32" i="2"/>
  <c r="B31" i="2"/>
  <c r="B30" i="2"/>
  <c r="B27" i="2"/>
  <c r="B25" i="2"/>
  <c r="B18" i="2"/>
  <c r="B17" i="2"/>
  <c r="B16" i="2"/>
  <c r="B15" i="2"/>
  <c r="B12" i="2"/>
  <c r="B10" i="2"/>
  <c r="B7" i="2"/>
  <c r="E229" i="4" l="1"/>
  <c r="K229" i="4" s="1"/>
  <c r="E45" i="4"/>
  <c r="K45" i="4" s="1"/>
  <c r="E201" i="4"/>
  <c r="K201" i="4" s="1"/>
  <c r="E56" i="4"/>
  <c r="K56" i="4" s="1"/>
  <c r="E71" i="4"/>
  <c r="K71" i="4" s="1"/>
  <c r="E80" i="4"/>
  <c r="K80" i="4" s="1"/>
  <c r="E130" i="4"/>
  <c r="K130" i="4" s="1"/>
  <c r="E138" i="4"/>
  <c r="K138" i="4" s="1"/>
  <c r="E146" i="4"/>
  <c r="K146" i="4" s="1"/>
  <c r="E150" i="4"/>
  <c r="K150" i="4" s="1"/>
  <c r="E161" i="4"/>
  <c r="K161" i="4" s="1"/>
  <c r="E31" i="4"/>
  <c r="K31" i="4" s="1"/>
  <c r="E106" i="4"/>
  <c r="K106" i="4" s="1"/>
  <c r="E116" i="4"/>
  <c r="K116" i="4" s="1"/>
  <c r="E154" i="4"/>
  <c r="K154" i="4" s="1"/>
  <c r="E168" i="4"/>
  <c r="K168" i="4" s="1"/>
  <c r="E22" i="4"/>
  <c r="K22" i="4" s="1"/>
  <c r="E43" i="4"/>
  <c r="K43" i="4" s="1"/>
  <c r="E69" i="4"/>
  <c r="K69" i="4" s="1"/>
  <c r="E101" i="4"/>
  <c r="K101" i="4" s="1"/>
  <c r="E128" i="4"/>
  <c r="K128" i="4" s="1"/>
  <c r="E136" i="4"/>
  <c r="K136" i="4" s="1"/>
  <c r="E144" i="4"/>
  <c r="K144" i="4" s="1"/>
  <c r="E159" i="4"/>
  <c r="K159" i="4" s="1"/>
  <c r="E171" i="4"/>
  <c r="K171" i="4" s="1"/>
  <c r="E188" i="4"/>
  <c r="K188" i="4" s="1"/>
  <c r="E195" i="4"/>
  <c r="K195" i="4" s="1"/>
  <c r="E198" i="4"/>
  <c r="K198" i="4" s="1"/>
  <c r="E21" i="4"/>
  <c r="K21" i="4" s="1"/>
  <c r="E12" i="4"/>
  <c r="K12" i="4" s="1"/>
  <c r="E87" i="4"/>
  <c r="K87" i="4" s="1"/>
  <c r="E103" i="4"/>
  <c r="K103" i="4" s="1"/>
  <c r="E19" i="4"/>
  <c r="K19" i="4" s="1"/>
  <c r="E40" i="4"/>
  <c r="K40" i="4" s="1"/>
  <c r="E48" i="4"/>
  <c r="K48" i="4" s="1"/>
  <c r="E185" i="4"/>
  <c r="K185" i="4" s="1"/>
  <c r="E191" i="4"/>
  <c r="K191" i="4" s="1"/>
  <c r="E199" i="4"/>
  <c r="K199" i="4" s="1"/>
  <c r="E46" i="4"/>
  <c r="K46" i="4" s="1"/>
  <c r="E52" i="4"/>
  <c r="K52" i="4" s="1"/>
  <c r="E60" i="4"/>
  <c r="K60" i="4" s="1"/>
  <c r="E104" i="4"/>
  <c r="K104" i="4" s="1"/>
  <c r="E110" i="4"/>
  <c r="K110" i="4" s="1"/>
  <c r="E114" i="4"/>
  <c r="K114" i="4" s="1"/>
  <c r="E151" i="4"/>
  <c r="K151" i="4" s="1"/>
  <c r="E166" i="4"/>
  <c r="K166" i="4" s="1"/>
  <c r="E217" i="4"/>
  <c r="K217" i="4" s="1"/>
  <c r="E41" i="4"/>
  <c r="K41" i="4" s="1"/>
  <c r="E49" i="4"/>
  <c r="K49" i="4" s="1"/>
  <c r="E63" i="4"/>
  <c r="K63" i="4" s="1"/>
  <c r="E123" i="4"/>
  <c r="K123" i="4" s="1"/>
  <c r="E97" i="4"/>
  <c r="K97" i="4" s="1"/>
  <c r="E165" i="4"/>
  <c r="K165" i="4" s="1"/>
  <c r="E62" i="4"/>
  <c r="K62" i="4" s="1"/>
  <c r="E14" i="4"/>
  <c r="K14" i="4" s="1"/>
  <c r="E32" i="4"/>
  <c r="K32" i="4" s="1"/>
  <c r="E142" i="4"/>
  <c r="K142" i="4" s="1"/>
  <c r="E186" i="4"/>
  <c r="K186" i="4" s="1"/>
  <c r="E192" i="4"/>
  <c r="K192" i="4" s="1"/>
  <c r="E11" i="4"/>
  <c r="K11" i="4" s="1"/>
  <c r="E38" i="4"/>
  <c r="K38" i="4" s="1"/>
  <c r="E58" i="4"/>
  <c r="K58" i="4" s="1"/>
  <c r="E73" i="4"/>
  <c r="K73" i="4" s="1"/>
  <c r="E76" i="4"/>
  <c r="K76" i="4" s="1"/>
  <c r="E89" i="4"/>
  <c r="K89" i="4" s="1"/>
  <c r="E96" i="4"/>
  <c r="K96" i="4" s="1"/>
  <c r="E118" i="4"/>
  <c r="K118" i="4" s="1"/>
  <c r="E126" i="4"/>
  <c r="K126" i="4" s="1"/>
  <c r="E137" i="4"/>
  <c r="K137" i="4" s="1"/>
  <c r="E145" i="4"/>
  <c r="K145" i="4" s="1"/>
  <c r="E149" i="4"/>
  <c r="K149" i="4" s="1"/>
  <c r="E160" i="4"/>
  <c r="K160" i="4" s="1"/>
  <c r="E176" i="4"/>
  <c r="K176" i="4" s="1"/>
  <c r="E183" i="4"/>
  <c r="K183" i="4" s="1"/>
  <c r="E196" i="4"/>
  <c r="K196" i="4" s="1"/>
  <c r="E208" i="4"/>
  <c r="K208" i="4" s="1"/>
  <c r="E74" i="4"/>
  <c r="K74" i="4" s="1"/>
  <c r="E119" i="4"/>
  <c r="K119" i="4" s="1"/>
  <c r="E2" i="4"/>
  <c r="K2" i="4" s="1"/>
  <c r="E55" i="4"/>
  <c r="K55" i="4" s="1"/>
  <c r="E79" i="4"/>
  <c r="K79" i="4" s="1"/>
  <c r="E107" i="4"/>
  <c r="K107" i="4" s="1"/>
  <c r="E169" i="4"/>
  <c r="K169" i="4" s="1"/>
  <c r="E125" i="4"/>
  <c r="K125" i="4" s="1"/>
  <c r="E18" i="4"/>
  <c r="K18" i="4" s="1"/>
  <c r="E53" i="4"/>
  <c r="K53" i="4" s="1"/>
  <c r="E61" i="4"/>
  <c r="K61" i="4" s="1"/>
  <c r="E67" i="4"/>
  <c r="K67" i="4" s="1"/>
  <c r="E83" i="4"/>
  <c r="K83" i="4" s="1"/>
  <c r="E93" i="4"/>
  <c r="K93" i="4" s="1"/>
  <c r="E121" i="4"/>
  <c r="K121" i="4" s="1"/>
  <c r="E140" i="4"/>
  <c r="K140" i="4" s="1"/>
  <c r="E167" i="4"/>
  <c r="K167" i="4" s="1"/>
  <c r="E173" i="4"/>
  <c r="K173" i="4" s="1"/>
  <c r="E180" i="4"/>
  <c r="K180" i="4" s="1"/>
  <c r="E190" i="4"/>
  <c r="K190" i="4" s="1"/>
  <c r="E215" i="4"/>
  <c r="K215" i="4" s="1"/>
  <c r="E7" i="4"/>
  <c r="K7" i="4" s="1"/>
  <c r="E64" i="4"/>
  <c r="K64" i="4" s="1"/>
  <c r="E124" i="4"/>
  <c r="K124" i="4" s="1"/>
  <c r="E143" i="4"/>
  <c r="K143" i="4" s="1"/>
  <c r="E30" i="4"/>
  <c r="K30" i="4" s="1"/>
  <c r="E37" i="4"/>
  <c r="K37" i="4" s="1"/>
  <c r="E44" i="4"/>
  <c r="K44" i="4" s="1"/>
  <c r="E59" i="4"/>
  <c r="K59" i="4" s="1"/>
  <c r="E66" i="4"/>
  <c r="K66" i="4" s="1"/>
  <c r="E72" i="4"/>
  <c r="K72" i="4" s="1"/>
  <c r="E84" i="4"/>
  <c r="K84" i="4" s="1"/>
  <c r="E90" i="4"/>
  <c r="K90" i="4" s="1"/>
  <c r="E102" i="4"/>
  <c r="K102" i="4" s="1"/>
  <c r="E115" i="4"/>
  <c r="K115" i="4" s="1"/>
  <c r="E122" i="4"/>
  <c r="K122" i="4" s="1"/>
  <c r="E129" i="4"/>
  <c r="K129" i="4" s="1"/>
  <c r="E141" i="4"/>
  <c r="K141" i="4" s="1"/>
  <c r="E177" i="4"/>
  <c r="K177" i="4" s="1"/>
  <c r="E205" i="4"/>
  <c r="K205" i="4" s="1"/>
  <c r="E223" i="4"/>
  <c r="K223" i="4" s="1"/>
  <c r="E15" i="4"/>
  <c r="K15" i="4" s="1"/>
  <c r="E6" i="4"/>
  <c r="K6" i="4" s="1"/>
  <c r="E10" i="4"/>
  <c r="K10" i="4" s="1"/>
  <c r="E24" i="4"/>
  <c r="K24" i="4" s="1"/>
  <c r="E29" i="4"/>
  <c r="K29" i="4" s="1"/>
  <c r="E36" i="4"/>
  <c r="K36" i="4" s="1"/>
  <c r="E5" i="4"/>
  <c r="K5" i="4" s="1"/>
  <c r="E3" i="4"/>
  <c r="K3" i="4" s="1"/>
  <c r="E9" i="4"/>
  <c r="K9" i="4" s="1"/>
  <c r="E16" i="4"/>
  <c r="K16" i="4" s="1"/>
  <c r="E23" i="4"/>
  <c r="K23" i="4" s="1"/>
  <c r="E28" i="4"/>
  <c r="K28" i="4" s="1"/>
  <c r="E35" i="4"/>
  <c r="K35" i="4" s="1"/>
  <c r="E42" i="4"/>
  <c r="K42" i="4" s="1"/>
  <c r="E50" i="4"/>
  <c r="K50" i="4" s="1"/>
  <c r="E57" i="4"/>
  <c r="K57" i="4" s="1"/>
  <c r="E77" i="4"/>
  <c r="K77" i="4" s="1"/>
  <c r="E94" i="4"/>
  <c r="K94" i="4" s="1"/>
  <c r="E100" i="4"/>
  <c r="K100" i="4" s="1"/>
  <c r="E108" i="4"/>
  <c r="K108" i="4" s="1"/>
  <c r="E113" i="4"/>
  <c r="K113" i="4" s="1"/>
  <c r="E120" i="4"/>
  <c r="K120" i="4" s="1"/>
  <c r="E133" i="4"/>
  <c r="K133" i="4" s="1"/>
  <c r="E139" i="4"/>
  <c r="K139" i="4" s="1"/>
  <c r="E157" i="4"/>
  <c r="K157" i="4" s="1"/>
  <c r="E163" i="4"/>
  <c r="K163" i="4" s="1"/>
  <c r="E170" i="4"/>
  <c r="K170" i="4" s="1"/>
  <c r="E181" i="4"/>
  <c r="K181" i="4" s="1"/>
  <c r="E187" i="4"/>
  <c r="K187" i="4" s="1"/>
  <c r="E20" i="4"/>
  <c r="K20" i="4" s="1"/>
  <c r="E33" i="4"/>
  <c r="K33" i="4" s="1"/>
  <c r="E47" i="4"/>
  <c r="K47" i="4" s="1"/>
  <c r="E54" i="4"/>
  <c r="K54" i="4" s="1"/>
  <c r="E86" i="4"/>
  <c r="K86" i="4" s="1"/>
  <c r="E98" i="4"/>
  <c r="K98" i="4" s="1"/>
  <c r="E105" i="4"/>
  <c r="K10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possible values are 0,1,2 -- very strange? @gabriel@lighthousereports.nl - do you know why this isn't a boolean?
	-Htet Aung
I just checked their documentation and this is what they have written: "Three values: Yes, No and Not yet known. Included as numerical value in model." Not exactly sure which value is which, but we could try to reverse engineer from Ibrahim's results.
	-Gabriel Geiger</t>
        </r>
      </text>
    </comment>
    <comment ref="A5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this seems to encode unique languages... would be very interesting to see what the various numbers correspond to... very good proxies for race. def much better than neighborhood
	-Justin-Casimir Braun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Found this isn't in the list. To add other attributes
	-Htet Aung</t>
        </r>
      </text>
    </comment>
  </commentList>
</comments>
</file>

<file path=xl/sharedStrings.xml><?xml version="1.0" encoding="utf-8"?>
<sst xmlns="http://schemas.openxmlformats.org/spreadsheetml/2006/main" count="3005" uniqueCount="967">
  <si>
    <t>feature_dutch</t>
  </si>
  <si>
    <t>feature_english</t>
  </si>
  <si>
    <t>relative_importance</t>
  </si>
  <si>
    <t>relatie_overig_kostendeler</t>
  </si>
  <si>
    <t>relatie_kind_huidige_aantal</t>
  </si>
  <si>
    <t>contacten_soort_afgelopenjaar_document__uitgaand_</t>
  </si>
  <si>
    <t>competentie_vakdeskundigheid_toepassen</t>
  </si>
  <si>
    <t>contacten_onderwerp_no_show</t>
  </si>
  <si>
    <t>persoonlijke_eigenschappen_dagen_sinds_opvoer</t>
  </si>
  <si>
    <t>contacten_onderwerp_overleg_met_inkomen</t>
  </si>
  <si>
    <t>adres_dagen_op_adres</t>
  </si>
  <si>
    <t>persoonlijke_eigenschappen_dagen_sinds_taaleis</t>
  </si>
  <si>
    <t>instrument_ladder_huidig_activering</t>
  </si>
  <si>
    <t>relatie_partner_totaal_dagen_partner</t>
  </si>
  <si>
    <t>relatie_kind_leeftijd_verschil_ouder_eerste_kind</t>
  </si>
  <si>
    <t>instrument_ladder_historie_activering</t>
  </si>
  <si>
    <t>ontheffing_dagen_hist_vanwege_uw_medische_omstandigheden</t>
  </si>
  <si>
    <t>afspraak_resultaat_ingevuld_uniek</t>
  </si>
  <si>
    <t>belemmering_dagen_psychische_problemen</t>
  </si>
  <si>
    <t>relatie_overig_historie_vorm__andere_inwonende</t>
  </si>
  <si>
    <t>pla_ondertekeningen_historie</t>
  </si>
  <si>
    <t>beschikbaarheid_aantal_historie_afwijkend_wegens_medische_omstandigheden</t>
  </si>
  <si>
    <t>ontheffing_dagen_hist_mean</t>
  </si>
  <si>
    <t>afspraak_aantal_woorden</t>
  </si>
  <si>
    <t>adres_aantal_brp_adres</t>
  </si>
  <si>
    <t>belemmering_dagen_financiele_problemen</t>
  </si>
  <si>
    <t>typering_dagen_som</t>
  </si>
  <si>
    <t>pla_hist_pla_categorie_doelstelling_16</t>
  </si>
  <si>
    <t>contacten_onderwerp_documenttype__overeenkomst_</t>
  </si>
  <si>
    <t>afspraak_inspanningsperiode</t>
  </si>
  <si>
    <t>ontheffing_reden_hist_tijdelijke_ontheffing_arbeidsverpl__en_tegenprestatie</t>
  </si>
  <si>
    <t>contacten_onderwerp__werk_intake</t>
  </si>
  <si>
    <t>contacten_soort_document__inkomend_</t>
  </si>
  <si>
    <t>adres_aantal_verschillende_wijken</t>
  </si>
  <si>
    <t>afspraak_laatstejaar_aantal_woorden</t>
  </si>
  <si>
    <t>instrument_reden_beeindiging_historie_succesvol</t>
  </si>
  <si>
    <t>adres_aantal_verzendadres</t>
  </si>
  <si>
    <t>contacten_onderwerp_inkomen</t>
  </si>
  <si>
    <t>contacten_onderwerp_financiële_situatie</t>
  </si>
  <si>
    <t>relatie_overig_historie_vorm__kostendeler</t>
  </si>
  <si>
    <t>contacten_soort_document__uitgaand_</t>
  </si>
  <si>
    <t>contacten_soort_afgelopenjaar_anders</t>
  </si>
  <si>
    <t>pla_einde_uitstroom_anders_dan_volgen_onderwijs__regulier_werk_of_als_zelfstandige</t>
  </si>
  <si>
    <t>relatie_kind_jongvolwassen</t>
  </si>
  <si>
    <t>belemmering_dagen_lichamelijke_problematiek</t>
  </si>
  <si>
    <t>afspraak_laatstejaar_resultaat_ingevuld_uniek</t>
  </si>
  <si>
    <t>relatie_overig_historie_vorm__gemachtigde</t>
  </si>
  <si>
    <t>afspraak_signaal_voor_medewerker</t>
  </si>
  <si>
    <t>contacten_onderwerp_overige</t>
  </si>
  <si>
    <t>afspraak_afgelopen_jaar_voortgang_aanmelding_en_deelname</t>
  </si>
  <si>
    <t>pla_historie_ontwikkeling</t>
  </si>
  <si>
    <t>persoonlijke_eigenschappen_uitstroom_verw_vlgs_km</t>
  </si>
  <si>
    <t>competentie_plannen_en_organiseren</t>
  </si>
  <si>
    <t>relatie_overig_actueel_vorm_other</t>
  </si>
  <si>
    <t>afspraak_afgelopen_jaar_ontheffing_taaleis</t>
  </si>
  <si>
    <t>contacten_onderwerp_terugbelverzoek</t>
  </si>
  <si>
    <t>contacten_onderwerp_maatregel_overweging</t>
  </si>
  <si>
    <t>pla_historie_maatschappelijke_inspanning</t>
  </si>
  <si>
    <t>contacten_soort_anders</t>
  </si>
  <si>
    <t>deelname_act_hist_projecten_niet_gestart</t>
  </si>
  <si>
    <t>persoonlijke_eigenschappen_taaleis_voldaan</t>
  </si>
  <si>
    <t>afspraak_verzenden_beschikking_i_v_m__niet_voldoen_aan_wet_taaleis</t>
  </si>
  <si>
    <t>adres_recentste_wijk_charlois</t>
  </si>
  <si>
    <t>contacten_soort_telefoontje__inkomend_</t>
  </si>
  <si>
    <t>contacten_onderwerp_contact_met_aanbieder</t>
  </si>
  <si>
    <t>contacten_onderwerp_inspanningstoets</t>
  </si>
  <si>
    <t>contacten_soort_afgelopenjaar_document__inkomend_</t>
  </si>
  <si>
    <t>afspraak_afgelopen_jaar_signaal_voor_medewerker</t>
  </si>
  <si>
    <t>adres_recentste_wijk_feijenoord</t>
  </si>
  <si>
    <t>contacten_soort_afgelopenjaar_gesprek</t>
  </si>
  <si>
    <t>contacten_onderwerp_traject</t>
  </si>
  <si>
    <t>persoonlijke_eigenschappen_spreektaal</t>
  </si>
  <si>
    <t>adres_recentste_wijk_delfshaven</t>
  </si>
  <si>
    <t>contacten_onderwerp_zorg</t>
  </si>
  <si>
    <t>afspraak_afgelopen_jaar_monitoring_insp__wet_taaleis_na_12_mnd_n_a_v__taa04_____geen_maatregel</t>
  </si>
  <si>
    <t>persoonlijke_eigenschappen_hobbies_sport</t>
  </si>
  <si>
    <t>pla_hist_pla_categorie_doelstelling_2</t>
  </si>
  <si>
    <t>contacten_onderwerp_documenten__innemen_</t>
  </si>
  <si>
    <t>contacten_soort_e_mail__uitgaand_</t>
  </si>
  <si>
    <t>competentie_op_de_behoeften_en_verwachtingen_van_de__klant__richten</t>
  </si>
  <si>
    <t>adres_recentste_buurt_groot_ijsselmonde</t>
  </si>
  <si>
    <t>adres_recentste_wijk_other</t>
  </si>
  <si>
    <t>contacten_soort_e_mail__inkomend_</t>
  </si>
  <si>
    <t>contacten_soort_telefoontje__uitgaand_</t>
  </si>
  <si>
    <t>afspraak_controle_aankondiging_maatregel</t>
  </si>
  <si>
    <t>deelname_act_actueel_projecten_uniek</t>
  </si>
  <si>
    <t>competentie_other</t>
  </si>
  <si>
    <t>relatie_kind_basisschool_kind</t>
  </si>
  <si>
    <t>contacten_soort_afgelopenjaar_rapportage_rib</t>
  </si>
  <si>
    <t>belemmering_aantal_huidig</t>
  </si>
  <si>
    <t>pla_hist_pla_categorie_doelstelling_5</t>
  </si>
  <si>
    <t>deelname_act_reintegratieladder_ondersteunende_instrumenten</t>
  </si>
  <si>
    <t>beschikbaarheid_recent_afwijkend_wegens_medische_omstandigheden</t>
  </si>
  <si>
    <t>contacten_soort_afgelopenjaar_e_mail__uitgaand_</t>
  </si>
  <si>
    <t>instrument_reden_beeindiging_historie_uitval__klant_wz__ziet_af_van_aanbod</t>
  </si>
  <si>
    <t>contacten_onderwerp__arbeids_motivatie</t>
  </si>
  <si>
    <t>contacten_onderwerp_uitnodiging</t>
  </si>
  <si>
    <t>contacten_soort_afgelopenjaar_gesprek_op_locatie</t>
  </si>
  <si>
    <t>contacten_soort_afgelopenjaar_telefoontje__inkomend_</t>
  </si>
  <si>
    <t>persoonlijke_eigenschappen_uitstroom_verw_vlgs_klant</t>
  </si>
  <si>
    <t>afspraak_toevoegen_inschrijving_uwvwb</t>
  </si>
  <si>
    <t>contacten_soort_rapportage_deelname</t>
  </si>
  <si>
    <t>ontheffing_actueel_ind</t>
  </si>
  <si>
    <t>adres_aantal_woonadres_handmatig</t>
  </si>
  <si>
    <t>contacten_onderwerp_screening</t>
  </si>
  <si>
    <t>relatie_partner_aantal_partner___partner__ongehuwd_</t>
  </si>
  <si>
    <t>afspraak_participatietrede_vervolgmeting</t>
  </si>
  <si>
    <t>contacten_onderwerp_mutatie</t>
  </si>
  <si>
    <t>contacten_onderwerp_contact_derden</t>
  </si>
  <si>
    <t>relatie_partner_huidige_partner___partner__gehuwd_</t>
  </si>
  <si>
    <t>contacten_soort_rapportage_rib</t>
  </si>
  <si>
    <t>pla_einde_doelstelling_bereikt__nieuw_trajectplan</t>
  </si>
  <si>
    <t>pla_ondertekeningen_actueel</t>
  </si>
  <si>
    <t>pla_hist_pla_categorie_doelstelling_4</t>
  </si>
  <si>
    <t>pla_hist_pla_categorie_doelstelling_3</t>
  </si>
  <si>
    <t>competentie_overtuigen_en_beïnvloeden</t>
  </si>
  <si>
    <t>ontheffing_reden_tijdelijke_ontheffing_arbeidsverpl__en_tegenprestatie</t>
  </si>
  <si>
    <t>belemmering_hist_verslavingsproblematiek</t>
  </si>
  <si>
    <t>contacten_onderwerp_groepsbijeenkomst</t>
  </si>
  <si>
    <t>pla_hist_pla_categorie_doelstelling_9</t>
  </si>
  <si>
    <t>contacten_onderwerp_beoordelen_taaleis</t>
  </si>
  <si>
    <t>competentie_analyseren</t>
  </si>
  <si>
    <t>persoonlijke_eigenschappen_nl_schrijvenfalse</t>
  </si>
  <si>
    <t>instrument_reden_beeindiging_historie_doelstelling_bereikt__geen_uitstroom</t>
  </si>
  <si>
    <t>contacten_onderwerp_boolean_documenttype__diploma_s_en_certificaten_</t>
  </si>
  <si>
    <t>instrument_reden_beeindiging_historie_doelstelling_niet_bereikt__geen_uitstroom</t>
  </si>
  <si>
    <t>instrument_ladder_historie_other</t>
  </si>
  <si>
    <t>contacten_soort_afgelopenjaar_e_mail__inkomend_</t>
  </si>
  <si>
    <t>contacten_soort_afgelopenjaar_telefoontje__uitgaand_</t>
  </si>
  <si>
    <t>afspraak_deelname_compleet_uit_webapplicatie</t>
  </si>
  <si>
    <t>contacten_soort_gesprek_op_locatie</t>
  </si>
  <si>
    <t>afspraak_galo_gesprek</t>
  </si>
  <si>
    <t>adres_recentste_wijk_stadscentru</t>
  </si>
  <si>
    <t>afspraak_signaal_van_aanbieder</t>
  </si>
  <si>
    <t>pla_einde_geplande_einddatum_overschreden_zonder_nader_bericht</t>
  </si>
  <si>
    <t>afspraak_laatstejaar_resultaat_ingevuld</t>
  </si>
  <si>
    <t>adres_unieke_wijk_ratio</t>
  </si>
  <si>
    <t>afspraak_afgelopen_jaar_plan_van_aanpak</t>
  </si>
  <si>
    <t>instrument_reden_beeindiging_historie_niet_succesvol</t>
  </si>
  <si>
    <t>pla_einde_doelstelling_niet_bereikt__nieuw_trajectplan</t>
  </si>
  <si>
    <t>contacten_onderwerp__pre__intake</t>
  </si>
  <si>
    <t>belemmering_ind_hist</t>
  </si>
  <si>
    <t>afspraak_afgelopen_jaar_afsprakenplan</t>
  </si>
  <si>
    <t>afspraak_aanmelding_afgesloten</t>
  </si>
  <si>
    <t>contacten_onderwerp_scholing</t>
  </si>
  <si>
    <t>instrument_aantal_laatstejaar</t>
  </si>
  <si>
    <t>afspraak_other</t>
  </si>
  <si>
    <t>contacten_onderwerp_quickscan</t>
  </si>
  <si>
    <t>persoonlijke_eigenschappen_overige_opmerkingen</t>
  </si>
  <si>
    <t>pla_historie_werk</t>
  </si>
  <si>
    <t>pla_hist_pla_categorie_doelstelling_1</t>
  </si>
  <si>
    <t>instrument_reden_beeindiging_historie_overdracht_succesvol</t>
  </si>
  <si>
    <t>pla_hist_pla_categorie_doelstelling_27</t>
  </si>
  <si>
    <t>adres_recentste_plaats_rotterdam</t>
  </si>
  <si>
    <t>relatie_overig_bewindvoerder</t>
  </si>
  <si>
    <t>pla_hist_pla_categorie_doelstelling_10</t>
  </si>
  <si>
    <t>pla_hist_pla_categorie_doelstelling_11</t>
  </si>
  <si>
    <t>typering_hist_inburgeringsbehoeftig</t>
  </si>
  <si>
    <t>pla_historie_other</t>
  </si>
  <si>
    <t>pla_einde_doelstelling_niet_bereikt</t>
  </si>
  <si>
    <t>pla_hist_pla_categorie_doelstelling_6</t>
  </si>
  <si>
    <t>contacten_onderwerp_boolean_motivatie</t>
  </si>
  <si>
    <t>persoonlijke_eigenschappen_uiterlijke_verzorging_opm</t>
  </si>
  <si>
    <t>belemmering_hist_psychische_problemen</t>
  </si>
  <si>
    <t>persoonlijke_eigenschappen_motivatie_opm</t>
  </si>
  <si>
    <t>adres_recentste_buurt_nieuwe_westen</t>
  </si>
  <si>
    <t>competentie_kwaliteit_leveren</t>
  </si>
  <si>
    <t>ontheffing_reden_hist_sociale_gronden</t>
  </si>
  <si>
    <t>beschikbaarheid_aantal_historie_afwijkend_wegens_sociaal_maatschappelijke_situatie</t>
  </si>
  <si>
    <t>contacten_onderwerp_matching</t>
  </si>
  <si>
    <t>typering_aantal</t>
  </si>
  <si>
    <t>afspraak_voortgangsgesprek</t>
  </si>
  <si>
    <t>persoonlijke_eigenschappen_ind_buiten_kantoortijden</t>
  </si>
  <si>
    <t>persoonlijke_eigenschappen_nl_schrijven0</t>
  </si>
  <si>
    <t>persoonlijke_eigenschappen_zelfstandigheid_opm</t>
  </si>
  <si>
    <t>instrument_reden_beeindiging_historie_centrale_actie_wigo4it</t>
  </si>
  <si>
    <t>relatie_overig_historie_vorm__onderhoudsplichtige</t>
  </si>
  <si>
    <t>competentie_materialen_en_middelen_inzetten</t>
  </si>
  <si>
    <t>contacten_soort_groepsbijeenkomsten</t>
  </si>
  <si>
    <t>competentie_met_druk_en_tegenslag_omgaan</t>
  </si>
  <si>
    <t>persoonlijke_eigenschappen_taaleis_schrijfv_ok</t>
  </si>
  <si>
    <t>persoonlijke_eigenschappen_communicatie_opm</t>
  </si>
  <si>
    <t>instrument_reden_beeindiging_historie_other</t>
  </si>
  <si>
    <t>persoonlijke_eigenschappen_nl_lezen3</t>
  </si>
  <si>
    <t>instrument_reden_beeindiging_historie_diagnose_gesteld</t>
  </si>
  <si>
    <t>afspraak_gespr__einde_zoekt___galo_gesprek_</t>
  </si>
  <si>
    <t>competentie_gedrevenheid_en_ambitie_tonen</t>
  </si>
  <si>
    <t>typering_transport__logistiek___tuinbouw</t>
  </si>
  <si>
    <t>afspraak_controle_verwijzing</t>
  </si>
  <si>
    <t>competentie_instructies_en_procedures_opvolgen</t>
  </si>
  <si>
    <t>persoonlijke_eigenschappen_ind_regulier_arbeidsritme</t>
  </si>
  <si>
    <t>pla_actueel_pla_categorie_doelstelling_16</t>
  </si>
  <si>
    <t>pla_einde_other</t>
  </si>
  <si>
    <t>contacten_onderwerp_diagnosegesprek</t>
  </si>
  <si>
    <t>persoonlijke_eigenschappen_nl_spreken1</t>
  </si>
  <si>
    <t>afspraak_afgelopen_jaar_ontheffing</t>
  </si>
  <si>
    <t>beschikbaarheid_huidig_afwijkend_wegens_medische_omstandigheden</t>
  </si>
  <si>
    <t>contacten_onderwerp_documenttype__cv_</t>
  </si>
  <si>
    <t>relatie_kind_tiener</t>
  </si>
  <si>
    <t>relatie_overig_actueel_vorm__gemachtigde</t>
  </si>
  <si>
    <t>persoonlijke_eigenschappen_spreektaal_anders</t>
  </si>
  <si>
    <t>instrument_reden_beeindiging_historie_doelstelling_bereikt__uitstroom_overig</t>
  </si>
  <si>
    <t>persoonlijke_eigenschappen_nl_lezen4</t>
  </si>
  <si>
    <t>pla_hist_pla_categorie_doelstelling_other</t>
  </si>
  <si>
    <t>contacten_onderwerp_arbeidsdiagnose_dariuz</t>
  </si>
  <si>
    <t>pla_einde_doelstelling_niet_bereikt__overdracht</t>
  </si>
  <si>
    <t>contacten_onderwerp_boolean_taaleis___voldoet</t>
  </si>
  <si>
    <t>ontheffing_reden_hist_vanwege_uw_sociaal_maatschappelijke_situatie</t>
  </si>
  <si>
    <t>persoonlijke_eigenschappen_nl_schrijven2</t>
  </si>
  <si>
    <t>afspraak_afgelopen_jaar_vervolgmeting_matchbaarheid_werkzoekende_klant</t>
  </si>
  <si>
    <t>belemmering_hist_lichamelijke_problematiek</t>
  </si>
  <si>
    <t>belemmering_woonsituatie</t>
  </si>
  <si>
    <t>belemmering_financiele_problemen</t>
  </si>
  <si>
    <t>relatie_overig_actueel_vorm__onderhoudsplichtige</t>
  </si>
  <si>
    <t>afspraak_afsprakenplan</t>
  </si>
  <si>
    <t>competentie_aansturen</t>
  </si>
  <si>
    <t>instrument_ladder_huidig_werk_re_integratie</t>
  </si>
  <si>
    <t>adres_recentste_buurt_other</t>
  </si>
  <si>
    <t>relatie_kind_volwassen</t>
  </si>
  <si>
    <t>pla_historie_werk_en_inburgering</t>
  </si>
  <si>
    <t>ontheffing_reden_hist_other</t>
  </si>
  <si>
    <t>relatie_partner_aantal_partner___partner__gehuwd_</t>
  </si>
  <si>
    <t>persoonlijke_eigenschappen_initiatief_opm</t>
  </si>
  <si>
    <t>adres_recentste_buurt_vreewijk</t>
  </si>
  <si>
    <t>ontheffing_reden_hist_medische_gronden</t>
  </si>
  <si>
    <t>persoonlijke_eigenschappen_ind_activering_traject</t>
  </si>
  <si>
    <t>persoonlijke_eigenschappen_houding_opm</t>
  </si>
  <si>
    <t>competentie_ethisch_en_integer_handelen</t>
  </si>
  <si>
    <t>belemmering_niet_computervaardig</t>
  </si>
  <si>
    <t>contacten_onderwerp_ziek__of_afmelding</t>
  </si>
  <si>
    <t>pla_actueel_pla_categorie_doelstelling_9</t>
  </si>
  <si>
    <t>instrument_reden_beeindiging_historie_uitval__aanbod_niet_langer_zinvol_volgens_gemeente</t>
  </si>
  <si>
    <t>adres_recentste_wijk_ijsselmonde</t>
  </si>
  <si>
    <t>instrument_reden_beeindiging_historie_doelstelling_bereikt__uitstroom_naar_regulier_werk</t>
  </si>
  <si>
    <t>belemmering_hist_stabiele_mix__sz____dagbesteding_werk</t>
  </si>
  <si>
    <t>instrument_reden_beeindiging_historie_direct_matchbaar</t>
  </si>
  <si>
    <t>persoonlijke_eigenschappen_flexibiliteit_opm</t>
  </si>
  <si>
    <t>pla_einde_doelstelling_bereikt</t>
  </si>
  <si>
    <t>adres_recentste_plaats_other</t>
  </si>
  <si>
    <t>adres_recentste_wijk_prins_alexa</t>
  </si>
  <si>
    <t>persoonlijke_eigenschappen_leergierigheid_opm</t>
  </si>
  <si>
    <t>competentie_samenwerken_en_overleggen</t>
  </si>
  <si>
    <t>afspraak_vervolgmeting_matchbaarheid_werkzoekende_klant</t>
  </si>
  <si>
    <t>typering_indicatie_geheime_gegevens</t>
  </si>
  <si>
    <t>contacten_onderwerp_boolean_match___werk</t>
  </si>
  <si>
    <t>instrument_ladder_huidig_other</t>
  </si>
  <si>
    <t>competentie_formuleren_en_rapporteren</t>
  </si>
  <si>
    <t>persoonlijke_eigenschappen_nl_spreken2</t>
  </si>
  <si>
    <t>adres_recentste_buurt_oude_noorden</t>
  </si>
  <si>
    <t>adres_recentste_wijk_kralingen_c</t>
  </si>
  <si>
    <t>adres_recentste_wijk_noord</t>
  </si>
  <si>
    <t>belemmering_hist_taal</t>
  </si>
  <si>
    <t>belemmering_ind</t>
  </si>
  <si>
    <t>beschikbaarheid_huidig_bekend</t>
  </si>
  <si>
    <t>beschikbaarheid_recent_afwijkend_wegens_sociaal_maatschappelijke_situatie</t>
  </si>
  <si>
    <t>competentie_leren</t>
  </si>
  <si>
    <t>competentie_omgaan_met_verandering_en_aanpassen</t>
  </si>
  <si>
    <t>competentie_onderzoeken</t>
  </si>
  <si>
    <t>contacten_onderwerp_boolean__arbeids_motivatie</t>
  </si>
  <si>
    <t>contacten_onderwerp_boolean__pre__intake</t>
  </si>
  <si>
    <t>contacten_onderwerp_boolean__werk_intake</t>
  </si>
  <si>
    <t>contacten_onderwerp_boolean_beoordelen_taaleis</t>
  </si>
  <si>
    <t>contacten_onderwerp_boolean_contact_derden</t>
  </si>
  <si>
    <t>contacten_onderwerp_boolean_contact_met_aanbieder</t>
  </si>
  <si>
    <t>contacten_onderwerp_boolean_diagnosegesprek</t>
  </si>
  <si>
    <t>contacten_onderwerp_boolean_documenten__innemen_</t>
  </si>
  <si>
    <t>contacten_onderwerp_boolean_documenttype__cv_</t>
  </si>
  <si>
    <t>contacten_onderwerp_boolean_documenttype__overeenkomst_</t>
  </si>
  <si>
    <t>contacten_onderwerp_boolean_financiële_situatie</t>
  </si>
  <si>
    <t>contacten_onderwerp_boolean_groepsbijeenkomst</t>
  </si>
  <si>
    <t>contacten_onderwerp_boolean_inkomen</t>
  </si>
  <si>
    <t>contacten_onderwerp_boolean_maatregel_overweging</t>
  </si>
  <si>
    <t>contacten_onderwerp_boolean_matching</t>
  </si>
  <si>
    <t>contacten_onderwerp_boolean_mutatie</t>
  </si>
  <si>
    <t>contacten_onderwerp_boolean_no_show</t>
  </si>
  <si>
    <t>contacten_onderwerp_boolean_overige</t>
  </si>
  <si>
    <t>contacten_onderwerp_boolean_overleg_met_inkomen</t>
  </si>
  <si>
    <t>contacten_onderwerp_boolean_scholing</t>
  </si>
  <si>
    <t>contacten_onderwerp_boolean_sollicitatie</t>
  </si>
  <si>
    <t>contacten_onderwerp_boolean_terugbelverzoek</t>
  </si>
  <si>
    <t>contacten_onderwerp_boolean_traject</t>
  </si>
  <si>
    <t>contacten_onderwerp_boolean_uitnodiging</t>
  </si>
  <si>
    <t>contacten_onderwerp_boolean_ziek__of_afmelding</t>
  </si>
  <si>
    <t>contacten_onderwerp_boolean_zorg</t>
  </si>
  <si>
    <t>contacten_onderwerp_inname_aanvraag</t>
  </si>
  <si>
    <t>contacten_onderwerp_werkintake__niet_verschenen</t>
  </si>
  <si>
    <t>instrument_reden_beeindiging_historie_niet_matchbaar</t>
  </si>
  <si>
    <t>instrument_reden_beeindiging_historie_niet_succesvol__reden_bij_werkzoekende</t>
  </si>
  <si>
    <t>instrument_reden_beeindiging_historie_op_termijn_matchbaar</t>
  </si>
  <si>
    <t>instrument_reden_beeindiging_historie_overdracht_naar_mo</t>
  </si>
  <si>
    <t>instrument_reden_beeindiging_historie_overdracht_naar_prematching</t>
  </si>
  <si>
    <t>instrument_reden_beeindiging_historie_overdracht_naar_regulier_team_iwpm</t>
  </si>
  <si>
    <t>instrument_reden_beeindiging_historie_succesvol__doelstelling_bereikt</t>
  </si>
  <si>
    <t>ontheffing_hist_ind</t>
  </si>
  <si>
    <t>ontheffing_reden_hist_tijdelijke_ontheffing_arbeidsverplichtingen</t>
  </si>
  <si>
    <t>persoonlijke_eigenschappen_doorzettingsvermogen_opm</t>
  </si>
  <si>
    <t>persoonlijke_eigenschappen_nl_begrijpen3</t>
  </si>
  <si>
    <t>persoonlijke_eigenschappen_nl_schrijven1</t>
  </si>
  <si>
    <t>persoonlijke_eigenschappen_nl_schrijven3</t>
  </si>
  <si>
    <t>persoonlijke_eigenschappen_nl_spreken3</t>
  </si>
  <si>
    <t>persoonlijke_eigenschappen_presentatie_opm</t>
  </si>
  <si>
    <t>pla_einde_doelstelling_bereikt__overdracht</t>
  </si>
  <si>
    <t>relatie_kind_heeft_kinderen</t>
  </si>
  <si>
    <t>relatie_overig_actueel_vorm__ouders_verzorgers</t>
  </si>
  <si>
    <t>typering_hist_ind</t>
  </si>
  <si>
    <t>typering_hist_sector_zorg</t>
  </si>
  <si>
    <t>typering_ind</t>
  </si>
  <si>
    <t>typering_other</t>
  </si>
  <si>
    <t>typering_zorg__schoonmaak___welzijn</t>
  </si>
  <si>
    <t>feature_dutch_</t>
  </si>
  <si>
    <t xml:space="preserve">feature_simplified </t>
  </si>
  <si>
    <t>feature_importance</t>
  </si>
  <si>
    <t>Category</t>
  </si>
  <si>
    <t>Notes</t>
  </si>
  <si>
    <t xml:space="preserve">Understand? </t>
  </si>
  <si>
    <t>persoon leeftijd bij onderzoek</t>
  </si>
  <si>
    <t>Person Age During Investigation</t>
  </si>
  <si>
    <t>Person</t>
  </si>
  <si>
    <t>For the training data, this is the age of the client when they were put under investigation. When running new clients through the model, this is their current age.</t>
  </si>
  <si>
    <t>relatie overig actueel vorm kostendeler</t>
  </si>
  <si>
    <t>Relationship Other Current Number Costsharer</t>
  </si>
  <si>
    <t>Number of current relationships of type costsharer</t>
  </si>
  <si>
    <t>Relationship</t>
  </si>
  <si>
    <t>contacten onderwerp no show</t>
  </si>
  <si>
    <t>Contact subject no show</t>
  </si>
  <si>
    <t>Contact</t>
  </si>
  <si>
    <t>competentie vakdeskundigheid toepassen</t>
  </si>
  <si>
    <t>Skill Applying Work Expertise</t>
  </si>
  <si>
    <t>Skill</t>
  </si>
  <si>
    <t>contacten onderwerp overleg met inkomen</t>
  </si>
  <si>
    <t>Contact subject consultation about income</t>
  </si>
  <si>
    <t>Contact subject consultation about client's income.</t>
  </si>
  <si>
    <t>adres dagen op adres</t>
  </si>
  <si>
    <t xml:space="preserve">Days at address </t>
  </si>
  <si>
    <t>Address</t>
  </si>
  <si>
    <t>relatie overig kostendeler</t>
  </si>
  <si>
    <t>Relationship other costsharer</t>
  </si>
  <si>
    <t xml:space="preserve">Customer currenty has a costsharer </t>
  </si>
  <si>
    <t>PLA historie ontwikkeling</t>
  </si>
  <si>
    <t>PLA History Development</t>
  </si>
  <si>
    <t>Personal / profesional development in action plan</t>
  </si>
  <si>
    <t>Action Plan</t>
  </si>
  <si>
    <t>instrument ladder huidig activering</t>
  </si>
  <si>
    <t>instrument ladder is currently activated.</t>
  </si>
  <si>
    <t>Instrument ladder</t>
  </si>
  <si>
    <t xml:space="preserve">The customer is currently "activated", meaning they are participating in things like volunteer work aimed at reintegration. </t>
  </si>
  <si>
    <t xml:space="preserve">contacten soort afgelopenjaar document  uitgaand </t>
  </si>
  <si>
    <t>Contact type last year outgoing documents</t>
  </si>
  <si>
    <t xml:space="preserve">Number of outgoing documents last year. </t>
  </si>
  <si>
    <t>persoonlijke eigenschappen dagen sinds taaleis</t>
  </si>
  <si>
    <t xml:space="preserve">The number of days since the customer sucuessfuly completed their language requirement. </t>
  </si>
  <si>
    <t>Personal qualities</t>
  </si>
  <si>
    <t xml:space="preserve">There is a Dutch language requirement for all people receving benefits in the Netherlands.  </t>
  </si>
  <si>
    <t>persoonlijke eigenschappen dagen sinds opvoer</t>
  </si>
  <si>
    <t>Personal qualities days since last updated</t>
  </si>
  <si>
    <t>Days since personal qualities attributes were updated.</t>
  </si>
  <si>
    <t>The amount of days that have passed since the personal quality fields were updated</t>
  </si>
  <si>
    <t>ontheffing dagen hist vanwege uw medische omstandigheden</t>
  </si>
  <si>
    <t>Exemption day history because of your medical conditions</t>
  </si>
  <si>
    <t xml:space="preserve">Number of exemption days in history because of medical conditions. </t>
  </si>
  <si>
    <t>Exemption</t>
  </si>
  <si>
    <t>relatie partner totaal dagen partner</t>
  </si>
  <si>
    <t>Total days customer has had a partner</t>
  </si>
  <si>
    <t>pla hist pla categorie doelstelling 16</t>
  </si>
  <si>
    <t>relatie kind leeftijd verschil ouder eerste kind</t>
  </si>
  <si>
    <t>Age difference between parent and first child</t>
  </si>
  <si>
    <t>Age of the parent when they had the first child.</t>
  </si>
  <si>
    <t>relatie kind huidige aantal</t>
  </si>
  <si>
    <t xml:space="preserve">Current number of children. </t>
  </si>
  <si>
    <t>instrument ladder historie activering</t>
  </si>
  <si>
    <t xml:space="preserve">Instrument ladder history activation </t>
  </si>
  <si>
    <t>Social activation in reintegration ladder history.</t>
  </si>
  <si>
    <t>persoon geslacht vrouw</t>
  </si>
  <si>
    <t>person gender woman</t>
  </si>
  <si>
    <t>Customer is a woman</t>
  </si>
  <si>
    <t xml:space="preserve">0 is man and 1 is woman </t>
  </si>
  <si>
    <t>afspraak inspanningsperiode</t>
  </si>
  <si>
    <t>Appointment effort period</t>
  </si>
  <si>
    <t xml:space="preserve">Appointment has been made about an effort period. </t>
  </si>
  <si>
    <t>Appointment</t>
  </si>
  <si>
    <t>belemmering dagen financiele problemen</t>
  </si>
  <si>
    <t>Obstacles Days Financial Problems</t>
  </si>
  <si>
    <t xml:space="preserve">The number of days the customer has had an obstacle to finding work because of financial problems. </t>
  </si>
  <si>
    <t>Obstacle</t>
  </si>
  <si>
    <t>pla ondertekeningen historie</t>
  </si>
  <si>
    <t>PLA signed in history</t>
  </si>
  <si>
    <t xml:space="preserve">An action plan has been signed. </t>
  </si>
  <si>
    <t xml:space="preserve">Muncipalities can create an "action plan" for benefits where they put in steps for their reintegration to the labor market. </t>
  </si>
  <si>
    <t>ontheffing dagen hist mean</t>
  </si>
  <si>
    <t>Exemption days history mean</t>
  </si>
  <si>
    <t xml:space="preserve">The mean number of exemption days. </t>
  </si>
  <si>
    <t xml:space="preserve">Some people may be exempt for a certain period of time from reintegrating into the labor market because of, for example, physical injury. </t>
  </si>
  <si>
    <t>afspraak resultaat ingevuld uniek</t>
  </si>
  <si>
    <t>beschikbaarheid aantal historie afwijkend wegens medische omstandigheden</t>
  </si>
  <si>
    <t>availability amount history abnormal due to medical conditions</t>
  </si>
  <si>
    <t>In avalibility history avalibility marked as abnormal due to medical conditions</t>
  </si>
  <si>
    <t>Availability</t>
  </si>
  <si>
    <t>relatie kind jongvolwassen</t>
  </si>
  <si>
    <t>Child who is a young adult</t>
  </si>
  <si>
    <t>instrument reden beeindiging historie succesvol</t>
  </si>
  <si>
    <t xml:space="preserve">instrument ladder reason termination reason sucuessful </t>
  </si>
  <si>
    <t>The customer has sucuessfuly moved up their insturment ladder.</t>
  </si>
  <si>
    <t>instrument ladder</t>
  </si>
  <si>
    <t>belemmering dagen psychische problemen</t>
  </si>
  <si>
    <t>Obstacle days psychological problems</t>
  </si>
  <si>
    <t xml:space="preserve">The number of days the customer has had an obstacle to finding work because of psychological issues. </t>
  </si>
  <si>
    <t>afspraak laatstejaar aantal woorden</t>
  </si>
  <si>
    <t>afspraak laatstejaar resultaat ingevuld uniek</t>
  </si>
  <si>
    <t>relatie overig historie vorm  andere inwonende</t>
  </si>
  <si>
    <t>Has lived with a roomate</t>
  </si>
  <si>
    <t>afspraak aantal woorden</t>
  </si>
  <si>
    <t xml:space="preserve">contacten soort document  inkomend </t>
  </si>
  <si>
    <t xml:space="preserve">Number of incoming documents </t>
  </si>
  <si>
    <t>afspraak signaal voor medewerker</t>
  </si>
  <si>
    <t>Appointment signal from social worker</t>
  </si>
  <si>
    <t>ontheffing reden hist tijdelijke ontheffing arbeidsverpl en tegenprestatie</t>
  </si>
  <si>
    <t>Exemption reason history temporary exemption work and obligation</t>
  </si>
  <si>
    <t>Client has a temporary exemption from work and participation obligation in their work history.</t>
  </si>
  <si>
    <t>https://www.rijksoverheid.nl/onderwerpen/bijstand/vraag-en-antwoord/wat-is-de-tegenprestatie-in-de-bijstand</t>
  </si>
  <si>
    <t xml:space="preserve">contacten onderwerp documenttype  overeenkomst </t>
  </si>
  <si>
    <t>adres aantal brp adres</t>
  </si>
  <si>
    <t>Address Number of BRP Addresses</t>
  </si>
  <si>
    <t>Numbert of addresses in public address registry</t>
  </si>
  <si>
    <t>contacten onderwerp inkomen</t>
  </si>
  <si>
    <t>Contacted about income</t>
  </si>
  <si>
    <t>typering dagen som</t>
  </si>
  <si>
    <t>Customer Type Days Sum</t>
  </si>
  <si>
    <t xml:space="preserve">The sum of days that the customer has had a customer type. </t>
  </si>
  <si>
    <t>Customer type</t>
  </si>
  <si>
    <t>adres aantal verzendadres</t>
  </si>
  <si>
    <t xml:space="preserve">Number of shipping addresses </t>
  </si>
  <si>
    <t>pla einde uitstroom anders dan volgen onderwijs  regulier werk of als zelfstandige</t>
  </si>
  <si>
    <t>pla result other than follow education regular work or as a self -employed person</t>
  </si>
  <si>
    <t xml:space="preserve">Result of customers Action Plan is something other than employed work or being self-employed </t>
  </si>
  <si>
    <t xml:space="preserve">contacten soort document  uitgaand </t>
  </si>
  <si>
    <t>Total number of outgoing documents</t>
  </si>
  <si>
    <t>persoonlijke eigenschappen uitstroom verw vlgs km</t>
  </si>
  <si>
    <t>Personal characteristics caseworker estimate of time before reintegration</t>
  </si>
  <si>
    <t xml:space="preserve">The amount of time the case worker thinks they will need before finding work. </t>
  </si>
  <si>
    <t>Seven values: 3 mo, 6 mo, 12 mo, 18 mo, 24 mo, &gt; 24 mo, and Empty. Included as numerical value in model.</t>
  </si>
  <si>
    <t>persoonlijke eigenschappen taaleis voldaan</t>
  </si>
  <si>
    <t xml:space="preserve">Language requirement satisfied. </t>
  </si>
  <si>
    <t xml:space="preserve">Three values: Yes, No and Not yet known. Included as numerical value in model. </t>
  </si>
  <si>
    <t>contacten onderwerp  werk intake</t>
  </si>
  <si>
    <t>Customer has been contacted for an intake appointment for matching them with work.</t>
  </si>
  <si>
    <t>contacten soort afgelopenjaar anders</t>
  </si>
  <si>
    <t>Contacts different kinds of contact last year</t>
  </si>
  <si>
    <t>The number of different kinds of contact in the last year.</t>
  </si>
  <si>
    <t>relatie overig historie vorm  gemachtigde</t>
  </si>
  <si>
    <t>Relationship Other History Type Authorized Representative</t>
  </si>
  <si>
    <t>Customer has had an authorized representative in their history.</t>
  </si>
  <si>
    <t>belemmering dagen lichamelijke problematiek</t>
  </si>
  <si>
    <t>Obstacle Days Physical problems</t>
  </si>
  <si>
    <t xml:space="preserve">The number of days the customer has an obstacle to finding work because of physical problems. </t>
  </si>
  <si>
    <t>persoonlijke eigenschappen spreektaal</t>
  </si>
  <si>
    <t>Personal qualities language</t>
  </si>
  <si>
    <t xml:space="preserve">The language the customer speaks. </t>
  </si>
  <si>
    <t>adres recentste buurt groot ijsselmonde</t>
  </si>
  <si>
    <t>contacten onderwerp overige</t>
  </si>
  <si>
    <t>contacten onderwerp financi?le situatie</t>
  </si>
  <si>
    <t>contacten soort gesprek op locatie</t>
  </si>
  <si>
    <t>Contacts Type conversation on location</t>
  </si>
  <si>
    <t>Whether the customer has ever been invited to a conversation at the physical benefits departmnet.</t>
  </si>
  <si>
    <t>afspraak controle aankondiging maatregel</t>
  </si>
  <si>
    <t>Appointment announce control measure</t>
  </si>
  <si>
    <t xml:space="preserve">The customer has been contacted because of a control measure (e.g. a fine, a cut to benefits). </t>
  </si>
  <si>
    <t>relatie overig actueel vorm other</t>
  </si>
  <si>
    <t>relatie overig historie vorm  kostendeler</t>
  </si>
  <si>
    <t>Relationship Other History Type Cost sharer</t>
  </si>
  <si>
    <t>afspraak afgelopen jaar ontheffing taaleis</t>
  </si>
  <si>
    <t xml:space="preserve">The customer has had an appointment last year about an exemption from the Dutch language requirement. </t>
  </si>
  <si>
    <t>contacten onderwerp maatregel overweging</t>
  </si>
  <si>
    <t xml:space="preserve">Whether the customer has been contacted because the municipality is considering a measure (e.g. a fine, cut to benefits) </t>
  </si>
  <si>
    <t>pla einde doelstelling bereikt  nieuw trajectplan</t>
  </si>
  <si>
    <t>PLA End of objective reaches new trajectory plan</t>
  </si>
  <si>
    <t xml:space="preserve">Objective completed in Action Plan and reach new trajectory plan. </t>
  </si>
  <si>
    <t xml:space="preserve">contacten soort afgelopenjaar e mail  uitgaand </t>
  </si>
  <si>
    <t>deelname act hist projecten niet gestart</t>
  </si>
  <si>
    <t>Participation Act</t>
  </si>
  <si>
    <t xml:space="preserve">contacten soort telefoontje  inkomend </t>
  </si>
  <si>
    <t>contacten soort anders</t>
  </si>
  <si>
    <t xml:space="preserve">Total number of different types of contact with the customer. </t>
  </si>
  <si>
    <t>adres recentste wijk feijenoord</t>
  </si>
  <si>
    <t>adres aantal woonadres handmatig</t>
  </si>
  <si>
    <t>address number of home addresses entered manually</t>
  </si>
  <si>
    <t xml:space="preserve">The number of home addresses has been manually set by an employee. </t>
  </si>
  <si>
    <t xml:space="preserve">Most address related things are usually done automatically from the BRP register, but there are edge cases that have to be handeled manually. </t>
  </si>
  <si>
    <t>adres recentste buurt other</t>
  </si>
  <si>
    <t xml:space="preserve">contacten soort telefoontje  uitgaand </t>
  </si>
  <si>
    <t>competentie plannen en organiseren</t>
  </si>
  <si>
    <t>Competence Planning and Organizing</t>
  </si>
  <si>
    <t>afspraak afgelopen jaar monitoring insp  wet taaleis na 12 mnd n a v  taa04     geen maatregel</t>
  </si>
  <si>
    <t>belemmering hist verslavingsproblematiek</t>
  </si>
  <si>
    <t>Obstacle Hist addiction problems</t>
  </si>
  <si>
    <t xml:space="preserve">The customer has had addiction problems as an obstacle in their obstacle history. </t>
  </si>
  <si>
    <t>contacten soort afgelopenjaar gesprek</t>
  </si>
  <si>
    <t>belemmering financiele problemen</t>
  </si>
  <si>
    <t>Obstacle financial problems</t>
  </si>
  <si>
    <t xml:space="preserve">contacten soort e mail  inkomend </t>
  </si>
  <si>
    <t>afspraak afgelopen jaar afsprakenplan</t>
  </si>
  <si>
    <t>persoonlijke eigenschappen uitstroom verw vlgs klant</t>
  </si>
  <si>
    <t>Personal characteristics client's estimate of time before reintegration</t>
  </si>
  <si>
    <t xml:space="preserve">The client's estimate of how much time they think they need to reintegrate into the labor market. </t>
  </si>
  <si>
    <t>instrument reden beeindiging historie uitval  klant wz  ziet af van aanbod</t>
  </si>
  <si>
    <t>Instrument Termination Reason History Customer Declines Job Offer</t>
  </si>
  <si>
    <t xml:space="preserve">The client's trajectory plan is cancelled because they have declined a job offer. </t>
  </si>
  <si>
    <t>adres aantal verschillende wijken</t>
  </si>
  <si>
    <t>deelname act actueel projecten uniek</t>
  </si>
  <si>
    <t>Participation Act Current Projects Unique</t>
  </si>
  <si>
    <t>deelname act reintegratieladder werk re integratie</t>
  </si>
  <si>
    <t>contacten onderwerp inspanningstoets</t>
  </si>
  <si>
    <t>Contacts Subject Effort Test</t>
  </si>
  <si>
    <t xml:space="preserve">The client has been contacted about an effort test, where they must prove that they have been trying to find a job. </t>
  </si>
  <si>
    <t>contacten onderwerp terugbelverzoek</t>
  </si>
  <si>
    <t>The client has been contacted to pay back benefits payments.</t>
  </si>
  <si>
    <t>afspraak participatietrede vervolgmeting</t>
  </si>
  <si>
    <t>Appointment participation path follow -up measurement</t>
  </si>
  <si>
    <t>contacten onderwerp zorg</t>
  </si>
  <si>
    <t>contacten onderwerp beoordelen taaleis</t>
  </si>
  <si>
    <t>Client has been contacted to assess whether they. meet the Dutch language requirement.</t>
  </si>
  <si>
    <t xml:space="preserve">contacten soort e mail  uitgaand </t>
  </si>
  <si>
    <t>contacten onderwerp traject</t>
  </si>
  <si>
    <t xml:space="preserve">contacten onderwerp documenten  innemen </t>
  </si>
  <si>
    <t>Contacts topic documents</t>
  </si>
  <si>
    <t xml:space="preserve">contacten soort afgelopenjaar telefoontje  inkomend </t>
  </si>
  <si>
    <t>pla hist pla categorie doelstelling 2</t>
  </si>
  <si>
    <t>adres recentst onderdeel rdam</t>
  </si>
  <si>
    <t>address most recently part Rotterdam</t>
  </si>
  <si>
    <t>adres recentste wijk delfshaven</t>
  </si>
  <si>
    <t>afspraak afgelopen jaar signaal voor medewerker</t>
  </si>
  <si>
    <t>relatie overig bewindvoerder</t>
  </si>
  <si>
    <t xml:space="preserve">contacten soort afgelopenjaar e mail  inkomend </t>
  </si>
  <si>
    <t>adres recentste wijk prins alexa</t>
  </si>
  <si>
    <t>contacten onderwerp mutatie</t>
  </si>
  <si>
    <t>Contacts Subject Change</t>
  </si>
  <si>
    <t xml:space="preserve">contacten soort afgelopenjaar telefoontje  uitgaand </t>
  </si>
  <si>
    <t>competentie kwaliteit leveren</t>
  </si>
  <si>
    <t>Compotence delivering quality</t>
  </si>
  <si>
    <t>afspraak verzenden beschikking i v m  niet voldoen aan wet taaleis</t>
  </si>
  <si>
    <t>Appointment does not comply with the Language requirement</t>
  </si>
  <si>
    <t>An appointment has been made because the client has not complied with the Dutch language requirement.</t>
  </si>
  <si>
    <t>afspraak signaal van aanbieder</t>
  </si>
  <si>
    <t>Appointment signal from employer</t>
  </si>
  <si>
    <t xml:space="preserve">An appointment has been made because the municipality has received a signal from an employer (e.g. work placement) about the client. </t>
  </si>
  <si>
    <t>pla einde doelstelling niet bereikt  nieuw trajectplan</t>
  </si>
  <si>
    <t>PLA objective not achieved new route plan</t>
  </si>
  <si>
    <t>Client has not acheived objective of new trajectory plan</t>
  </si>
  <si>
    <t>deelname act reintegratieladder ondersteunende instrumenten</t>
  </si>
  <si>
    <t xml:space="preserve">The client has supporting instruments to enter job market. </t>
  </si>
  <si>
    <t xml:space="preserve">As part of the reintegration process, the muncipality can provide "instruments" such as language lessons, volunteer work, or entrepurniship lessons. </t>
  </si>
  <si>
    <t>competentie analyseren</t>
  </si>
  <si>
    <t xml:space="preserve">Competence Analyze </t>
  </si>
  <si>
    <t>competentie gedrevenheid en ambitie tonen</t>
  </si>
  <si>
    <t>Competence drive and ambition</t>
  </si>
  <si>
    <t>contacten onderwerp uitnodiging</t>
  </si>
  <si>
    <t xml:space="preserve">relatie partner huidige partner   partner  gehuwd </t>
  </si>
  <si>
    <t>adres recentste wijk charlois</t>
  </si>
  <si>
    <t xml:space="preserve">afspraak gespr einde zoekt Galo gesprek </t>
  </si>
  <si>
    <t>pla hist pla categorie doelstelling 3</t>
  </si>
  <si>
    <t>adres unieke wijk ratio</t>
  </si>
  <si>
    <t>afspraak toevoegen inschrijving uwvwb</t>
  </si>
  <si>
    <t>appointment add UWVWB Registration</t>
  </si>
  <si>
    <t>Appointment register for national unemployment benefits.</t>
  </si>
  <si>
    <t xml:space="preserve">contacten soort afgelopenjaar document  inkomend </t>
  </si>
  <si>
    <t>relatie kind tiener</t>
  </si>
  <si>
    <t>contacten onderwerp matching</t>
  </si>
  <si>
    <t>adres recentste wijk noord</t>
  </si>
  <si>
    <t>address most recent district Noord</t>
  </si>
  <si>
    <t>ontheffing actueel ind</t>
  </si>
  <si>
    <t xml:space="preserve">Exemption current </t>
  </si>
  <si>
    <t>Client currently exempt from reintegration.</t>
  </si>
  <si>
    <t>contacten soort rapportage rib</t>
  </si>
  <si>
    <t>Contacts Type RIB Report</t>
  </si>
  <si>
    <t>Contact type council information.</t>
  </si>
  <si>
    <t>persoonlijke eigenschappen opstelling</t>
  </si>
  <si>
    <t>Personal characteristics disposition remark</t>
  </si>
  <si>
    <t>Has a comment in the "disposition" field from the social worker.</t>
  </si>
  <si>
    <t>competentie samenwerken en overleggen</t>
  </si>
  <si>
    <t>afspraak laatstejaar resultaat ingevuld</t>
  </si>
  <si>
    <t>adres recentste wijk other</t>
  </si>
  <si>
    <t>contacten onderwerp groepsbijeenkomst</t>
  </si>
  <si>
    <t>afspraak vervolgmeting matchbaarheid werkzoekende klant</t>
  </si>
  <si>
    <t>competentie overtuigen en beinvloeden</t>
  </si>
  <si>
    <t>competentie overtuigen en be?nvloeden</t>
  </si>
  <si>
    <t>Competence convince and influence</t>
  </si>
  <si>
    <t>contacten onderwerp contact met aanbieder</t>
  </si>
  <si>
    <t>Contacts Subject contact with employer</t>
  </si>
  <si>
    <t xml:space="preserve">Contact with subject about employer. </t>
  </si>
  <si>
    <t>belemmering ind hist</t>
  </si>
  <si>
    <t>Obstacle ind Hist</t>
  </si>
  <si>
    <t>There is a registered obstacle in client history.</t>
  </si>
  <si>
    <t>pla hist pla categorie doelstelling 10</t>
  </si>
  <si>
    <t>pla hist pla categorie doelstelling 5</t>
  </si>
  <si>
    <t xml:space="preserve">contacten onderwerp boolean documenttype  diploma s en certificaten </t>
  </si>
  <si>
    <t>contacten onderwerp quickscan</t>
  </si>
  <si>
    <t>competentie aansturen</t>
  </si>
  <si>
    <t>Competence Control</t>
  </si>
  <si>
    <t>contacten soort rapportage deelname</t>
  </si>
  <si>
    <t>Contacts Type Report Participation</t>
  </si>
  <si>
    <t>pla hist pla categorie doelstelling other</t>
  </si>
  <si>
    <t>competentie other</t>
  </si>
  <si>
    <t>ontheffing reden hist other</t>
  </si>
  <si>
    <t>instrument reden beeindiging historie niet succesvol</t>
  </si>
  <si>
    <t>The customer has failed to acheive their insturment ladder.</t>
  </si>
  <si>
    <t>afspraak afgelopen jaar voortgang aanmelding en deelname</t>
  </si>
  <si>
    <t>persoonlijke eigenschappen hobbies sport</t>
  </si>
  <si>
    <t>Personal qualities Hobbies or Sport</t>
  </si>
  <si>
    <t xml:space="preserve">Whether the customer has any hobbies and/or plays any sports. </t>
  </si>
  <si>
    <t>pla ondertekeningen actueel</t>
  </si>
  <si>
    <t>PLA currently signed</t>
  </si>
  <si>
    <t>The action plan is currently signed.</t>
  </si>
  <si>
    <t>afspraak galo gesprek</t>
  </si>
  <si>
    <t>pla hist pla categorie doelstelling 1</t>
  </si>
  <si>
    <t>afspraak deelname compleet uit webapplicatie</t>
  </si>
  <si>
    <t>Appointment participation completed from web application</t>
  </si>
  <si>
    <t>pla hist pla categorie doelstelling 9</t>
  </si>
  <si>
    <t>instrument ladder huidig other</t>
  </si>
  <si>
    <t>instrument aantal laatstejaar</t>
  </si>
  <si>
    <t>instrument number last year</t>
  </si>
  <si>
    <t xml:space="preserve">The number of supporting 'instruments' (e.g. Dutch lessons) from last year. </t>
  </si>
  <si>
    <t>contacten onderwerp  arbeids motivatie</t>
  </si>
  <si>
    <t>Contacts subject work motivation</t>
  </si>
  <si>
    <t xml:space="preserve">Customer has been contacted because of work motivation. </t>
  </si>
  <si>
    <t>pla historie other</t>
  </si>
  <si>
    <t>Other' filed in for action plan</t>
  </si>
  <si>
    <t>pla hist pla categorie doelstelling 11</t>
  </si>
  <si>
    <t>contacten onderwerp scholing</t>
  </si>
  <si>
    <t xml:space="preserve">Customer has been contacted because of a (work) training. </t>
  </si>
  <si>
    <t>instrument ladder historie other</t>
  </si>
  <si>
    <t>adres recentste plaats rotterdam</t>
  </si>
  <si>
    <t>address most recent Rotterdam</t>
  </si>
  <si>
    <t>competentie op de behoeften en verwachtingen van de  klant  richten</t>
  </si>
  <si>
    <t>Competence focus on customer needs and expectations</t>
  </si>
  <si>
    <t>pla einde doelstelling bereikt</t>
  </si>
  <si>
    <t>PLA End of objective reached</t>
  </si>
  <si>
    <t xml:space="preserve">Whether the customer has reached one of the objectives in their action plan. </t>
  </si>
  <si>
    <t>instrument reden beeindiging historie doelstelling niet bereikt  geen uitstroom</t>
  </si>
  <si>
    <t>instrument reason Under termination History objective does not reach reintegration</t>
  </si>
  <si>
    <t>persoonlijke eigenschappen houding opm</t>
  </si>
  <si>
    <t>Personal qualities attitude remark</t>
  </si>
  <si>
    <t xml:space="preserve">Whether the customer has a remark or comment from the social workerin the "attitude" field. </t>
  </si>
  <si>
    <t>pla hist pla categorie doelstelling 4</t>
  </si>
  <si>
    <t>contacten onderwerp boolean motivatie</t>
  </si>
  <si>
    <t>contacten onderwerp ziek  of afmelding</t>
  </si>
  <si>
    <t>contacten onderwerp contact derden</t>
  </si>
  <si>
    <t>pla einde doelstelling niet bereikt</t>
  </si>
  <si>
    <t>PLA End objective not achieved</t>
  </si>
  <si>
    <t>instrument reden beeindiging historie centrale actie wigo4it</t>
  </si>
  <si>
    <t>belemmering aantal huidig</t>
  </si>
  <si>
    <t xml:space="preserve">Obstacles current number </t>
  </si>
  <si>
    <t>The current number of obstacles to finding work the customer has registered.</t>
  </si>
  <si>
    <t>pla actueel pla categorie doelstelling 9</t>
  </si>
  <si>
    <t>afspraak aanmelding afgesloten</t>
  </si>
  <si>
    <t>Appointment registered closed</t>
  </si>
  <si>
    <t>contacten soort groepsbijeenkomsten</t>
  </si>
  <si>
    <t>Contacts Type Group meetings</t>
  </si>
  <si>
    <t xml:space="preserve">Customer has been contacted about a group meeting with other people who receive benefits. </t>
  </si>
  <si>
    <t xml:space="preserve">contacten onderwerp documenttype  cv </t>
  </si>
  <si>
    <t>adres recentste buurt vreewijk</t>
  </si>
  <si>
    <t>persoonlijke eigenschappen motivatie opm</t>
  </si>
  <si>
    <t>Personal qualities Motivation remark</t>
  </si>
  <si>
    <t xml:space="preserve">There is a comment or remark in the motivation field of the customer's personal qualities </t>
  </si>
  <si>
    <t xml:space="preserve">relatie partner aantal partner   partner  ongehuwd </t>
  </si>
  <si>
    <t>Relationship Partner Number of Umarried Partners</t>
  </si>
  <si>
    <t xml:space="preserve">The number of unmarried partners the customer has had. </t>
  </si>
  <si>
    <t>afspraak voortgangsgesprek</t>
  </si>
  <si>
    <t>Customer has been contacted for an interview about their progress.</t>
  </si>
  <si>
    <t>relatie overig historie vorm  onderhoudsplichtige</t>
  </si>
  <si>
    <t>persoonlijke eigenschappen nl spreken3</t>
  </si>
  <si>
    <t>Personal qualities NL speaking 3</t>
  </si>
  <si>
    <t>pla historie maatschappelijke inspanning</t>
  </si>
  <si>
    <t xml:space="preserve">Social effort included in history of action plan. </t>
  </si>
  <si>
    <t>contacten onderwerp diagnosegesprek</t>
  </si>
  <si>
    <t>Contacts Subject Diagnostic interview</t>
  </si>
  <si>
    <t>contacten onderwerp screening</t>
  </si>
  <si>
    <t>persoonlijke eigenschappen uiterlijke verzorging opm</t>
  </si>
  <si>
    <t>Personal characteristics external care remark</t>
  </si>
  <si>
    <t xml:space="preserve">The customer has a comment / remark in their external apperance field. </t>
  </si>
  <si>
    <t>ontheffing reden tijdelijke ontheffing arbeidsverpl  en tegenprestatie</t>
  </si>
  <si>
    <t>Exemption temporary exemption from work obligation and requirement</t>
  </si>
  <si>
    <t xml:space="preserve">The customer has recevied an exemption from the work obligation and participation requirement. </t>
  </si>
  <si>
    <t>beschikbaarheid recent afwijkend wegens medische omstandigheden</t>
  </si>
  <si>
    <t>availability recently deviates due to medical conditions</t>
  </si>
  <si>
    <t xml:space="preserve">The customer recently has had non-standard avalibility for work and appointments because of medical conditions. </t>
  </si>
  <si>
    <t>instrument reden beeindiging historie uitval  aanbod niet langer zinvol volgens gemeente</t>
  </si>
  <si>
    <t>Instrument Reason Under termination History offer no longer useful according to the municipality</t>
  </si>
  <si>
    <t>contacten soort afgelopenjaar gesprek op locatie</t>
  </si>
  <si>
    <t xml:space="preserve">In the past year the customer has been contacted about an appointment on site. </t>
  </si>
  <si>
    <t>contacten soort afgelopenjaar rapportage rib</t>
  </si>
  <si>
    <t>afspraak afsprakenplan</t>
  </si>
  <si>
    <t>contacten onderwerp arbeidsdiagnose dariuz</t>
  </si>
  <si>
    <t>Contact with subject of a labor diagnosis with Dariusz.</t>
  </si>
  <si>
    <t>https://www.dariuz.nl/methodiek/</t>
  </si>
  <si>
    <t>relatie kind volwassen</t>
  </si>
  <si>
    <t>instrument reden beeindiging historie overdracht succesvol</t>
  </si>
  <si>
    <t xml:space="preserve">The instrument can be terminated because the client has sucuessfully transfered to the next step. </t>
  </si>
  <si>
    <t>persoonlijke eigenschappen nl begrijpen3</t>
  </si>
  <si>
    <t>Personal qualities NL understanding 3</t>
  </si>
  <si>
    <t>persoonlijke eigenschappen nl schrijvenfalse</t>
  </si>
  <si>
    <t xml:space="preserve">The customer does not have Dutch writing skills. </t>
  </si>
  <si>
    <t>persoonlijke eigenschappen overige opmerkingen</t>
  </si>
  <si>
    <t xml:space="preserve">The customer contains a comment in the 'other' field of their personal qualities. </t>
  </si>
  <si>
    <t>beschikbaarheid huidig afwijkend wegens medische omstandigheden</t>
  </si>
  <si>
    <t>Availability current deviation due to medical conditions</t>
  </si>
  <si>
    <t xml:space="preserve">The customer currently has non-standard avalibility because of medical conditions. </t>
  </si>
  <si>
    <t>contacten onderwerp werkintake  niet verschenen</t>
  </si>
  <si>
    <t xml:space="preserve">The customer has been contacted because they did not appear at their work intake. </t>
  </si>
  <si>
    <t>afspraak other</t>
  </si>
  <si>
    <t>instrument reden beeindiging historie overdracht naar mo</t>
  </si>
  <si>
    <t>competentie materialen en middelen inzetten</t>
  </si>
  <si>
    <t>Competence uses materials and resources</t>
  </si>
  <si>
    <t>ontheffing hist ind</t>
  </si>
  <si>
    <t>Exemption in history</t>
  </si>
  <si>
    <t xml:space="preserve">There is an exemption from reintegration in the client history. </t>
  </si>
  <si>
    <t>adres recentste wijk kralingen c</t>
  </si>
  <si>
    <t>pla einde geplande einddatum overschreden zonder nader bericht</t>
  </si>
  <si>
    <t xml:space="preserve">The planned end date of the action plan has been exceded without notice. </t>
  </si>
  <si>
    <t>belemmering psychische problemen</t>
  </si>
  <si>
    <t>Obstacle Psychological problems</t>
  </si>
  <si>
    <t xml:space="preserve">The customer has psychological problems as a current obstacle. </t>
  </si>
  <si>
    <t>typering hist aantal</t>
  </si>
  <si>
    <t>Customer type history number</t>
  </si>
  <si>
    <t>The number of customer types in the client history</t>
  </si>
  <si>
    <t>persoonlijke eigenschappen leergierigheid opm</t>
  </si>
  <si>
    <t>pla einde other</t>
  </si>
  <si>
    <t>The action plan has ended for an 'other' reason</t>
  </si>
  <si>
    <t>afspraak afgelopen jaar plan van aanpak</t>
  </si>
  <si>
    <t>Customer had an appointment last year about their Action Plan.</t>
  </si>
  <si>
    <t>relatie overig actueel vorm  ouders verzorgers</t>
  </si>
  <si>
    <t xml:space="preserve">The customer has parents who are caring for them. </t>
  </si>
  <si>
    <t>persoonlijke eigenschappen taaleis schrijfv ok</t>
  </si>
  <si>
    <t xml:space="preserve">The customer has met the writing portion of their Dutch language requirement. </t>
  </si>
  <si>
    <t>instrument reden beeindiging historie other</t>
  </si>
  <si>
    <t>ontheffing reden hist sociale gronden</t>
  </si>
  <si>
    <t>Exemption reason history social grounds</t>
  </si>
  <si>
    <t xml:space="preserve">The customer has been exempt from the work requirement because of social reasons.  </t>
  </si>
  <si>
    <t>typering other</t>
  </si>
  <si>
    <t>Customer type other</t>
  </si>
  <si>
    <t>Customer type is other</t>
  </si>
  <si>
    <t>afspraak afgelopen jaar ontheffing</t>
  </si>
  <si>
    <t>Customer had an appointment last year about an exemption.</t>
  </si>
  <si>
    <t>competentie formuleren en rapporteren</t>
  </si>
  <si>
    <t>Competence Formulate and report</t>
  </si>
  <si>
    <t>pla historie werk</t>
  </si>
  <si>
    <t>Action plan history contains work</t>
  </si>
  <si>
    <t>instrument reden beeindiging historie overdracht naar regulier team iwpm</t>
  </si>
  <si>
    <t>persoonlijke eigenschappen initiatief opm</t>
  </si>
  <si>
    <t>pla hist pla categorie doelstelling 27</t>
  </si>
  <si>
    <t>relatie kind basisschool kind</t>
  </si>
  <si>
    <t>instrument reden beeindiging historie doelstelling bereikt  geen uitstroom</t>
  </si>
  <si>
    <t>Instrument terminated does not achieve reintegration</t>
  </si>
  <si>
    <t xml:space="preserve">instrument is terminated because the customer does not acheive reintegration into the workforce. </t>
  </si>
  <si>
    <t>typering transport  logistiek   tuinbouw</t>
  </si>
  <si>
    <t>Customer type Transport Logistics Horticulture</t>
  </si>
  <si>
    <t xml:space="preserve">The customerm works in transport, logistics, or horticulture. </t>
  </si>
  <si>
    <t>persoonlijke eigenschappen nl spreken1</t>
  </si>
  <si>
    <t>Personal characteristics NL speaking 1</t>
  </si>
  <si>
    <t>competentie onderzoeken</t>
  </si>
  <si>
    <t>competence research</t>
  </si>
  <si>
    <t>instrument reden beeindiging historie op termijn matchbaar</t>
  </si>
  <si>
    <t>competentie ethisch en integer handelen</t>
  </si>
  <si>
    <t>afspraak controle verwijzing</t>
  </si>
  <si>
    <t>Customer had an appointment about a control measure.</t>
  </si>
  <si>
    <t>persoonlijke eigenschappen nl spreken2</t>
  </si>
  <si>
    <t>Personal characteristics NL speak2</t>
  </si>
  <si>
    <t>persoonlijke eigenschappen presentatie opm</t>
  </si>
  <si>
    <t>Personal characteristics presentation</t>
  </si>
  <si>
    <t>persoonlijke eigenschappen nl schrijven0</t>
  </si>
  <si>
    <t>persoonlijke eigenschappen ind regulier arbeidsritme</t>
  </si>
  <si>
    <t>pla actueel pla categorie doelstelling 16</t>
  </si>
  <si>
    <t>persoonlijke eigenschappen ind activering traject</t>
  </si>
  <si>
    <t>Personal characteristics in activation process</t>
  </si>
  <si>
    <t xml:space="preserve">Personal characteristics are included in the social activation trajectory </t>
  </si>
  <si>
    <t>instrument ladder huidig werk re integratie</t>
  </si>
  <si>
    <t>The customer has work reintegration as part of their current insturment ladder.</t>
  </si>
  <si>
    <t>competentie met druk en tegenslag omgaan</t>
  </si>
  <si>
    <t>Competence with pressure and setbacks</t>
  </si>
  <si>
    <t>persoonlijke eigenschappen doorzettingsvermogen opm</t>
  </si>
  <si>
    <t>belemmering hist psychische problemen</t>
  </si>
  <si>
    <t xml:space="preserve">The customer has psychological problems as an obstacle in their history. </t>
  </si>
  <si>
    <t>persoonlijke eigenschappen communicatie opm</t>
  </si>
  <si>
    <t>persoonlijke eigenschappen spreektaal anders</t>
  </si>
  <si>
    <t>Personal characteristics language other</t>
  </si>
  <si>
    <t xml:space="preserve">The customer speaks a language other than Dutch. </t>
  </si>
  <si>
    <t>ontheffing reden hist vanwege uw sociaal maatschappelijke situatie</t>
  </si>
  <si>
    <t>Exemption history because of your social situation</t>
  </si>
  <si>
    <t xml:space="preserve">The customer has previously been exempt from the work requirement because of their social situation. </t>
  </si>
  <si>
    <t>persoonlijke eigenschappen nl schrijven2</t>
  </si>
  <si>
    <t>pla einde doelstelling bereikt  overdracht</t>
  </si>
  <si>
    <t xml:space="preserve">Customer completes an objective in the action plan and transfers to a new stage. </t>
  </si>
  <si>
    <t>contacten onderwerp boolean match   werk</t>
  </si>
  <si>
    <t xml:space="preserve">relatie partner aantal partner   partner  gehuwd </t>
  </si>
  <si>
    <t>relationship partner number of married partners</t>
  </si>
  <si>
    <t xml:space="preserve">The number of married partners the customer has had. </t>
  </si>
  <si>
    <t>beschikbaarheid aantal historie afwijkend wegens sociaal maatschappelijke situatie</t>
  </si>
  <si>
    <t>availability history deviating due to social situation</t>
  </si>
  <si>
    <t xml:space="preserve">The customer's avalibility for work has recently been deviating because of their social situation. </t>
  </si>
  <si>
    <t>belemmering hist stabiele mix  sz    dagbesteding werk</t>
  </si>
  <si>
    <t>Obstacle Hist Stable Mix of Daytime Activities and Work</t>
  </si>
  <si>
    <t>Client has faced obstecle of a balnaced mix of daytime activities and work.</t>
  </si>
  <si>
    <t>belemmering hist lichamelijke problematiek</t>
  </si>
  <si>
    <t>Obtacle Hist physical problems</t>
  </si>
  <si>
    <t>Physcial problems are listed in the customer's obstacle history.</t>
  </si>
  <si>
    <t>adres recentste wijk ijsselmonde</t>
  </si>
  <si>
    <t>instrument reden beeindiging historie direct matchbaar</t>
  </si>
  <si>
    <t>instrument termination history directly matchable</t>
  </si>
  <si>
    <t>typering indicatie geheime gegevens</t>
  </si>
  <si>
    <t>Customer Type Secret Data</t>
  </si>
  <si>
    <t>adres recentste wijk stadscentru</t>
  </si>
  <si>
    <t>address most recent district of city center</t>
  </si>
  <si>
    <t>contacten onderwerp vakantie</t>
  </si>
  <si>
    <t>instrument reden beeindiging historie succesvol  doelstelling bereikt</t>
  </si>
  <si>
    <t>Instrument Reason History Successful Objective achieved</t>
  </si>
  <si>
    <t>pla hist pla categorie doelstelling 6</t>
  </si>
  <si>
    <t>relatie overig actueel vorm  onderhoudsplichtige</t>
  </si>
  <si>
    <t>belemmering woonsituatie</t>
  </si>
  <si>
    <t>Obstacle residential situation</t>
  </si>
  <si>
    <t xml:space="preserve">The customer's residential situation is listed as an obstacle. </t>
  </si>
  <si>
    <t>beschikbaarheid recent afwijkend wegens sociaal maatschappelijke situatie</t>
  </si>
  <si>
    <t xml:space="preserve">The avalibility of the customer has recently been non-standard because of their social situation. </t>
  </si>
  <si>
    <t>beschikbaarheid huidig bekend</t>
  </si>
  <si>
    <t xml:space="preserve">The avalibility of the customer is currently unknown. </t>
  </si>
  <si>
    <t>typering aantal</t>
  </si>
  <si>
    <t>Number of Customer Types</t>
  </si>
  <si>
    <t>adres recentste buurt nieuwe westen</t>
  </si>
  <si>
    <t>adres recentste buurt oude noorden</t>
  </si>
  <si>
    <t>adres recentste plaats other</t>
  </si>
  <si>
    <t>afspraak afgelopen jaar vervolgmeting matchbaarheid werkzoekende klant</t>
  </si>
  <si>
    <t>belemmering hist taal</t>
  </si>
  <si>
    <t>Obstacle HIST LANGUAGE</t>
  </si>
  <si>
    <t>belemmering ind</t>
  </si>
  <si>
    <t xml:space="preserve">Obstacle ind </t>
  </si>
  <si>
    <t>belemmering niet computervaardig</t>
  </si>
  <si>
    <t>Obtacle not computer -skilled</t>
  </si>
  <si>
    <t>competentie instructies en procedures opvolgen</t>
  </si>
  <si>
    <t>Skill follow up instructions and procedures</t>
  </si>
  <si>
    <t>competentie leren</t>
  </si>
  <si>
    <t>Skill learning</t>
  </si>
  <si>
    <t>competentie omgaan met verandering en aanpassen</t>
  </si>
  <si>
    <t>contacten onderwerp  pre  intake</t>
  </si>
  <si>
    <t>contacten onderwerp boolean  arbeids motivatie</t>
  </si>
  <si>
    <t>contacten onderwerp boolean  pre  intake</t>
  </si>
  <si>
    <t>contacten onderwerp boolean  werk intake</t>
  </si>
  <si>
    <t>contacten onderwerp boolean beoordelen taaleis</t>
  </si>
  <si>
    <t>Contacts subject Boolean assess Language Requirement</t>
  </si>
  <si>
    <t>contacten onderwerp boolean contact derden</t>
  </si>
  <si>
    <t>contacten onderwerp boolean contact met aanbieder</t>
  </si>
  <si>
    <t>Contacts Subject Boolean Contact with Employer</t>
  </si>
  <si>
    <t>contacten onderwerp boolean diagnosegesprek</t>
  </si>
  <si>
    <t xml:space="preserve">contacten onderwerp boolean documenten  innemen </t>
  </si>
  <si>
    <t>Contact subject Boolean documents</t>
  </si>
  <si>
    <t xml:space="preserve">contacten onderwerp boolean documenttype  cv </t>
  </si>
  <si>
    <t xml:space="preserve">contacten onderwerp boolean documenttype  overeenkomst </t>
  </si>
  <si>
    <t>contacten onderwerp boolean financi?le situatie</t>
  </si>
  <si>
    <t>Contacts Subject Boolean Financial Situation</t>
  </si>
  <si>
    <t>contacten onderwerp boolean groepsbijeenkomst</t>
  </si>
  <si>
    <t>contacten onderwerp boolean inkomen</t>
  </si>
  <si>
    <t>contacten onderwerp boolean maatregel overweging</t>
  </si>
  <si>
    <t>contacten onderwerp boolean matching</t>
  </si>
  <si>
    <t>contacten onderwerp boolean mutatie</t>
  </si>
  <si>
    <t>contacten onderwerp boolean no show</t>
  </si>
  <si>
    <t>contacten onderwerp boolean overige</t>
  </si>
  <si>
    <t>contacten onderwerp boolean overleg met inkomen</t>
  </si>
  <si>
    <t>contacten onderwerp boolean scholing</t>
  </si>
  <si>
    <t>contacten onderwerp boolean sollicitatie</t>
  </si>
  <si>
    <t>contacten onderwerp boolean taaleis   voldoet</t>
  </si>
  <si>
    <t>Contacts Subject Boolean Language requirement satisfactory</t>
  </si>
  <si>
    <t>The customer has been contacted about sucuessfully meeting their Dutch language requirement</t>
  </si>
  <si>
    <t>contacten onderwerp boolean terugbelverzoek</t>
  </si>
  <si>
    <t>contacten onderwerp boolean traject</t>
  </si>
  <si>
    <t>contacten onderwerp boolean uitnodiging</t>
  </si>
  <si>
    <t>contacten onderwerp boolean ziek  of afmelding</t>
  </si>
  <si>
    <t>contacten onderwerp boolean zorg</t>
  </si>
  <si>
    <t>Contacts Subject Boolean care</t>
  </si>
  <si>
    <t>contacten onderwerp inname aanvraag</t>
  </si>
  <si>
    <t>instrument reden beeindiging historie diagnose gesteld</t>
  </si>
  <si>
    <t>instrument reden beeindiging historie doelstelling bereikt  uitstroom naar regulier werk</t>
  </si>
  <si>
    <t xml:space="preserve">The customer's insturment ladder is terminated because they have found regular work. </t>
  </si>
  <si>
    <t>instrument reden beeindiging historie doelstelling bereikt  uitstroom overig</t>
  </si>
  <si>
    <t>instrument reden beeindiging historie niet matchbaar</t>
  </si>
  <si>
    <t>instrument reden beeindiging historie niet succesvol  reden bij werkzoekende</t>
  </si>
  <si>
    <t>instrument reden beeindiging historie overdracht naar prematching</t>
  </si>
  <si>
    <t>ontheffing reden hist medische gronden</t>
  </si>
  <si>
    <t>ontheffing reden hist tijdelijke ontheffing arbeidsverplichtingen</t>
  </si>
  <si>
    <t>persoonlijke eigenschappen flexibiliteit opm</t>
  </si>
  <si>
    <t>persoonlijke eigenschappen ind buiten kantoortijden</t>
  </si>
  <si>
    <t>persoonlijke eigenschappen nl lezen3</t>
  </si>
  <si>
    <t>persoonlijke eigenschappen nl lezen4</t>
  </si>
  <si>
    <t>persoonlijke eigenschappen nl schrijven1</t>
  </si>
  <si>
    <t>persoonlijke eigenschappen nl schrijven3</t>
  </si>
  <si>
    <t>persoonlijke eigenschappen zelfstandigheid opm</t>
  </si>
  <si>
    <t>pla einde doelstelling niet bereikt  overdracht</t>
  </si>
  <si>
    <t>pla historie werk en inburgering</t>
  </si>
  <si>
    <t>Work and integration in Action Plan history</t>
  </si>
  <si>
    <t>relatie kind heeft kinderen</t>
  </si>
  <si>
    <t xml:space="preserve">The customer has children. </t>
  </si>
  <si>
    <t>relatie overig actueel vorm  gemachtigde</t>
  </si>
  <si>
    <t>typering hist inburgeringsbehoeftig</t>
  </si>
  <si>
    <t>Customer type history integration</t>
  </si>
  <si>
    <t>typering hist ind</t>
  </si>
  <si>
    <t>Has customer type history</t>
  </si>
  <si>
    <t>typering hist sector zorg</t>
  </si>
  <si>
    <t>Customer type history care</t>
  </si>
  <si>
    <t>typering ind</t>
  </si>
  <si>
    <t xml:space="preserve">Has customer type </t>
  </si>
  <si>
    <t>typering zorg  schoonmaak   welzijn</t>
  </si>
  <si>
    <t>Customer type cleaning and care</t>
  </si>
  <si>
    <t>Client has work history in cleaning and care.</t>
  </si>
  <si>
    <t>feature_name</t>
  </si>
  <si>
    <t>Gabriel</t>
  </si>
  <si>
    <t>Eva</t>
  </si>
  <si>
    <t>Htet</t>
  </si>
  <si>
    <t>Justin</t>
  </si>
  <si>
    <t>persoon_geslacht_vrouw</t>
  </si>
  <si>
    <r>
      <t xml:space="preserve">Different codes for different languages. Quite a few. The full list of codes can be found under the "spreektaal" tab of this spreadsheet. </t>
    </r>
    <r>
      <rPr>
        <u/>
        <sz val="10"/>
        <color rgb="FF1155CC"/>
        <rFont val="Arial"/>
        <family val="2"/>
      </rPr>
      <t>https://docs.google.com/spreadsheets/d/112si-DLGpUeeCD2mNRK71WG52U5Hl9-L/edit#gid=1662532360</t>
    </r>
  </si>
  <si>
    <t>Skill Applying Profesional Expertise</t>
  </si>
  <si>
    <t xml:space="preserve">The client's estimate of how much time they think they need to reintegrate. </t>
  </si>
  <si>
    <t xml:space="preserve">Whether the customer has any hobbies or plays any sports. </t>
  </si>
  <si>
    <t>Estimate</t>
  </si>
  <si>
    <t>ABS(estimate)</t>
  </si>
  <si>
    <t>Std..Error</t>
  </si>
  <si>
    <t>t.value</t>
  </si>
  <si>
    <t>Pr...t..</t>
  </si>
  <si>
    <t>rel_imp</t>
  </si>
  <si>
    <t>ri_norm</t>
  </si>
  <si>
    <t>combined</t>
  </si>
  <si>
    <t>persoon_leeftijd_bij_onderzoek</t>
  </si>
  <si>
    <t>relatie_overig_actueel_vorm__kostendeler</t>
  </si>
  <si>
    <t>deelname_act_reintegratieladder_werk_re_integratie</t>
  </si>
  <si>
    <t>adres_recentst_onderdeel_rdam</t>
  </si>
  <si>
    <t>belemmering_psychische_problemen</t>
  </si>
  <si>
    <t>persoonlijke_eigenschappen_opstelling</t>
  </si>
  <si>
    <t>typering_hist_aantal</t>
  </si>
  <si>
    <t>contacten_onderwerp_vakantie</t>
  </si>
  <si>
    <t>(Intercept)</t>
  </si>
  <si>
    <t>id</t>
  </si>
  <si>
    <t>feature</t>
  </si>
  <si>
    <t>datatype</t>
  </si>
  <si>
    <t>int</t>
  </si>
  <si>
    <t>float</t>
  </si>
  <si>
    <t>contacten_onderwerp_financi�le_situatie</t>
  </si>
  <si>
    <t>contacten_onderwerp_boolean_financi�le_situatie</t>
  </si>
  <si>
    <t>competentie_overtuigen_en_be�nvloeden</t>
  </si>
  <si>
    <t>AVERAGE of feature_importance</t>
  </si>
  <si>
    <t>Grand Total</t>
  </si>
  <si>
    <t>feature dutch</t>
  </si>
  <si>
    <t>feature english</t>
  </si>
  <si>
    <t xml:space="preserve">feature simplified </t>
  </si>
  <si>
    <t>feature importance</t>
  </si>
  <si>
    <t>Business Rule</t>
  </si>
  <si>
    <t>Relationship Other Current Costsharer</t>
  </si>
  <si>
    <t>https://www.rijksoverheid.nl/onderwerpen/bijstand/vraag-en-antwoord/wat-is-de-kostendelersnorm-in-de-bijstand</t>
  </si>
  <si>
    <t>Have lived with a roomate</t>
  </si>
  <si>
    <t>Contact subject income</t>
  </si>
  <si>
    <t>Contacts different kids of contact last year</t>
  </si>
  <si>
    <t xml:space="preserve">Action plan completes objective </t>
  </si>
  <si>
    <t>address most recent other</t>
  </si>
  <si>
    <t>Personal qualities spoken language</t>
  </si>
  <si>
    <t>Personal qualities Motivation</t>
  </si>
  <si>
    <t>Personal characteristics NL speakING1</t>
  </si>
  <si>
    <t>Personal characteristics different language</t>
  </si>
  <si>
    <t>Exemption hiistory because of your social situation</t>
  </si>
  <si>
    <r>
      <t xml:space="preserve">The municipality can ask you to spend a period of four weeks looking for a job without help. You essentially have to show that 'you're making an effort.' </t>
    </r>
    <r>
      <rPr>
        <u/>
        <sz val="10"/>
        <color rgb="FF1155CC"/>
        <rFont val="Arial"/>
        <family val="2"/>
      </rPr>
      <t>https://www.amsterdam.nl/veelgevraagd/?productid=%7B60C9FDC1-9F75-4DD6-A653-09D848209E7D%7D#case_%7BD511441E-40F2-4C70-AA44-0139B71C6616%7D</t>
    </r>
  </si>
  <si>
    <t>Appointment announceme control measure</t>
  </si>
  <si>
    <t>Obstacle current</t>
  </si>
  <si>
    <t/>
  </si>
  <si>
    <t>SUM of Calculated Field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</si>
</sst>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Nunito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4" fontId="1" fillId="3" borderId="0" xfId="0" applyNumberFormat="1" applyFont="1" applyFill="1"/>
    <xf numFmtId="0" fontId="2" fillId="2" borderId="0" xfId="0" applyFont="1" applyFill="1"/>
    <xf numFmtId="4" fontId="2" fillId="2" borderId="0" xfId="0" applyNumberFormat="1" applyFont="1" applyFill="1"/>
    <xf numFmtId="0" fontId="2" fillId="4" borderId="0" xfId="0" applyFont="1" applyFill="1"/>
    <xf numFmtId="4" fontId="2" fillId="4" borderId="0" xfId="0" applyNumberFormat="1" applyFont="1" applyFill="1"/>
    <xf numFmtId="0" fontId="3" fillId="5" borderId="0" xfId="0" applyFont="1" applyFill="1" applyAlignment="1">
      <alignment wrapText="1"/>
    </xf>
    <xf numFmtId="0" fontId="1" fillId="4" borderId="0" xfId="0" applyFont="1" applyFill="1"/>
    <xf numFmtId="0" fontId="2" fillId="0" borderId="0" xfId="0" applyFont="1" applyAlignment="1">
      <alignment wrapText="1"/>
    </xf>
    <xf numFmtId="4" fontId="2" fillId="0" borderId="0" xfId="0" applyNumberFormat="1" applyFont="1"/>
    <xf numFmtId="0" fontId="1" fillId="0" borderId="0" xfId="0" applyFont="1" applyAlignment="1">
      <alignment wrapText="1"/>
    </xf>
    <xf numFmtId="4" fontId="1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2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1" fillId="3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2" fillId="2" borderId="0" xfId="0" quotePrefix="1" applyFont="1" applyFill="1" applyAlignme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5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6">
    <tableStyle name="selected_features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Google Sheets Pivot Table Style" table="0" count="12" xr9:uid="{00000000-0011-0000-FFFF-FFFF01000000}">
      <tableStyleElement type="wholeTable" dxfId="53"/>
      <tableStyleElement type="headerRow" dxfId="52"/>
      <tableStyleElement type="totalRow" dxfId="51"/>
      <tableStyleElement type="firstSubtotalRow" dxfId="50"/>
      <tableStyleElement type="secondSubtotalRow" dxfId="49"/>
      <tableStyleElement type="thirdSubtotalRow" dxfId="48"/>
      <tableStyleElement type="firstColumnSubheading" dxfId="47"/>
      <tableStyleElement type="secondColumnSubheading" dxfId="46"/>
      <tableStyleElement type="thirdColumnSubheading" dxfId="45"/>
      <tableStyleElement type="firstRowSubheading" dxfId="44"/>
      <tableStyleElement type="secondRowSubheading" dxfId="43"/>
      <tableStyleElement type="thirdRowSubheading" dxfId="42"/>
    </tableStyle>
    <tableStyle name="Person 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Relationship 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Skill 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Contact 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Action Plan 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Address 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Instrument ladder 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Personal qualities 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Exemption 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Appointment 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Obstacle 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Availability 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Customer type 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Participation Act 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24.542762384262" refreshedVersion="8" recordCount="315" xr:uid="{00000000-000A-0000-FFFF-FFFF00000000}">
  <cacheSource type="worksheet">
    <worksheetSource ref="A1:E316" sheet="final_model_features"/>
  </cacheSource>
  <cacheFields count="10">
    <cacheField name="feature_dutch" numFmtId="0">
      <sharedItems/>
    </cacheField>
    <cacheField name="feature_english" numFmtId="0">
      <sharedItems/>
    </cacheField>
    <cacheField name="variable_generation" numFmtId="0">
      <sharedItems containsBlank="1"/>
    </cacheField>
    <cacheField name="Config" numFmtId="0">
      <sharedItems/>
    </cacheField>
    <cacheField name="feature_simplified " numFmtId="0">
      <sharedItems containsBlank="1"/>
    </cacheField>
    <cacheField name="feature_importance" numFmtId="4">
      <sharedItems containsSemiMixedTypes="0" containsString="0" containsNumber="1" minValue="0" maxValue="100"/>
    </cacheField>
    <cacheField name="Category" numFmtId="0">
      <sharedItems count="14">
        <s v="Person"/>
        <s v="Relationship"/>
        <s v="Contact"/>
        <s v="Skill"/>
        <s v="Address"/>
        <s v="Action Plan"/>
        <s v="Instrument ladder"/>
        <s v="Personal qualities"/>
        <s v="Exemption"/>
        <s v="Appointment"/>
        <s v="Obstacle"/>
        <s v="Availability"/>
        <s v="Customer type"/>
        <s v="Participation Act"/>
      </sharedItems>
    </cacheField>
    <cacheField name="Notes" numFmtId="0">
      <sharedItems containsBlank="1"/>
    </cacheField>
    <cacheField name="Understand? " numFmtId="0">
      <sharedItems containsBlank="1"/>
    </cacheField>
    <cacheField name="Calculated Field 1" numFmtId="0" formula="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persoon leeftijd bij onderzoek"/>
    <s v="Person Age During Investigation"/>
    <s v="melding_om - persoon_gebjaar"/>
    <b v="1"/>
    <m/>
    <n v="100"/>
    <x v="0"/>
    <s v="For the training data, this is the age of the client when they were put under investigation. When running new clients through the model, this is their current age."/>
    <m/>
  </r>
  <r>
    <s v="relatie overig actueel vorm kostendeler"/>
    <s v="Relationship Other Current Number Costsharer"/>
    <s v="[CATEGORY] count(vorm), for current"/>
    <b v="0"/>
    <s v="Number of current relationships of type costsharer"/>
    <n v="35.485673710635602"/>
    <x v="1"/>
    <m/>
    <m/>
  </r>
  <r>
    <s v="contacten onderwerp no show"/>
    <s v="Contact subject no show"/>
    <s v="[CATEGORY] count (onderwerp)"/>
    <b v="0"/>
    <s v="Contact subject client has not shown up for meeting"/>
    <n v="27.874801535345402"/>
    <x v="2"/>
    <m/>
    <m/>
  </r>
  <r>
    <s v="competentie vakdeskundigheid toepassen"/>
    <s v="Skill Applying Work Expertise"/>
    <s v="[CATEGORY] count(comp_omshrijving)"/>
    <b v="1"/>
    <m/>
    <n v="25.106633247031599"/>
    <x v="3"/>
    <m/>
    <m/>
  </r>
  <r>
    <s v="contacten onderwerp overleg met inkomen"/>
    <s v="Contact subject consultation about income"/>
    <s v="[CATEGORY] count (onderwerp)"/>
    <b v="0"/>
    <s v="Contact subject consultation about client's income."/>
    <n v="24.101367423066002"/>
    <x v="2"/>
    <m/>
    <m/>
  </r>
  <r>
    <s v="adres dagen op adres"/>
    <s v="Address days at address"/>
    <s v="dteinde - dtaanvang"/>
    <b v="0"/>
    <s v="Days at address "/>
    <n v="23.329141197404699"/>
    <x v="4"/>
    <m/>
    <m/>
  </r>
  <r>
    <s v="relatie overig kostendeler"/>
    <s v="Relationship other costsharer"/>
    <s v="as.integer(any(kostendeler))"/>
    <b v="0"/>
    <s v="Customer currenty has a costsharer "/>
    <n v="20.748949566602999"/>
    <x v="1"/>
    <m/>
    <m/>
  </r>
  <r>
    <s v="PLA historie ontwikkeling"/>
    <s v="PLA History Development"/>
    <s v="[CATEGORY] count(pla_naam)"/>
    <b v="0"/>
    <s v="Personal / profesional development in action plan"/>
    <n v="19.1112949665124"/>
    <x v="5"/>
    <m/>
    <m/>
  </r>
  <r>
    <s v="instrument ladder huidig activering"/>
    <s v="Instrument Ladder Current activation"/>
    <s v="[CATEGORY] count(reintegratieladder), for current rows"/>
    <b v="0"/>
    <s v="instrument ladder is currently activated."/>
    <n v="17.504786804464899"/>
    <x v="6"/>
    <s v="The customer is currently &quot;activated&quot;, meaning they are participating in things like volunteer work aimed at reintegration. "/>
    <m/>
  </r>
  <r>
    <s v="contacten soort afgelopenjaar document  uitgaand "/>
    <s v="Contact type last year outgoing documents"/>
    <s v="[CATEGORY] count (soort_contact_omschrijving), for past year"/>
    <b v="0"/>
    <s v="Number of outgoing documents last year. "/>
    <n v="15.4138352665776"/>
    <x v="2"/>
    <m/>
    <m/>
  </r>
  <r>
    <s v="persoonlijke eigenschappen dagen sinds taaleis"/>
    <s v="Personal qualities days since language requirement"/>
    <s v="melding_om - taaleis_voldaan_datum_ja"/>
    <b v="1"/>
    <s v="The number of days since the customer sucuessfuly completed their language requirement. "/>
    <n v="15.15384566458"/>
    <x v="7"/>
    <s v="There is a Dutch language requirement for all people receving benefits in the Netherlands.  "/>
    <m/>
  </r>
  <r>
    <s v="persoonlijke eigenschappen dagen sinds opvoer"/>
    <s v="Personal qualities days since last updated"/>
    <s v="melding_om - jn_datetime"/>
    <b v="0"/>
    <s v="Days since personal qualities attributes were updated."/>
    <n v="14.928515995963201"/>
    <x v="7"/>
    <s v="The amount of days that have passed since the personal quality fields were updated"/>
    <m/>
  </r>
  <r>
    <s v="ontheffing dagen hist vanwege uw medische omstandigheden"/>
    <s v="Exemption day history because of your medical conditions"/>
    <s v="[CATEGORY] count(ontheffing), weighted by days since dtaanvang"/>
    <b v="1"/>
    <s v="Number of exemption days in history because of medical conditions. "/>
    <n v="13.8170249984941"/>
    <x v="8"/>
    <m/>
    <m/>
  </r>
  <r>
    <s v="relatie partner totaal dagen partner"/>
    <s v="relationship partner Total days partner"/>
    <s v="dteinde - dtaanvang, for most recent relatiobship"/>
    <b v="0"/>
    <s v="Total days customer has had a partner"/>
    <n v="12.442484045972501"/>
    <x v="1"/>
    <m/>
    <m/>
  </r>
  <r>
    <s v="pla hist pla categorie doelstelling 16"/>
    <s v="PLA HIST PLA Category Objective 16"/>
    <s v="[CATEGORY] count(cat)"/>
    <b v="0"/>
    <m/>
    <n v="11.9346682295393"/>
    <x v="5"/>
    <m/>
    <m/>
  </r>
  <r>
    <s v="relatie kind leeftijd verschil ouder eerste kind"/>
    <s v="relationship child age difference parent first child"/>
    <s v="min(relatie_gebjaarmaand -  persoon_gebjaarmaand)"/>
    <b v="1"/>
    <s v="Age difference between parent and first child"/>
    <n v="11.1659153714029"/>
    <x v="1"/>
    <s v="Age of the parent when they had the first child."/>
    <m/>
  </r>
  <r>
    <s v="relatie kind huidige aantal"/>
    <s v="Relationship child current number"/>
    <s v="length(unique(subjectnrrelatie))"/>
    <b v="1"/>
    <s v="Current number of children. "/>
    <n v="10.847997409546201"/>
    <x v="1"/>
    <m/>
    <m/>
  </r>
  <r>
    <s v="instrument ladder historie activering"/>
    <s v="Instrument ladder history activation "/>
    <s v="[CATEGORY] count(reintegratieladder)"/>
    <b v="0"/>
    <s v="Social activation in reintegration ladder history."/>
    <n v="10.760432826565699"/>
    <x v="6"/>
    <s v="Whether in someone's reintegration history there has been an &quot;activation&quot;, meaning participating in things like volunteer work and social activities aimed at employment integration. This is mainly intended for people at &quot;great distance&quot; from the labor mar"/>
    <m/>
  </r>
  <r>
    <s v="persoon geslacht vrouw"/>
    <s v="person gender woman"/>
    <s v="[DUMMY] persoon_geslacht"/>
    <b v="1"/>
    <s v="Customer is a woman"/>
    <n v="9.9039540427755508"/>
    <x v="0"/>
    <s v="0 is man and 1 is woman "/>
    <m/>
  </r>
  <r>
    <s v="afspraak inspanningsperiode"/>
    <s v="Appointment effort period"/>
    <s v="[CATEGORY] count(afspraak_naam)"/>
    <b v="0"/>
    <s v="Appointment has been made about an effort period. "/>
    <n v="9.3556413137865704"/>
    <x v="9"/>
    <s v="The municipality can ask you to spend a period of four weeks looking for a job without help. You essentially have to show that 'you're making an effort.' https://www.amsterdam.nl/veelgevraagd/?productid=%7B60C9FDC1-9F75-4DD6-A653-09D848209E7D%7D#case_%7BD"/>
    <m/>
  </r>
  <r>
    <s v="belemmering dagen financiele problemen"/>
    <s v="Obstacles Days Financial Problems"/>
    <s v="[CATEGORY] count(belemmering), each belemmering is multiplied by its duration"/>
    <b v="0"/>
    <s v="The number of days the customer has had an obstacle to finding work because of financial problems. "/>
    <n v="9.0371369782603406"/>
    <x v="10"/>
    <m/>
    <m/>
  </r>
  <r>
    <s v="pla ondertekeningen historie"/>
    <s v="PLA signed in history"/>
    <s v="sum(!is.na(datum_ondertekening))"/>
    <b v="0"/>
    <s v="An action plan has been signed. "/>
    <n v="8.9550541509408408"/>
    <x v="5"/>
    <s v="Muncipalities can create an &quot;action plan&quot; for benefits where they put in steps for their reintegration to the labor market. "/>
    <m/>
  </r>
  <r>
    <s v="ontheffing dagen hist mean"/>
    <s v="Exemption days history mean"/>
    <s v="ontheffing_dagen_hist_totaal / ontheffing_hist_aantal"/>
    <b v="0"/>
    <s v="The mean number of exemption days. "/>
    <n v="8.6815318534939401"/>
    <x v="8"/>
    <s v="Some people may be exempt for a certain period of time from reintegrating into the labor market because of, for example, physical injury. "/>
    <m/>
  </r>
  <r>
    <s v="afspraak resultaat ingevuld uniek"/>
    <s v="Appointment result filled unique"/>
    <s v="sum(!is.na(ressultaat_naam))"/>
    <b v="0"/>
    <m/>
    <n v="8.1824528893146908"/>
    <x v="9"/>
    <m/>
    <m/>
  </r>
  <r>
    <s v="beschikbaarheid aantal historie afwijkend wegens medische omstandigheden"/>
    <s v="availability amount history abnormal due to medical conditions"/>
    <s v="[CATEGORY] count(beschikbaarheid_naam)"/>
    <b v="1"/>
    <s v="In avalibility history avalibility marked as abnormal due to medical conditions"/>
    <n v="8.1477791177880405"/>
    <x v="11"/>
    <m/>
    <m/>
  </r>
  <r>
    <s v="relatie kind jongvolwassen"/>
    <s v="relationship child young adult"/>
    <s v="count number of kids, age 18-26"/>
    <b v="1"/>
    <s v="Child who is a young adult"/>
    <n v="7.9912239718481697"/>
    <x v="1"/>
    <m/>
    <m/>
  </r>
  <r>
    <s v="instrument reden beeindiging historie succesvol"/>
    <s v="instrument ladder reason termination reason sucuessful "/>
    <s v="[CATEGORY] count(reden_beeindiging)"/>
    <b v="0"/>
    <s v="The customer has sucuessfuly moved up their insturment ladder."/>
    <n v="7.3793685912712901"/>
    <x v="6"/>
    <m/>
    <b v="0"/>
  </r>
  <r>
    <s v="belemmering dagen psychische problemen"/>
    <s v="Obstacle days psychological problems"/>
    <s v="[CATEGORY] count(belemmering), each belemmering is multiplied by its duration"/>
    <b v="1"/>
    <s v="The number of days the customer has had an obstacle to finding work because of psychological issues. "/>
    <n v="7.3309532019588399"/>
    <x v="10"/>
    <m/>
    <m/>
  </r>
  <r>
    <s v="afspraak laatstejaar aantal woorden"/>
    <s v="appointment last year number of words"/>
    <s v="sum(number of characters(tekst)), for appointments in the past year"/>
    <b v="0"/>
    <m/>
    <n v="7.28602944282368"/>
    <x v="9"/>
    <m/>
    <m/>
  </r>
  <r>
    <s v="afspraak laatstejaar resultaat ingevuld uniek"/>
    <s v="Appointment last year result filled unique"/>
    <s v="length(unique(resultaat_naam)),  for appointments in the past year"/>
    <b v="0"/>
    <m/>
    <n v="7.04025299680087"/>
    <x v="9"/>
    <m/>
    <m/>
  </r>
  <r>
    <s v="relatie overig historie vorm  andere inwonende"/>
    <s v="Relationship Other History Form Other resident"/>
    <s v="[CATEGORY] count(vorm)"/>
    <b v="0"/>
    <s v="Has lived with a roomate"/>
    <n v="6.9906170475014102"/>
    <x v="1"/>
    <m/>
    <m/>
  </r>
  <r>
    <s v="afspraak aantal woorden"/>
    <s v="appointment number of words"/>
    <s v="sum(number of characters(tekst))"/>
    <b v="0"/>
    <m/>
    <n v="6.92486460480748"/>
    <x v="9"/>
    <m/>
    <m/>
  </r>
  <r>
    <s v="contacten soort document  inkomend "/>
    <s v="Contacts Type of document Incoming"/>
    <s v="[CATEGORY] count (soort_contact_omschrijving)"/>
    <b v="0"/>
    <s v="Number of incoming documents "/>
    <n v="6.7875919525693602"/>
    <x v="2"/>
    <m/>
    <m/>
  </r>
  <r>
    <s v="afspraak signaal voor medewerker"/>
    <s v="Appointment signal from social worker"/>
    <s v="[CATEGORY] count(afspraak_naam)"/>
    <b v="0"/>
    <m/>
    <n v="6.7610831210873803"/>
    <x v="9"/>
    <m/>
    <m/>
  </r>
  <r>
    <s v="ontheffing reden hist tijdelijke ontheffing arbeidsverpl en tegenprestatie"/>
    <s v="Exemption reason history temporary exemption work and obligation"/>
    <s v="[CATEGORY] count(ontheffing)"/>
    <b v="0"/>
    <s v="Client has a temporary exemption from work and participation obligation in their work history."/>
    <n v="6.6407430187550904"/>
    <x v="8"/>
    <s v="https://www.rijksoverheid.nl/onderwerpen/bijstand/vraag-en-antwoord/wat-is-de-tegenprestatie-in-de-bijstand"/>
    <m/>
  </r>
  <r>
    <s v="contacten onderwerp documenttype  overeenkomst "/>
    <s v="Contacts Subject Document Type Agreement"/>
    <s v="[CATEGORY] count (onderwerp)"/>
    <b v="0"/>
    <m/>
    <n v="6.4135271224320203"/>
    <x v="2"/>
    <m/>
    <m/>
  </r>
  <r>
    <s v="adres aantal brp adres"/>
    <s v="Address Number of BRP Addresses"/>
    <s v="[CATEGORY] count(soort_adres)"/>
    <b v="0"/>
    <s v="Numbert of addresses in public address registry"/>
    <n v="6.3707922210249004"/>
    <x v="4"/>
    <m/>
    <m/>
  </r>
  <r>
    <s v="contacten onderwerp inkomen"/>
    <s v="Contacts Subject Income"/>
    <s v="[CATEGORY] count (onderwerp)"/>
    <b v="0"/>
    <s v="Contacted about income"/>
    <n v="5.2877337151271497"/>
    <x v="2"/>
    <m/>
    <m/>
  </r>
  <r>
    <s v="typering dagen som"/>
    <s v="Customer Type Days Sum"/>
    <s v="rowSums(all rows enumerating days for 'typering')"/>
    <b v="0"/>
    <s v="The sum of days that the customer has had a customer type. "/>
    <n v="5.0681362255168798"/>
    <x v="12"/>
    <m/>
    <b v="0"/>
  </r>
  <r>
    <s v="adres aantal verzendadres"/>
    <s v="address number of shipping address"/>
    <s v="[CATEGORY] count(soort_adres)"/>
    <b v="0"/>
    <s v="Number of shipping addresses "/>
    <n v="4.6796384845890797"/>
    <x v="4"/>
    <m/>
    <m/>
  </r>
  <r>
    <s v="pla einde uitstroom anders dan volgen onderwijs  regulier werk of als zelfstandige"/>
    <s v="pla result other than follow education regular work or as a self -employed person"/>
    <s v="[CATEGORY] count(reden_einde_naam)"/>
    <b v="0"/>
    <s v="Result of customers Action Plan is something other than employed work or being self-employed "/>
    <n v="4.6626867352788599"/>
    <x v="5"/>
    <m/>
    <m/>
  </r>
  <r>
    <s v="contacten soort document  uitgaand "/>
    <s v="Contacts Type Document outgoing"/>
    <s v="[CATEGORY] count (soort_contact_omschrijving)"/>
    <b v="0"/>
    <s v="Total number of outgoing documents"/>
    <n v="4.4334551895357697"/>
    <x v="2"/>
    <m/>
    <m/>
  </r>
  <r>
    <s v="persoonlijke eigenschappen uitstroom verw vlgs km"/>
    <s v="Personal characteristics caseworker estimate of time before reintegration"/>
    <s v="uitstroom_verw_vlgs_km"/>
    <b v="1"/>
    <s v="The amount of time the case worker thinks they will need before finding work. "/>
    <n v="4.2460627582855803"/>
    <x v="7"/>
    <s v="Seven values: 3 mo, 6 mo, 12 mo, 18 mo, 24 mo, &gt; 24 mo, and Empty. Included as numerical value in model."/>
    <m/>
  </r>
  <r>
    <s v="persoonlijke eigenschappen taaleis voldaan"/>
    <s v="Personal qualities of language requires satisfied"/>
    <s v="taaleis_voldaan"/>
    <b v="1"/>
    <s v="Language requirement satisfied. "/>
    <n v="4.17954060342782"/>
    <x v="7"/>
    <s v="Three values: Yes, No and Not yet known. Included as numerical value in model. "/>
    <m/>
  </r>
  <r>
    <s v="contacten onderwerp  werk intake"/>
    <s v="Contacts Subject Work Intake"/>
    <s v="[CATEGORY] count(onderwerp)"/>
    <b v="0"/>
    <s v="Customer has been contacted for an intake appointment for matching them with work."/>
    <n v="4.0904419027201904"/>
    <x v="2"/>
    <m/>
    <m/>
  </r>
  <r>
    <s v="contacten soort afgelopenjaar anders"/>
    <s v="Contacts different kinds of contact last year"/>
    <s v="[CATEGORY] count (soort_contact_omschrijving), for past year"/>
    <b v="0"/>
    <s v="The number of different kinds of contact in the last year."/>
    <n v="4.0162836688298604"/>
    <x v="2"/>
    <m/>
    <m/>
  </r>
  <r>
    <s v="relatie overig historie vorm  gemachtigde"/>
    <s v="Relationship Other History Type Authorized Representative"/>
    <s v="[CATEGORY] count(vorm)"/>
    <b v="0"/>
    <s v="Customer has had an authorized representative in their history."/>
    <n v="3.9507106203993998"/>
    <x v="1"/>
    <s v="An authorized representative can be a lawyer or independent social worker who handles affairs for the customer, such as contact with the municipality. "/>
    <m/>
  </r>
  <r>
    <s v="belemmering dagen lichamelijke problematiek"/>
    <s v="Obstacle Days Physical problems"/>
    <s v="[CATEGORY] count(belemmering), each belemmering is multiplied by its duration"/>
    <b v="1"/>
    <s v="The number of days the customer has an obstacle to finding work because of physical problems. "/>
    <n v="3.9373078485382802"/>
    <x v="10"/>
    <m/>
    <m/>
  </r>
  <r>
    <s v="persoonlijke eigenschappen spreektaal"/>
    <s v="Personal qualities language"/>
    <s v="spreektaal"/>
    <b v="1"/>
    <s v="The language the customer speaks. "/>
    <n v="3.8364064105503801"/>
    <x v="7"/>
    <s v="Different codes for different languages. Quite a few. The full list of codes can be found under the &quot;spreektaal&quot; tab of this spreadsheet. https://docs.google.com/spreadsheets/d/112si-DLGpUeeCD2mNRK71WG52U5Hl9-L/edit#gid=1662532360"/>
    <m/>
  </r>
  <r>
    <s v="adres recentste buurt groot ijsselmonde"/>
    <s v="address most recent neighborhood Groot IJsselmonde"/>
    <s v="[DUMMY] adres_recentste_buurt"/>
    <b v="1"/>
    <m/>
    <n v="3.69234624081815"/>
    <x v="4"/>
    <m/>
    <m/>
  </r>
  <r>
    <s v="contacten onderwerp overige"/>
    <s v="Contacts Subject Other"/>
    <s v="[CATEGORY] count (onderwerp)"/>
    <b v="0"/>
    <m/>
    <n v="3.49066301271841"/>
    <x v="2"/>
    <m/>
    <m/>
  </r>
  <r>
    <s v="contacten onderwerp financi?le situatie"/>
    <s v="Contacts Subject Finance Situation"/>
    <s v="[CATEGORY] count (onderwerp)"/>
    <b v="0"/>
    <m/>
    <n v="3.3198268158737099"/>
    <x v="2"/>
    <m/>
    <m/>
  </r>
  <r>
    <s v="contacten soort gesprek op locatie"/>
    <s v="Contacts Type conversation on location"/>
    <s v="[CATEGORY] count (soort_contact_omschrijving)"/>
    <b v="0"/>
    <s v="Whether the customer has ever been invited to a conversation at the physical benefits departmnet."/>
    <n v="3.2590095158897601"/>
    <x v="2"/>
    <m/>
    <m/>
  </r>
  <r>
    <s v="afspraak controle aankondiging maatregel"/>
    <s v="Appointment announce control measure"/>
    <s v="[CATEGORY] count(afspraak_naam)"/>
    <b v="0"/>
    <s v="The customer has been contacted because of a control measure (e.g. a fine, a cut to benefits). "/>
    <n v="3.12078187357376"/>
    <x v="9"/>
    <m/>
    <m/>
  </r>
  <r>
    <s v="relatie overig actueel vorm other"/>
    <s v="Relationship Other Current Form Other"/>
    <s v="[CATEGORY] count(vorm), for current"/>
    <b v="0"/>
    <m/>
    <n v="3.0378415844403399"/>
    <x v="1"/>
    <m/>
    <m/>
  </r>
  <r>
    <s v="relatie overig historie vorm  kostendeler"/>
    <s v="Relationship Other History Type Cost sharer"/>
    <s v="[CATEGORY] count(vorm)"/>
    <b v="0"/>
    <m/>
    <n v="3.0025189660834601"/>
    <x v="1"/>
    <m/>
    <m/>
  </r>
  <r>
    <s v="afspraak afgelopen jaar ontheffing taaleis"/>
    <s v="Appointment last year exemption from language requirement"/>
    <s v="[CATEGORY] count(afspraak_naam), for appointments in the past year"/>
    <b v="1"/>
    <s v="The customer has had an appointment last year about an exemption from the Dutch language requirement. "/>
    <n v="2.7925497482664698"/>
    <x v="9"/>
    <m/>
    <m/>
  </r>
  <r>
    <s v="contacten onderwerp maatregel overweging"/>
    <s v="Contacts Subject Measure consideration"/>
    <s v="[CATEGORY] count (onderwerp)"/>
    <b v="0"/>
    <s v="Whether the customer has been contacted because the municipality is considering a measure (e.g. a fine, cut to benefits) "/>
    <n v="2.6821814010026199"/>
    <x v="2"/>
    <m/>
    <m/>
  </r>
  <r>
    <s v="pla einde doelstelling bereikt  nieuw trajectplan"/>
    <s v="PLA End of objective reaches new trajectory plan"/>
    <s v="[CATEGORY] count(reden_einde_naam)"/>
    <b v="0"/>
    <s v="Objective completed in Action Plan and reach new trajectory plan. "/>
    <n v="2.5579296518428398"/>
    <x v="5"/>
    <m/>
    <m/>
  </r>
  <r>
    <s v="contacten soort afgelopenjaar e mail  uitgaand "/>
    <s v="Contacts type last year e -mail outgoing"/>
    <s v="[CATEGORY] count (soort_contact_omschrijving), for past year"/>
    <b v="0"/>
    <m/>
    <n v="2.5539309191897601"/>
    <x v="2"/>
    <m/>
    <m/>
  </r>
  <r>
    <s v="deelname act hist projecten niet gestart"/>
    <s v="Participation Act HIST Projects not started"/>
    <s v="sum(nietgestart), nietgestart is 1 if dtaanvng is NA"/>
    <b v="0"/>
    <m/>
    <n v="2.5411930488416501"/>
    <x v="13"/>
    <m/>
    <b v="0"/>
  </r>
  <r>
    <s v="contacten soort telefoontje  inkomend "/>
    <s v="Contacts Type of phone call Inkende"/>
    <s v="[CATEGORY] count (soort_contact_omschrijving)"/>
    <b v="0"/>
    <m/>
    <n v="2.4952934284220101"/>
    <x v="2"/>
    <m/>
    <m/>
  </r>
  <r>
    <s v="contacten soort anders"/>
    <s v="Contacts type different"/>
    <s v="[CATEGORY] count (soort_contact_omschrijving)"/>
    <b v="0"/>
    <s v="Total number of different types of contact with the customer. "/>
    <n v="2.4045293768274898"/>
    <x v="2"/>
    <m/>
    <m/>
  </r>
  <r>
    <s v="adres recentste wijk feijenoord"/>
    <s v="address most recent district of Feijenoord"/>
    <s v="[DUMMY] adres_recentste_wijk"/>
    <b v="1"/>
    <m/>
    <n v="2.3855676598967999"/>
    <x v="4"/>
    <m/>
    <m/>
  </r>
  <r>
    <s v="adres aantal woonadres handmatig"/>
    <s v="address number of home addresses entered manually"/>
    <s v="[CATEGORY] count(soort_adres)"/>
    <b v="0"/>
    <s v="The number of home addresses has been manually set by an employee. "/>
    <n v="2.38551409019807"/>
    <x v="4"/>
    <s v="Most address related things are usually done automatically from the BRP register, but there are edge cases that have to be handeled manually. "/>
    <m/>
  </r>
  <r>
    <s v="adres recentste buurt other"/>
    <s v="address most recent neighborhood other"/>
    <s v="[DUMMY] adres_recentste_buurt"/>
    <b v="1"/>
    <m/>
    <n v="2.3539577963782401"/>
    <x v="4"/>
    <m/>
    <m/>
  </r>
  <r>
    <s v="contacten soort telefoontje  uitgaand "/>
    <s v="Contacts Type of phone call outgoing"/>
    <s v="[CATEGORY] count (soort_contact_omschrijving)"/>
    <b v="0"/>
    <m/>
    <n v="2.2745216158615902"/>
    <x v="2"/>
    <m/>
    <m/>
  </r>
  <r>
    <s v="competentie plannen en organiseren"/>
    <s v="Competence Planning and Organizing"/>
    <s v="[CATEGORY] count(comp_omshrijving)"/>
    <b v="0"/>
    <m/>
    <n v="2.2562602940642198"/>
    <x v="3"/>
    <m/>
    <m/>
  </r>
  <r>
    <s v="afspraak afgelopen jaar monitoring insp  wet taaleis na 12 mnd n a v  taa04     geen maatregel"/>
    <s v="Appointment last year Monitoring Insp the Language requirement after 12 months N a v taa04 no measure"/>
    <m/>
    <b v="0"/>
    <m/>
    <n v="2.2439837571160202"/>
    <x v="9"/>
    <m/>
    <b v="0"/>
  </r>
  <r>
    <s v="belemmering hist verslavingsproblematiek"/>
    <s v="Obstacle Hist addiction problems"/>
    <s v="[CATEGORY] count(belemmering), for all historic belemmering"/>
    <b v="1"/>
    <s v="The customer has had addiction problems as an obstacle in their obstacle history. "/>
    <n v="2.2193086276580498"/>
    <x v="10"/>
    <m/>
    <m/>
  </r>
  <r>
    <s v="contacten soort afgelopenjaar gesprek"/>
    <s v="Contacts kind of past year interview"/>
    <s v="[CATEGORY] count (soort_contact_omschrijving), for past year"/>
    <b v="0"/>
    <m/>
    <n v="2.13112094501856"/>
    <x v="2"/>
    <m/>
    <m/>
  </r>
  <r>
    <s v="belemmering financiele problemen"/>
    <s v="Obstacle financial problems"/>
    <s v="[CATEGORY] count(belemmering), for current belemmering"/>
    <b v="1"/>
    <m/>
    <n v="2.0781087233213502"/>
    <x v="10"/>
    <m/>
    <m/>
  </r>
  <r>
    <s v="contacten soort e mail  inkomend "/>
    <s v="Contacts type e -mail incoming"/>
    <s v="[CATEGORY] count (soort_contact_omschrijving)"/>
    <b v="0"/>
    <m/>
    <n v="2.0493008135958699"/>
    <x v="2"/>
    <m/>
    <m/>
  </r>
  <r>
    <s v="afspraak afgelopen jaar afsprakenplan"/>
    <s v="appointment last year appointment plan"/>
    <s v="[CATEGORY] count(afspraak_naam), for appointments in the past year"/>
    <b v="0"/>
    <m/>
    <n v="2.0063695818016898"/>
    <x v="9"/>
    <m/>
    <m/>
  </r>
  <r>
    <s v="persoonlijke eigenschappen uitstroom verw vlgs klant"/>
    <s v="Personal characteristics client's estimate of time before reintegration"/>
    <s v="uitstroom_verw_vlgs_klant"/>
    <b v="1"/>
    <s v="The client's estimate of how much time they think they need to reintegrate into the labor market. "/>
    <n v="1.93590796746875"/>
    <x v="7"/>
    <s v="Seven values: 3 mo, 6 mo, 12 mo, 18 mo, 24 mo, &gt; 24 mo, and Empty. Included as numerical value in model."/>
    <m/>
  </r>
  <r>
    <s v="instrument reden beeindiging historie uitval  klant wz  ziet af van aanbod"/>
    <s v="Instrument Termination Reason History Customer Declines Job Offer"/>
    <s v="[CATEGORY] count(reden_beeindiging)"/>
    <b v="0"/>
    <s v="The client's trajectory plan is cancelled because they have declined a job offer. "/>
    <n v="1.8980661127223999"/>
    <x v="7"/>
    <m/>
    <m/>
  </r>
  <r>
    <s v="adres aantal verschillende wijken"/>
    <s v="address number of different neighborhoods"/>
    <s v="n_distinct(wijknaaam)"/>
    <b v="0"/>
    <m/>
    <n v="1.8642036491968199"/>
    <x v="4"/>
    <m/>
    <m/>
  </r>
  <r>
    <s v="deelname act actueel projecten uniek"/>
    <s v="Participation Act Current Projects Unique"/>
    <s v="unique(jn_nr), for current rows"/>
    <b v="0"/>
    <m/>
    <n v="1.8064331273202801"/>
    <x v="13"/>
    <m/>
    <b v="0"/>
  </r>
  <r>
    <s v="deelname act reintegratieladder werk re integratie"/>
    <s v="Participation Act Reintegration Ladder Work Re Integration"/>
    <s v="[CATEGORY] count(reintegratieladder)"/>
    <b v="0"/>
    <m/>
    <n v="1.7846873232652101"/>
    <x v="13"/>
    <m/>
    <b v="0"/>
  </r>
  <r>
    <s v="contacten onderwerp inspanningstoets"/>
    <s v="Contacts Subject Effort Test"/>
    <s v="[CATEGORY] count (onderwerp)"/>
    <b v="0"/>
    <s v="The client has been contacted about an effort test, where they must prove that they have been trying to find a job. "/>
    <n v="1.7803209591551199"/>
    <x v="2"/>
    <m/>
    <m/>
  </r>
  <r>
    <s v="contacten onderwerp terugbelverzoek"/>
    <s v="Contacts Subject LEAKE REQUEST"/>
    <s v="[CATEGORY] count (onderwerp)"/>
    <b v="0"/>
    <s v="The client has been contacted to pay back benefits payments."/>
    <n v="1.7522316329702201"/>
    <x v="2"/>
    <m/>
    <m/>
  </r>
  <r>
    <s v="afspraak participatietrede vervolgmeting"/>
    <s v="Appointment participation path follow -up measurement"/>
    <s v="[CATEGORY] count(afspraak_naam)"/>
    <b v="0"/>
    <m/>
    <n v="1.7184423739103101"/>
    <x v="9"/>
    <m/>
    <b v="0"/>
  </r>
  <r>
    <s v="contacten onderwerp zorg"/>
    <s v="Contacts subject care"/>
    <s v="[CATEGORY] count (onderwerp)"/>
    <b v="0"/>
    <m/>
    <n v="1.64420367321448"/>
    <x v="2"/>
    <m/>
    <m/>
  </r>
  <r>
    <s v="contacten onderwerp beoordelen taaleis"/>
    <s v="Contacts Subject Language requirement"/>
    <s v="[CATEGORY] count(onderwerp)"/>
    <b v="1"/>
    <s v="Client has been contacted to assess whether they. meet the Dutch language requirement."/>
    <n v="1.60878388300451"/>
    <x v="2"/>
    <m/>
    <m/>
  </r>
  <r>
    <s v="contacten soort e mail  uitgaand "/>
    <s v="Contacts type e -mail outgoing"/>
    <s v="[CATEGORY] count (soort_contact_omschrijving)"/>
    <b v="0"/>
    <m/>
    <n v="1.59617937666932"/>
    <x v="2"/>
    <m/>
    <m/>
  </r>
  <r>
    <s v="contacten onderwerp traject"/>
    <s v="Contacts Subject process"/>
    <s v="[CATEGORY] count (onderwerp)"/>
    <b v="0"/>
    <m/>
    <n v="1.5930780167232099"/>
    <x v="2"/>
    <m/>
    <m/>
  </r>
  <r>
    <s v="contacten onderwerp documenten  innemen "/>
    <s v="Contacts topic documents"/>
    <s v="[CATEGORY] count (onderwerp)"/>
    <b v="0"/>
    <m/>
    <n v="1.5841733073930999"/>
    <x v="2"/>
    <m/>
    <m/>
  </r>
  <r>
    <s v="contacten soort afgelopenjaar telefoontje  inkomend "/>
    <s v="Contacts Type Last year Incoming"/>
    <s v="[CATEGORY] count (soort_contact_omschrijving), for past year"/>
    <b v="0"/>
    <m/>
    <n v="1.4594708194707799"/>
    <x v="2"/>
    <m/>
    <m/>
  </r>
  <r>
    <s v="pla hist pla categorie doelstelling 2"/>
    <s v="PLA HIST PLA Category Objective 2"/>
    <s v="[CATEGORY] count(cat)"/>
    <b v="0"/>
    <m/>
    <n v="1.4493443759986"/>
    <x v="5"/>
    <m/>
    <b v="0"/>
  </r>
  <r>
    <s v="adres recentst onderdeel rdam"/>
    <s v="address most recently part Rotterdam"/>
    <s v="ifelse(plaats %in% onderdeel_rdam, 1L, 0L)"/>
    <b v="1"/>
    <m/>
    <n v="1.4039055739013799"/>
    <x v="4"/>
    <m/>
    <m/>
  </r>
  <r>
    <s v="adres recentste wijk delfshaven"/>
    <s v="address most recent Delfshaven district"/>
    <s v="[DUMMY] adres_recentste_wijk"/>
    <b v="1"/>
    <m/>
    <n v="1.37830382988484"/>
    <x v="4"/>
    <m/>
    <m/>
  </r>
  <r>
    <s v="afspraak afgelopen jaar signaal voor medewerker"/>
    <s v="appointment last year signal for employee"/>
    <s v="[CATEGORY] count(afspraak_naam), for appointments in the past year"/>
    <b v="0"/>
    <m/>
    <n v="1.3652166858116399"/>
    <x v="9"/>
    <m/>
    <m/>
  </r>
  <r>
    <s v="relatie overig bewindvoerder"/>
    <s v="Relationship other administrator"/>
    <s v="as.integer(any(bewindvoerder))"/>
    <b v="0"/>
    <m/>
    <n v="1.33541278196271"/>
    <x v="1"/>
    <m/>
    <m/>
  </r>
  <r>
    <s v="contacten soort afgelopenjaar e mail  inkomend "/>
    <s v="Contacts type last year e -mail incoming"/>
    <s v="[CATEGORY] count (soort_contact_omschrijving), for past year"/>
    <b v="0"/>
    <m/>
    <n v="1.3279859384209001"/>
    <x v="2"/>
    <m/>
    <m/>
  </r>
  <r>
    <s v="adres recentste wijk prins alexa"/>
    <s v="address most recent district Prins Alexa"/>
    <s v="[DUMMY] adres_recentste_wijk"/>
    <b v="1"/>
    <m/>
    <n v="1.3207768325327001"/>
    <x v="4"/>
    <m/>
    <m/>
  </r>
  <r>
    <s v="contacten onderwerp mutatie"/>
    <s v="Contacts Subject Change"/>
    <s v="[CATEGORY] count (onderwerp)"/>
    <b v="0"/>
    <m/>
    <n v="1.2900910394379601"/>
    <x v="2"/>
    <m/>
    <b v="0"/>
  </r>
  <r>
    <s v="contacten soort afgelopenjaar telefoontje  uitgaand "/>
    <s v="Contacts Type Last year phone call outgoing"/>
    <s v="[CATEGORY] count (soort_contact_omschrijving), for past year"/>
    <b v="0"/>
    <m/>
    <n v="1.2746754369323099"/>
    <x v="2"/>
    <m/>
    <m/>
  </r>
  <r>
    <s v="competentie kwaliteit leveren"/>
    <s v="Compotence delivering quality"/>
    <s v="[CATEGORY] count(comp_omshrijving)"/>
    <b v="0"/>
    <m/>
    <n v="1.2731939216288"/>
    <x v="3"/>
    <m/>
    <m/>
  </r>
  <r>
    <s v="afspraak verzenden beschikking i v m  niet voldoen aan wet taaleis"/>
    <s v="Appointment does not comply with the Language requirement"/>
    <s v="[CATEGORY] count(afspraak_naam)"/>
    <b v="1"/>
    <s v="An appointment has been made because the client has not complied with the Dutch language requirement."/>
    <n v="1.2552993612069401"/>
    <x v="9"/>
    <m/>
    <m/>
  </r>
  <r>
    <s v="afspraak signaal van aanbieder"/>
    <s v="Appointment signal from employer"/>
    <s v="[CATEGORY] count(afspraak_naam)"/>
    <b v="0"/>
    <s v="An appointment has been made because the municipality has received a signal from an employer (e.g. work placement) about the client. "/>
    <n v="1.22269276729816"/>
    <x v="9"/>
    <m/>
    <m/>
  </r>
  <r>
    <s v="pla einde doelstelling niet bereikt  nieuw trajectplan"/>
    <s v="PLA objective not achieved new route plan"/>
    <s v="[CATEGORY] count(reden_einde_naam)"/>
    <b v="0"/>
    <s v="Client has not acheived objective of new trajectory plan"/>
    <n v="1.16756067239928"/>
    <x v="5"/>
    <m/>
    <m/>
  </r>
  <r>
    <s v="deelname act reintegratieladder ondersteunende instrumenten"/>
    <s v="Participation Act Reintegration Ladder Supporting Instruments"/>
    <s v="[CATEGORY] count(reintegratieladder)"/>
    <b v="0"/>
    <s v="The client has supporting instruments to enter job market. "/>
    <n v="1.1464770862962499"/>
    <x v="13"/>
    <s v="As part of the reintegration process, the muncipality can provide &quot;instruments&quot; such as language lessons, volunteer work, or entrepurniship lessons. "/>
    <m/>
  </r>
  <r>
    <s v="competentie analyseren"/>
    <s v="Competence Analyze "/>
    <s v="[CATEGORY] count(comp_omshrijving)"/>
    <b v="1"/>
    <m/>
    <n v="1.1199336444219301"/>
    <x v="3"/>
    <m/>
    <m/>
  </r>
  <r>
    <s v="competentie gedrevenheid en ambitie tonen"/>
    <s v="Competence drive and ambition"/>
    <s v="[CATEGORY] count(comp_omshrijving)"/>
    <b v="1"/>
    <m/>
    <n v="1.1142924012822499"/>
    <x v="3"/>
    <m/>
    <m/>
  </r>
  <r>
    <s v="contacten onderwerp uitnodiging"/>
    <s v="Contacts Subject Invitation"/>
    <s v="[CATEGORY] count (onderwerp)"/>
    <b v="0"/>
    <m/>
    <n v="1.1052819232833899"/>
    <x v="2"/>
    <m/>
    <m/>
  </r>
  <r>
    <s v="relatie partner huidige partner   partner  gehuwd "/>
    <s v="Relationship Partner Current Partner Partner Married"/>
    <s v="[CATEGORY] soort, for current"/>
    <b v="1"/>
    <m/>
    <n v="1.10108936267979"/>
    <x v="1"/>
    <m/>
    <m/>
  </r>
  <r>
    <s v="adres recentste wijk charlois"/>
    <s v="address most recent Charlois district"/>
    <s v="[DUMMY] adres_recentste_wijk"/>
    <b v="1"/>
    <m/>
    <n v="1.09252962067599"/>
    <x v="4"/>
    <m/>
    <m/>
  </r>
  <r>
    <s v="afspraak gespr einde zoekt Galo gesprek "/>
    <s v="Appointment Discuss End Looking For Galo Interview"/>
    <s v="[CATEGORY] count(afspraak_naam)"/>
    <b v="0"/>
    <m/>
    <n v="1.0924312604234601"/>
    <x v="9"/>
    <m/>
    <b v="0"/>
  </r>
  <r>
    <s v="pla hist pla categorie doelstelling 3"/>
    <s v="PLA HIST PLA Category Objective 3"/>
    <s v="[CATEGORY] count(cat)"/>
    <b v="0"/>
    <m/>
    <n v="1.08978622296932"/>
    <x v="5"/>
    <m/>
    <b v="0"/>
  </r>
  <r>
    <s v="adres unieke wijk ratio"/>
    <s v="Address unique district ratio"/>
    <s v="adres_aantal_verschillende_wijken / adres_aantal_adressen"/>
    <b v="0"/>
    <m/>
    <n v="1.08605203075762"/>
    <x v="4"/>
    <m/>
    <m/>
  </r>
  <r>
    <s v="afspraak toevoegen inschrijving uwvwb"/>
    <s v="appointment add UWVWB Registration"/>
    <s v="[CATEGORY] count(afspraak_naam)"/>
    <b v="0"/>
    <s v="Appointment register for national unemployment benefits."/>
    <n v="1.0819755610139601"/>
    <x v="9"/>
    <m/>
    <m/>
  </r>
  <r>
    <s v="contacten soort afgelopenjaar document  inkomend "/>
    <s v="Contacts Type Last year Document Incoming"/>
    <s v="[CATEGORY] count (soort_contact_omschrijving), for past year"/>
    <b v="0"/>
    <m/>
    <n v="1.0745730744041899"/>
    <x v="2"/>
    <m/>
    <m/>
  </r>
  <r>
    <s v="relatie kind tiener"/>
    <s v="relationship child teen"/>
    <s v="count number of kids, age 12-17"/>
    <b v="1"/>
    <m/>
    <n v="1.0295659215497599"/>
    <x v="1"/>
    <m/>
    <m/>
  </r>
  <r>
    <s v="contacten onderwerp matching"/>
    <s v="Contacts Subject matching"/>
    <s v="[CATEGORY] count (onderwerp)"/>
    <b v="0"/>
    <m/>
    <n v="1.0154280125178199"/>
    <x v="2"/>
    <m/>
    <m/>
  </r>
  <r>
    <s v="adres recentste wijk noord"/>
    <s v="address most recent district Noord"/>
    <s v="[DUMMY] adres_recentste_wijk"/>
    <b v="1"/>
    <m/>
    <n v="1.0117448999324301"/>
    <x v="4"/>
    <m/>
    <m/>
  </r>
  <r>
    <s v="ontheffing actueel ind"/>
    <s v="Exemption current "/>
    <s v="1 for all ids, where a current ontheffing was found"/>
    <b v="0"/>
    <s v="Client currently exempt from reintegration."/>
    <n v="0.99694491210988401"/>
    <x v="8"/>
    <m/>
    <m/>
  </r>
  <r>
    <s v="contacten soort rapportage rib"/>
    <s v="Contacts Type RIB Report"/>
    <s v="[CATEGORY] count (soort_contact_omschrijving)"/>
    <b v="0"/>
    <s v="Contact type council information."/>
    <n v="0.98073261234539"/>
    <x v="2"/>
    <m/>
    <m/>
  </r>
  <r>
    <s v="persoonlijke eigenschappen opstelling"/>
    <s v="Personal characteristics disposition remark"/>
    <s v="1 if not NA opstelling"/>
    <b v="1"/>
    <s v="Has a comment in the &quot;disposition&quot; field from the social worker."/>
    <n v="0.97750642067956495"/>
    <x v="7"/>
    <s v="Based on what we've seen from Ibrahim, this is where the social worker describes the person more generally. "/>
    <m/>
  </r>
  <r>
    <s v="competentie samenwerken en overleggen"/>
    <s v="Competence collaboration and consultation"/>
    <s v="[CATEGORY] count(comp_omshrijving)"/>
    <b v="1"/>
    <m/>
    <n v="0.96331627360467098"/>
    <x v="3"/>
    <m/>
    <m/>
  </r>
  <r>
    <s v="afspraak laatstejaar resultaat ingevuld"/>
    <s v="Appointment last year result filled in"/>
    <s v="sum(!is.na(ressultaat_naam)), for appointments in the past year"/>
    <b v="0"/>
    <m/>
    <n v="0.95519570053875602"/>
    <x v="9"/>
    <m/>
    <m/>
  </r>
  <r>
    <s v="adres recentste wijk other"/>
    <s v="address most recent"/>
    <s v="[DUMMY] adres_recentste_wijk"/>
    <b v="1"/>
    <m/>
    <n v="0.90174698383864005"/>
    <x v="4"/>
    <m/>
    <m/>
  </r>
  <r>
    <s v="contacten onderwerp groepsbijeenkomst"/>
    <s v="Contacts Subject group meeting"/>
    <s v="[CATEGORY] count (onderwerp)"/>
    <b v="0"/>
    <m/>
    <n v="0.88199144816368003"/>
    <x v="2"/>
    <m/>
    <m/>
  </r>
  <r>
    <s v="afspraak vervolgmeting matchbaarheid werkzoekende klant"/>
    <s v="Appointment follow -up measurement matchability jobseeker customer"/>
    <s v="[CATEGORY] count(afspraak_naam)"/>
    <b v="0"/>
    <m/>
    <n v="0.826972792561666"/>
    <x v="9"/>
    <m/>
    <m/>
  </r>
  <r>
    <s v="competentie overtuigen en be?nvloeden"/>
    <s v="Competence convince and influence"/>
    <s v="[CATEGORY] count(comp_omshrijving)"/>
    <b v="1"/>
    <m/>
    <n v="0.76942670426415605"/>
    <x v="3"/>
    <m/>
    <m/>
  </r>
  <r>
    <s v="contacten onderwerp contact met aanbieder"/>
    <s v="Contacts Subject contact with employer"/>
    <s v="[CATEGORY] count (onderwerp)"/>
    <b v="0"/>
    <s v="Contact with subject about employer. "/>
    <n v="0.73837279081333396"/>
    <x v="2"/>
    <m/>
    <m/>
  </r>
  <r>
    <s v="belemmering ind hist"/>
    <s v="Obstacle ind Hist"/>
    <m/>
    <b v="0"/>
    <s v="There is a registered obstacle in client history."/>
    <n v="0.73097480601602305"/>
    <x v="10"/>
    <m/>
    <m/>
  </r>
  <r>
    <s v="pla hist pla categorie doelstelling 10"/>
    <s v="PLA HIST PLA Category Objective 10"/>
    <s v="[CATEGORY] count(cat)"/>
    <b v="0"/>
    <m/>
    <n v="0.71687434909261205"/>
    <x v="5"/>
    <m/>
    <b v="0"/>
  </r>
  <r>
    <s v="pla hist pla categorie doelstelling 5"/>
    <s v="PLA HIST PLA Category Objective 5"/>
    <s v="[CATEGORY] count(cat)"/>
    <b v="0"/>
    <m/>
    <n v="0.71505243888968695"/>
    <x v="5"/>
    <m/>
    <b v="0"/>
  </r>
  <r>
    <s v="contacten onderwerp boolean documenttype  diploma s en certificaten "/>
    <s v="Contacts Subject Boolean Document Type Diplomas and certificates"/>
    <s v="[CATEGORY] bool(count(onderwerp))"/>
    <b v="0"/>
    <m/>
    <n v="0.70482998953036102"/>
    <x v="2"/>
    <m/>
    <m/>
  </r>
  <r>
    <s v="contacten onderwerp quickscan"/>
    <s v="Contacts Subject QuickScan"/>
    <s v="[CATEGORY] count (onderwerp)"/>
    <b v="0"/>
    <m/>
    <n v="0.69772910067953398"/>
    <x v="2"/>
    <m/>
    <b v="0"/>
  </r>
  <r>
    <s v="competentie aansturen"/>
    <s v="Competence Control"/>
    <s v="[CATEGORY] count(comp_omshrijving)"/>
    <b v="1"/>
    <m/>
    <n v="0.68715106001561199"/>
    <x v="3"/>
    <m/>
    <m/>
  </r>
  <r>
    <s v="contacten soort rapportage deelname"/>
    <s v="Contacts Type Report Participation"/>
    <s v="[CATEGORY] count (soort_contact_omschrijving)"/>
    <b v="0"/>
    <m/>
    <n v="0.68363765787878605"/>
    <x v="2"/>
    <m/>
    <m/>
  </r>
  <r>
    <s v="pla hist pla categorie doelstelling other"/>
    <s v="PLA HIST PLA Category Objective Other"/>
    <s v="[CATEGORY] count(cat)"/>
    <b v="0"/>
    <m/>
    <n v="0.68174332974392404"/>
    <x v="5"/>
    <m/>
    <b v="0"/>
  </r>
  <r>
    <s v="competentie other"/>
    <s v="competence other"/>
    <s v="[CATEGORY] count(comp_omshrijving)"/>
    <b v="0"/>
    <m/>
    <n v="0.646965587040634"/>
    <x v="3"/>
    <m/>
    <m/>
  </r>
  <r>
    <s v="ontheffing reden hist other"/>
    <s v="Exemption Reason Hist Other"/>
    <s v="[CATEGORY] count(ontheffing)"/>
    <b v="0"/>
    <m/>
    <n v="0.64650468721771803"/>
    <x v="8"/>
    <m/>
    <m/>
  </r>
  <r>
    <s v="instrument reden beeindiging historie niet succesvol"/>
    <s v="instrument reason Under termination History not successful"/>
    <s v="[CATEGORY] count(reden_beeindiging)"/>
    <b v="0"/>
    <s v="The customer has failed to acheive their insturment ladder."/>
    <n v="0.64648197678013297"/>
    <x v="6"/>
    <m/>
    <m/>
  </r>
  <r>
    <s v="afspraak afgelopen jaar voortgang aanmelding en deelname"/>
    <s v="Appointment last year Progress Registration and participation"/>
    <s v="[CATEGORY] count(afspraak_naam), for appointments in the past year"/>
    <b v="0"/>
    <m/>
    <n v="0.63808763936093504"/>
    <x v="9"/>
    <m/>
    <m/>
  </r>
  <r>
    <s v="persoonlijke eigenschappen hobbies sport"/>
    <s v="Personal qualities Hobbies or Sport"/>
    <s v="1 if not NA hobbies_sport"/>
    <b v="1"/>
    <s v="Whether the customer has any hobbies and/or plays any sports. "/>
    <n v="0.61819691573297597"/>
    <x v="7"/>
    <m/>
    <m/>
  </r>
  <r>
    <s v="pla ondertekeningen actueel"/>
    <s v="PLA currently signed"/>
    <s v="sum(!is.na(datum_ondertekening)), for current"/>
    <b v="0"/>
    <s v="The action plan is currently signed."/>
    <n v="0.61653293557576505"/>
    <x v="5"/>
    <m/>
    <m/>
  </r>
  <r>
    <s v="afspraak galo gesprek"/>
    <s v="Appointment Galo Conversation"/>
    <s v="[CATEGORY] count(afspraak_naam)"/>
    <b v="0"/>
    <m/>
    <n v="0.610088578998771"/>
    <x v="9"/>
    <m/>
    <m/>
  </r>
  <r>
    <s v="pla hist pla categorie doelstelling 1"/>
    <s v="PLA HIST PLA Category Objective 1"/>
    <s v="[CATEGORY] count(cat)"/>
    <b v="0"/>
    <m/>
    <n v="0.606763074713904"/>
    <x v="5"/>
    <m/>
    <b v="0"/>
  </r>
  <r>
    <s v="afspraak deelname compleet uit webapplicatie"/>
    <s v="Appointment participation completed from web application"/>
    <s v="[CATEGORY] count(afspraak_naam)"/>
    <b v="0"/>
    <m/>
    <n v="0.60467515608031597"/>
    <x v="9"/>
    <m/>
    <m/>
  </r>
  <r>
    <s v="pla hist pla categorie doelstelling 9"/>
    <s v="PLA HIST PLA Category Objective 9"/>
    <s v="[CATEGORY] count(cat)"/>
    <b v="0"/>
    <m/>
    <n v="0.60135224140113797"/>
    <x v="5"/>
    <m/>
    <b v="0"/>
  </r>
  <r>
    <s v="instrument ladder huidig other"/>
    <s v="Instrument Ladder Current Other"/>
    <s v="[CATEGORY] count(reintegratieladder), for current rows"/>
    <b v="0"/>
    <m/>
    <n v="0.59933769660162795"/>
    <x v="6"/>
    <m/>
    <m/>
  </r>
  <r>
    <s v="instrument aantal laatstejaar"/>
    <s v="instrument number last year"/>
    <s v="n instrument in past year"/>
    <b v="0"/>
    <s v="The number of supporting 'instruments' (e.g. Dutch lessons) from last year. "/>
    <n v="0.59917000286831501"/>
    <x v="6"/>
    <m/>
    <m/>
  </r>
  <r>
    <s v="contacten onderwerp  arbeids motivatie"/>
    <s v="Contacts subject work motivation"/>
    <s v="[CATEGORY] count(onderwerp)"/>
    <b v="0"/>
    <s v="Customer has been contacted because of work motivation. "/>
    <n v="0.58943799402529096"/>
    <x v="2"/>
    <m/>
    <m/>
  </r>
  <r>
    <s v="pla historie other"/>
    <s v="Pla history other"/>
    <s v="[CATEGORY] count(pla_naam)"/>
    <b v="0"/>
    <s v="Other' filed in for action plan"/>
    <n v="0.58391702123017697"/>
    <x v="5"/>
    <m/>
    <b v="0"/>
  </r>
  <r>
    <s v="pla hist pla categorie doelstelling 11"/>
    <s v="PLA HIST PLA Category Objective 11"/>
    <s v="[CATEGORY] count(cat)"/>
    <b v="0"/>
    <m/>
    <n v="0.57455807005256199"/>
    <x v="5"/>
    <m/>
    <b v="0"/>
  </r>
  <r>
    <s v="contacten onderwerp scholing"/>
    <s v="Contacts Subject training"/>
    <s v="[CATEGORY] count (onderwerp)"/>
    <b v="0"/>
    <s v="Customer has been contacted because of a (work) training. "/>
    <n v="0.57293929828139201"/>
    <x v="2"/>
    <m/>
    <m/>
  </r>
  <r>
    <s v="instrument ladder historie other"/>
    <s v="Instrument Ladder History Other"/>
    <s v="[CATEGORY] count(reintegratieladder)"/>
    <b v="0"/>
    <m/>
    <n v="0.57244173257123898"/>
    <x v="6"/>
    <m/>
    <b v="0"/>
  </r>
  <r>
    <s v="adres recentste plaats rotterdam"/>
    <s v="address most recent Rotterdam"/>
    <s v="[DUMMY] adres_recentste_plaats"/>
    <b v="0"/>
    <m/>
    <n v="0.55847303994970698"/>
    <x v="4"/>
    <m/>
    <m/>
  </r>
  <r>
    <s v="competentie op de behoeften en verwachtingen van de  klant  richten"/>
    <s v="Competence focus on customer needs and expectations"/>
    <s v="[CATEGORY] count(comp_omshrijving)"/>
    <b v="0"/>
    <m/>
    <n v="0.55755946853558602"/>
    <x v="3"/>
    <m/>
    <m/>
  </r>
  <r>
    <s v="pla einde doelstelling bereikt"/>
    <s v="PLA End of objective reached"/>
    <s v="[CATEGORY] count(reden_einde_naam)"/>
    <b v="0"/>
    <s v="Whether the customer has reached one of the objectives in their action plan. "/>
    <n v="0.54414988146551602"/>
    <x v="5"/>
    <m/>
    <m/>
  </r>
  <r>
    <s v="instrument reden beeindiging historie doelstelling niet bereikt  geen uitstroom"/>
    <s v="instrument reason Under termination History objective does not reach reintegration"/>
    <s v="[CATEGORY] count(reden_beeindiging)"/>
    <b v="0"/>
    <m/>
    <n v="0.54180960042156801"/>
    <x v="6"/>
    <m/>
    <m/>
  </r>
  <r>
    <s v="persoonlijke eigenschappen houding opm"/>
    <s v="Personal qualities attitude remark"/>
    <s v="1 if not NA houding_opm"/>
    <b v="1"/>
    <s v="Whether the customer has a remark or comment from the social workerin the &quot;attitude&quot; field. "/>
    <n v="0.54125580155166997"/>
    <x v="7"/>
    <m/>
    <m/>
  </r>
  <r>
    <s v="pla hist pla categorie doelstelling 4"/>
    <s v="PLA HIST PLA Category Objective 4"/>
    <s v="[CATEGORY] count(cat)"/>
    <b v="0"/>
    <m/>
    <n v="0.535187296122829"/>
    <x v="5"/>
    <m/>
    <b v="0"/>
  </r>
  <r>
    <s v="contacten onderwerp boolean motivatie"/>
    <s v="Contacts Subject Boolean Motivation"/>
    <s v="[CATEGORY] bool(count(onderwerp))"/>
    <b v="0"/>
    <m/>
    <n v="0.529114934593644"/>
    <x v="2"/>
    <m/>
    <m/>
  </r>
  <r>
    <s v="contacten onderwerp ziek  of afmelding"/>
    <s v="Contacts subject Sick or cancellation"/>
    <s v="[CATEGORY] count (onderwerp)"/>
    <b v="0"/>
    <m/>
    <n v="0.52029780182457996"/>
    <x v="2"/>
    <m/>
    <m/>
  </r>
  <r>
    <s v="contacten onderwerp contact derden"/>
    <s v="Contacts Subject contact third parties"/>
    <s v="[CATEGORY] count (onderwerp)"/>
    <b v="0"/>
    <m/>
    <n v="0.51566881350721105"/>
    <x v="2"/>
    <m/>
    <m/>
  </r>
  <r>
    <s v="pla einde doelstelling niet bereikt"/>
    <s v="PLA End objective not achieved"/>
    <s v="[CATEGORY] count(reden_einde_naam)"/>
    <b v="0"/>
    <m/>
    <n v="0.50827353432264399"/>
    <x v="5"/>
    <m/>
    <m/>
  </r>
  <r>
    <s v="instrument reden beeindiging historie centrale actie wigo4it"/>
    <s v="Instrument Reason termination History Central Action Wigo4it"/>
    <s v="[CATEGORY] count(reden_beeindiging)"/>
    <b v="0"/>
    <m/>
    <n v="0.49620721499196202"/>
    <x v="6"/>
    <m/>
    <b v="0"/>
  </r>
  <r>
    <s v="belemmering aantal huidig"/>
    <s v="Obstacles current number "/>
    <s v="rowsum(belemmering variables), for current belemmering"/>
    <b v="0"/>
    <s v="The current number of obstacles to finding work the customer has registered."/>
    <n v="0.494891127329391"/>
    <x v="10"/>
    <m/>
    <m/>
  </r>
  <r>
    <s v="pla actueel pla categorie doelstelling 9"/>
    <s v="PLA Current PLA Category Objective 9"/>
    <s v="[CATEGORY] count(cat), for current"/>
    <b v="0"/>
    <m/>
    <n v="0.481296749160181"/>
    <x v="5"/>
    <m/>
    <b v="0"/>
  </r>
  <r>
    <s v="afspraak aanmelding afgesloten"/>
    <s v="Appointment registered closed"/>
    <s v="[CATEGORY] count(afspraak_naam)"/>
    <b v="0"/>
    <m/>
    <n v="0.48125931181227199"/>
    <x v="9"/>
    <m/>
    <b v="0"/>
  </r>
  <r>
    <s v="contacten soort groepsbijeenkomsten"/>
    <s v="Contacts Type Group meetings"/>
    <s v="[CATEGORY] count (soort_contact_omschrijving)"/>
    <b v="0"/>
    <s v="Customer has been contacted about a group meeting with other people who receive benefits. "/>
    <n v="0.47082815527805"/>
    <x v="2"/>
    <m/>
    <m/>
  </r>
  <r>
    <s v="contacten onderwerp documenttype  cv "/>
    <s v="Contacts Subject Document Type CV"/>
    <s v="[CATEGORY] count (onderwerp)"/>
    <b v="0"/>
    <m/>
    <n v="0.46635917093283702"/>
    <x v="2"/>
    <m/>
    <m/>
  </r>
  <r>
    <s v="adres recentste buurt vreewijk"/>
    <s v="address most recent neighborhood Vreewijk"/>
    <s v="[DUMMY] adres_recentste_buurt"/>
    <b v="1"/>
    <m/>
    <n v="0.46287700116002101"/>
    <x v="4"/>
    <m/>
    <m/>
  </r>
  <r>
    <s v="persoonlijke eigenschappen motivatie opm"/>
    <s v="Personal qualities Motivation remark"/>
    <s v="1 if not NA motivatie_opm"/>
    <b v="1"/>
    <s v="There is a comment or remark in the motivation field of the customer's personal qualities "/>
    <n v="0.457083693524511"/>
    <x v="7"/>
    <m/>
    <m/>
  </r>
  <r>
    <s v="relatie partner aantal partner   partner  ongehuwd "/>
    <s v="Relationship Partner Number of Umarried Partners"/>
    <s v="[CATEGORY] soort"/>
    <b v="0"/>
    <s v="The number of unmarried partners the customer has had. "/>
    <n v="0.45426078515181501"/>
    <x v="1"/>
    <m/>
    <m/>
  </r>
  <r>
    <s v="afspraak voortgangsgesprek"/>
    <s v="Appointment progress interview"/>
    <s v="[CATEGORY] count(afspraak_naam)"/>
    <b v="0"/>
    <s v="Customer has been contacted for an interview about their progress."/>
    <n v="0.45055795282462302"/>
    <x v="9"/>
    <m/>
    <m/>
  </r>
  <r>
    <s v="relatie overig historie vorm  onderhoudsplichtige"/>
    <s v="Relationship Other History Form maintenance person"/>
    <s v="[CATEGORY] count(vorm)"/>
    <b v="0"/>
    <m/>
    <n v="0.44444676137350098"/>
    <x v="1"/>
    <m/>
    <m/>
  </r>
  <r>
    <s v="persoonlijke eigenschappen nl spreken3"/>
    <s v="Personal qualities NL speaking 3"/>
    <s v="[DUMMY] nl_spreken"/>
    <b v="0"/>
    <m/>
    <n v="0.436337455050888"/>
    <x v="7"/>
    <m/>
    <m/>
  </r>
  <r>
    <s v="pla historie maatschappelijke inspanning"/>
    <s v="PLA History Social Exercise"/>
    <s v="[CATEGORY] count(pla_naam)"/>
    <b v="0"/>
    <s v="Social effort included in history of action plan. "/>
    <n v="0.426314858516946"/>
    <x v="5"/>
    <m/>
    <m/>
  </r>
  <r>
    <s v="contacten onderwerp diagnosegesprek"/>
    <s v="Contacts Subject Diagnostic interview"/>
    <s v="[CATEGORY] count (onderwerp)"/>
    <b v="0"/>
    <m/>
    <n v="0.42170485245170303"/>
    <x v="2"/>
    <m/>
    <m/>
  </r>
  <r>
    <s v="contacten onderwerp screening"/>
    <s v="Contacts Subject screening"/>
    <s v="[CATEGORY] count (onderwerp)"/>
    <b v="0"/>
    <m/>
    <n v="0.410628086467904"/>
    <x v="2"/>
    <m/>
    <m/>
  </r>
  <r>
    <s v="persoonlijke eigenschappen uiterlijke verzorging opm"/>
    <s v="Personal characteristics external care remark"/>
    <s v="1 if not NA uiterlijke_verzorging_opm"/>
    <b v="1"/>
    <s v="The customer has a comment / remark in their external apperance field. "/>
    <n v="0.38759728615717998"/>
    <x v="7"/>
    <m/>
    <m/>
  </r>
  <r>
    <s v="ontheffing reden tijdelijke ontheffing arbeidsverpl  en tegenprestatie"/>
    <s v="Exemption temporary exemption from work obligation and requirement"/>
    <s v="[CATEGORY] count(ontheffing)"/>
    <b v="0"/>
    <s v="The customer has recevied an exemption from the work obligation and participation requirement. "/>
    <n v="0.37396231669442798"/>
    <x v="8"/>
    <m/>
    <m/>
  </r>
  <r>
    <s v="beschikbaarheid recent afwijkend wegens medische omstandigheden"/>
    <s v="availability recently deviates due to medical conditions"/>
    <s v="[DUMMY] beschikbaarheid_naam, for most recent beschikbaarheid"/>
    <b v="1"/>
    <s v="The customer recently has had non-standard avalibility for work and appointments because of medical conditions. "/>
    <n v="0.36800076351887501"/>
    <x v="11"/>
    <m/>
    <m/>
  </r>
  <r>
    <s v="instrument reden beeindiging historie uitval  aanbod niet langer zinvol volgens gemeente"/>
    <s v="Instrument Reason Under termination History offer no longer useful according to the municipality"/>
    <s v="[CATEGORY] count(reden_beeindiging)"/>
    <b v="0"/>
    <m/>
    <n v="0.35638768299728402"/>
    <x v="6"/>
    <m/>
    <m/>
  </r>
  <r>
    <s v="contacten soort afgelopenjaar gesprek op locatie"/>
    <s v="Contacts Type Last year Conversation on location"/>
    <s v="[CATEGORY] count (soort_contact_omschrijving), for past year"/>
    <b v="0"/>
    <s v="In the past year the customer has been contacted about an appointment on site. "/>
    <n v="0.35518462248132199"/>
    <x v="2"/>
    <m/>
    <m/>
  </r>
  <r>
    <s v="contacten soort afgelopenjaar rapportage rib"/>
    <s v="Contacts Type Last year Reporting RIB"/>
    <s v="[CATEGORY] count (soort_contact_omschrijving), for past year"/>
    <b v="0"/>
    <m/>
    <n v="0.35213907169493203"/>
    <x v="2"/>
    <m/>
    <b v="0"/>
  </r>
  <r>
    <s v="afspraak afsprakenplan"/>
    <s v="Appointment appointment plan"/>
    <s v="[CATEGORY] count(afspraak_naam)"/>
    <b v="0"/>
    <m/>
    <n v="0.34878408453780302"/>
    <x v="9"/>
    <m/>
    <m/>
  </r>
  <r>
    <s v="contacten onderwerp arbeidsdiagnose dariuz"/>
    <s v="Contacts Subject Labor diagnosis Dariuz"/>
    <s v="[CATEGORY] count(onderwerp)"/>
    <b v="0"/>
    <s v="Contact with subject of a labor diagnosis with Dariusz."/>
    <n v="0.33385140983534201"/>
    <x v="2"/>
    <s v="https://www.dariuz.nl/methodiek/"/>
    <m/>
  </r>
  <r>
    <s v="relatie kind volwassen"/>
    <s v="relationship child adult"/>
    <s v="count number of kids, age &gt; 26"/>
    <b v="1"/>
    <m/>
    <n v="0.323936860496158"/>
    <x v="1"/>
    <m/>
    <m/>
  </r>
  <r>
    <s v="instrument reden beeindiging historie overdracht succesvol"/>
    <s v="Instrument Reason Understanding History Transfer Successful"/>
    <s v="[CATEGORY] count(reden_beeindiging)"/>
    <b v="0"/>
    <s v="The instrument can be terminated because the client has sucuessfully transfered to the next step. "/>
    <n v="0.30899016437940402"/>
    <x v="6"/>
    <m/>
    <m/>
  </r>
  <r>
    <s v="persoonlijke eigenschappen nl begrijpen3"/>
    <s v="Personal qualities NL understanding 3"/>
    <s v="[DUMMY] nl_begrijpen"/>
    <b v="0"/>
    <m/>
    <n v="0.30697607485698902"/>
    <x v="7"/>
    <m/>
    <m/>
  </r>
  <r>
    <s v="persoonlijke eigenschappen nl schrijvenfalse"/>
    <s v="Personal Features NL Writing False"/>
    <s v="[DUMMY] nl_shrijven"/>
    <b v="0"/>
    <s v="The customer does not have Dutch writing skills. "/>
    <n v="0.30305006419823399"/>
    <x v="7"/>
    <m/>
    <m/>
  </r>
  <r>
    <s v="persoonlijke eigenschappen overige opmerkingen"/>
    <s v="Personal qualities Other comments"/>
    <s v="1 if not NA overige_opmerkingen"/>
    <b v="0"/>
    <s v="The customer contains a comment in the 'other' field of their personal qualities. "/>
    <n v="0.29783935556595298"/>
    <x v="7"/>
    <m/>
    <m/>
  </r>
  <r>
    <s v="beschikbaarheid huidig afwijkend wegens medische omstandigheden"/>
    <s v="Availability current deviation due to medical conditions"/>
    <s v="[DUMMY] beschikbaarheid_naam, only for current beschikbaarheid"/>
    <b v="1"/>
    <s v="The customer currently has non-standard avalibility because of medical conditions. "/>
    <n v="0.296643702967606"/>
    <x v="11"/>
    <m/>
    <m/>
  </r>
  <r>
    <s v="contacten onderwerp werkintake  niet verschenen"/>
    <s v="Contacts Subject work intake did not appear"/>
    <s v="[CATEGORY] count (onderwerp)"/>
    <b v="0"/>
    <s v="The customer has been contacted because they did not appear at their work intake. "/>
    <n v="0.296434634054702"/>
    <x v="2"/>
    <m/>
    <m/>
  </r>
  <r>
    <s v="afspraak other"/>
    <s v="Appointment other"/>
    <s v="[CATEGORY] count(afspraak_naam)"/>
    <b v="0"/>
    <m/>
    <n v="0.29516852050957598"/>
    <x v="9"/>
    <m/>
    <m/>
  </r>
  <r>
    <s v="instrument reden beeindiging historie overdracht naar mo"/>
    <s v="Instrument Reason termination History Transfer to MO"/>
    <s v="[CATEGORY] count(reden_beeindiging)"/>
    <b v="0"/>
    <m/>
    <n v="0.28479989281416102"/>
    <x v="6"/>
    <m/>
    <b v="0"/>
  </r>
  <r>
    <s v="competentie materialen en middelen inzetten"/>
    <s v="Competence uses materials and resources"/>
    <s v="[CATEGORY] count(comp_omshrijving)"/>
    <b v="0"/>
    <m/>
    <n v="0.28267288973692101"/>
    <x v="3"/>
    <m/>
    <m/>
  </r>
  <r>
    <s v="ontheffing hist ind"/>
    <s v="Exemption in history"/>
    <s v="1 for ids with ontheffing in history"/>
    <b v="0"/>
    <s v="There is an exemption from reintegration in the client history. "/>
    <n v="0.28255175946828998"/>
    <x v="8"/>
    <m/>
    <m/>
  </r>
  <r>
    <s v="adres recentste wijk kralingen c"/>
    <s v="Address most recent Kralingen C district"/>
    <s v="[DUMMY] adres_recentste_wijk"/>
    <b v="1"/>
    <m/>
    <n v="0.281590185450663"/>
    <x v="4"/>
    <m/>
    <m/>
  </r>
  <r>
    <s v="pla einde geplande einddatum overschreden zonder nader bericht"/>
    <s v="pla end planned end date exceeded without further notice"/>
    <s v="[CATEGORY] count(reden_einde_naam)"/>
    <b v="0"/>
    <s v="The planned end date of the action plan has been exceded without notice. "/>
    <n v="0.27994178877581699"/>
    <x v="5"/>
    <m/>
    <m/>
  </r>
  <r>
    <s v="belemmering psychische problemen"/>
    <s v="Obstacle Psychological problems"/>
    <s v="[CATEGORY] count(belemmering), for current belemmering"/>
    <b v="1"/>
    <s v="The customer has psychological problems as a current obstacle. "/>
    <n v="0.279030354985911"/>
    <x v="10"/>
    <m/>
    <m/>
  </r>
  <r>
    <s v="typering hist aantal"/>
    <s v="Customer type history number"/>
    <s v="rowSums(all rows enumerating 'typering')"/>
    <b v="0"/>
    <s v="The number of customer types in the client history"/>
    <n v="0.27824879557949"/>
    <x v="12"/>
    <m/>
    <m/>
  </r>
  <r>
    <s v="persoonlijke eigenschappen leergierigheid opm"/>
    <s v="Personal qualities inquisitiveness"/>
    <s v="1 if not NA leergierigheid_opm"/>
    <b v="0"/>
    <m/>
    <n v="0.27225200031819702"/>
    <x v="7"/>
    <m/>
    <m/>
  </r>
  <r>
    <s v="pla einde other"/>
    <s v="pla end other"/>
    <s v="[CATEGORY] count(reden_einde_naam)"/>
    <b v="0"/>
    <s v="The action plan has ended for an 'other' reason"/>
    <n v="0.26128402648278798"/>
    <x v="5"/>
    <m/>
    <m/>
  </r>
  <r>
    <s v="afspraak afgelopen jaar plan van aanpak"/>
    <s v="Appointment last year plan of action"/>
    <s v="[CATEGORY] count(afspraak_naam), for appointments in the past year"/>
    <b v="0"/>
    <s v="Customer had an appointment last year about their Action Plan."/>
    <n v="0.24607005939697099"/>
    <x v="9"/>
    <m/>
    <m/>
  </r>
  <r>
    <s v="relatie overig actueel vorm  ouders verzorgers"/>
    <s v="Relationship Other Current Form Parents Carers"/>
    <s v="[CATEGORY] count(vorm), for current"/>
    <b v="0"/>
    <s v="The customer has parents who are caring for them. "/>
    <n v="0.24382869597058601"/>
    <x v="1"/>
    <m/>
    <m/>
  </r>
  <r>
    <s v="persoonlijke eigenschappen taaleis schrijfv ok"/>
    <s v="Personal qualities Language requirement Write OK"/>
    <s v="taaleis_schrijfv_ok"/>
    <b v="0"/>
    <s v="The customer has met the writing portion of their Dutch language requirement. "/>
    <n v="0.231916985269289"/>
    <x v="7"/>
    <m/>
    <m/>
  </r>
  <r>
    <s v="instrument reden beeindiging historie other"/>
    <s v="Instrument Reason termination History Other"/>
    <s v="[CATEGORY] count(reden_beeindiging)"/>
    <b v="0"/>
    <m/>
    <n v="0.22941724791602999"/>
    <x v="6"/>
    <m/>
    <m/>
  </r>
  <r>
    <s v="ontheffing reden hist sociale gronden"/>
    <s v="Exemption reason history social grounds"/>
    <s v="[CATEGORY] count(ontheffing)"/>
    <b v="0"/>
    <s v="The customer has been exempt from the work requirement because of social reasons.  "/>
    <n v="0.22314286290885599"/>
    <x v="8"/>
    <m/>
    <m/>
  </r>
  <r>
    <s v="typering other"/>
    <s v="Customer type other"/>
    <s v="[CATEGORY] count(typering_naam), for current"/>
    <b v="0"/>
    <s v="Customer type is other"/>
    <n v="0.21493965578634999"/>
    <x v="12"/>
    <m/>
    <m/>
  </r>
  <r>
    <s v="afspraak afgelopen jaar ontheffing"/>
    <s v="appointment last year exemption"/>
    <s v="[CATEGORY] count(afspraak_naam), for appointments in the past year"/>
    <b v="0"/>
    <s v="Customer had an appointment last year about an exemption."/>
    <n v="0.20994369825001499"/>
    <x v="9"/>
    <m/>
    <m/>
  </r>
  <r>
    <s v="competentie formuleren en rapporteren"/>
    <s v="Competence Formulate and report"/>
    <s v="[CATEGORY] count(comp_omshrijving)"/>
    <b v="0"/>
    <m/>
    <n v="0.209640577527266"/>
    <x v="3"/>
    <m/>
    <m/>
  </r>
  <r>
    <s v="pla historie werk"/>
    <s v="PLA History Work"/>
    <m/>
    <b v="0"/>
    <s v="Action plan history contains work"/>
    <n v="0.209301301857205"/>
    <x v="5"/>
    <m/>
    <m/>
  </r>
  <r>
    <s v="instrument reden beeindiging historie overdracht naar regulier team iwpm"/>
    <s v="Instrument Reason termination History Transfer to regular team IWPM"/>
    <s v="[CATEGORY] count(reden_beeindiging)"/>
    <b v="0"/>
    <m/>
    <n v="0.20302323288249699"/>
    <x v="6"/>
    <m/>
    <b v="0"/>
  </r>
  <r>
    <s v="persoonlijke eigenschappen initiatief opm"/>
    <s v="Personal characteristics initiative"/>
    <s v="1 if not NA initiatief_opm"/>
    <b v="0"/>
    <m/>
    <n v="0.20026033383703901"/>
    <x v="7"/>
    <m/>
    <m/>
  </r>
  <r>
    <s v="pla hist pla categorie doelstelling 27"/>
    <s v="PLA HIST PLA Category Objective 27"/>
    <s v="[CATEGORY] count(cat)"/>
    <b v="0"/>
    <m/>
    <n v="0.19978946265445799"/>
    <x v="5"/>
    <m/>
    <b v="0"/>
  </r>
  <r>
    <s v="relatie kind basisschool kind"/>
    <s v="relationship child primary school child"/>
    <s v="count number of kids, age 4-11"/>
    <b v="1"/>
    <m/>
    <n v="0.198268561708072"/>
    <x v="1"/>
    <m/>
    <m/>
  </r>
  <r>
    <s v="instrument reden beeindiging historie doelstelling bereikt  geen uitstroom"/>
    <s v="Instrument terminated does not achieve reintegration"/>
    <s v="[CATEGORY] count(reden_beeindiging)"/>
    <b v="0"/>
    <s v="instrument is terminated because the customer does not acheive reintegration into the workforce. "/>
    <n v="0.19668557648600399"/>
    <x v="6"/>
    <m/>
    <m/>
  </r>
  <r>
    <s v="typering transport  logistiek   tuinbouw"/>
    <s v="Customer type Transport Logistics Horticulture"/>
    <s v="[CATEGORY] count(typering_naam), for current"/>
    <b v="0"/>
    <s v="The customerm works in transport, logistics, or horticulture. "/>
    <n v="0.183548795931814"/>
    <x v="12"/>
    <m/>
    <m/>
  </r>
  <r>
    <s v="persoonlijke eigenschappen nl spreken1"/>
    <s v="Personal characteristics NL speaking 1"/>
    <s v="[DUMMY] nl_spreken"/>
    <b v="0"/>
    <m/>
    <n v="0.17860946536809699"/>
    <x v="7"/>
    <m/>
    <m/>
  </r>
  <r>
    <s v="competentie onderzoeken"/>
    <s v="competence research"/>
    <s v="[CATEGORY] count(comp_omshrijving)"/>
    <b v="0"/>
    <m/>
    <n v="0.17636332316680201"/>
    <x v="3"/>
    <m/>
    <m/>
  </r>
  <r>
    <s v="instrument reden beeindiging historie op termijn matchbaar"/>
    <s v="Instrument Reason termination History in the long term"/>
    <s v="[CATEGORY] count(reden_beeindiging)"/>
    <b v="0"/>
    <m/>
    <n v="0.17404842281793101"/>
    <x v="6"/>
    <m/>
    <b v="0"/>
  </r>
  <r>
    <s v="competentie ethisch en integer handelen"/>
    <s v="Competence ethical and honest action"/>
    <s v="[CATEGORY] count(comp_omshrijving)"/>
    <b v="1"/>
    <m/>
    <n v="0.172962976010446"/>
    <x v="3"/>
    <m/>
    <m/>
  </r>
  <r>
    <s v="afspraak controle verwijzing"/>
    <s v="Appointment check referral"/>
    <s v="[CATEGORY] count(afspraak_naam)"/>
    <b v="0"/>
    <s v="Customer had an appointment about a control measure."/>
    <n v="0.16449137903147901"/>
    <x v="9"/>
    <m/>
    <m/>
  </r>
  <r>
    <s v="persoonlijke eigenschappen nl spreken2"/>
    <s v="Personal characteristics NL speak2"/>
    <s v="[DUMMY] nl_spreken"/>
    <b v="0"/>
    <m/>
    <n v="0.16136326971987"/>
    <x v="7"/>
    <m/>
    <m/>
  </r>
  <r>
    <s v="persoonlijke eigenschappen presentatie opm"/>
    <s v="Personal characteristics presentation"/>
    <s v="1 if not NA presentatie_opm"/>
    <b v="0"/>
    <m/>
    <n v="0.15305296518359199"/>
    <x v="7"/>
    <m/>
    <m/>
  </r>
  <r>
    <s v="persoonlijke eigenschappen nl schrijven0"/>
    <s v="Personal qualities NL Write 0"/>
    <s v="[DUMMY] nl_shrijven"/>
    <b v="0"/>
    <m/>
    <n v="0.142233570993167"/>
    <x v="7"/>
    <m/>
    <m/>
  </r>
  <r>
    <s v="persoonlijke eigenschappen ind regulier arbeidsritme"/>
    <s v="Personal characteristics in regular labor rhythm"/>
    <s v="ind_regulier_arbeidsritme"/>
    <b v="0"/>
    <m/>
    <n v="0.141302823297283"/>
    <x v="7"/>
    <m/>
    <m/>
  </r>
  <r>
    <s v="pla actueel pla categorie doelstelling 16"/>
    <s v="PLA Current PLA Category Objective 16"/>
    <s v="[CATEGORY] count(cat), for current"/>
    <b v="0"/>
    <m/>
    <n v="0.13840146211846099"/>
    <x v="5"/>
    <m/>
    <b v="0"/>
  </r>
  <r>
    <s v="persoonlijke eigenschappen ind activering traject"/>
    <s v="Personal characteristics in activation process"/>
    <s v="ind_activering_traject"/>
    <b v="0"/>
    <s v="Personal characteristics are included in the social activation trajectory "/>
    <n v="0.134874390943897"/>
    <x v="7"/>
    <m/>
    <m/>
  </r>
  <r>
    <s v="instrument ladder huidig werk re integratie"/>
    <s v="Instrument Ladder Current Work Re Integration"/>
    <s v="[CATEGORY] count(reintegratieladder), for current rows"/>
    <b v="0"/>
    <s v="The customer has work reintegration as part of their current insturment ladder."/>
    <n v="0.13468748136014799"/>
    <x v="6"/>
    <m/>
    <m/>
  </r>
  <r>
    <s v="competentie met druk en tegenslag omgaan"/>
    <s v="Competence with pressure and setbacks"/>
    <s v="[CATEGORY] count(comp_omshrijving)"/>
    <b v="0"/>
    <m/>
    <n v="0.13305649732136701"/>
    <x v="3"/>
    <m/>
    <m/>
  </r>
  <r>
    <s v="persoonlijke eigenschappen doorzettingsvermogen opm"/>
    <s v="Personal characteristics perseverance"/>
    <s v="1 if not NA doorzettingsvermogen_opm"/>
    <b v="0"/>
    <m/>
    <n v="0.121273338079672"/>
    <x v="7"/>
    <m/>
    <m/>
  </r>
  <r>
    <s v="belemmering hist psychische problemen"/>
    <s v="Obstacle Hist Psychological Problems"/>
    <s v="[CATEGORY] count(belemmering), for all historic belemmering"/>
    <b v="1"/>
    <s v="The customer has psychological problems as an obstacle in their history. "/>
    <n v="0.12096244570817601"/>
    <x v="10"/>
    <m/>
    <m/>
  </r>
  <r>
    <s v="persoonlijke eigenschappen communicatie opm"/>
    <s v="Personal characteristics communication"/>
    <s v="1 if not NA communicatie_opm"/>
    <b v="0"/>
    <m/>
    <n v="0.10923264448238799"/>
    <x v="7"/>
    <m/>
    <m/>
  </r>
  <r>
    <s v="persoonlijke eigenschappen spreektaal anders"/>
    <s v="Personal characteristics language other"/>
    <s v="1 if not NA spreektaal_anders"/>
    <b v="1"/>
    <s v="The customer speaks a language other than Dutch. "/>
    <n v="0.10825707532083401"/>
    <x v="7"/>
    <m/>
    <m/>
  </r>
  <r>
    <s v="ontheffing reden hist vanwege uw sociaal maatschappelijke situatie"/>
    <s v="Exemption history because of your social situation"/>
    <s v="[CATEGORY] count(ontheffing)"/>
    <b v="0"/>
    <s v="The customer has previously been exempt from the work requirement because of their social situation. "/>
    <n v="0.10676556902302201"/>
    <x v="8"/>
    <m/>
    <m/>
  </r>
  <r>
    <s v="persoonlijke eigenschappen nl schrijven2"/>
    <s v="Personal qualities NL Write 2"/>
    <s v="[DUMMY] nl_shrijven"/>
    <b v="0"/>
    <m/>
    <n v="0.105778359033252"/>
    <x v="7"/>
    <m/>
    <m/>
  </r>
  <r>
    <s v="pla einde doelstelling bereikt  overdracht"/>
    <s v="PLA End of objective reaches transfer"/>
    <s v="[CATEGORY] count(reden_einde_naam)"/>
    <b v="0"/>
    <s v="Customer completes an objective in the action plan and transfers to a new stage. "/>
    <n v="0.10339153314862499"/>
    <x v="5"/>
    <m/>
    <m/>
  </r>
  <r>
    <s v="contacten onderwerp boolean match   werk"/>
    <s v="Contacts Subject Boolean Match Work"/>
    <s v="[CATEGORY] bool(count(onderwerp))"/>
    <b v="0"/>
    <m/>
    <n v="0.102769682873582"/>
    <x v="2"/>
    <m/>
    <m/>
  </r>
  <r>
    <s v="relatie partner aantal partner   partner  gehuwd "/>
    <s v="relationship partner number of married partners"/>
    <s v="[CATEGORY] soort"/>
    <b v="1"/>
    <s v="The number of married partners the customer has had. "/>
    <n v="0.100737398212232"/>
    <x v="1"/>
    <m/>
    <m/>
  </r>
  <r>
    <s v="beschikbaarheid aantal historie afwijkend wegens sociaal maatschappelijke situatie"/>
    <s v="availability history deviating due to social situation"/>
    <s v="[CATEGORY] count(beschikbaarheid_naam)"/>
    <b v="0"/>
    <s v="The customer's avalibility for work has recently been deviating because of their social situation. "/>
    <n v="9.7508434023908797E-2"/>
    <x v="11"/>
    <m/>
    <m/>
  </r>
  <r>
    <s v="belemmering hist stabiele mix  sz    dagbesteding werk"/>
    <s v="Obstacle Hist Stable Mix of Daytime Activities and Work"/>
    <s v="[CATEGORY] count(belemmering), for all historic belemmering"/>
    <b v="0"/>
    <s v="Client has faced obstecle of a balnaced mix of daytime activities and work."/>
    <n v="9.7258246469993107E-2"/>
    <x v="10"/>
    <m/>
    <m/>
  </r>
  <r>
    <s v="belemmering hist lichamelijke problematiek"/>
    <s v="Obtacle Hist physical problems"/>
    <s v="[CATEGORY] count(belemmering), for all historic belemmering"/>
    <b v="0"/>
    <s v="Physcial problems are listed in the customer's obstacle history."/>
    <n v="9.4076916263989702E-2"/>
    <x v="10"/>
    <m/>
    <m/>
  </r>
  <r>
    <s v="adres recentste wijk ijsselmonde"/>
    <s v="address most recent IJsselmonde district"/>
    <s v="[DUMMY] adres_recentste_wijk"/>
    <b v="1"/>
    <m/>
    <n v="9.1141905495905201E-2"/>
    <x v="4"/>
    <m/>
    <m/>
  </r>
  <r>
    <s v="instrument reden beeindiging historie direct matchbaar"/>
    <s v="instrument termination history directly matchable"/>
    <s v="[CATEGORY] count(reden_beeindiging)"/>
    <b v="0"/>
    <m/>
    <n v="8.9770718221529794E-2"/>
    <x v="6"/>
    <m/>
    <b v="0"/>
  </r>
  <r>
    <s v="typering indicatie geheime gegevens"/>
    <s v="Customer Type Secret Data"/>
    <s v="[CATEGORY] count(typering_naam), for current"/>
    <b v="0"/>
    <m/>
    <n v="8.94439591693557E-2"/>
    <x v="12"/>
    <m/>
    <m/>
  </r>
  <r>
    <s v="adres recentste wijk stadscentru"/>
    <s v="address most recent district of city center"/>
    <s v="[DUMMY] adres_recentste_wijk"/>
    <b v="1"/>
    <m/>
    <n v="8.7876283088846305E-2"/>
    <x v="4"/>
    <m/>
    <m/>
  </r>
  <r>
    <s v="contacten onderwerp vakantie"/>
    <s v="Contacts Subject vacation"/>
    <s v="[CATEGORY] count (onderwerp)"/>
    <b v="0"/>
    <m/>
    <n v="8.6735410855510606E-2"/>
    <x v="2"/>
    <m/>
    <m/>
  </r>
  <r>
    <s v="instrument reden beeindiging historie succesvol  doelstelling bereikt"/>
    <s v="Instrument Reason History Successful Objective achieved"/>
    <s v="[CATEGORY] count(reden_beeindiging)"/>
    <b v="0"/>
    <m/>
    <n v="8.4308946930591197E-2"/>
    <x v="6"/>
    <m/>
    <b v="0"/>
  </r>
  <r>
    <s v="pla hist pla categorie doelstelling 6"/>
    <s v="PLA HIST PLA Category Objective 6"/>
    <s v="[CATEGORY] count(cat)"/>
    <b v="0"/>
    <m/>
    <n v="8.3928196137827094E-2"/>
    <x v="5"/>
    <m/>
    <b v="0"/>
  </r>
  <r>
    <s v="relatie overig actueel vorm  onderhoudsplichtige"/>
    <s v="Relationship Other Current Form maintenance person"/>
    <s v="[CATEGORY] count(vorm), for current"/>
    <b v="0"/>
    <m/>
    <n v="8.3442633450062406E-2"/>
    <x v="1"/>
    <m/>
    <m/>
  </r>
  <r>
    <s v="belemmering woonsituatie"/>
    <s v="Obstacle residential situation"/>
    <s v="[CATEGORY] count(belemmering), for current belemmering"/>
    <b v="0"/>
    <s v="The customer's residential situation is listed as an obstacle. "/>
    <n v="8.2465482246508098E-2"/>
    <x v="10"/>
    <m/>
    <m/>
  </r>
  <r>
    <s v="beschikbaarheid recent afwijkend wegens sociaal maatschappelijke situatie"/>
    <s v="availability recently deviant due to social situation"/>
    <s v="[DUMMY] beschikbaarheid_naam, for most recent beschikbaarheid"/>
    <b v="0"/>
    <s v="The avalibility of the customer has recently been non-standard because of their social situation. "/>
    <n v="8.2325837171601093E-2"/>
    <x v="11"/>
    <m/>
    <m/>
  </r>
  <r>
    <s v="beschikbaarheid huidig bekend"/>
    <s v="Availability current known"/>
    <s v="1 for all ids, where a current beschikbaarheid was found"/>
    <b v="0"/>
    <s v="The avalibility of the customer is currently unknown. "/>
    <n v="8.1560903505943194E-2"/>
    <x v="11"/>
    <m/>
    <m/>
  </r>
  <r>
    <s v="typering aantal"/>
    <s v="Number of Customer Types"/>
    <s v="rowSums(all rows enumerating 'typering'), for current typering"/>
    <b v="0"/>
    <m/>
    <n v="7.38474260910814E-2"/>
    <x v="12"/>
    <m/>
    <b v="0"/>
  </r>
  <r>
    <s v="adres recentste buurt nieuwe westen"/>
    <s v="address most recent neighborhood Nieuwe Westen"/>
    <s v="[DUMMY] adres_recentste_buurt"/>
    <b v="1"/>
    <m/>
    <n v="0"/>
    <x v="4"/>
    <m/>
    <m/>
  </r>
  <r>
    <s v="adres recentste buurt oude noorden"/>
    <s v="address most recent neighborhood Oude Noorden"/>
    <s v="[DUMMY] adres_recentste_buurt"/>
    <b v="1"/>
    <m/>
    <n v="0"/>
    <x v="4"/>
    <m/>
    <m/>
  </r>
  <r>
    <s v="adres recentste plaats other"/>
    <s v="address most recent"/>
    <s v="[DUMMY] adres_recentste_plaats"/>
    <b v="0"/>
    <m/>
    <n v="0"/>
    <x v="4"/>
    <m/>
    <m/>
  </r>
  <r>
    <s v="afspraak afgelopen jaar vervolgmeting matchbaarheid werkzoekende klant"/>
    <s v="Appointment last year Follow -up measurement matchability Job -seeking customer"/>
    <s v="[CATEGORY] count(afspraak_naam), for appointments in the past year"/>
    <b v="0"/>
    <m/>
    <n v="0"/>
    <x v="9"/>
    <m/>
    <m/>
  </r>
  <r>
    <s v="belemmering hist taal"/>
    <s v="Obstacle HIST LANGUAGE"/>
    <s v="[CATEGORY] count(belemmering), for all historic belemmering"/>
    <b v="0"/>
    <m/>
    <n v="0"/>
    <x v="10"/>
    <m/>
    <m/>
  </r>
  <r>
    <s v="belemmering ind"/>
    <s v="Obstacle ind "/>
    <s v="[CATEGORY] count(belemmering), for current belemmering"/>
    <b v="0"/>
    <m/>
    <n v="0"/>
    <x v="10"/>
    <m/>
    <b v="0"/>
  </r>
  <r>
    <s v="belemmering niet computervaardig"/>
    <s v="Obtacle not computer -skilled"/>
    <s v="[CATEGORY] count(belemmering), for current belemmering"/>
    <b v="0"/>
    <m/>
    <n v="0"/>
    <x v="10"/>
    <m/>
    <m/>
  </r>
  <r>
    <s v="competentie instructies en procedures opvolgen"/>
    <s v="Skill follow up instructions and procedures"/>
    <s v="[CATEGORY] count(comp_omshrijving)"/>
    <b v="0"/>
    <m/>
    <n v="0"/>
    <x v="3"/>
    <m/>
    <m/>
  </r>
  <r>
    <s v="competentie leren"/>
    <s v="Skill learning"/>
    <s v="[CATEGORY] count(comp_omshrijving)"/>
    <b v="0"/>
    <m/>
    <n v="0"/>
    <x v="3"/>
    <m/>
    <m/>
  </r>
  <r>
    <s v="competentie omgaan met verandering en aanpassen"/>
    <s v="competence dealing with change and adjustment"/>
    <s v="[CATEGORY] count(comp_omshrijving)"/>
    <b v="0"/>
    <m/>
    <n v="0"/>
    <x v="3"/>
    <m/>
    <m/>
  </r>
  <r>
    <s v="contacten onderwerp  pre  intake"/>
    <s v="Contacts Subject Pre Intake"/>
    <s v="[CATEGORY] count(onderwerp)"/>
    <b v="0"/>
    <m/>
    <n v="0"/>
    <x v="2"/>
    <m/>
    <m/>
  </r>
  <r>
    <s v="contacten onderwerp boolean  arbeids motivatie"/>
    <s v="Contacts subject Boolean Labor motivation"/>
    <s v="[CATEGORY] bool(count(onderwerp))"/>
    <b v="0"/>
    <m/>
    <n v="0"/>
    <x v="2"/>
    <m/>
    <m/>
  </r>
  <r>
    <s v="contacten onderwerp boolean  pre  intake"/>
    <s v="Contacts Subject Boolean Pre Intake"/>
    <s v="[CATEGORY] bool(count(onderwerp))"/>
    <b v="0"/>
    <m/>
    <n v="0"/>
    <x v="2"/>
    <m/>
    <m/>
  </r>
  <r>
    <s v="contacten onderwerp boolean  werk intake"/>
    <s v="Contacts Subject Boolean Work Intake"/>
    <s v="[CATEGORY] bool(count(onderwerp))"/>
    <b v="0"/>
    <m/>
    <n v="0"/>
    <x v="2"/>
    <m/>
    <m/>
  </r>
  <r>
    <s v="contacten onderwerp boolean beoordelen taaleis"/>
    <s v="Contacts subject Boolean assess Language Requirement"/>
    <s v="[CATEGORY] bool(count(onderwerp))"/>
    <b v="0"/>
    <m/>
    <n v="0"/>
    <x v="2"/>
    <m/>
    <m/>
  </r>
  <r>
    <s v="contacten onderwerp boolean contact derden"/>
    <s v="Contacts Subject Boolean Contact third parties"/>
    <s v="[CATEGORY] bool(count(onderwerp))"/>
    <b v="0"/>
    <m/>
    <n v="0"/>
    <x v="2"/>
    <m/>
    <m/>
  </r>
  <r>
    <s v="contacten onderwerp boolean contact met aanbieder"/>
    <s v="Contacts Subject Boolean Contact with Employer"/>
    <s v="[CATEGORY] bool(count(onderwerp))"/>
    <b v="0"/>
    <m/>
    <n v="0"/>
    <x v="2"/>
    <m/>
    <m/>
  </r>
  <r>
    <s v="contacten onderwerp boolean diagnosegesprek"/>
    <s v="Contacts Subject Boolean Diagnose interview"/>
    <s v="[CATEGORY] bool(count(onderwerp))"/>
    <b v="0"/>
    <m/>
    <n v="0"/>
    <x v="2"/>
    <m/>
    <m/>
  </r>
  <r>
    <s v="contacten onderwerp boolean documenten  innemen "/>
    <s v="Contact subject Boolean documents"/>
    <s v="[CATEGORY] bool(count(onderwerp))"/>
    <b v="0"/>
    <m/>
    <n v="0"/>
    <x v="2"/>
    <m/>
    <m/>
  </r>
  <r>
    <s v="contacten onderwerp boolean documenttype  cv "/>
    <s v="Contacts Subject Boolean Document Type CV"/>
    <s v="[CATEGORY] bool(count(onderwerp))"/>
    <b v="0"/>
    <m/>
    <n v="0"/>
    <x v="2"/>
    <m/>
    <m/>
  </r>
  <r>
    <s v="contacten onderwerp boolean documenttype  overeenkomst "/>
    <s v="Contacts Subject Boolean Document Type Agreement"/>
    <s v="[CATEGORY] bool(count(onderwerp))"/>
    <b v="0"/>
    <m/>
    <n v="0"/>
    <x v="2"/>
    <m/>
    <m/>
  </r>
  <r>
    <s v="contacten onderwerp boolean financi?le situatie"/>
    <s v="Contacts Subject Boolean Financial Situation"/>
    <s v="[CATEGORY] bool(count(onderwerp))"/>
    <b v="0"/>
    <m/>
    <n v="0"/>
    <x v="2"/>
    <m/>
    <m/>
  </r>
  <r>
    <s v="contacten onderwerp boolean groepsbijeenkomst"/>
    <s v="Contacts Subject Boolean Group meeting"/>
    <s v="[CATEGORY] bool(count(onderwerp))"/>
    <b v="0"/>
    <m/>
    <n v="0"/>
    <x v="2"/>
    <m/>
    <m/>
  </r>
  <r>
    <s v="contacten onderwerp boolean inkomen"/>
    <s v="Contacts Subject Boolean Income"/>
    <s v="[CATEGORY] bool(count(onderwerp))"/>
    <b v="0"/>
    <m/>
    <n v="0"/>
    <x v="2"/>
    <m/>
    <m/>
  </r>
  <r>
    <s v="contacten onderwerp boolean maatregel overweging"/>
    <s v="Contacts Subject Boolean Measure consideration"/>
    <s v="[CATEGORY] bool(count(onderwerp))"/>
    <b v="0"/>
    <m/>
    <n v="0"/>
    <x v="2"/>
    <m/>
    <m/>
  </r>
  <r>
    <s v="contacten onderwerp boolean matching"/>
    <s v="Contacts Subject Boolean Matching"/>
    <s v="[CATEGORY] bool(count(onderwerp))"/>
    <b v="0"/>
    <m/>
    <n v="0"/>
    <x v="2"/>
    <m/>
    <m/>
  </r>
  <r>
    <s v="contacten onderwerp boolean mutatie"/>
    <s v="Contacts Subject Boolean mutation"/>
    <s v="[CATEGORY] bool(count(onderwerp))"/>
    <b v="0"/>
    <m/>
    <n v="0"/>
    <x v="2"/>
    <m/>
    <m/>
  </r>
  <r>
    <s v="contacten onderwerp boolean no show"/>
    <s v="Contacts Subject Boolean No Show"/>
    <s v="[CATEGORY] bool(count(onderwerp))"/>
    <b v="0"/>
    <m/>
    <n v="0"/>
    <x v="2"/>
    <m/>
    <m/>
  </r>
  <r>
    <s v="contacten onderwerp boolean overige"/>
    <s v="Contacts Subject Boolean Other"/>
    <s v="[CATEGORY] bool(count(onderwerp))"/>
    <b v="0"/>
    <m/>
    <n v="0"/>
    <x v="2"/>
    <m/>
    <m/>
  </r>
  <r>
    <s v="contacten onderwerp boolean overleg met inkomen"/>
    <s v="Contacts Subject Boolean Consultation with Income"/>
    <s v="[CATEGORY] bool(count(onderwerp))"/>
    <b v="0"/>
    <m/>
    <n v="0"/>
    <x v="2"/>
    <m/>
    <m/>
  </r>
  <r>
    <s v="contacten onderwerp boolean scholing"/>
    <s v="Contacts Subject Boolean Training"/>
    <s v="[CATEGORY] bool(count(onderwerp))"/>
    <b v="0"/>
    <m/>
    <n v="0"/>
    <x v="2"/>
    <m/>
    <m/>
  </r>
  <r>
    <s v="contacten onderwerp boolean sollicitatie"/>
    <s v="Contacts Subject Boolean Application"/>
    <s v="[CATEGORY] bool(count(onderwerp))"/>
    <b v="0"/>
    <m/>
    <n v="0"/>
    <x v="2"/>
    <m/>
    <m/>
  </r>
  <r>
    <s v="contacten onderwerp boolean taaleis   voldoet"/>
    <s v="Contacts Subject Boolean Language requirement satisfactory"/>
    <s v="[CATEGORY] bool(count(onderwerp))"/>
    <b v="0"/>
    <s v="The customer has been contacted about sucuessfully meeting their Dutch language requirement"/>
    <n v="0"/>
    <x v="2"/>
    <m/>
    <m/>
  </r>
  <r>
    <s v="contacten onderwerp boolean terugbelverzoek"/>
    <s v="Contacts Subject Boolean recall request"/>
    <s v="[CATEGORY] bool(count(onderwerp))"/>
    <b v="0"/>
    <m/>
    <n v="0"/>
    <x v="2"/>
    <m/>
    <m/>
  </r>
  <r>
    <s v="contacten onderwerp boolean traject"/>
    <s v="Contacts Subject Boolean process"/>
    <s v="[CATEGORY] bool(count(onderwerp))"/>
    <b v="0"/>
    <m/>
    <n v="0"/>
    <x v="2"/>
    <m/>
    <m/>
  </r>
  <r>
    <s v="contacten onderwerp boolean uitnodiging"/>
    <s v="Contacts Subject Boolean Invitation"/>
    <s v="[CATEGORY] bool(count(onderwerp))"/>
    <b v="0"/>
    <m/>
    <n v="0"/>
    <x v="2"/>
    <m/>
    <m/>
  </r>
  <r>
    <s v="contacten onderwerp boolean ziek  of afmelding"/>
    <s v="Contacts Subject Boolean sick or cancellation"/>
    <s v="[CATEGORY] bool(count(onderwerp))"/>
    <b v="0"/>
    <m/>
    <n v="0"/>
    <x v="2"/>
    <m/>
    <m/>
  </r>
  <r>
    <s v="contacten onderwerp boolean zorg"/>
    <s v="Contacts Subject Boolean care"/>
    <s v="[CATEGORY] bool(count(onderwerp))"/>
    <b v="0"/>
    <m/>
    <n v="0"/>
    <x v="2"/>
    <m/>
    <m/>
  </r>
  <r>
    <s v="contacten onderwerp inname aanvraag"/>
    <s v="Contacts Subject Intake request"/>
    <s v="[CATEGORY] count (onderwerp)"/>
    <b v="0"/>
    <m/>
    <n v="0"/>
    <x v="2"/>
    <m/>
    <m/>
  </r>
  <r>
    <s v="instrument reden beeindiging historie diagnose gesteld"/>
    <s v="instrument reasoning termination history diagnosis set"/>
    <s v="[CATEGORY] count(reden_beeindiging)"/>
    <b v="0"/>
    <m/>
    <n v="0"/>
    <x v="6"/>
    <m/>
    <m/>
  </r>
  <r>
    <s v="instrument reden beeindiging historie doelstelling bereikt  uitstroom naar regulier werk"/>
    <s v="Instrument Reason termination History Objective achieved outflow to regular work"/>
    <s v="[CATEGORY] count(reden_beeindiging)"/>
    <b v="0"/>
    <s v="The customer's insturment ladder is terminated because they have found regular work. "/>
    <n v="0"/>
    <x v="6"/>
    <m/>
    <m/>
  </r>
  <r>
    <s v="instrument reden beeindiging historie doelstelling bereikt  uitstroom overig"/>
    <s v="Instrument Reason termination History Objective achieves outflow Other"/>
    <s v="[CATEGORY] count(reden_beeindiging)"/>
    <b v="0"/>
    <m/>
    <n v="0"/>
    <x v="6"/>
    <m/>
    <m/>
  </r>
  <r>
    <s v="instrument reden beeindiging historie niet matchbaar"/>
    <s v="Instrument Reason termination History is not matchable"/>
    <s v="[CATEGORY] count(reden_beeindiging)"/>
    <b v="0"/>
    <m/>
    <n v="0"/>
    <x v="6"/>
    <m/>
    <m/>
  </r>
  <r>
    <s v="instrument reden beeindiging historie niet succesvol  reden bij werkzoekende"/>
    <s v="instrument reason Under termination History not successful reason for a job seeker"/>
    <s v="[CATEGORY] count(reden_beeindiging)"/>
    <b v="0"/>
    <m/>
    <n v="0"/>
    <x v="6"/>
    <m/>
    <m/>
  </r>
  <r>
    <s v="instrument reden beeindiging historie overdracht naar prematching"/>
    <s v="Instrument Reason termination History Transfer to Prematching"/>
    <s v="[CATEGORY] count(reden_beeindiging)"/>
    <b v="0"/>
    <m/>
    <n v="0"/>
    <x v="6"/>
    <m/>
    <m/>
  </r>
  <r>
    <s v="ontheffing reden hist medische gronden"/>
    <s v="Exemption Reason Hist Medical Grounds"/>
    <s v="[CATEGORY] count(ontheffing)"/>
    <b v="0"/>
    <m/>
    <n v="0"/>
    <x v="8"/>
    <m/>
    <m/>
  </r>
  <r>
    <s v="ontheffing reden hist tijdelijke ontheffing arbeidsverplichtingen"/>
    <s v="Exemption reason Hist temporary exemption for labor obligations"/>
    <s v="[CATEGORY] count(ontheffing)"/>
    <b v="0"/>
    <m/>
    <n v="0"/>
    <x v="8"/>
    <m/>
    <m/>
  </r>
  <r>
    <s v="persoonlijke eigenschappen flexibiliteit opm"/>
    <s v="Personal characteristics flexibility"/>
    <s v="1 if not NA flexibiliteit_opm"/>
    <b v="0"/>
    <m/>
    <n v="0"/>
    <x v="7"/>
    <m/>
    <m/>
  </r>
  <r>
    <s v="persoonlijke eigenschappen ind buiten kantoortijden"/>
    <s v="Personal properties IND outside office hours"/>
    <s v="ind_buiten_kantoortijden"/>
    <b v="0"/>
    <m/>
    <n v="0"/>
    <x v="7"/>
    <m/>
    <m/>
  </r>
  <r>
    <s v="persoonlijke eigenschappen nl lezen3"/>
    <s v="Personal qualities NL read 3"/>
    <s v="[DUMMY] nl_lezen"/>
    <b v="0"/>
    <m/>
    <n v="0"/>
    <x v="7"/>
    <m/>
    <m/>
  </r>
  <r>
    <s v="persoonlijke eigenschappen nl lezen4"/>
    <s v="Personal qualities NL Read 4"/>
    <s v="[DUMMY] nl_lezen"/>
    <b v="0"/>
    <m/>
    <n v="0"/>
    <x v="7"/>
    <m/>
    <m/>
  </r>
  <r>
    <s v="persoonlijke eigenschappen nl schrijven1"/>
    <s v="Personal qualities NL Write 1"/>
    <s v="[DUMMY] nl_shrijven"/>
    <b v="0"/>
    <m/>
    <n v="0"/>
    <x v="7"/>
    <m/>
    <m/>
  </r>
  <r>
    <s v="persoonlijke eigenschappen nl schrijven3"/>
    <s v="Personal qualities NL Write 3"/>
    <s v="[DUMMY] nl_shrijven"/>
    <b v="0"/>
    <m/>
    <n v="0"/>
    <x v="7"/>
    <m/>
    <m/>
  </r>
  <r>
    <s v="persoonlijke eigenschappen zelfstandigheid opm"/>
    <s v="Personal characteristics independence"/>
    <s v="1 if not NA zelfstandigheid_opm"/>
    <b v="0"/>
    <m/>
    <n v="0"/>
    <x v="7"/>
    <m/>
    <m/>
  </r>
  <r>
    <s v="pla einde doelstelling niet bereikt  overdracht"/>
    <s v="PLA End of objective not reached transfer"/>
    <s v="[CATEGORY] count(reden_einde_naam)"/>
    <b v="0"/>
    <m/>
    <n v="0"/>
    <x v="5"/>
    <m/>
    <b v="0"/>
  </r>
  <r>
    <s v="pla historie werk en inburgering"/>
    <s v="PLA History Work and Integration"/>
    <s v="[CATEGORY] count(pla_naam)"/>
    <b v="0"/>
    <s v="Work and integration in Action Plan history"/>
    <n v="0"/>
    <x v="5"/>
    <m/>
    <m/>
  </r>
  <r>
    <s v="relatie kind heeft kinderen"/>
    <s v="relationship child has children"/>
    <s v="1 if has kids"/>
    <b v="0"/>
    <s v="The customer has children. "/>
    <n v="0"/>
    <x v="1"/>
    <m/>
    <m/>
  </r>
  <r>
    <s v="relatie overig actueel vorm  gemachtigde"/>
    <s v="Relationship Other Current Form authorized representative"/>
    <s v="[CATEGORY] count(vorm), for current"/>
    <b v="0"/>
    <m/>
    <n v="0"/>
    <x v="1"/>
    <m/>
    <m/>
  </r>
  <r>
    <s v="typering hist inburgeringsbehoeftig"/>
    <s v="Customer type history integration"/>
    <s v="[CATEGORY] count(typering_naam)"/>
    <b v="0"/>
    <m/>
    <n v="0"/>
    <x v="12"/>
    <m/>
    <m/>
  </r>
  <r>
    <s v="typering hist ind"/>
    <s v="Has customer type history"/>
    <s v="1 if a typering_hist"/>
    <b v="0"/>
    <m/>
    <n v="0"/>
    <x v="12"/>
    <m/>
    <m/>
  </r>
  <r>
    <s v="typering hist sector zorg"/>
    <s v="Customer type history care"/>
    <s v="[CATEGORY] count(typering_naam)"/>
    <b v="0"/>
    <m/>
    <n v="0"/>
    <x v="12"/>
    <m/>
    <m/>
  </r>
  <r>
    <s v="typering ind"/>
    <s v="Has customer type "/>
    <s v="1 if a typering_hist, for current typering"/>
    <b v="0"/>
    <m/>
    <n v="0"/>
    <x v="12"/>
    <m/>
    <m/>
  </r>
  <r>
    <s v="typering zorg  schoonmaak   welzijn"/>
    <s v="Customer type cleaning and care"/>
    <s v="[CATEGORY] count(typering_naam), for current"/>
    <b v="0"/>
    <s v="Client has work history in cleaning and care."/>
    <n v="0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verage_feature_importance" cacheId="25" applyNumberFormats="0" applyBorderFormats="0" applyFontFormats="0" applyPatternFormats="0" applyAlignmentFormats="0" applyWidthHeightFormats="0" dataCaption="" updatedVersion="8" compact="0" compactData="0">
  <location ref="A1:C17" firstHeaderRow="1" firstDataRow="2" firstDataCol="1"/>
  <pivotFields count="10">
    <pivotField name="feature_dutch" compact="0" outline="0" multipleItemSelectionAllowed="1" showAll="0"/>
    <pivotField name="feature_english" compact="0" outline="0" multipleItemSelectionAllowed="1" showAll="0"/>
    <pivotField name="variable_generation" compact="0" outline="0" multipleItemSelectionAllowed="1" showAll="0"/>
    <pivotField name="Config" compact="0" outline="0" multipleItemSelectionAllowed="1" showAll="0"/>
    <pivotField name="feature_simplified " compact="0" outline="0" multipleItemSelectionAllowed="1" showAll="0"/>
    <pivotField name="feature_importance" dataField="1" compact="0" numFmtId="4" outline="0" multipleItemSelectionAllowed="1" showAll="0"/>
    <pivotField name="Category" axis="axisRow" compact="0" outline="0" multipleItemSelectionAllowed="1" showAll="0" sortType="ascending">
      <items count="15">
        <item x="5"/>
        <item x="4"/>
        <item x="9"/>
        <item x="11"/>
        <item x="2"/>
        <item x="12"/>
        <item x="8"/>
        <item x="6"/>
        <item x="10"/>
        <item x="13"/>
        <item x="0"/>
        <item x="7"/>
        <item x="1"/>
        <item x="3"/>
        <item t="default"/>
      </items>
    </pivotField>
    <pivotField name="Notes" compact="0" outline="0" multipleItemSelectionAllowed="1" showAll="0"/>
    <pivotField name="Understand? 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eature_importance" fld="5" subtotal="average" baseField="0"/>
    <dataField name="SUM of Calculated Field 1" fld="9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50">
  <tableColumns count="13">
    <tableColumn id="1" xr3:uid="{00000000-0010-0000-0000-000001000000}" name="feature_name"/>
    <tableColumn id="2" xr3:uid="{00000000-0010-0000-0000-000002000000}" name="feature_dutch_"/>
    <tableColumn id="3" xr3:uid="{00000000-0010-0000-0000-000003000000}" name="feature_dutch"/>
    <tableColumn id="4" xr3:uid="{00000000-0010-0000-0000-000004000000}" name="feature_english"/>
    <tableColumn id="5" xr3:uid="{00000000-0010-0000-0000-000005000000}" name="feature_simplified "/>
    <tableColumn id="6" xr3:uid="{00000000-0010-0000-0000-000006000000}" name="feature_importance"/>
    <tableColumn id="7" xr3:uid="{00000000-0010-0000-0000-000007000000}" name="Category"/>
    <tableColumn id="8" xr3:uid="{00000000-0010-0000-0000-000008000000}" name="Notes"/>
    <tableColumn id="9" xr3:uid="{00000000-0010-0000-0000-000009000000}" name="Understand? "/>
    <tableColumn id="10" xr3:uid="{00000000-0010-0000-0000-00000A000000}" name="Gabriel"/>
    <tableColumn id="11" xr3:uid="{00000000-0010-0000-0000-00000B000000}" name="Eva"/>
    <tableColumn id="12" xr3:uid="{00000000-0010-0000-0000-00000C000000}" name="Htet"/>
    <tableColumn id="13" xr3:uid="{00000000-0010-0000-0000-00000D000000}" name="Justin"/>
  </tableColumns>
  <tableStyleInfo name="selected_featur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H12">
  <tableColumns count="8">
    <tableColumn id="1" xr3:uid="{00000000-0010-0000-0900-000001000000}" name="feature dutch"/>
    <tableColumn id="2" xr3:uid="{00000000-0010-0000-0900-000002000000}" name="feature english"/>
    <tableColumn id="3" xr3:uid="{00000000-0010-0000-0900-000003000000}" name="feature simplified "/>
    <tableColumn id="4" xr3:uid="{00000000-0010-0000-0900-000004000000}" name="feature importance"/>
    <tableColumn id="5" xr3:uid="{00000000-0010-0000-0900-000005000000}" name="Category"/>
    <tableColumn id="6" xr3:uid="{00000000-0010-0000-0900-000006000000}" name="Notes"/>
    <tableColumn id="7" xr3:uid="{00000000-0010-0000-0900-000007000000}" name="Understand? "/>
    <tableColumn id="8" xr3:uid="{00000000-0010-0000-0900-000008000000}" name="Business Rule"/>
  </tableColumns>
  <tableStyleInfo name="Exemption 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H30">
  <tableColumns count="8">
    <tableColumn id="1" xr3:uid="{00000000-0010-0000-0A00-000001000000}" name="feature dutch"/>
    <tableColumn id="2" xr3:uid="{00000000-0010-0000-0A00-000002000000}" name="feature english"/>
    <tableColumn id="3" xr3:uid="{00000000-0010-0000-0A00-000003000000}" name="feature simplified "/>
    <tableColumn id="4" xr3:uid="{00000000-0010-0000-0A00-000004000000}" name="feature importance"/>
    <tableColumn id="5" xr3:uid="{00000000-0010-0000-0A00-000005000000}" name="Category"/>
    <tableColumn id="6" xr3:uid="{00000000-0010-0000-0A00-000006000000}" name="Notes"/>
    <tableColumn id="7" xr3:uid="{00000000-0010-0000-0A00-000007000000}" name="Understand? "/>
    <tableColumn id="8" xr3:uid="{00000000-0010-0000-0A00-000008000000}" name="Business Rule"/>
  </tableColumns>
  <tableStyleInfo name="Appointment 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H16">
  <tableColumns count="8">
    <tableColumn id="1" xr3:uid="{00000000-0010-0000-0B00-000001000000}" name="feature dutch"/>
    <tableColumn id="2" xr3:uid="{00000000-0010-0000-0B00-000002000000}" name="feature english"/>
    <tableColumn id="3" xr3:uid="{00000000-0010-0000-0B00-000003000000}" name="feature simplified "/>
    <tableColumn id="4" xr3:uid="{00000000-0010-0000-0B00-000004000000}" name="feature importance"/>
    <tableColumn id="5" xr3:uid="{00000000-0010-0000-0B00-000005000000}" name="Category"/>
    <tableColumn id="6" xr3:uid="{00000000-0010-0000-0B00-000006000000}" name="Notes"/>
    <tableColumn id="7" xr3:uid="{00000000-0010-0000-0B00-000007000000}" name="Understand? "/>
    <tableColumn id="8" xr3:uid="{00000000-0010-0000-0B00-000008000000}" name="Business Rule"/>
  </tableColumns>
  <tableStyleInfo name="Obstacle 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H7">
  <tableColumns count="8">
    <tableColumn id="1" xr3:uid="{00000000-0010-0000-0C00-000001000000}" name="feature dutch"/>
    <tableColumn id="2" xr3:uid="{00000000-0010-0000-0C00-000002000000}" name="feature english"/>
    <tableColumn id="3" xr3:uid="{00000000-0010-0000-0C00-000003000000}" name="feature simplified "/>
    <tableColumn id="4" xr3:uid="{00000000-0010-0000-0C00-000004000000}" name="feature importance"/>
    <tableColumn id="5" xr3:uid="{00000000-0010-0000-0C00-000005000000}" name="Category"/>
    <tableColumn id="6" xr3:uid="{00000000-0010-0000-0C00-000006000000}" name="Notes"/>
    <tableColumn id="7" xr3:uid="{00000000-0010-0000-0C00-000007000000}" name="Understand? "/>
    <tableColumn id="8" xr3:uid="{00000000-0010-0000-0C00-000008000000}" name="Business Rule"/>
  </tableColumns>
  <tableStyleInfo name="Availability 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H12">
  <tableColumns count="8">
    <tableColumn id="1" xr3:uid="{00000000-0010-0000-0D00-000001000000}" name="feature dutch"/>
    <tableColumn id="2" xr3:uid="{00000000-0010-0000-0D00-000002000000}" name="feature english"/>
    <tableColumn id="3" xr3:uid="{00000000-0010-0000-0D00-000003000000}" name="feature simplified "/>
    <tableColumn id="4" xr3:uid="{00000000-0010-0000-0D00-000004000000}" name="feature importance"/>
    <tableColumn id="5" xr3:uid="{00000000-0010-0000-0D00-000005000000}" name="Category"/>
    <tableColumn id="6" xr3:uid="{00000000-0010-0000-0D00-000006000000}" name="Notes"/>
    <tableColumn id="7" xr3:uid="{00000000-0010-0000-0D00-000007000000}" name="Understand? "/>
    <tableColumn id="8" xr3:uid="{00000000-0010-0000-0D00-000008000000}" name="Business Rule"/>
  </tableColumns>
  <tableStyleInfo name="Customer type 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H5">
  <tableColumns count="8">
    <tableColumn id="1" xr3:uid="{00000000-0010-0000-0E00-000001000000}" name="feature dutch"/>
    <tableColumn id="2" xr3:uid="{00000000-0010-0000-0E00-000002000000}" name="feature english"/>
    <tableColumn id="3" xr3:uid="{00000000-0010-0000-0E00-000003000000}" name="feature simplified "/>
    <tableColumn id="4" xr3:uid="{00000000-0010-0000-0E00-000004000000}" name="feature importance"/>
    <tableColumn id="5" xr3:uid="{00000000-0010-0000-0E00-000005000000}" name="Category"/>
    <tableColumn id="6" xr3:uid="{00000000-0010-0000-0E00-000006000000}" name="Notes"/>
    <tableColumn id="7" xr3:uid="{00000000-0010-0000-0E00-000007000000}" name="Understand? "/>
    <tableColumn id="8" xr3:uid="{00000000-0010-0000-0E00-000008000000}" name="Business Rule"/>
  </tableColumns>
  <tableStyleInfo name="Participation Act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3">
  <tableColumns count="8">
    <tableColumn id="1" xr3:uid="{00000000-0010-0000-0100-000001000000}" name="feature dutch"/>
    <tableColumn id="2" xr3:uid="{00000000-0010-0000-0100-000002000000}" name="feature english"/>
    <tableColumn id="3" xr3:uid="{00000000-0010-0000-0100-000003000000}" name="feature simplified "/>
    <tableColumn id="4" xr3:uid="{00000000-0010-0000-0100-000004000000}" name="feature importance"/>
    <tableColumn id="5" xr3:uid="{00000000-0010-0000-0100-000005000000}" name="Category"/>
    <tableColumn id="6" xr3:uid="{00000000-0010-0000-0100-000006000000}" name="Notes"/>
    <tableColumn id="7" xr3:uid="{00000000-0010-0000-0100-000007000000}" name="Understand? "/>
    <tableColumn id="8" xr3:uid="{00000000-0010-0000-0100-000008000000}" name="Business Rule"/>
  </tableColumns>
  <tableStyleInfo name="Person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H23">
  <tableColumns count="8">
    <tableColumn id="1" xr3:uid="{00000000-0010-0000-0200-000001000000}" name="feature dutch"/>
    <tableColumn id="2" xr3:uid="{00000000-0010-0000-0200-000002000000}" name="feature english"/>
    <tableColumn id="3" xr3:uid="{00000000-0010-0000-0200-000003000000}" name="feature simplified "/>
    <tableColumn id="4" xr3:uid="{00000000-0010-0000-0200-000004000000}" name="feature importance"/>
    <tableColumn id="5" xr3:uid="{00000000-0010-0000-0200-000005000000}" name="Category"/>
    <tableColumn id="6" xr3:uid="{00000000-0010-0000-0200-000006000000}" name="Notes"/>
    <tableColumn id="7" xr3:uid="{00000000-0010-0000-0200-000007000000}" name="Understand? "/>
    <tableColumn id="8" xr3:uid="{00000000-0010-0000-0200-000008000000}" name="Business Rule"/>
  </tableColumns>
  <tableStyleInfo name="Relationship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H19">
  <tableColumns count="8">
    <tableColumn id="1" xr3:uid="{00000000-0010-0000-0300-000001000000}" name="feature dutch"/>
    <tableColumn id="2" xr3:uid="{00000000-0010-0000-0300-000002000000}" name="feature english"/>
    <tableColumn id="3" xr3:uid="{00000000-0010-0000-0300-000003000000}" name="feature simplified "/>
    <tableColumn id="4" xr3:uid="{00000000-0010-0000-0300-000004000000}" name="feature importance"/>
    <tableColumn id="5" xr3:uid="{00000000-0010-0000-0300-000005000000}" name="Category"/>
    <tableColumn id="6" xr3:uid="{00000000-0010-0000-0300-000006000000}" name="Notes"/>
    <tableColumn id="7" xr3:uid="{00000000-0010-0000-0300-000007000000}" name="Understand? "/>
    <tableColumn id="8" xr3:uid="{00000000-0010-0000-0300-000008000000}" name="Business Rule"/>
  </tableColumns>
  <tableStyleInfo name="Skill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H85">
  <tableColumns count="8">
    <tableColumn id="1" xr3:uid="{00000000-0010-0000-0400-000001000000}" name="feature dutch"/>
    <tableColumn id="2" xr3:uid="{00000000-0010-0000-0400-000002000000}" name="feature english"/>
    <tableColumn id="3" xr3:uid="{00000000-0010-0000-0400-000003000000}" name="feature simplified "/>
    <tableColumn id="4" xr3:uid="{00000000-0010-0000-0400-000004000000}" name="feature importance"/>
    <tableColumn id="5" xr3:uid="{00000000-0010-0000-0400-000005000000}" name="Category"/>
    <tableColumn id="6" xr3:uid="{00000000-0010-0000-0400-000006000000}" name="Notes"/>
    <tableColumn id="7" xr3:uid="{00000000-0010-0000-0400-000007000000}" name="Understand? "/>
    <tableColumn id="8" xr3:uid="{00000000-0010-0000-0400-000008000000}" name="Business Rule"/>
  </tableColumns>
  <tableStyleInfo name="Contact 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H31">
  <tableColumns count="8">
    <tableColumn id="1" xr3:uid="{00000000-0010-0000-0500-000001000000}" name="feature dutch"/>
    <tableColumn id="2" xr3:uid="{00000000-0010-0000-0500-000002000000}" name="feature english"/>
    <tableColumn id="3" xr3:uid="{00000000-0010-0000-0500-000003000000}" name="feature simplified "/>
    <tableColumn id="4" xr3:uid="{00000000-0010-0000-0500-000004000000}" name="feature importance"/>
    <tableColumn id="5" xr3:uid="{00000000-0010-0000-0500-000005000000}" name="Category"/>
    <tableColumn id="6" xr3:uid="{00000000-0010-0000-0500-000006000000}" name="Notes"/>
    <tableColumn id="7" xr3:uid="{00000000-0010-0000-0500-000007000000}" name="Understand? "/>
    <tableColumn id="8" xr3:uid="{00000000-0010-0000-0500-000008000000}" name="Business Rule"/>
  </tableColumns>
  <tableStyleInfo name="Action Plan 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H24">
  <tableColumns count="8">
    <tableColumn id="1" xr3:uid="{00000000-0010-0000-0600-000001000000}" name="feature dutch"/>
    <tableColumn id="2" xr3:uid="{00000000-0010-0000-0600-000002000000}" name="feature english"/>
    <tableColumn id="3" xr3:uid="{00000000-0010-0000-0600-000003000000}" name="feature simplified "/>
    <tableColumn id="4" xr3:uid="{00000000-0010-0000-0600-000004000000}" name="feature importance"/>
    <tableColumn id="5" xr3:uid="{00000000-0010-0000-0600-000005000000}" name="Category"/>
    <tableColumn id="6" xr3:uid="{00000000-0010-0000-0600-000006000000}" name="Notes"/>
    <tableColumn id="7" xr3:uid="{00000000-0010-0000-0600-000007000000}" name="Understand? "/>
    <tableColumn id="8" xr3:uid="{00000000-0010-0000-0600-000008000000}" name="Business Rule"/>
  </tableColumns>
  <tableStyleInfo name="Address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H1002">
  <tableColumns count="8">
    <tableColumn id="1" xr3:uid="{00000000-0010-0000-0700-000001000000}" name="feature dutch"/>
    <tableColumn id="2" xr3:uid="{00000000-0010-0000-0700-000002000000}" name="feature english"/>
    <tableColumn id="3" xr3:uid="{00000000-0010-0000-0700-000003000000}" name="feature simplified "/>
    <tableColumn id="4" xr3:uid="{00000000-0010-0000-0700-000004000000}" name="feature importance"/>
    <tableColumn id="5" xr3:uid="{00000000-0010-0000-0700-000005000000}" name="Category"/>
    <tableColumn id="6" xr3:uid="{00000000-0010-0000-0700-000006000000}" name="Notes"/>
    <tableColumn id="7" xr3:uid="{00000000-0010-0000-0700-000007000000}" name="Understand? "/>
    <tableColumn id="8" xr3:uid="{00000000-0010-0000-0700-000008000000}" name="Business Rule"/>
  </tableColumns>
  <tableStyleInfo name="Instrument ladder 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H37">
  <tableColumns count="8">
    <tableColumn id="1" xr3:uid="{00000000-0010-0000-0800-000001000000}" name="feature dutch"/>
    <tableColumn id="2" xr3:uid="{00000000-0010-0000-0800-000002000000}" name="feature english"/>
    <tableColumn id="3" xr3:uid="{00000000-0010-0000-0800-000003000000}" name="feature simplified "/>
    <tableColumn id="4" xr3:uid="{00000000-0010-0000-0800-000004000000}" name="feature importance"/>
    <tableColumn id="5" xr3:uid="{00000000-0010-0000-0800-000005000000}" name="Category"/>
    <tableColumn id="6" xr3:uid="{00000000-0010-0000-0800-000006000000}" name="Notes"/>
    <tableColumn id="7" xr3:uid="{00000000-0010-0000-0800-000007000000}" name="Understand? "/>
    <tableColumn id="8" xr3:uid="{00000000-0010-0000-0800-000008000000}" name="Business Rule"/>
  </tableColumns>
  <tableStyleInfo name="Personal qualities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www.rijksoverheid.nl/onderwerpen/bijstand/vraag-en-antwoord/wat-is-de-tegenprestatie-in-de-bijstan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s://www.amsterdam.nl/veelgevraagd/?productid=%7B60C9FDC1-9F75-4DD6-A653-09D848209E7D%7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google.com/spreadsheets/d/112si-DLGpUeeCD2mNRK71WG52U5Hl9-L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rijksoverheid.nl/onderwerpen/bijstand/vraag-en-antwoord/wat-is-de-kostendelersnorm-in-de-bijstan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dariuz.nl/methodie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workbookViewId="0">
      <pane ySplit="1" topLeftCell="A2" activePane="bottomLeft" state="frozen"/>
      <selection pane="bottomLeft" activeCell="B45" sqref="B45"/>
    </sheetView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45.5" style="29" customWidth="1"/>
    <col min="4" max="4" width="18.5" customWidth="1"/>
    <col min="5" max="5" width="24" customWidth="1"/>
  </cols>
  <sheetData>
    <row r="1" spans="1:20" ht="15.75" customHeight="1" x14ac:dyDescent="0.15">
      <c r="A1" s="3" t="s">
        <v>0</v>
      </c>
      <c r="B1" s="3" t="s">
        <v>1</v>
      </c>
      <c r="C1" s="24" t="s">
        <v>310</v>
      </c>
      <c r="D1" s="4" t="s">
        <v>311</v>
      </c>
      <c r="E1" s="3" t="s">
        <v>312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5" t="s">
        <v>315</v>
      </c>
      <c r="B2" s="5" t="s">
        <v>316</v>
      </c>
      <c r="C2" s="25"/>
      <c r="D2" s="6">
        <v>100</v>
      </c>
      <c r="E2" s="5" t="s">
        <v>317</v>
      </c>
    </row>
    <row r="3" spans="1:20" ht="15.75" customHeight="1" x14ac:dyDescent="0.15">
      <c r="A3" s="7" t="s">
        <v>319</v>
      </c>
      <c r="B3" s="7" t="s">
        <v>320</v>
      </c>
      <c r="C3" s="26" t="s">
        <v>321</v>
      </c>
      <c r="D3" s="8">
        <v>35.485673710635602</v>
      </c>
      <c r="E3" s="7" t="s">
        <v>322</v>
      </c>
    </row>
    <row r="4" spans="1:20" ht="15.75" customHeight="1" x14ac:dyDescent="0.15">
      <c r="A4" s="5" t="s">
        <v>323</v>
      </c>
      <c r="B4" s="5" t="s">
        <v>324</v>
      </c>
      <c r="C4" s="25"/>
      <c r="D4" s="6">
        <v>27.874801535345402</v>
      </c>
      <c r="E4" s="5" t="s">
        <v>325</v>
      </c>
    </row>
    <row r="5" spans="1:20" ht="15.75" customHeight="1" x14ac:dyDescent="0.15">
      <c r="A5" s="7" t="s">
        <v>326</v>
      </c>
      <c r="B5" s="7" t="s">
        <v>327</v>
      </c>
      <c r="C5" s="26"/>
      <c r="D5" s="8">
        <v>25.106633247031599</v>
      </c>
      <c r="E5" s="7" t="s">
        <v>328</v>
      </c>
    </row>
    <row r="6" spans="1:20" ht="15.75" customHeight="1" x14ac:dyDescent="0.15">
      <c r="A6" s="5" t="s">
        <v>329</v>
      </c>
      <c r="B6" s="5" t="s">
        <v>330</v>
      </c>
      <c r="C6" s="25" t="s">
        <v>331</v>
      </c>
      <c r="D6" s="6">
        <v>24.101367423066002</v>
      </c>
      <c r="E6" s="5" t="s">
        <v>325</v>
      </c>
    </row>
    <row r="7" spans="1:20" ht="15.75" customHeight="1" x14ac:dyDescent="0.15">
      <c r="A7" s="7" t="s">
        <v>332</v>
      </c>
      <c r="B7" s="7" t="str">
        <f ca="1">IFERROR(__xludf.DUMMYFUNCTION("GOOGLETRANSLATE(C7)"),"Address days at address")</f>
        <v>Address days at address</v>
      </c>
      <c r="C7" s="26" t="s">
        <v>333</v>
      </c>
      <c r="D7" s="8">
        <v>23.329141197404699</v>
      </c>
      <c r="E7" s="7" t="s">
        <v>334</v>
      </c>
    </row>
    <row r="8" spans="1:20" ht="15.75" customHeight="1" x14ac:dyDescent="0.15">
      <c r="A8" s="5" t="s">
        <v>335</v>
      </c>
      <c r="B8" s="5" t="s">
        <v>336</v>
      </c>
      <c r="C8" s="25" t="s">
        <v>337</v>
      </c>
      <c r="D8" s="6">
        <v>20.748949566602999</v>
      </c>
      <c r="E8" s="5" t="s">
        <v>322</v>
      </c>
    </row>
    <row r="9" spans="1:20" ht="15.75" customHeight="1" x14ac:dyDescent="0.15">
      <c r="A9" s="7" t="s">
        <v>338</v>
      </c>
      <c r="B9" s="7" t="s">
        <v>339</v>
      </c>
      <c r="C9" s="26" t="s">
        <v>340</v>
      </c>
      <c r="D9" s="8">
        <v>19.1112949665124</v>
      </c>
      <c r="E9" s="7" t="s">
        <v>341</v>
      </c>
    </row>
    <row r="10" spans="1:20" ht="15.75" customHeight="1" x14ac:dyDescent="0.15">
      <c r="A10" s="5" t="s">
        <v>342</v>
      </c>
      <c r="B10" s="5" t="str">
        <f ca="1">IFERROR(__xludf.DUMMYFUNCTION("GOOGLETRANSLATE(C10)"),"Instrument Ladder Current activation")</f>
        <v>Instrument Ladder Current activation</v>
      </c>
      <c r="C10" s="25" t="s">
        <v>343</v>
      </c>
      <c r="D10" s="6">
        <v>17.504786804464899</v>
      </c>
      <c r="E10" s="5" t="s">
        <v>344</v>
      </c>
    </row>
    <row r="11" spans="1:20" ht="15.75" customHeight="1" x14ac:dyDescent="0.15">
      <c r="A11" s="7" t="s">
        <v>346</v>
      </c>
      <c r="B11" s="7" t="s">
        <v>347</v>
      </c>
      <c r="C11" s="26" t="s">
        <v>348</v>
      </c>
      <c r="D11" s="8">
        <v>15.4138352665776</v>
      </c>
      <c r="E11" s="7" t="s">
        <v>325</v>
      </c>
    </row>
    <row r="12" spans="1:20" ht="15.75" customHeight="1" x14ac:dyDescent="0.15">
      <c r="A12" s="5" t="s">
        <v>349</v>
      </c>
      <c r="B12" s="5" t="str">
        <f ca="1">IFERROR(__xludf.DUMMYFUNCTION("GOOGLETRANSLATE(C12)"),"Personal qualities days since language requirement")</f>
        <v>Personal qualities days since language requirement</v>
      </c>
      <c r="C12" s="25" t="s">
        <v>350</v>
      </c>
      <c r="D12" s="6">
        <v>15.15384566458</v>
      </c>
      <c r="E12" s="5" t="s">
        <v>351</v>
      </c>
    </row>
    <row r="13" spans="1:20" ht="15.75" customHeight="1" x14ac:dyDescent="0.15">
      <c r="A13" s="7" t="s">
        <v>353</v>
      </c>
      <c r="B13" s="7" t="s">
        <v>354</v>
      </c>
      <c r="C13" s="26" t="s">
        <v>355</v>
      </c>
      <c r="D13" s="8">
        <v>14.928515995963201</v>
      </c>
      <c r="E13" s="7" t="s">
        <v>351</v>
      </c>
    </row>
    <row r="14" spans="1:20" ht="15.75" customHeight="1" x14ac:dyDescent="0.15">
      <c r="A14" s="5" t="s">
        <v>357</v>
      </c>
      <c r="B14" s="5" t="s">
        <v>358</v>
      </c>
      <c r="C14" s="25"/>
      <c r="D14" s="6">
        <v>13.8170249984941</v>
      </c>
      <c r="E14" s="5" t="s">
        <v>360</v>
      </c>
    </row>
    <row r="15" spans="1:20" ht="15.75" customHeight="1" x14ac:dyDescent="0.15">
      <c r="A15" s="7" t="s">
        <v>361</v>
      </c>
      <c r="B15" s="7" t="str">
        <f ca="1">IFERROR(__xludf.DUMMYFUNCTION("GOOGLETRANSLATE(C15)"),"relationship partner Total days partner")</f>
        <v>relationship partner Total days partner</v>
      </c>
      <c r="C15" s="26" t="s">
        <v>362</v>
      </c>
      <c r="D15" s="8">
        <v>12.442484045972501</v>
      </c>
      <c r="E15" s="7" t="s">
        <v>322</v>
      </c>
    </row>
    <row r="16" spans="1:20" ht="15.75" customHeight="1" x14ac:dyDescent="0.15">
      <c r="A16" s="5" t="s">
        <v>363</v>
      </c>
      <c r="B16" s="5" t="str">
        <f ca="1">IFERROR(__xludf.DUMMYFUNCTION("GOOGLETRANSLATE(C16)"),"PLA HIST PLA Category Objective 16")</f>
        <v>PLA HIST PLA Category Objective 16</v>
      </c>
      <c r="C16" s="25"/>
      <c r="D16" s="6">
        <v>11.9346682295393</v>
      </c>
      <c r="E16" s="5" t="s">
        <v>341</v>
      </c>
    </row>
    <row r="17" spans="1:5" ht="13" x14ac:dyDescent="0.15">
      <c r="A17" s="7" t="s">
        <v>364</v>
      </c>
      <c r="B17" s="7" t="str">
        <f ca="1">IFERROR(__xludf.DUMMYFUNCTION("GOOGLETRANSLATE(C17)"),"relationship child age difference parent first child")</f>
        <v>relationship child age difference parent first child</v>
      </c>
      <c r="C17" s="26" t="s">
        <v>365</v>
      </c>
      <c r="D17" s="8">
        <v>11.1659153714029</v>
      </c>
      <c r="E17" s="7" t="s">
        <v>322</v>
      </c>
    </row>
    <row r="18" spans="1:5" ht="15.75" customHeight="1" x14ac:dyDescent="0.15">
      <c r="A18" s="5" t="s">
        <v>367</v>
      </c>
      <c r="B18" s="5" t="str">
        <f ca="1">IFERROR(__xludf.DUMMYFUNCTION("GOOGLETRANSLATE(C18)"),"Relationship child current number")</f>
        <v>Relationship child current number</v>
      </c>
      <c r="C18" s="25" t="s">
        <v>368</v>
      </c>
      <c r="D18" s="6">
        <v>10.847997409546201</v>
      </c>
      <c r="E18" s="5" t="s">
        <v>322</v>
      </c>
    </row>
    <row r="19" spans="1:5" ht="15.75" customHeight="1" x14ac:dyDescent="0.15">
      <c r="A19" s="7" t="s">
        <v>369</v>
      </c>
      <c r="B19" s="7" t="s">
        <v>370</v>
      </c>
      <c r="C19" s="26" t="s">
        <v>371</v>
      </c>
      <c r="D19" s="8">
        <v>10.760432826565699</v>
      </c>
      <c r="E19" s="7" t="s">
        <v>344</v>
      </c>
    </row>
    <row r="20" spans="1:5" ht="15.75" customHeight="1" x14ac:dyDescent="0.15">
      <c r="A20" s="5" t="s">
        <v>372</v>
      </c>
      <c r="B20" s="5" t="s">
        <v>373</v>
      </c>
      <c r="C20" s="25" t="s">
        <v>374</v>
      </c>
      <c r="D20" s="6">
        <v>9.9039540427755508</v>
      </c>
      <c r="E20" s="5" t="s">
        <v>317</v>
      </c>
    </row>
    <row r="21" spans="1:5" ht="15.75" customHeight="1" x14ac:dyDescent="0.15">
      <c r="A21" s="7" t="s">
        <v>376</v>
      </c>
      <c r="B21" s="7" t="s">
        <v>377</v>
      </c>
      <c r="C21" s="26" t="s">
        <v>378</v>
      </c>
      <c r="D21" s="8">
        <v>9.3556413137865704</v>
      </c>
      <c r="E21" s="7" t="s">
        <v>379</v>
      </c>
    </row>
    <row r="22" spans="1:5" ht="15.75" customHeight="1" x14ac:dyDescent="0.15">
      <c r="A22" s="5" t="s">
        <v>380</v>
      </c>
      <c r="B22" s="5" t="s">
        <v>381</v>
      </c>
      <c r="C22" s="25" t="s">
        <v>382</v>
      </c>
      <c r="D22" s="6">
        <v>9.0371369782603406</v>
      </c>
      <c r="E22" s="5" t="s">
        <v>383</v>
      </c>
    </row>
    <row r="23" spans="1:5" ht="15.75" customHeight="1" x14ac:dyDescent="0.15">
      <c r="A23" s="7" t="s">
        <v>384</v>
      </c>
      <c r="B23" s="7" t="s">
        <v>385</v>
      </c>
      <c r="C23" s="26" t="s">
        <v>386</v>
      </c>
      <c r="D23" s="8">
        <v>8.9550541509408408</v>
      </c>
      <c r="E23" s="7" t="s">
        <v>341</v>
      </c>
    </row>
    <row r="24" spans="1:5" ht="15.75" customHeight="1" x14ac:dyDescent="0.15">
      <c r="A24" s="5" t="s">
        <v>388</v>
      </c>
      <c r="B24" s="5" t="s">
        <v>389</v>
      </c>
      <c r="C24" s="25" t="s">
        <v>390</v>
      </c>
      <c r="D24" s="6">
        <v>8.6815318534939401</v>
      </c>
      <c r="E24" s="5" t="s">
        <v>360</v>
      </c>
    </row>
    <row r="25" spans="1:5" ht="15.75" customHeight="1" x14ac:dyDescent="0.15">
      <c r="A25" s="7" t="s">
        <v>392</v>
      </c>
      <c r="B25" s="7" t="str">
        <f ca="1">IFERROR(__xludf.DUMMYFUNCTION("GOOGLETRANSLATE(C25)"),"Appointment result filled unique")</f>
        <v>Appointment result filled unique</v>
      </c>
      <c r="C25" s="26"/>
      <c r="D25" s="8">
        <v>8.1824528893146908</v>
      </c>
      <c r="E25" s="7" t="s">
        <v>379</v>
      </c>
    </row>
    <row r="26" spans="1:5" ht="15.75" customHeight="1" x14ac:dyDescent="0.15">
      <c r="A26" s="5" t="s">
        <v>393</v>
      </c>
      <c r="B26" s="5" t="s">
        <v>394</v>
      </c>
      <c r="C26" s="25" t="s">
        <v>395</v>
      </c>
      <c r="D26" s="6">
        <v>8.1477791177880405</v>
      </c>
      <c r="E26" s="5" t="s">
        <v>396</v>
      </c>
    </row>
    <row r="27" spans="1:5" ht="15.75" customHeight="1" x14ac:dyDescent="0.15">
      <c r="A27" s="7" t="s">
        <v>397</v>
      </c>
      <c r="B27" s="7" t="str">
        <f ca="1">IFERROR(__xludf.DUMMYFUNCTION("GOOGLETRANSLATE(C27)"),"relationship child young adult")</f>
        <v>relationship child young adult</v>
      </c>
      <c r="C27" s="26" t="s">
        <v>398</v>
      </c>
      <c r="D27" s="8">
        <v>7.9912239718481697</v>
      </c>
      <c r="E27" s="7" t="s">
        <v>322</v>
      </c>
    </row>
    <row r="28" spans="1:5" ht="15.75" customHeight="1" x14ac:dyDescent="0.15">
      <c r="A28" s="5" t="s">
        <v>399</v>
      </c>
      <c r="B28" s="5" t="s">
        <v>400</v>
      </c>
      <c r="C28" s="25" t="s">
        <v>401</v>
      </c>
      <c r="D28" s="6">
        <v>7.3793685912712901</v>
      </c>
      <c r="E28" s="5" t="s">
        <v>402</v>
      </c>
    </row>
    <row r="29" spans="1:5" ht="15.75" customHeight="1" x14ac:dyDescent="0.15">
      <c r="A29" s="7" t="s">
        <v>403</v>
      </c>
      <c r="B29" s="7" t="s">
        <v>404</v>
      </c>
      <c r="C29" s="26" t="s">
        <v>405</v>
      </c>
      <c r="D29" s="8">
        <v>7.3309532019588399</v>
      </c>
      <c r="E29" s="7" t="s">
        <v>383</v>
      </c>
    </row>
    <row r="30" spans="1:5" ht="15.75" customHeight="1" x14ac:dyDescent="0.15">
      <c r="A30" s="5" t="s">
        <v>406</v>
      </c>
      <c r="B30" s="5" t="str">
        <f ca="1">IFERROR(__xludf.DUMMYFUNCTION("GOOGLETRANSLATE(C30)"),"appointment last year number of words")</f>
        <v>appointment last year number of words</v>
      </c>
      <c r="C30" s="25"/>
      <c r="D30" s="6">
        <v>7.28602944282368</v>
      </c>
      <c r="E30" s="5" t="s">
        <v>379</v>
      </c>
    </row>
    <row r="31" spans="1:5" ht="15.75" customHeight="1" x14ac:dyDescent="0.15">
      <c r="A31" s="7" t="s">
        <v>407</v>
      </c>
      <c r="B31" s="7" t="str">
        <f ca="1">IFERROR(__xludf.DUMMYFUNCTION("GOOGLETRANSLATE(C31)"),"Appointment last year result filled unique")</f>
        <v>Appointment last year result filled unique</v>
      </c>
      <c r="C31" s="26"/>
      <c r="D31" s="8">
        <v>7.04025299680087</v>
      </c>
      <c r="E31" s="7" t="s">
        <v>379</v>
      </c>
    </row>
    <row r="32" spans="1:5" ht="15.75" customHeight="1" x14ac:dyDescent="0.15">
      <c r="A32" s="5" t="s">
        <v>408</v>
      </c>
      <c r="B32" s="5" t="str">
        <f ca="1">IFERROR(__xludf.DUMMYFUNCTION("GOOGLETRANSLATE(C32)"),"Relationship Other History Form Other resident")</f>
        <v>Relationship Other History Form Other resident</v>
      </c>
      <c r="C32" s="25" t="s">
        <v>409</v>
      </c>
      <c r="D32" s="6">
        <v>6.9906170475014102</v>
      </c>
      <c r="E32" s="5" t="s">
        <v>322</v>
      </c>
    </row>
    <row r="33" spans="1:5" ht="15.75" customHeight="1" x14ac:dyDescent="0.15">
      <c r="A33" s="7" t="s">
        <v>410</v>
      </c>
      <c r="B33" s="7" t="str">
        <f ca="1">IFERROR(__xludf.DUMMYFUNCTION("GOOGLETRANSLATE(C33)"),"appointment number of words")</f>
        <v>appointment number of words</v>
      </c>
      <c r="C33" s="26"/>
      <c r="D33" s="8">
        <v>6.92486460480748</v>
      </c>
      <c r="E33" s="7" t="s">
        <v>379</v>
      </c>
    </row>
    <row r="34" spans="1:5" ht="15.75" customHeight="1" x14ac:dyDescent="0.15">
      <c r="A34" s="5" t="s">
        <v>411</v>
      </c>
      <c r="B34" s="5" t="str">
        <f ca="1">IFERROR(__xludf.DUMMYFUNCTION("GOOGLETRANSLATE(C34)"),"Contacts Type of document Incoming")</f>
        <v>Contacts Type of document Incoming</v>
      </c>
      <c r="C34" s="25" t="s">
        <v>412</v>
      </c>
      <c r="D34" s="6">
        <v>6.7875919525693602</v>
      </c>
      <c r="E34" s="5" t="s">
        <v>325</v>
      </c>
    </row>
    <row r="35" spans="1:5" ht="15.75" customHeight="1" x14ac:dyDescent="0.15">
      <c r="A35" s="7" t="s">
        <v>413</v>
      </c>
      <c r="B35" s="7" t="s">
        <v>414</v>
      </c>
      <c r="C35" s="26"/>
      <c r="D35" s="8">
        <v>6.7610831210873803</v>
      </c>
      <c r="E35" s="7" t="s">
        <v>379</v>
      </c>
    </row>
    <row r="36" spans="1:5" ht="15.75" customHeight="1" x14ac:dyDescent="0.15">
      <c r="A36" s="5" t="s">
        <v>415</v>
      </c>
      <c r="B36" s="5" t="s">
        <v>416</v>
      </c>
      <c r="C36" s="25" t="s">
        <v>417</v>
      </c>
      <c r="D36" s="6">
        <v>6.6407430187550904</v>
      </c>
      <c r="E36" s="5" t="s">
        <v>360</v>
      </c>
    </row>
    <row r="37" spans="1:5" ht="15.75" customHeight="1" x14ac:dyDescent="0.15">
      <c r="A37" s="7" t="s">
        <v>419</v>
      </c>
      <c r="B37" s="7" t="str">
        <f ca="1">IFERROR(__xludf.DUMMYFUNCTION("GOOGLETRANSLATE(C37)"),"Contacts Subject Document Type Agreement")</f>
        <v>Contacts Subject Document Type Agreement</v>
      </c>
      <c r="C37" s="26"/>
      <c r="D37" s="8">
        <v>6.4135271224320203</v>
      </c>
      <c r="E37" s="7" t="s">
        <v>325</v>
      </c>
    </row>
    <row r="38" spans="1:5" ht="15.75" customHeight="1" x14ac:dyDescent="0.15">
      <c r="A38" s="5" t="s">
        <v>420</v>
      </c>
      <c r="B38" s="5" t="s">
        <v>421</v>
      </c>
      <c r="C38" s="25" t="s">
        <v>422</v>
      </c>
      <c r="D38" s="6">
        <v>6.3707922210249004</v>
      </c>
      <c r="E38" s="5" t="s">
        <v>334</v>
      </c>
    </row>
    <row r="39" spans="1:5" ht="15.75" customHeight="1" x14ac:dyDescent="0.15">
      <c r="A39" s="7" t="s">
        <v>423</v>
      </c>
      <c r="B39" s="7" t="str">
        <f ca="1">IFERROR(__xludf.DUMMYFUNCTION("GOOGLETRANSLATE(C39)"),"Contacts Subject Income")</f>
        <v>Contacts Subject Income</v>
      </c>
      <c r="C39" s="26" t="s">
        <v>424</v>
      </c>
      <c r="D39" s="8">
        <v>5.2877337151271497</v>
      </c>
      <c r="E39" s="7" t="s">
        <v>325</v>
      </c>
    </row>
    <row r="40" spans="1:5" ht="15.75" customHeight="1" x14ac:dyDescent="0.15">
      <c r="A40" s="5" t="s">
        <v>425</v>
      </c>
      <c r="B40" s="5" t="s">
        <v>426</v>
      </c>
      <c r="C40" s="25" t="s">
        <v>427</v>
      </c>
      <c r="D40" s="6">
        <v>5.0681362255168798</v>
      </c>
      <c r="E40" s="5" t="s">
        <v>428</v>
      </c>
    </row>
    <row r="41" spans="1:5" ht="15.75" customHeight="1" x14ac:dyDescent="0.15">
      <c r="A41" s="7" t="s">
        <v>429</v>
      </c>
      <c r="B41" s="7" t="str">
        <f ca="1">IFERROR(__xludf.DUMMYFUNCTION("GOOGLETRANSLATE(C41)"),"address number of shipping address")</f>
        <v>address number of shipping address</v>
      </c>
      <c r="C41" s="26" t="s">
        <v>430</v>
      </c>
      <c r="D41" s="8">
        <v>4.6796384845890797</v>
      </c>
      <c r="E41" s="7" t="s">
        <v>334</v>
      </c>
    </row>
    <row r="42" spans="1:5" ht="15.75" customHeight="1" x14ac:dyDescent="0.15">
      <c r="A42" s="5" t="s">
        <v>431</v>
      </c>
      <c r="B42" s="5" t="s">
        <v>432</v>
      </c>
      <c r="C42" s="25" t="s">
        <v>433</v>
      </c>
      <c r="D42" s="6">
        <v>4.6626867352788599</v>
      </c>
      <c r="E42" s="5" t="s">
        <v>341</v>
      </c>
    </row>
    <row r="43" spans="1:5" ht="15.75" customHeight="1" x14ac:dyDescent="0.15">
      <c r="A43" s="7" t="s">
        <v>434</v>
      </c>
      <c r="B43" s="7" t="str">
        <f ca="1">IFERROR(__xludf.DUMMYFUNCTION("GOOGLETRANSLATE(C43)"),"Contacts Type Document outgoing")</f>
        <v>Contacts Type Document outgoing</v>
      </c>
      <c r="C43" s="26" t="s">
        <v>435</v>
      </c>
      <c r="D43" s="8">
        <v>4.4334551895357697</v>
      </c>
      <c r="E43" s="7" t="s">
        <v>325</v>
      </c>
    </row>
    <row r="44" spans="1:5" ht="15.75" customHeight="1" x14ac:dyDescent="0.15">
      <c r="A44" s="5" t="s">
        <v>436</v>
      </c>
      <c r="B44" s="5" t="s">
        <v>437</v>
      </c>
      <c r="C44" s="25" t="s">
        <v>438</v>
      </c>
      <c r="D44" s="6">
        <v>4.2460627582855803</v>
      </c>
      <c r="E44" s="5" t="s">
        <v>351</v>
      </c>
    </row>
    <row r="45" spans="1:5" ht="15.75" customHeight="1" x14ac:dyDescent="0.15">
      <c r="A45" s="7" t="s">
        <v>440</v>
      </c>
      <c r="B45" s="7" t="str">
        <f ca="1">IFERROR(__xludf.DUMMYFUNCTION("GOOGLETRANSLATE(C45)"),"Personal qualities of language requires satisfied")</f>
        <v>Personal qualities of language requires satisfied</v>
      </c>
      <c r="C45" s="26" t="s">
        <v>441</v>
      </c>
      <c r="D45" s="8">
        <v>4.17954060342782</v>
      </c>
      <c r="E45" s="7" t="s">
        <v>351</v>
      </c>
    </row>
    <row r="46" spans="1:5" ht="15.75" customHeight="1" x14ac:dyDescent="0.15">
      <c r="A46" s="5" t="s">
        <v>443</v>
      </c>
      <c r="B46" s="5" t="str">
        <f ca="1">IFERROR(__xludf.DUMMYFUNCTION("GOOGLETRANSLATE(C46)"),"Contacts Subject Work Intake")</f>
        <v>Contacts Subject Work Intake</v>
      </c>
      <c r="C46" s="25" t="s">
        <v>444</v>
      </c>
      <c r="D46" s="6">
        <v>4.0904419027201904</v>
      </c>
      <c r="E46" s="5" t="s">
        <v>325</v>
      </c>
    </row>
    <row r="47" spans="1:5" ht="15.75" customHeight="1" x14ac:dyDescent="0.15">
      <c r="A47" s="7" t="s">
        <v>445</v>
      </c>
      <c r="B47" s="7" t="s">
        <v>446</v>
      </c>
      <c r="C47" s="26" t="s">
        <v>447</v>
      </c>
      <c r="D47" s="8">
        <v>4.0162836688298604</v>
      </c>
      <c r="E47" s="7" t="s">
        <v>325</v>
      </c>
    </row>
    <row r="48" spans="1:5" ht="15.75" customHeight="1" x14ac:dyDescent="0.15">
      <c r="A48" s="5" t="s">
        <v>448</v>
      </c>
      <c r="B48" s="5" t="s">
        <v>449</v>
      </c>
      <c r="C48" s="25" t="s">
        <v>450</v>
      </c>
      <c r="D48" s="6">
        <v>3.9507106203993998</v>
      </c>
      <c r="E48" s="5" t="s">
        <v>322</v>
      </c>
    </row>
    <row r="49" spans="1:5" ht="15.75" customHeight="1" x14ac:dyDescent="0.15">
      <c r="A49" s="7" t="s">
        <v>451</v>
      </c>
      <c r="B49" s="7" t="s">
        <v>452</v>
      </c>
      <c r="C49" s="26" t="s">
        <v>453</v>
      </c>
      <c r="D49" s="8">
        <v>3.9373078485382802</v>
      </c>
      <c r="E49" s="7" t="s">
        <v>383</v>
      </c>
    </row>
    <row r="50" spans="1:5" ht="15.75" customHeight="1" x14ac:dyDescent="0.15">
      <c r="A50" s="5" t="s">
        <v>454</v>
      </c>
      <c r="B50" s="5" t="s">
        <v>455</v>
      </c>
      <c r="C50" s="25" t="s">
        <v>456</v>
      </c>
      <c r="D50" s="6">
        <v>3.8364064105503801</v>
      </c>
      <c r="E50" s="5" t="s">
        <v>351</v>
      </c>
    </row>
    <row r="51" spans="1:5" ht="15.75" customHeight="1" x14ac:dyDescent="0.15">
      <c r="A51" s="7" t="s">
        <v>457</v>
      </c>
      <c r="B51" s="7" t="str">
        <f ca="1">IFERROR(__xludf.DUMMYFUNCTION("GOOGLETRANSLATE(C51)"),"address most recent neighborhood Groot IJsselmonde")</f>
        <v>address most recent neighborhood Groot IJsselmonde</v>
      </c>
      <c r="C51" s="26"/>
      <c r="D51" s="8">
        <v>3.69234624081815</v>
      </c>
      <c r="E51" s="7" t="s">
        <v>334</v>
      </c>
    </row>
    <row r="52" spans="1:5" ht="13" x14ac:dyDescent="0.15">
      <c r="A52" s="5" t="s">
        <v>458</v>
      </c>
      <c r="B52" s="5" t="str">
        <f ca="1">IFERROR(__xludf.DUMMYFUNCTION("GOOGLETRANSLATE(C52)"),"Contacts Subject Other")</f>
        <v>Contacts Subject Other</v>
      </c>
      <c r="C52" s="25"/>
      <c r="D52" s="6">
        <v>3.49066301271841</v>
      </c>
      <c r="E52" s="5" t="s">
        <v>325</v>
      </c>
    </row>
    <row r="53" spans="1:5" ht="13" x14ac:dyDescent="0.15">
      <c r="A53" s="7" t="s">
        <v>459</v>
      </c>
      <c r="B53" s="7" t="str">
        <f ca="1">IFERROR(__xludf.DUMMYFUNCTION("GOOGLETRANSLATE(C53)"),"Contacts Subject Finance Situation")</f>
        <v>Contacts Subject Finance Situation</v>
      </c>
      <c r="C53" s="26"/>
      <c r="D53" s="8">
        <v>3.3198268158737099</v>
      </c>
      <c r="E53" s="7" t="s">
        <v>325</v>
      </c>
    </row>
    <row r="54" spans="1:5" ht="13" x14ac:dyDescent="0.15">
      <c r="A54" s="5" t="s">
        <v>460</v>
      </c>
      <c r="B54" s="5" t="s">
        <v>461</v>
      </c>
      <c r="C54" s="25" t="s">
        <v>462</v>
      </c>
      <c r="D54" s="6">
        <v>3.2590095158897601</v>
      </c>
      <c r="E54" s="5" t="s">
        <v>325</v>
      </c>
    </row>
    <row r="55" spans="1:5" ht="13" x14ac:dyDescent="0.15">
      <c r="A55" s="7" t="s">
        <v>463</v>
      </c>
      <c r="B55" s="7" t="s">
        <v>464</v>
      </c>
      <c r="C55" s="26" t="s">
        <v>465</v>
      </c>
      <c r="D55" s="8">
        <v>3.12078187357376</v>
      </c>
      <c r="E55" s="7" t="s">
        <v>379</v>
      </c>
    </row>
    <row r="56" spans="1:5" ht="13" x14ac:dyDescent="0.15">
      <c r="A56" s="5" t="s">
        <v>466</v>
      </c>
      <c r="B56" s="5" t="str">
        <f ca="1">IFERROR(__xludf.DUMMYFUNCTION("GOOGLETRANSLATE(C56)"),"Relationship Other Current Form Other")</f>
        <v>Relationship Other Current Form Other</v>
      </c>
      <c r="C56" s="25"/>
      <c r="D56" s="6">
        <v>3.0378415844403399</v>
      </c>
      <c r="E56" s="5" t="s">
        <v>322</v>
      </c>
    </row>
    <row r="57" spans="1:5" ht="13" x14ac:dyDescent="0.15">
      <c r="A57" s="7" t="s">
        <v>467</v>
      </c>
      <c r="B57" s="7" t="s">
        <v>468</v>
      </c>
      <c r="C57" s="26"/>
      <c r="D57" s="8">
        <v>3.0025189660834601</v>
      </c>
      <c r="E57" s="7" t="s">
        <v>322</v>
      </c>
    </row>
    <row r="58" spans="1:5" ht="13" x14ac:dyDescent="0.15">
      <c r="A58" s="5" t="s">
        <v>469</v>
      </c>
      <c r="B58" s="5" t="str">
        <f ca="1">IFERROR(__xludf.DUMMYFUNCTION("GOOGLETRANSLATE(C58)"),"Appointment last year exemption from language requirement")</f>
        <v>Appointment last year exemption from language requirement</v>
      </c>
      <c r="C58" s="25" t="s">
        <v>470</v>
      </c>
      <c r="D58" s="6">
        <v>2.7925497482664698</v>
      </c>
      <c r="E58" s="5" t="s">
        <v>379</v>
      </c>
    </row>
    <row r="59" spans="1:5" ht="13" x14ac:dyDescent="0.15">
      <c r="A59" s="7" t="s">
        <v>471</v>
      </c>
      <c r="B59" s="7" t="str">
        <f ca="1">IFERROR(__xludf.DUMMYFUNCTION("GOOGLETRANSLATE(C59)"),"Contacts Subject Measure consideration")</f>
        <v>Contacts Subject Measure consideration</v>
      </c>
      <c r="C59" s="26" t="s">
        <v>472</v>
      </c>
      <c r="D59" s="8">
        <v>2.6821814010026199</v>
      </c>
      <c r="E59" s="7" t="s">
        <v>325</v>
      </c>
    </row>
    <row r="60" spans="1:5" ht="13" x14ac:dyDescent="0.15">
      <c r="A60" s="5" t="s">
        <v>473</v>
      </c>
      <c r="B60" s="5" t="s">
        <v>474</v>
      </c>
      <c r="C60" s="25" t="s">
        <v>475</v>
      </c>
      <c r="D60" s="6">
        <v>2.5579296518428398</v>
      </c>
      <c r="E60" s="5" t="s">
        <v>341</v>
      </c>
    </row>
    <row r="61" spans="1:5" ht="13" x14ac:dyDescent="0.15">
      <c r="A61" s="7" t="s">
        <v>476</v>
      </c>
      <c r="B61" s="7" t="str">
        <f ca="1">IFERROR(__xludf.DUMMYFUNCTION("GOOGLETRANSLATE(C61)"),"Contacts type last year e -mail outgoing")</f>
        <v>Contacts type last year e -mail outgoing</v>
      </c>
      <c r="C61" s="26"/>
      <c r="D61" s="8">
        <v>2.5539309191897601</v>
      </c>
      <c r="E61" s="7" t="s">
        <v>325</v>
      </c>
    </row>
    <row r="62" spans="1:5" ht="13" x14ac:dyDescent="0.15">
      <c r="A62" s="5" t="s">
        <v>477</v>
      </c>
      <c r="B62" s="5" t="str">
        <f ca="1">IFERROR(__xludf.DUMMYFUNCTION("GOOGLETRANSLATE(C62)"),"Participation Act HIST Projects not started")</f>
        <v>Participation Act HIST Projects not started</v>
      </c>
      <c r="C62" s="25"/>
      <c r="D62" s="6">
        <v>2.5411930488416501</v>
      </c>
      <c r="E62" s="5" t="s">
        <v>478</v>
      </c>
    </row>
    <row r="63" spans="1:5" ht="13" x14ac:dyDescent="0.15">
      <c r="A63" s="7" t="s">
        <v>479</v>
      </c>
      <c r="B63" s="7" t="str">
        <f ca="1">IFERROR(__xludf.DUMMYFUNCTION("GOOGLETRANSLATE(C63)"),"Contacts Type of phone call Inkende")</f>
        <v>Contacts Type of phone call Inkende</v>
      </c>
      <c r="C63" s="26"/>
      <c r="D63" s="8">
        <v>2.4952934284220101</v>
      </c>
      <c r="E63" s="7" t="s">
        <v>325</v>
      </c>
    </row>
    <row r="64" spans="1:5" ht="13" x14ac:dyDescent="0.15">
      <c r="A64" s="5" t="s">
        <v>480</v>
      </c>
      <c r="B64" s="5" t="str">
        <f ca="1">IFERROR(__xludf.DUMMYFUNCTION("GOOGLETRANSLATE(C64)"),"Contacts type different")</f>
        <v>Contacts type different</v>
      </c>
      <c r="C64" s="25" t="s">
        <v>481</v>
      </c>
      <c r="D64" s="6">
        <v>2.4045293768274898</v>
      </c>
      <c r="E64" s="5" t="s">
        <v>325</v>
      </c>
    </row>
    <row r="65" spans="1:5" ht="13" x14ac:dyDescent="0.15">
      <c r="A65" s="7" t="s">
        <v>482</v>
      </c>
      <c r="B65" s="7" t="str">
        <f ca="1">IFERROR(__xludf.DUMMYFUNCTION("GOOGLETRANSLATE(C65)"),"address most recent district of Feijenoord")</f>
        <v>address most recent district of Feijenoord</v>
      </c>
      <c r="C65" s="26"/>
      <c r="D65" s="8">
        <v>2.3855676598967999</v>
      </c>
      <c r="E65" s="7" t="s">
        <v>334</v>
      </c>
    </row>
    <row r="66" spans="1:5" ht="13" x14ac:dyDescent="0.15">
      <c r="A66" s="5" t="s">
        <v>483</v>
      </c>
      <c r="B66" s="5" t="s">
        <v>484</v>
      </c>
      <c r="C66" s="25" t="s">
        <v>485</v>
      </c>
      <c r="D66" s="6">
        <v>2.38551409019807</v>
      </c>
      <c r="E66" s="5" t="s">
        <v>334</v>
      </c>
    </row>
    <row r="67" spans="1:5" ht="13" x14ac:dyDescent="0.15">
      <c r="A67" s="7" t="s">
        <v>487</v>
      </c>
      <c r="B67" s="7" t="str">
        <f ca="1">IFERROR(__xludf.DUMMYFUNCTION("GOOGLETRANSLATE(C67)"),"address most recent neighborhood other")</f>
        <v>address most recent neighborhood other</v>
      </c>
      <c r="C67" s="26"/>
      <c r="D67" s="8">
        <v>2.3539577963782401</v>
      </c>
      <c r="E67" s="7" t="s">
        <v>334</v>
      </c>
    </row>
    <row r="68" spans="1:5" ht="13" x14ac:dyDescent="0.15">
      <c r="A68" s="5" t="s">
        <v>488</v>
      </c>
      <c r="B68" s="5" t="str">
        <f ca="1">IFERROR(__xludf.DUMMYFUNCTION("GOOGLETRANSLATE(C68)"),"Contacts Type of phone call outgoing")</f>
        <v>Contacts Type of phone call outgoing</v>
      </c>
      <c r="C68" s="25"/>
      <c r="D68" s="6">
        <v>2.2745216158615902</v>
      </c>
      <c r="E68" s="5" t="s">
        <v>325</v>
      </c>
    </row>
    <row r="69" spans="1:5" ht="13" x14ac:dyDescent="0.15">
      <c r="A69" s="7" t="s">
        <v>489</v>
      </c>
      <c r="B69" s="7" t="s">
        <v>490</v>
      </c>
      <c r="C69" s="26"/>
      <c r="D69" s="8">
        <v>2.2562602940642198</v>
      </c>
      <c r="E69" s="7" t="s">
        <v>328</v>
      </c>
    </row>
    <row r="70" spans="1:5" ht="13" x14ac:dyDescent="0.15">
      <c r="A70" s="5" t="s">
        <v>491</v>
      </c>
      <c r="B70" s="5" t="str">
        <f ca="1">IFERROR(__xludf.DUMMYFUNCTION("GOOGLETRANSLATE(C70)"),"Appointment last year Monitoring Insp the Language requirement after 12 months N a v taa04 no measure")</f>
        <v>Appointment last year Monitoring Insp the Language requirement after 12 months N a v taa04 no measure</v>
      </c>
      <c r="C70" s="25"/>
      <c r="D70" s="6">
        <v>2.2439837571160202</v>
      </c>
      <c r="E70" s="5" t="s">
        <v>379</v>
      </c>
    </row>
    <row r="71" spans="1:5" ht="13" x14ac:dyDescent="0.15">
      <c r="A71" s="7" t="s">
        <v>492</v>
      </c>
      <c r="B71" s="7" t="s">
        <v>493</v>
      </c>
      <c r="C71" s="26" t="s">
        <v>494</v>
      </c>
      <c r="D71" s="8">
        <v>2.2193086276580498</v>
      </c>
      <c r="E71" s="7" t="s">
        <v>383</v>
      </c>
    </row>
    <row r="72" spans="1:5" ht="13" x14ac:dyDescent="0.15">
      <c r="A72" s="5" t="s">
        <v>495</v>
      </c>
      <c r="B72" s="5" t="str">
        <f ca="1">IFERROR(__xludf.DUMMYFUNCTION("GOOGLETRANSLATE(C72)"),"Contacts kind of past year interview")</f>
        <v>Contacts kind of past year interview</v>
      </c>
      <c r="C72" s="25"/>
      <c r="D72" s="6">
        <v>2.13112094501856</v>
      </c>
      <c r="E72" s="5" t="s">
        <v>325</v>
      </c>
    </row>
    <row r="73" spans="1:5" ht="13" x14ac:dyDescent="0.15">
      <c r="A73" s="7" t="s">
        <v>496</v>
      </c>
      <c r="B73" s="7" t="s">
        <v>497</v>
      </c>
      <c r="C73" s="26"/>
      <c r="D73" s="8">
        <v>2.0781087233213502</v>
      </c>
      <c r="E73" s="7" t="s">
        <v>383</v>
      </c>
    </row>
    <row r="74" spans="1:5" ht="13" x14ac:dyDescent="0.15">
      <c r="A74" s="5" t="s">
        <v>498</v>
      </c>
      <c r="B74" s="5" t="str">
        <f ca="1">IFERROR(__xludf.DUMMYFUNCTION("GOOGLETRANSLATE(C74)"),"Contacts type e -mail incoming")</f>
        <v>Contacts type e -mail incoming</v>
      </c>
      <c r="C74" s="25"/>
      <c r="D74" s="6">
        <v>2.0493008135958699</v>
      </c>
      <c r="E74" s="5" t="s">
        <v>325</v>
      </c>
    </row>
    <row r="75" spans="1:5" ht="13" x14ac:dyDescent="0.15">
      <c r="A75" s="7" t="s">
        <v>499</v>
      </c>
      <c r="B75" s="7" t="str">
        <f ca="1">IFERROR(__xludf.DUMMYFUNCTION("GOOGLETRANSLATE(C75)"),"appointment last year appointment plan")</f>
        <v>appointment last year appointment plan</v>
      </c>
      <c r="C75" s="26"/>
      <c r="D75" s="8">
        <v>2.0063695818016898</v>
      </c>
      <c r="E75" s="7" t="s">
        <v>379</v>
      </c>
    </row>
    <row r="76" spans="1:5" ht="13" x14ac:dyDescent="0.15">
      <c r="A76" s="5" t="s">
        <v>500</v>
      </c>
      <c r="B76" s="5" t="s">
        <v>501</v>
      </c>
      <c r="C76" s="25" t="s">
        <v>502</v>
      </c>
      <c r="D76" s="6">
        <v>1.93590796746875</v>
      </c>
      <c r="E76" s="5" t="s">
        <v>351</v>
      </c>
    </row>
    <row r="77" spans="1:5" ht="13" x14ac:dyDescent="0.15">
      <c r="A77" s="7" t="s">
        <v>503</v>
      </c>
      <c r="B77" s="7" t="s">
        <v>504</v>
      </c>
      <c r="C77" s="26" t="s">
        <v>505</v>
      </c>
      <c r="D77" s="8">
        <v>1.8980661127223999</v>
      </c>
      <c r="E77" s="7" t="s">
        <v>351</v>
      </c>
    </row>
    <row r="78" spans="1:5" ht="13" x14ac:dyDescent="0.15">
      <c r="A78" s="5" t="s">
        <v>506</v>
      </c>
      <c r="B78" s="5" t="str">
        <f ca="1">IFERROR(__xludf.DUMMYFUNCTION("GOOGLETRANSLATE(C78)"),"address number of different neighborhoods")</f>
        <v>address number of different neighborhoods</v>
      </c>
      <c r="C78" s="25"/>
      <c r="D78" s="6">
        <v>1.8642036491968199</v>
      </c>
      <c r="E78" s="5" t="s">
        <v>334</v>
      </c>
    </row>
    <row r="79" spans="1:5" ht="13" x14ac:dyDescent="0.15">
      <c r="A79" s="7" t="s">
        <v>507</v>
      </c>
      <c r="B79" s="7" t="s">
        <v>508</v>
      </c>
      <c r="C79" s="26"/>
      <c r="D79" s="8">
        <v>1.8064331273202801</v>
      </c>
      <c r="E79" s="7" t="s">
        <v>478</v>
      </c>
    </row>
    <row r="80" spans="1:5" ht="13" x14ac:dyDescent="0.15">
      <c r="A80" s="5" t="s">
        <v>509</v>
      </c>
      <c r="B80" s="5" t="str">
        <f ca="1">IFERROR(__xludf.DUMMYFUNCTION("GOOGLETRANSLATE(C80)"),"Participation Act Reintegration Ladder Work Re Integration")</f>
        <v>Participation Act Reintegration Ladder Work Re Integration</v>
      </c>
      <c r="C80" s="25"/>
      <c r="D80" s="6">
        <v>1.7846873232652101</v>
      </c>
      <c r="E80" s="5" t="s">
        <v>478</v>
      </c>
    </row>
    <row r="81" spans="1:5" ht="13" x14ac:dyDescent="0.15">
      <c r="A81" s="7" t="s">
        <v>510</v>
      </c>
      <c r="B81" s="7" t="s">
        <v>511</v>
      </c>
      <c r="C81" s="26" t="s">
        <v>512</v>
      </c>
      <c r="D81" s="8">
        <v>1.7803209591551199</v>
      </c>
      <c r="E81" s="7" t="s">
        <v>325</v>
      </c>
    </row>
    <row r="82" spans="1:5" ht="13" x14ac:dyDescent="0.15">
      <c r="A82" s="5" t="s">
        <v>513</v>
      </c>
      <c r="B82" s="5" t="str">
        <f ca="1">IFERROR(__xludf.DUMMYFUNCTION("GOOGLETRANSLATE(C82)"),"Contacts Subject LEAKE REQUEST")</f>
        <v>Contacts Subject LEAKE REQUEST</v>
      </c>
      <c r="C82" s="25" t="s">
        <v>514</v>
      </c>
      <c r="D82" s="6">
        <v>1.7522316329702201</v>
      </c>
      <c r="E82" s="5" t="s">
        <v>325</v>
      </c>
    </row>
    <row r="83" spans="1:5" ht="13" x14ac:dyDescent="0.15">
      <c r="A83" s="7" t="s">
        <v>515</v>
      </c>
      <c r="B83" s="7" t="s">
        <v>516</v>
      </c>
      <c r="C83" s="26"/>
      <c r="D83" s="8">
        <v>1.7184423739103101</v>
      </c>
      <c r="E83" s="7" t="s">
        <v>379</v>
      </c>
    </row>
    <row r="84" spans="1:5" ht="13" x14ac:dyDescent="0.15">
      <c r="A84" s="5" t="s">
        <v>517</v>
      </c>
      <c r="B84" s="5" t="str">
        <f ca="1">IFERROR(__xludf.DUMMYFUNCTION("GOOGLETRANSLATE(C84)"),"Contacts subject care")</f>
        <v>Contacts subject care</v>
      </c>
      <c r="C84" s="25"/>
      <c r="D84" s="6">
        <v>1.64420367321448</v>
      </c>
      <c r="E84" s="5" t="s">
        <v>325</v>
      </c>
    </row>
    <row r="85" spans="1:5" ht="13" x14ac:dyDescent="0.15">
      <c r="A85" s="7" t="s">
        <v>518</v>
      </c>
      <c r="B85" s="7" t="str">
        <f ca="1">IFERROR(__xludf.DUMMYFUNCTION("GOOGLETRANSLATE(C85)"),"Contacts Subject Language requirement")</f>
        <v>Contacts Subject Language requirement</v>
      </c>
      <c r="C85" s="26" t="s">
        <v>519</v>
      </c>
      <c r="D85" s="8">
        <v>1.60878388300451</v>
      </c>
      <c r="E85" s="7" t="s">
        <v>325</v>
      </c>
    </row>
    <row r="86" spans="1:5" ht="13" x14ac:dyDescent="0.15">
      <c r="A86" s="5" t="s">
        <v>520</v>
      </c>
      <c r="B86" s="5" t="str">
        <f ca="1">IFERROR(__xludf.DUMMYFUNCTION("GOOGLETRANSLATE(C86)"),"Contacts type e -mail outgoing")</f>
        <v>Contacts type e -mail outgoing</v>
      </c>
      <c r="C86" s="25"/>
      <c r="D86" s="6">
        <v>1.59617937666932</v>
      </c>
      <c r="E86" s="5" t="s">
        <v>325</v>
      </c>
    </row>
    <row r="87" spans="1:5" ht="13" x14ac:dyDescent="0.15">
      <c r="A87" s="7" t="s">
        <v>521</v>
      </c>
      <c r="B87" s="7" t="str">
        <f ca="1">IFERROR(__xludf.DUMMYFUNCTION("GOOGLETRANSLATE(C87)"),"Contacts Subject process")</f>
        <v>Contacts Subject process</v>
      </c>
      <c r="C87" s="26"/>
      <c r="D87" s="8">
        <v>1.5930780167232099</v>
      </c>
      <c r="E87" s="7" t="s">
        <v>325</v>
      </c>
    </row>
    <row r="88" spans="1:5" ht="13" x14ac:dyDescent="0.15">
      <c r="A88" s="5" t="s">
        <v>522</v>
      </c>
      <c r="B88" s="5" t="s">
        <v>523</v>
      </c>
      <c r="C88" s="25"/>
      <c r="D88" s="6">
        <v>1.5841733073930999</v>
      </c>
      <c r="E88" s="5" t="s">
        <v>325</v>
      </c>
    </row>
    <row r="89" spans="1:5" ht="13" x14ac:dyDescent="0.15">
      <c r="A89" s="7" t="s">
        <v>524</v>
      </c>
      <c r="B89" s="7" t="str">
        <f ca="1">IFERROR(__xludf.DUMMYFUNCTION("GOOGLETRANSLATE(C89)"),"Contacts Type Last year Incoming")</f>
        <v>Contacts Type Last year Incoming</v>
      </c>
      <c r="C89" s="26"/>
      <c r="D89" s="8">
        <v>1.4594708194707799</v>
      </c>
      <c r="E89" s="7" t="s">
        <v>325</v>
      </c>
    </row>
    <row r="90" spans="1:5" ht="13" x14ac:dyDescent="0.15">
      <c r="A90" s="5" t="s">
        <v>525</v>
      </c>
      <c r="B90" s="5" t="str">
        <f ca="1">IFERROR(__xludf.DUMMYFUNCTION("GOOGLETRANSLATE(C90)"),"PLA HIST PLA Category Objective 2")</f>
        <v>PLA HIST PLA Category Objective 2</v>
      </c>
      <c r="C90" s="25"/>
      <c r="D90" s="6">
        <v>1.4493443759986</v>
      </c>
      <c r="E90" s="5" t="s">
        <v>341</v>
      </c>
    </row>
    <row r="91" spans="1:5" ht="13" x14ac:dyDescent="0.15">
      <c r="A91" s="7" t="s">
        <v>526</v>
      </c>
      <c r="B91" s="7" t="s">
        <v>527</v>
      </c>
      <c r="C91" s="26"/>
      <c r="D91" s="8">
        <v>1.4039055739013799</v>
      </c>
      <c r="E91" s="7" t="s">
        <v>334</v>
      </c>
    </row>
    <row r="92" spans="1:5" ht="13" x14ac:dyDescent="0.15">
      <c r="A92" s="5" t="s">
        <v>528</v>
      </c>
      <c r="B92" s="5" t="str">
        <f ca="1">IFERROR(__xludf.DUMMYFUNCTION("GOOGLETRANSLATE(C92)"),"address most recent Delfshaven district")</f>
        <v>address most recent Delfshaven district</v>
      </c>
      <c r="C92" s="25"/>
      <c r="D92" s="6">
        <v>1.37830382988484</v>
      </c>
      <c r="E92" s="5" t="s">
        <v>334</v>
      </c>
    </row>
    <row r="93" spans="1:5" ht="13" x14ac:dyDescent="0.15">
      <c r="A93" s="7" t="s">
        <v>529</v>
      </c>
      <c r="B93" s="7" t="str">
        <f ca="1">IFERROR(__xludf.DUMMYFUNCTION("GOOGLETRANSLATE(C93)"),"appointment last year signal for employee")</f>
        <v>appointment last year signal for employee</v>
      </c>
      <c r="C93" s="26"/>
      <c r="D93" s="8">
        <v>1.3652166858116399</v>
      </c>
      <c r="E93" s="7" t="s">
        <v>379</v>
      </c>
    </row>
    <row r="94" spans="1:5" ht="13" x14ac:dyDescent="0.15">
      <c r="A94" s="5" t="s">
        <v>530</v>
      </c>
      <c r="B94" s="5" t="str">
        <f ca="1">IFERROR(__xludf.DUMMYFUNCTION("GOOGLETRANSLATE(C94)"),"Relationship other administrator")</f>
        <v>Relationship other administrator</v>
      </c>
      <c r="C94" s="25"/>
      <c r="D94" s="6">
        <v>1.33541278196271</v>
      </c>
      <c r="E94" s="5" t="s">
        <v>322</v>
      </c>
    </row>
    <row r="95" spans="1:5" ht="13" x14ac:dyDescent="0.15">
      <c r="A95" s="7" t="s">
        <v>531</v>
      </c>
      <c r="B95" s="7" t="str">
        <f ca="1">IFERROR(__xludf.DUMMYFUNCTION("GOOGLETRANSLATE(C95)"),"Contacts type last year e -mail incoming")</f>
        <v>Contacts type last year e -mail incoming</v>
      </c>
      <c r="C95" s="26"/>
      <c r="D95" s="8">
        <v>1.3279859384209001</v>
      </c>
      <c r="E95" s="7" t="s">
        <v>325</v>
      </c>
    </row>
    <row r="96" spans="1:5" ht="13" x14ac:dyDescent="0.15">
      <c r="A96" s="5" t="s">
        <v>532</v>
      </c>
      <c r="B96" s="5" t="str">
        <f ca="1">IFERROR(__xludf.DUMMYFUNCTION("GOOGLETRANSLATE(C96)"),"address most recent district Prins Alexa")</f>
        <v>address most recent district Prins Alexa</v>
      </c>
      <c r="C96" s="25"/>
      <c r="D96" s="6">
        <v>1.3207768325327001</v>
      </c>
      <c r="E96" s="5" t="s">
        <v>334</v>
      </c>
    </row>
    <row r="97" spans="1:5" ht="13" x14ac:dyDescent="0.15">
      <c r="A97" s="7" t="s">
        <v>533</v>
      </c>
      <c r="B97" s="7" t="s">
        <v>534</v>
      </c>
      <c r="C97" s="26"/>
      <c r="D97" s="8">
        <v>1.2900910394379601</v>
      </c>
      <c r="E97" s="7" t="s">
        <v>325</v>
      </c>
    </row>
    <row r="98" spans="1:5" ht="13" x14ac:dyDescent="0.15">
      <c r="A98" s="5" t="s">
        <v>535</v>
      </c>
      <c r="B98" s="5" t="str">
        <f ca="1">IFERROR(__xludf.DUMMYFUNCTION("GOOGLETRANSLATE(C98)"),"Contacts Type Last year phone call outgoing")</f>
        <v>Contacts Type Last year phone call outgoing</v>
      </c>
      <c r="C98" s="25"/>
      <c r="D98" s="6">
        <v>1.2746754369323099</v>
      </c>
      <c r="E98" s="5" t="s">
        <v>325</v>
      </c>
    </row>
    <row r="99" spans="1:5" ht="13" x14ac:dyDescent="0.15">
      <c r="A99" s="7" t="s">
        <v>536</v>
      </c>
      <c r="B99" s="7" t="s">
        <v>537</v>
      </c>
      <c r="C99" s="26"/>
      <c r="D99" s="8">
        <v>1.2731939216288</v>
      </c>
      <c r="E99" s="7" t="s">
        <v>328</v>
      </c>
    </row>
    <row r="100" spans="1:5" ht="13" x14ac:dyDescent="0.15">
      <c r="A100" s="5" t="s">
        <v>538</v>
      </c>
      <c r="B100" s="5" t="s">
        <v>539</v>
      </c>
      <c r="C100" s="25" t="s">
        <v>540</v>
      </c>
      <c r="D100" s="6">
        <v>1.2552993612069401</v>
      </c>
      <c r="E100" s="5" t="s">
        <v>379</v>
      </c>
    </row>
    <row r="101" spans="1:5" ht="13" x14ac:dyDescent="0.15">
      <c r="A101" s="7" t="s">
        <v>541</v>
      </c>
      <c r="B101" s="7" t="s">
        <v>542</v>
      </c>
      <c r="C101" s="26" t="s">
        <v>543</v>
      </c>
      <c r="D101" s="8">
        <v>1.22269276729816</v>
      </c>
      <c r="E101" s="7" t="s">
        <v>379</v>
      </c>
    </row>
    <row r="102" spans="1:5" ht="13" x14ac:dyDescent="0.15">
      <c r="A102" s="5" t="s">
        <v>544</v>
      </c>
      <c r="B102" s="5" t="s">
        <v>545</v>
      </c>
      <c r="C102" s="25" t="s">
        <v>546</v>
      </c>
      <c r="D102" s="6">
        <v>1.16756067239928</v>
      </c>
      <c r="E102" s="5" t="s">
        <v>341</v>
      </c>
    </row>
    <row r="103" spans="1:5" ht="13" x14ac:dyDescent="0.15">
      <c r="A103" s="7" t="s">
        <v>547</v>
      </c>
      <c r="B103" s="7" t="str">
        <f ca="1">IFERROR(__xludf.DUMMYFUNCTION("GOOGLETRANSLATE(C103)"),"Participation Act Reintegration Ladder Supporting Instruments")</f>
        <v>Participation Act Reintegration Ladder Supporting Instruments</v>
      </c>
      <c r="C103" s="26" t="s">
        <v>548</v>
      </c>
      <c r="D103" s="8">
        <v>1.1464770862962499</v>
      </c>
      <c r="E103" s="7" t="s">
        <v>478</v>
      </c>
    </row>
    <row r="104" spans="1:5" ht="13" x14ac:dyDescent="0.15">
      <c r="A104" s="5" t="s">
        <v>550</v>
      </c>
      <c r="B104" s="5" t="s">
        <v>551</v>
      </c>
      <c r="C104" s="25"/>
      <c r="D104" s="6">
        <v>1.1199336444219301</v>
      </c>
      <c r="E104" s="5" t="s">
        <v>328</v>
      </c>
    </row>
    <row r="105" spans="1:5" ht="13" x14ac:dyDescent="0.15">
      <c r="A105" s="7" t="s">
        <v>552</v>
      </c>
      <c r="B105" s="7" t="s">
        <v>553</v>
      </c>
      <c r="C105" s="26"/>
      <c r="D105" s="8">
        <v>1.1142924012822499</v>
      </c>
      <c r="E105" s="7" t="s">
        <v>328</v>
      </c>
    </row>
    <row r="106" spans="1:5" ht="13" x14ac:dyDescent="0.15">
      <c r="A106" s="5" t="s">
        <v>554</v>
      </c>
      <c r="B106" s="5" t="str">
        <f ca="1">IFERROR(__xludf.DUMMYFUNCTION("GOOGLETRANSLATE(C106)"),"Contacts Subject Invitation")</f>
        <v>Contacts Subject Invitation</v>
      </c>
      <c r="C106" s="25"/>
      <c r="D106" s="6">
        <v>1.1052819232833899</v>
      </c>
      <c r="E106" s="5" t="s">
        <v>325</v>
      </c>
    </row>
    <row r="107" spans="1:5" ht="13" x14ac:dyDescent="0.15">
      <c r="A107" s="7" t="s">
        <v>555</v>
      </c>
      <c r="B107" s="7" t="str">
        <f ca="1">IFERROR(__xludf.DUMMYFUNCTION("GOOGLETRANSLATE(C107)"),"Relationship Partner Current Partner Partner Married")</f>
        <v>Relationship Partner Current Partner Partner Married</v>
      </c>
      <c r="C107" s="26"/>
      <c r="D107" s="8">
        <v>1.10108936267979</v>
      </c>
      <c r="E107" s="7" t="s">
        <v>322</v>
      </c>
    </row>
    <row r="108" spans="1:5" ht="13" x14ac:dyDescent="0.15">
      <c r="A108" s="5" t="s">
        <v>556</v>
      </c>
      <c r="B108" s="5" t="str">
        <f ca="1">IFERROR(__xludf.DUMMYFUNCTION("GOOGLETRANSLATE(C108)"),"address most recent Charlois district")</f>
        <v>address most recent Charlois district</v>
      </c>
      <c r="C108" s="25"/>
      <c r="D108" s="6">
        <v>1.09252962067599</v>
      </c>
      <c r="E108" s="5" t="s">
        <v>334</v>
      </c>
    </row>
    <row r="109" spans="1:5" ht="13" x14ac:dyDescent="0.15">
      <c r="A109" s="7" t="s">
        <v>557</v>
      </c>
      <c r="B109" s="7" t="str">
        <f ca="1">IFERROR(__xludf.DUMMYFUNCTION("GOOGLETRANSLATE(C109)"),"Appointment Discuss End Looking For Galo Interview")</f>
        <v>Appointment Discuss End Looking For Galo Interview</v>
      </c>
      <c r="C109" s="26"/>
      <c r="D109" s="8">
        <v>1.0924312604234601</v>
      </c>
      <c r="E109" s="7" t="s">
        <v>379</v>
      </c>
    </row>
    <row r="110" spans="1:5" ht="13" x14ac:dyDescent="0.15">
      <c r="A110" s="5" t="s">
        <v>558</v>
      </c>
      <c r="B110" s="5" t="str">
        <f ca="1">IFERROR(__xludf.DUMMYFUNCTION("GOOGLETRANSLATE(C110)"),"PLA HIST PLA Category Objective 3")</f>
        <v>PLA HIST PLA Category Objective 3</v>
      </c>
      <c r="C110" s="25"/>
      <c r="D110" s="6">
        <v>1.08978622296932</v>
      </c>
      <c r="E110" s="5" t="s">
        <v>341</v>
      </c>
    </row>
    <row r="111" spans="1:5" ht="13" x14ac:dyDescent="0.15">
      <c r="A111" s="7" t="s">
        <v>559</v>
      </c>
      <c r="B111" s="7" t="str">
        <f ca="1">IFERROR(__xludf.DUMMYFUNCTION("GOOGLETRANSLATE(C111)"),"Address unique district ratio")</f>
        <v>Address unique district ratio</v>
      </c>
      <c r="C111" s="26"/>
      <c r="D111" s="8">
        <v>1.08605203075762</v>
      </c>
      <c r="E111" s="7" t="s">
        <v>334</v>
      </c>
    </row>
    <row r="112" spans="1:5" ht="13" x14ac:dyDescent="0.15">
      <c r="A112" s="5" t="s">
        <v>560</v>
      </c>
      <c r="B112" s="5" t="s">
        <v>561</v>
      </c>
      <c r="C112" s="25" t="s">
        <v>562</v>
      </c>
      <c r="D112" s="6">
        <v>1.0819755610139601</v>
      </c>
      <c r="E112" s="5" t="s">
        <v>379</v>
      </c>
    </row>
    <row r="113" spans="1:5" ht="13" x14ac:dyDescent="0.15">
      <c r="A113" s="7" t="s">
        <v>563</v>
      </c>
      <c r="B113" s="7" t="str">
        <f ca="1">IFERROR(__xludf.DUMMYFUNCTION("GOOGLETRANSLATE(C113)"),"Contacts Type Last year Document Incoming")</f>
        <v>Contacts Type Last year Document Incoming</v>
      </c>
      <c r="C113" s="26"/>
      <c r="D113" s="8">
        <v>1.0745730744041899</v>
      </c>
      <c r="E113" s="7" t="s">
        <v>325</v>
      </c>
    </row>
    <row r="114" spans="1:5" ht="13" x14ac:dyDescent="0.15">
      <c r="A114" s="5" t="s">
        <v>564</v>
      </c>
      <c r="B114" s="5" t="str">
        <f ca="1">IFERROR(__xludf.DUMMYFUNCTION("GOOGLETRANSLATE(C114)"),"relationship child teen")</f>
        <v>relationship child teen</v>
      </c>
      <c r="C114" s="25"/>
      <c r="D114" s="6">
        <v>1.0295659215497599</v>
      </c>
      <c r="E114" s="5" t="s">
        <v>322</v>
      </c>
    </row>
    <row r="115" spans="1:5" ht="13" x14ac:dyDescent="0.15">
      <c r="A115" s="7" t="s">
        <v>565</v>
      </c>
      <c r="B115" s="7" t="str">
        <f ca="1">IFERROR(__xludf.DUMMYFUNCTION("GOOGLETRANSLATE(C115)"),"Contacts Subject matching")</f>
        <v>Contacts Subject matching</v>
      </c>
      <c r="C115" s="26"/>
      <c r="D115" s="8">
        <v>1.0154280125178199</v>
      </c>
      <c r="E115" s="7" t="s">
        <v>325</v>
      </c>
    </row>
    <row r="116" spans="1:5" ht="13" x14ac:dyDescent="0.15">
      <c r="A116" s="5" t="s">
        <v>566</v>
      </c>
      <c r="B116" s="5" t="s">
        <v>567</v>
      </c>
      <c r="C116" s="25"/>
      <c r="D116" s="6">
        <v>1.0117448999324301</v>
      </c>
      <c r="E116" s="5" t="s">
        <v>334</v>
      </c>
    </row>
    <row r="117" spans="1:5" ht="13" x14ac:dyDescent="0.15">
      <c r="A117" s="7" t="s">
        <v>568</v>
      </c>
      <c r="B117" s="7" t="s">
        <v>569</v>
      </c>
      <c r="C117" s="26" t="s">
        <v>570</v>
      </c>
      <c r="D117" s="8">
        <v>0.99694491210988401</v>
      </c>
      <c r="E117" s="7" t="s">
        <v>360</v>
      </c>
    </row>
    <row r="118" spans="1:5" ht="13" x14ac:dyDescent="0.15">
      <c r="A118" s="5" t="s">
        <v>571</v>
      </c>
      <c r="B118" s="5" t="s">
        <v>572</v>
      </c>
      <c r="C118" s="25" t="s">
        <v>573</v>
      </c>
      <c r="D118" s="6">
        <v>0.98073261234539</v>
      </c>
      <c r="E118" s="5" t="s">
        <v>325</v>
      </c>
    </row>
    <row r="119" spans="1:5" ht="13" x14ac:dyDescent="0.15">
      <c r="A119" s="7" t="s">
        <v>574</v>
      </c>
      <c r="B119" s="7" t="s">
        <v>575</v>
      </c>
      <c r="C119" s="26" t="s">
        <v>576</v>
      </c>
      <c r="D119" s="8">
        <v>0.97750642067956495</v>
      </c>
      <c r="E119" s="7" t="s">
        <v>351</v>
      </c>
    </row>
    <row r="120" spans="1:5" ht="13" x14ac:dyDescent="0.15">
      <c r="A120" s="5" t="s">
        <v>577</v>
      </c>
      <c r="B120" s="5" t="str">
        <f ca="1">IFERROR(__xludf.DUMMYFUNCTION("GOOGLETRANSLATE(C120)"),"Competence collaboration and consultation")</f>
        <v>Competence collaboration and consultation</v>
      </c>
      <c r="C120" s="25"/>
      <c r="D120" s="6">
        <v>0.96331627360467098</v>
      </c>
      <c r="E120" s="5" t="s">
        <v>328</v>
      </c>
    </row>
    <row r="121" spans="1:5" ht="13" x14ac:dyDescent="0.15">
      <c r="A121" s="7" t="s">
        <v>578</v>
      </c>
      <c r="B121" s="7" t="str">
        <f ca="1">IFERROR(__xludf.DUMMYFUNCTION("GOOGLETRANSLATE(C121)"),"Appointment last year result filled in")</f>
        <v>Appointment last year result filled in</v>
      </c>
      <c r="C121" s="26"/>
      <c r="D121" s="8">
        <v>0.95519570053875602</v>
      </c>
      <c r="E121" s="7" t="s">
        <v>379</v>
      </c>
    </row>
    <row r="122" spans="1:5" ht="13" x14ac:dyDescent="0.15">
      <c r="A122" s="5" t="s">
        <v>579</v>
      </c>
      <c r="B122" s="5" t="str">
        <f ca="1">IFERROR(__xludf.DUMMYFUNCTION("GOOGLETRANSLATE(C122)"),"address most recent")</f>
        <v>address most recent</v>
      </c>
      <c r="C122" s="25"/>
      <c r="D122" s="6">
        <v>0.90174698383864005</v>
      </c>
      <c r="E122" s="5" t="s">
        <v>334</v>
      </c>
    </row>
    <row r="123" spans="1:5" ht="13" x14ac:dyDescent="0.15">
      <c r="A123" s="7" t="s">
        <v>580</v>
      </c>
      <c r="B123" s="7" t="str">
        <f ca="1">IFERROR(__xludf.DUMMYFUNCTION("GOOGLETRANSLATE(C123)"),"Contacts Subject group meeting")</f>
        <v>Contacts Subject group meeting</v>
      </c>
      <c r="C123" s="26"/>
      <c r="D123" s="8">
        <v>0.88199144816368003</v>
      </c>
      <c r="E123" s="7" t="s">
        <v>325</v>
      </c>
    </row>
    <row r="124" spans="1:5" ht="13" x14ac:dyDescent="0.15">
      <c r="A124" s="5" t="s">
        <v>581</v>
      </c>
      <c r="B124" s="5" t="str">
        <f ca="1">IFERROR(__xludf.DUMMYFUNCTION("GOOGLETRANSLATE(C124)"),"Appointment follow -up measurement matchability jobseeker customer")</f>
        <v>Appointment follow -up measurement matchability jobseeker customer</v>
      </c>
      <c r="C124" s="25"/>
      <c r="D124" s="6">
        <v>0.826972792561666</v>
      </c>
      <c r="E124" s="5" t="s">
        <v>379</v>
      </c>
    </row>
    <row r="125" spans="1:5" ht="13" x14ac:dyDescent="0.15">
      <c r="A125" s="7" t="s">
        <v>583</v>
      </c>
      <c r="B125" s="7" t="s">
        <v>584</v>
      </c>
      <c r="C125" s="26"/>
      <c r="D125" s="8">
        <v>0.76942670426415605</v>
      </c>
      <c r="E125" s="7" t="s">
        <v>328</v>
      </c>
    </row>
    <row r="126" spans="1:5" ht="13" x14ac:dyDescent="0.15">
      <c r="A126" s="5" t="s">
        <v>585</v>
      </c>
      <c r="B126" s="5" t="s">
        <v>586</v>
      </c>
      <c r="C126" s="25" t="s">
        <v>587</v>
      </c>
      <c r="D126" s="6">
        <v>0.73837279081333396</v>
      </c>
      <c r="E126" s="5" t="s">
        <v>325</v>
      </c>
    </row>
    <row r="127" spans="1:5" ht="13" x14ac:dyDescent="0.15">
      <c r="A127" s="7" t="s">
        <v>588</v>
      </c>
      <c r="B127" s="7" t="s">
        <v>589</v>
      </c>
      <c r="C127" s="26" t="s">
        <v>590</v>
      </c>
      <c r="D127" s="8">
        <v>0.73097480601602305</v>
      </c>
      <c r="E127" s="7" t="s">
        <v>383</v>
      </c>
    </row>
    <row r="128" spans="1:5" ht="13" x14ac:dyDescent="0.15">
      <c r="A128" s="5" t="s">
        <v>591</v>
      </c>
      <c r="B128" s="5" t="str">
        <f ca="1">IFERROR(__xludf.DUMMYFUNCTION("GOOGLETRANSLATE(C128)"),"PLA HIST PLA Category Objective 10")</f>
        <v>PLA HIST PLA Category Objective 10</v>
      </c>
      <c r="C128" s="25"/>
      <c r="D128" s="6">
        <v>0.71687434909261205</v>
      </c>
      <c r="E128" s="5" t="s">
        <v>341</v>
      </c>
    </row>
    <row r="129" spans="1:5" ht="13" x14ac:dyDescent="0.15">
      <c r="A129" s="7" t="s">
        <v>592</v>
      </c>
      <c r="B129" s="7" t="str">
        <f ca="1">IFERROR(__xludf.DUMMYFUNCTION("GOOGLETRANSLATE(C129)"),"PLA HIST PLA Category Objective 5")</f>
        <v>PLA HIST PLA Category Objective 5</v>
      </c>
      <c r="C129" s="26"/>
      <c r="D129" s="8">
        <v>0.71505243888968695</v>
      </c>
      <c r="E129" s="7" t="s">
        <v>341</v>
      </c>
    </row>
    <row r="130" spans="1:5" ht="13" x14ac:dyDescent="0.15">
      <c r="A130" s="5" t="s">
        <v>593</v>
      </c>
      <c r="B130" s="5" t="str">
        <f ca="1">IFERROR(__xludf.DUMMYFUNCTION("GOOGLETRANSLATE(C130)"),"Contacts Subject Boolean Document Type Diplomas and certificates")</f>
        <v>Contacts Subject Boolean Document Type Diplomas and certificates</v>
      </c>
      <c r="C130" s="25"/>
      <c r="D130" s="6">
        <v>0.70482998953036102</v>
      </c>
      <c r="E130" s="5" t="s">
        <v>325</v>
      </c>
    </row>
    <row r="131" spans="1:5" ht="13" x14ac:dyDescent="0.15">
      <c r="A131" s="7" t="s">
        <v>594</v>
      </c>
      <c r="B131" s="7" t="str">
        <f ca="1">IFERROR(__xludf.DUMMYFUNCTION("GOOGLETRANSLATE(C131)"),"Contacts Subject QuickScan")</f>
        <v>Contacts Subject QuickScan</v>
      </c>
      <c r="C131" s="26"/>
      <c r="D131" s="8">
        <v>0.69772910067953398</v>
      </c>
      <c r="E131" s="7" t="s">
        <v>325</v>
      </c>
    </row>
    <row r="132" spans="1:5" ht="13" x14ac:dyDescent="0.15">
      <c r="A132" s="5" t="s">
        <v>595</v>
      </c>
      <c r="B132" s="5" t="s">
        <v>596</v>
      </c>
      <c r="C132" s="25"/>
      <c r="D132" s="6">
        <v>0.68715106001561199</v>
      </c>
      <c r="E132" s="5" t="s">
        <v>328</v>
      </c>
    </row>
    <row r="133" spans="1:5" ht="13" x14ac:dyDescent="0.15">
      <c r="A133" s="7" t="s">
        <v>597</v>
      </c>
      <c r="B133" s="7" t="s">
        <v>598</v>
      </c>
      <c r="C133" s="26"/>
      <c r="D133" s="8">
        <v>0.68363765787878605</v>
      </c>
      <c r="E133" s="7" t="s">
        <v>325</v>
      </c>
    </row>
    <row r="134" spans="1:5" ht="13" x14ac:dyDescent="0.15">
      <c r="A134" s="5" t="s">
        <v>599</v>
      </c>
      <c r="B134" s="5" t="str">
        <f ca="1">IFERROR(__xludf.DUMMYFUNCTION("GOOGLETRANSLATE(C134)"),"PLA HIST PLA Category Objective Other")</f>
        <v>PLA HIST PLA Category Objective Other</v>
      </c>
      <c r="C134" s="25"/>
      <c r="D134" s="6">
        <v>0.68174332974392404</v>
      </c>
      <c r="E134" s="5" t="s">
        <v>341</v>
      </c>
    </row>
    <row r="135" spans="1:5" ht="13" x14ac:dyDescent="0.15">
      <c r="A135" s="7" t="s">
        <v>600</v>
      </c>
      <c r="B135" s="7" t="str">
        <f ca="1">IFERROR(__xludf.DUMMYFUNCTION("GOOGLETRANSLATE(C135)"),"competence other")</f>
        <v>competence other</v>
      </c>
      <c r="C135" s="26"/>
      <c r="D135" s="8">
        <v>0.646965587040634</v>
      </c>
      <c r="E135" s="7" t="s">
        <v>328</v>
      </c>
    </row>
    <row r="136" spans="1:5" ht="13" x14ac:dyDescent="0.15">
      <c r="A136" s="5" t="s">
        <v>601</v>
      </c>
      <c r="B136" s="5" t="str">
        <f ca="1">IFERROR(__xludf.DUMMYFUNCTION("GOOGLETRANSLATE(C136)"),"Exemption Reason Hist Other")</f>
        <v>Exemption Reason Hist Other</v>
      </c>
      <c r="C136" s="25"/>
      <c r="D136" s="6">
        <v>0.64650468721771803</v>
      </c>
      <c r="E136" s="5" t="s">
        <v>360</v>
      </c>
    </row>
    <row r="137" spans="1:5" ht="13" x14ac:dyDescent="0.15">
      <c r="A137" s="7" t="s">
        <v>602</v>
      </c>
      <c r="B137" s="7" t="str">
        <f ca="1">IFERROR(__xludf.DUMMYFUNCTION("GOOGLETRANSLATE(C137)"),"instrument reason Under termination History not successful")</f>
        <v>instrument reason Under termination History not successful</v>
      </c>
      <c r="C137" s="26" t="s">
        <v>603</v>
      </c>
      <c r="D137" s="8">
        <v>0.64648197678013297</v>
      </c>
      <c r="E137" s="7" t="s">
        <v>402</v>
      </c>
    </row>
    <row r="138" spans="1:5" ht="13" x14ac:dyDescent="0.15">
      <c r="A138" s="5" t="s">
        <v>604</v>
      </c>
      <c r="B138" s="5" t="str">
        <f ca="1">IFERROR(__xludf.DUMMYFUNCTION("GOOGLETRANSLATE(C138)"),"Appointment last year Progress Registration and participation")</f>
        <v>Appointment last year Progress Registration and participation</v>
      </c>
      <c r="C138" s="25"/>
      <c r="D138" s="6">
        <v>0.63808763936093504</v>
      </c>
      <c r="E138" s="5" t="s">
        <v>379</v>
      </c>
    </row>
    <row r="139" spans="1:5" ht="13" x14ac:dyDescent="0.15">
      <c r="A139" s="7" t="s">
        <v>605</v>
      </c>
      <c r="B139" s="7" t="s">
        <v>606</v>
      </c>
      <c r="C139" s="26" t="s">
        <v>607</v>
      </c>
      <c r="D139" s="8">
        <v>0.61819691573297597</v>
      </c>
      <c r="E139" s="7" t="s">
        <v>351</v>
      </c>
    </row>
    <row r="140" spans="1:5" ht="13" x14ac:dyDescent="0.15">
      <c r="A140" s="5" t="s">
        <v>608</v>
      </c>
      <c r="B140" s="5" t="s">
        <v>609</v>
      </c>
      <c r="C140" s="25" t="s">
        <v>610</v>
      </c>
      <c r="D140" s="6">
        <v>0.61653293557576505</v>
      </c>
      <c r="E140" s="5" t="s">
        <v>341</v>
      </c>
    </row>
    <row r="141" spans="1:5" ht="13" x14ac:dyDescent="0.15">
      <c r="A141" s="7" t="s">
        <v>611</v>
      </c>
      <c r="B141" s="7" t="str">
        <f ca="1">IFERROR(__xludf.DUMMYFUNCTION("GOOGLETRANSLATE(C141)"),"Appointment Galo Conversation")</f>
        <v>Appointment Galo Conversation</v>
      </c>
      <c r="C141" s="26"/>
      <c r="D141" s="8">
        <v>0.610088578998771</v>
      </c>
      <c r="E141" s="7" t="s">
        <v>379</v>
      </c>
    </row>
    <row r="142" spans="1:5" ht="13" x14ac:dyDescent="0.15">
      <c r="A142" s="5" t="s">
        <v>612</v>
      </c>
      <c r="B142" s="5" t="str">
        <f ca="1">IFERROR(__xludf.DUMMYFUNCTION("GOOGLETRANSLATE(C142)"),"PLA HIST PLA Category Objective 1")</f>
        <v>PLA HIST PLA Category Objective 1</v>
      </c>
      <c r="C142" s="25"/>
      <c r="D142" s="6">
        <v>0.606763074713904</v>
      </c>
      <c r="E142" s="5" t="s">
        <v>341</v>
      </c>
    </row>
    <row r="143" spans="1:5" ht="13" x14ac:dyDescent="0.15">
      <c r="A143" s="7" t="s">
        <v>613</v>
      </c>
      <c r="B143" s="7" t="s">
        <v>614</v>
      </c>
      <c r="C143" s="26"/>
      <c r="D143" s="8">
        <v>0.60467515608031597</v>
      </c>
      <c r="E143" s="7" t="s">
        <v>379</v>
      </c>
    </row>
    <row r="144" spans="1:5" ht="13" x14ac:dyDescent="0.15">
      <c r="A144" s="5" t="s">
        <v>615</v>
      </c>
      <c r="B144" s="5" t="str">
        <f ca="1">IFERROR(__xludf.DUMMYFUNCTION("GOOGLETRANSLATE(C144)"),"PLA HIST PLA Category Objective 9")</f>
        <v>PLA HIST PLA Category Objective 9</v>
      </c>
      <c r="C144" s="25"/>
      <c r="D144" s="6">
        <v>0.60135224140113797</v>
      </c>
      <c r="E144" s="5" t="s">
        <v>341</v>
      </c>
    </row>
    <row r="145" spans="1:5" ht="13" x14ac:dyDescent="0.15">
      <c r="A145" s="7" t="s">
        <v>616</v>
      </c>
      <c r="B145" s="7" t="str">
        <f ca="1">IFERROR(__xludf.DUMMYFUNCTION("GOOGLETRANSLATE(C145)"),"Instrument Ladder Current Other")</f>
        <v>Instrument Ladder Current Other</v>
      </c>
      <c r="C145" s="26"/>
      <c r="D145" s="8">
        <v>0.59933769660162795</v>
      </c>
      <c r="E145" s="7" t="s">
        <v>402</v>
      </c>
    </row>
    <row r="146" spans="1:5" ht="13" x14ac:dyDescent="0.15">
      <c r="A146" s="5" t="s">
        <v>617</v>
      </c>
      <c r="B146" s="5" t="s">
        <v>618</v>
      </c>
      <c r="C146" s="25" t="s">
        <v>619</v>
      </c>
      <c r="D146" s="6">
        <v>0.59917000286831501</v>
      </c>
      <c r="E146" s="5" t="s">
        <v>402</v>
      </c>
    </row>
    <row r="147" spans="1:5" ht="13" x14ac:dyDescent="0.15">
      <c r="A147" s="7" t="s">
        <v>620</v>
      </c>
      <c r="B147" s="7" t="s">
        <v>621</v>
      </c>
      <c r="C147" s="26" t="s">
        <v>622</v>
      </c>
      <c r="D147" s="8">
        <v>0.58943799402529096</v>
      </c>
      <c r="E147" s="7" t="s">
        <v>325</v>
      </c>
    </row>
    <row r="148" spans="1:5" ht="13" x14ac:dyDescent="0.15">
      <c r="A148" s="5" t="s">
        <v>623</v>
      </c>
      <c r="B148" s="5" t="str">
        <f ca="1">IFERROR(__xludf.DUMMYFUNCTION("GOOGLETRANSLATE(C148)"),"Pla history other")</f>
        <v>Pla history other</v>
      </c>
      <c r="C148" s="27" t="s">
        <v>624</v>
      </c>
      <c r="D148" s="6">
        <v>0.58391702123017697</v>
      </c>
      <c r="E148" s="5" t="s">
        <v>341</v>
      </c>
    </row>
    <row r="149" spans="1:5" ht="13" x14ac:dyDescent="0.15">
      <c r="A149" s="7" t="s">
        <v>625</v>
      </c>
      <c r="B149" s="7" t="str">
        <f ca="1">IFERROR(__xludf.DUMMYFUNCTION("GOOGLETRANSLATE(C149)"),"PLA HIST PLA Category Objective 11")</f>
        <v>PLA HIST PLA Category Objective 11</v>
      </c>
      <c r="C149" s="26"/>
      <c r="D149" s="8">
        <v>0.57455807005256199</v>
      </c>
      <c r="E149" s="7" t="s">
        <v>341</v>
      </c>
    </row>
    <row r="150" spans="1:5" ht="13" x14ac:dyDescent="0.15">
      <c r="A150" s="5" t="s">
        <v>626</v>
      </c>
      <c r="B150" s="5" t="str">
        <f ca="1">IFERROR(__xludf.DUMMYFUNCTION("GOOGLETRANSLATE(C150)"),"Contacts Subject training")</f>
        <v>Contacts Subject training</v>
      </c>
      <c r="C150" s="25" t="s">
        <v>627</v>
      </c>
      <c r="D150" s="6">
        <v>0.57293929828139201</v>
      </c>
      <c r="E150" s="5" t="s">
        <v>325</v>
      </c>
    </row>
    <row r="151" spans="1:5" ht="13" x14ac:dyDescent="0.15">
      <c r="A151" s="7" t="s">
        <v>628</v>
      </c>
      <c r="B151" s="7" t="str">
        <f ca="1">IFERROR(__xludf.DUMMYFUNCTION("GOOGLETRANSLATE(C151)"),"Instrument Ladder History Other")</f>
        <v>Instrument Ladder History Other</v>
      </c>
      <c r="C151" s="26"/>
      <c r="D151" s="8">
        <v>0.57244173257123898</v>
      </c>
      <c r="E151" s="7" t="s">
        <v>402</v>
      </c>
    </row>
    <row r="152" spans="1:5" ht="13" x14ac:dyDescent="0.15">
      <c r="A152" s="5" t="s">
        <v>629</v>
      </c>
      <c r="B152" s="5" t="s">
        <v>630</v>
      </c>
      <c r="C152" s="25"/>
      <c r="D152" s="6">
        <v>0.55847303994970698</v>
      </c>
      <c r="E152" s="5" t="s">
        <v>334</v>
      </c>
    </row>
    <row r="153" spans="1:5" ht="13" x14ac:dyDescent="0.15">
      <c r="A153" s="7" t="s">
        <v>631</v>
      </c>
      <c r="B153" s="7" t="s">
        <v>632</v>
      </c>
      <c r="C153" s="26"/>
      <c r="D153" s="8">
        <v>0.55755946853558602</v>
      </c>
      <c r="E153" s="7" t="s">
        <v>328</v>
      </c>
    </row>
    <row r="154" spans="1:5" ht="13" x14ac:dyDescent="0.15">
      <c r="A154" s="5" t="s">
        <v>633</v>
      </c>
      <c r="B154" s="5" t="s">
        <v>634</v>
      </c>
      <c r="C154" s="25" t="s">
        <v>635</v>
      </c>
      <c r="D154" s="6">
        <v>0.54414988146551602</v>
      </c>
      <c r="E154" s="5" t="s">
        <v>341</v>
      </c>
    </row>
    <row r="155" spans="1:5" ht="13" x14ac:dyDescent="0.15">
      <c r="A155" s="7" t="s">
        <v>636</v>
      </c>
      <c r="B155" s="7" t="s">
        <v>637</v>
      </c>
      <c r="C155" s="26"/>
      <c r="D155" s="8">
        <v>0.54180960042156801</v>
      </c>
      <c r="E155" s="7" t="s">
        <v>402</v>
      </c>
    </row>
    <row r="156" spans="1:5" ht="13" x14ac:dyDescent="0.15">
      <c r="A156" s="5" t="s">
        <v>638</v>
      </c>
      <c r="B156" s="5" t="s">
        <v>639</v>
      </c>
      <c r="C156" s="25" t="s">
        <v>640</v>
      </c>
      <c r="D156" s="6">
        <v>0.54125580155166997</v>
      </c>
      <c r="E156" s="5" t="s">
        <v>351</v>
      </c>
    </row>
    <row r="157" spans="1:5" ht="13" x14ac:dyDescent="0.15">
      <c r="A157" s="7" t="s">
        <v>641</v>
      </c>
      <c r="B157" s="7" t="str">
        <f ca="1">IFERROR(__xludf.DUMMYFUNCTION("GOOGLETRANSLATE(C157)"),"PLA HIST PLA Category Objective 4")</f>
        <v>PLA HIST PLA Category Objective 4</v>
      </c>
      <c r="C157" s="26"/>
      <c r="D157" s="8">
        <v>0.535187296122829</v>
      </c>
      <c r="E157" s="7" t="s">
        <v>341</v>
      </c>
    </row>
    <row r="158" spans="1:5" ht="13" x14ac:dyDescent="0.15">
      <c r="A158" s="5" t="s">
        <v>642</v>
      </c>
      <c r="B158" s="5" t="str">
        <f ca="1">IFERROR(__xludf.DUMMYFUNCTION("GOOGLETRANSLATE(C158)"),"Contacts Subject Boolean Motivation")</f>
        <v>Contacts Subject Boolean Motivation</v>
      </c>
      <c r="C158" s="25"/>
      <c r="D158" s="6">
        <v>0.529114934593644</v>
      </c>
      <c r="E158" s="5" t="s">
        <v>325</v>
      </c>
    </row>
    <row r="159" spans="1:5" ht="13" x14ac:dyDescent="0.15">
      <c r="A159" s="7" t="s">
        <v>643</v>
      </c>
      <c r="B159" s="7" t="str">
        <f ca="1">IFERROR(__xludf.DUMMYFUNCTION("GOOGLETRANSLATE(C159)"),"Contacts subject Sick or cancellation")</f>
        <v>Contacts subject Sick or cancellation</v>
      </c>
      <c r="C159" s="26"/>
      <c r="D159" s="8">
        <v>0.52029780182457996</v>
      </c>
      <c r="E159" s="7" t="s">
        <v>325</v>
      </c>
    </row>
    <row r="160" spans="1:5" ht="13" x14ac:dyDescent="0.15">
      <c r="A160" s="5" t="s">
        <v>644</v>
      </c>
      <c r="B160" s="5" t="str">
        <f ca="1">IFERROR(__xludf.DUMMYFUNCTION("GOOGLETRANSLATE(C160)"),"Contacts Subject contact third parties")</f>
        <v>Contacts Subject contact third parties</v>
      </c>
      <c r="C160" s="25"/>
      <c r="D160" s="6">
        <v>0.51566881350721105</v>
      </c>
      <c r="E160" s="5" t="s">
        <v>325</v>
      </c>
    </row>
    <row r="161" spans="1:5" ht="13" x14ac:dyDescent="0.15">
      <c r="A161" s="7" t="s">
        <v>645</v>
      </c>
      <c r="B161" s="7" t="s">
        <v>646</v>
      </c>
      <c r="C161" s="26"/>
      <c r="D161" s="8">
        <v>0.50827353432264399</v>
      </c>
      <c r="E161" s="7" t="s">
        <v>341</v>
      </c>
    </row>
    <row r="162" spans="1:5" ht="13" x14ac:dyDescent="0.15">
      <c r="A162" s="5" t="s">
        <v>647</v>
      </c>
      <c r="B162" s="5" t="str">
        <f ca="1">IFERROR(__xludf.DUMMYFUNCTION("GOOGLETRANSLATE(C162)"),"Instrument Reason termination History Central Action Wigo4it")</f>
        <v>Instrument Reason termination History Central Action Wigo4it</v>
      </c>
      <c r="C162" s="25"/>
      <c r="D162" s="6">
        <v>0.49620721499196202</v>
      </c>
      <c r="E162" s="5" t="s">
        <v>402</v>
      </c>
    </row>
    <row r="163" spans="1:5" ht="13" x14ac:dyDescent="0.15">
      <c r="A163" s="7" t="s">
        <v>648</v>
      </c>
      <c r="B163" s="7" t="s">
        <v>649</v>
      </c>
      <c r="C163" s="26" t="s">
        <v>650</v>
      </c>
      <c r="D163" s="8">
        <v>0.494891127329391</v>
      </c>
      <c r="E163" s="7" t="s">
        <v>383</v>
      </c>
    </row>
    <row r="164" spans="1:5" ht="13" x14ac:dyDescent="0.15">
      <c r="A164" s="5" t="s">
        <v>651</v>
      </c>
      <c r="B164" s="5" t="str">
        <f ca="1">IFERROR(__xludf.DUMMYFUNCTION("GOOGLETRANSLATE(C164)"),"PLA Current PLA Category Objective 9")</f>
        <v>PLA Current PLA Category Objective 9</v>
      </c>
      <c r="C164" s="25"/>
      <c r="D164" s="6">
        <v>0.481296749160181</v>
      </c>
      <c r="E164" s="5" t="s">
        <v>341</v>
      </c>
    </row>
    <row r="165" spans="1:5" ht="13" x14ac:dyDescent="0.15">
      <c r="A165" s="7" t="s">
        <v>652</v>
      </c>
      <c r="B165" s="7" t="s">
        <v>653</v>
      </c>
      <c r="C165" s="26"/>
      <c r="D165" s="8">
        <v>0.48125931181227199</v>
      </c>
      <c r="E165" s="7" t="s">
        <v>379</v>
      </c>
    </row>
    <row r="166" spans="1:5" ht="13" x14ac:dyDescent="0.15">
      <c r="A166" s="5" t="s">
        <v>654</v>
      </c>
      <c r="B166" s="5" t="s">
        <v>655</v>
      </c>
      <c r="C166" s="25" t="s">
        <v>656</v>
      </c>
      <c r="D166" s="6">
        <v>0.47082815527805</v>
      </c>
      <c r="E166" s="5" t="s">
        <v>325</v>
      </c>
    </row>
    <row r="167" spans="1:5" ht="13" x14ac:dyDescent="0.15">
      <c r="A167" s="7" t="s">
        <v>657</v>
      </c>
      <c r="B167" s="7" t="str">
        <f ca="1">IFERROR(__xludf.DUMMYFUNCTION("GOOGLETRANSLATE(C167)"),"Contacts Subject Document Type CV")</f>
        <v>Contacts Subject Document Type CV</v>
      </c>
      <c r="C167" s="26"/>
      <c r="D167" s="8">
        <v>0.46635917093283702</v>
      </c>
      <c r="E167" s="7" t="s">
        <v>325</v>
      </c>
    </row>
    <row r="168" spans="1:5" ht="13" x14ac:dyDescent="0.15">
      <c r="A168" s="5" t="s">
        <v>658</v>
      </c>
      <c r="B168" s="5" t="str">
        <f ca="1">IFERROR(__xludf.DUMMYFUNCTION("GOOGLETRANSLATE(C168)"),"address most recent neighborhood Vreewijk")</f>
        <v>address most recent neighborhood Vreewijk</v>
      </c>
      <c r="C168" s="25"/>
      <c r="D168" s="6">
        <v>0.46287700116002101</v>
      </c>
      <c r="E168" s="5" t="s">
        <v>334</v>
      </c>
    </row>
    <row r="169" spans="1:5" ht="13" x14ac:dyDescent="0.15">
      <c r="A169" s="7" t="s">
        <v>659</v>
      </c>
      <c r="B169" s="7" t="s">
        <v>660</v>
      </c>
      <c r="C169" s="26" t="s">
        <v>661</v>
      </c>
      <c r="D169" s="8">
        <v>0.457083693524511</v>
      </c>
      <c r="E169" s="7" t="s">
        <v>351</v>
      </c>
    </row>
    <row r="170" spans="1:5" ht="13" x14ac:dyDescent="0.15">
      <c r="A170" s="5" t="s">
        <v>662</v>
      </c>
      <c r="B170" s="5" t="s">
        <v>663</v>
      </c>
      <c r="C170" s="25" t="s">
        <v>664</v>
      </c>
      <c r="D170" s="6">
        <v>0.45426078515181501</v>
      </c>
      <c r="E170" s="5" t="s">
        <v>322</v>
      </c>
    </row>
    <row r="171" spans="1:5" ht="13" x14ac:dyDescent="0.15">
      <c r="A171" s="7" t="s">
        <v>665</v>
      </c>
      <c r="B171" s="7" t="str">
        <f ca="1">IFERROR(__xludf.DUMMYFUNCTION("GOOGLETRANSLATE(C171)"),"Appointment progress interview")</f>
        <v>Appointment progress interview</v>
      </c>
      <c r="C171" s="26" t="s">
        <v>666</v>
      </c>
      <c r="D171" s="8">
        <v>0.45055795282462302</v>
      </c>
      <c r="E171" s="7" t="s">
        <v>379</v>
      </c>
    </row>
    <row r="172" spans="1:5" ht="13" x14ac:dyDescent="0.15">
      <c r="A172" s="5" t="s">
        <v>667</v>
      </c>
      <c r="B172" s="5" t="str">
        <f ca="1">IFERROR(__xludf.DUMMYFUNCTION("GOOGLETRANSLATE(C172)"),"Relationship Other History Form maintenance person")</f>
        <v>Relationship Other History Form maintenance person</v>
      </c>
      <c r="C172" s="25"/>
      <c r="D172" s="6">
        <v>0.44444676137350098</v>
      </c>
      <c r="E172" s="5" t="s">
        <v>322</v>
      </c>
    </row>
    <row r="173" spans="1:5" ht="13" x14ac:dyDescent="0.15">
      <c r="A173" s="7" t="s">
        <v>668</v>
      </c>
      <c r="B173" s="7" t="s">
        <v>669</v>
      </c>
      <c r="C173" s="26"/>
      <c r="D173" s="8">
        <v>0.436337455050888</v>
      </c>
      <c r="E173" s="7" t="s">
        <v>351</v>
      </c>
    </row>
    <row r="174" spans="1:5" ht="13" x14ac:dyDescent="0.15">
      <c r="A174" s="5" t="s">
        <v>670</v>
      </c>
      <c r="B174" s="5" t="str">
        <f ca="1">IFERROR(__xludf.DUMMYFUNCTION("GOOGLETRANSLATE(C174)"),"PLA History Social Exercise")</f>
        <v>PLA History Social Exercise</v>
      </c>
      <c r="C174" s="25" t="s">
        <v>671</v>
      </c>
      <c r="D174" s="6">
        <v>0.426314858516946</v>
      </c>
      <c r="E174" s="5" t="s">
        <v>341</v>
      </c>
    </row>
    <row r="175" spans="1:5" ht="13" x14ac:dyDescent="0.15">
      <c r="A175" s="7" t="s">
        <v>672</v>
      </c>
      <c r="B175" s="7" t="s">
        <v>673</v>
      </c>
      <c r="C175" s="26"/>
      <c r="D175" s="8">
        <v>0.42170485245170303</v>
      </c>
      <c r="E175" s="7" t="s">
        <v>325</v>
      </c>
    </row>
    <row r="176" spans="1:5" ht="13" x14ac:dyDescent="0.15">
      <c r="A176" s="5" t="s">
        <v>674</v>
      </c>
      <c r="B176" s="5" t="str">
        <f ca="1">IFERROR(__xludf.DUMMYFUNCTION("GOOGLETRANSLATE(C176)"),"Contacts Subject screening")</f>
        <v>Contacts Subject screening</v>
      </c>
      <c r="C176" s="25"/>
      <c r="D176" s="6">
        <v>0.410628086467904</v>
      </c>
      <c r="E176" s="5" t="s">
        <v>325</v>
      </c>
    </row>
    <row r="177" spans="1:5" ht="13" x14ac:dyDescent="0.15">
      <c r="A177" s="7" t="s">
        <v>675</v>
      </c>
      <c r="B177" s="7" t="s">
        <v>676</v>
      </c>
      <c r="C177" s="26" t="s">
        <v>677</v>
      </c>
      <c r="D177" s="8">
        <v>0.38759728615717998</v>
      </c>
      <c r="E177" s="7" t="s">
        <v>351</v>
      </c>
    </row>
    <row r="178" spans="1:5" ht="13" x14ac:dyDescent="0.15">
      <c r="A178" s="5" t="s">
        <v>678</v>
      </c>
      <c r="B178" s="5" t="s">
        <v>679</v>
      </c>
      <c r="C178" s="25" t="s">
        <v>680</v>
      </c>
      <c r="D178" s="6">
        <v>0.37396231669442798</v>
      </c>
      <c r="E178" s="5" t="s">
        <v>360</v>
      </c>
    </row>
    <row r="179" spans="1:5" ht="13" x14ac:dyDescent="0.15">
      <c r="A179" s="7" t="s">
        <v>681</v>
      </c>
      <c r="B179" s="7" t="s">
        <v>682</v>
      </c>
      <c r="C179" s="26" t="s">
        <v>683</v>
      </c>
      <c r="D179" s="8">
        <v>0.36800076351887501</v>
      </c>
      <c r="E179" s="7" t="s">
        <v>396</v>
      </c>
    </row>
    <row r="180" spans="1:5" ht="13" x14ac:dyDescent="0.15">
      <c r="A180" s="5" t="s">
        <v>684</v>
      </c>
      <c r="B180" s="5" t="s">
        <v>685</v>
      </c>
      <c r="C180" s="25"/>
      <c r="D180" s="6">
        <v>0.35638768299728402</v>
      </c>
      <c r="E180" s="5" t="s">
        <v>402</v>
      </c>
    </row>
    <row r="181" spans="1:5" ht="13" x14ac:dyDescent="0.15">
      <c r="A181" s="7" t="s">
        <v>686</v>
      </c>
      <c r="B181" s="7" t="str">
        <f ca="1">IFERROR(__xludf.DUMMYFUNCTION("GOOGLETRANSLATE(C181)"),"Contacts Type Last year Conversation on location")</f>
        <v>Contacts Type Last year Conversation on location</v>
      </c>
      <c r="C181" s="26" t="s">
        <v>687</v>
      </c>
      <c r="D181" s="8">
        <v>0.35518462248132199</v>
      </c>
      <c r="E181" s="7" t="s">
        <v>325</v>
      </c>
    </row>
    <row r="182" spans="1:5" ht="13" x14ac:dyDescent="0.15">
      <c r="A182" s="5" t="s">
        <v>688</v>
      </c>
      <c r="B182" s="5" t="str">
        <f ca="1">IFERROR(__xludf.DUMMYFUNCTION("GOOGLETRANSLATE(C182)"),"Contacts Type Last year Reporting RIB")</f>
        <v>Contacts Type Last year Reporting RIB</v>
      </c>
      <c r="C182" s="25"/>
      <c r="D182" s="6">
        <v>0.35213907169493203</v>
      </c>
      <c r="E182" s="5" t="s">
        <v>325</v>
      </c>
    </row>
    <row r="183" spans="1:5" ht="13" x14ac:dyDescent="0.15">
      <c r="A183" s="7" t="s">
        <v>689</v>
      </c>
      <c r="B183" s="7" t="str">
        <f ca="1">IFERROR(__xludf.DUMMYFUNCTION("GOOGLETRANSLATE(C183)"),"Appointment appointment plan")</f>
        <v>Appointment appointment plan</v>
      </c>
      <c r="C183" s="26"/>
      <c r="D183" s="8">
        <v>0.34878408453780302</v>
      </c>
      <c r="E183" s="7" t="s">
        <v>379</v>
      </c>
    </row>
    <row r="184" spans="1:5" ht="13" x14ac:dyDescent="0.15">
      <c r="A184" s="5" t="s">
        <v>690</v>
      </c>
      <c r="B184" s="5" t="str">
        <f ca="1">IFERROR(__xludf.DUMMYFUNCTION("GOOGLETRANSLATE(C184)"),"Contacts Subject Labor diagnosis Dariuz")</f>
        <v>Contacts Subject Labor diagnosis Dariuz</v>
      </c>
      <c r="C184" s="25" t="s">
        <v>691</v>
      </c>
      <c r="D184" s="6">
        <v>0.33385140983534201</v>
      </c>
      <c r="E184" s="5" t="s">
        <v>325</v>
      </c>
    </row>
    <row r="185" spans="1:5" ht="13" x14ac:dyDescent="0.15">
      <c r="A185" s="7" t="s">
        <v>693</v>
      </c>
      <c r="B185" s="7" t="str">
        <f ca="1">IFERROR(__xludf.DUMMYFUNCTION("GOOGLETRANSLATE(C185)"),"relationship child adult")</f>
        <v>relationship child adult</v>
      </c>
      <c r="C185" s="26"/>
      <c r="D185" s="8">
        <v>0.323936860496158</v>
      </c>
      <c r="E185" s="7" t="s">
        <v>322</v>
      </c>
    </row>
    <row r="186" spans="1:5" ht="13" x14ac:dyDescent="0.15">
      <c r="A186" s="5" t="s">
        <v>694</v>
      </c>
      <c r="B186" s="5" t="str">
        <f ca="1">IFERROR(__xludf.DUMMYFUNCTION("GOOGLETRANSLATE(C186)"),"Instrument Reason Understanding History Transfer Successful")</f>
        <v>Instrument Reason Understanding History Transfer Successful</v>
      </c>
      <c r="C186" s="25" t="s">
        <v>695</v>
      </c>
      <c r="D186" s="6">
        <v>0.30899016437940402</v>
      </c>
      <c r="E186" s="5" t="s">
        <v>402</v>
      </c>
    </row>
    <row r="187" spans="1:5" ht="13" x14ac:dyDescent="0.15">
      <c r="A187" s="7" t="s">
        <v>696</v>
      </c>
      <c r="B187" s="7" t="s">
        <v>697</v>
      </c>
      <c r="C187" s="26"/>
      <c r="D187" s="8">
        <v>0.30697607485698902</v>
      </c>
      <c r="E187" s="7" t="s">
        <v>351</v>
      </c>
    </row>
    <row r="188" spans="1:5" ht="13" x14ac:dyDescent="0.15">
      <c r="A188" s="5" t="s">
        <v>698</v>
      </c>
      <c r="B188" s="5" t="str">
        <f ca="1">IFERROR(__xludf.DUMMYFUNCTION("GOOGLETRANSLATE(C188)"),"Personal Features NL Writing False")</f>
        <v>Personal Features NL Writing False</v>
      </c>
      <c r="C188" s="25" t="s">
        <v>699</v>
      </c>
      <c r="D188" s="6">
        <v>0.30305006419823399</v>
      </c>
      <c r="E188" s="5" t="s">
        <v>351</v>
      </c>
    </row>
    <row r="189" spans="1:5" ht="13" x14ac:dyDescent="0.15">
      <c r="A189" s="7" t="s">
        <v>700</v>
      </c>
      <c r="B189" s="7" t="str">
        <f ca="1">IFERROR(__xludf.DUMMYFUNCTION("GOOGLETRANSLATE(C189)"),"Personal qualities Other comments")</f>
        <v>Personal qualities Other comments</v>
      </c>
      <c r="C189" s="26" t="s">
        <v>701</v>
      </c>
      <c r="D189" s="8">
        <v>0.29783935556595298</v>
      </c>
      <c r="E189" s="7" t="s">
        <v>351</v>
      </c>
    </row>
    <row r="190" spans="1:5" ht="13" x14ac:dyDescent="0.15">
      <c r="A190" s="5" t="s">
        <v>702</v>
      </c>
      <c r="B190" s="5" t="s">
        <v>703</v>
      </c>
      <c r="C190" s="25" t="s">
        <v>704</v>
      </c>
      <c r="D190" s="6">
        <v>0.296643702967606</v>
      </c>
      <c r="E190" s="5" t="s">
        <v>396</v>
      </c>
    </row>
    <row r="191" spans="1:5" ht="13" x14ac:dyDescent="0.15">
      <c r="A191" s="7" t="s">
        <v>705</v>
      </c>
      <c r="B191" s="7" t="str">
        <f ca="1">IFERROR(__xludf.DUMMYFUNCTION("GOOGLETRANSLATE(C191)"),"Contacts Subject work intake did not appear")</f>
        <v>Contacts Subject work intake did not appear</v>
      </c>
      <c r="C191" s="26" t="s">
        <v>706</v>
      </c>
      <c r="D191" s="8">
        <v>0.296434634054702</v>
      </c>
      <c r="E191" s="7" t="s">
        <v>325</v>
      </c>
    </row>
    <row r="192" spans="1:5" ht="13" x14ac:dyDescent="0.15">
      <c r="A192" s="5" t="s">
        <v>707</v>
      </c>
      <c r="B192" s="5" t="str">
        <f ca="1">IFERROR(__xludf.DUMMYFUNCTION("GOOGLETRANSLATE(C192)"),"Appointment other")</f>
        <v>Appointment other</v>
      </c>
      <c r="C192" s="25"/>
      <c r="D192" s="6">
        <v>0.29516852050957598</v>
      </c>
      <c r="E192" s="5" t="s">
        <v>379</v>
      </c>
    </row>
    <row r="193" spans="1:5" ht="13" x14ac:dyDescent="0.15">
      <c r="A193" s="7" t="s">
        <v>708</v>
      </c>
      <c r="B193" s="7" t="str">
        <f ca="1">IFERROR(__xludf.DUMMYFUNCTION("GOOGLETRANSLATE(C193)"),"Instrument Reason termination History Transfer to MO")</f>
        <v>Instrument Reason termination History Transfer to MO</v>
      </c>
      <c r="C193" s="26"/>
      <c r="D193" s="8">
        <v>0.28479989281416102</v>
      </c>
      <c r="E193" s="7" t="s">
        <v>402</v>
      </c>
    </row>
    <row r="194" spans="1:5" ht="13" x14ac:dyDescent="0.15">
      <c r="A194" s="5" t="s">
        <v>709</v>
      </c>
      <c r="B194" s="5" t="s">
        <v>710</v>
      </c>
      <c r="C194" s="25"/>
      <c r="D194" s="6">
        <v>0.28267288973692101</v>
      </c>
      <c r="E194" s="5" t="s">
        <v>328</v>
      </c>
    </row>
    <row r="195" spans="1:5" ht="13" x14ac:dyDescent="0.15">
      <c r="A195" s="7" t="s">
        <v>711</v>
      </c>
      <c r="B195" s="7" t="s">
        <v>712</v>
      </c>
      <c r="C195" s="26" t="s">
        <v>713</v>
      </c>
      <c r="D195" s="8">
        <v>0.28255175946828998</v>
      </c>
      <c r="E195" s="7" t="s">
        <v>360</v>
      </c>
    </row>
    <row r="196" spans="1:5" ht="13" x14ac:dyDescent="0.15">
      <c r="A196" s="5" t="s">
        <v>714</v>
      </c>
      <c r="B196" s="5" t="str">
        <f ca="1">IFERROR(__xludf.DUMMYFUNCTION("GOOGLETRANSLATE(C196)"),"Address most recent Kralingen C district")</f>
        <v>Address most recent Kralingen C district</v>
      </c>
      <c r="C196" s="25"/>
      <c r="D196" s="6">
        <v>0.281590185450663</v>
      </c>
      <c r="E196" s="5" t="s">
        <v>334</v>
      </c>
    </row>
    <row r="197" spans="1:5" ht="13" x14ac:dyDescent="0.15">
      <c r="A197" s="7" t="s">
        <v>715</v>
      </c>
      <c r="B197" s="7" t="str">
        <f ca="1">IFERROR(__xludf.DUMMYFUNCTION("GOOGLETRANSLATE(C197)"),"pla end planned end date exceeded without further notice")</f>
        <v>pla end planned end date exceeded without further notice</v>
      </c>
      <c r="C197" s="26" t="s">
        <v>716</v>
      </c>
      <c r="D197" s="8">
        <v>0.27994178877581699</v>
      </c>
      <c r="E197" s="7" t="s">
        <v>341</v>
      </c>
    </row>
    <row r="198" spans="1:5" ht="13" x14ac:dyDescent="0.15">
      <c r="A198" s="5" t="s">
        <v>717</v>
      </c>
      <c r="B198" s="5" t="s">
        <v>718</v>
      </c>
      <c r="C198" s="25" t="s">
        <v>719</v>
      </c>
      <c r="D198" s="6">
        <v>0.279030354985911</v>
      </c>
      <c r="E198" s="5" t="s">
        <v>383</v>
      </c>
    </row>
    <row r="199" spans="1:5" ht="13" x14ac:dyDescent="0.15">
      <c r="A199" s="7" t="s">
        <v>720</v>
      </c>
      <c r="B199" s="7" t="s">
        <v>721</v>
      </c>
      <c r="C199" s="26" t="s">
        <v>722</v>
      </c>
      <c r="D199" s="8">
        <v>0.27824879557949</v>
      </c>
      <c r="E199" s="7" t="s">
        <v>428</v>
      </c>
    </row>
    <row r="200" spans="1:5" ht="13" x14ac:dyDescent="0.15">
      <c r="A200" s="5" t="s">
        <v>723</v>
      </c>
      <c r="B200" s="5" t="str">
        <f ca="1">IFERROR(__xludf.DUMMYFUNCTION("GOOGLETRANSLATE(C200)"),"Personal qualities inquisitiveness")</f>
        <v>Personal qualities inquisitiveness</v>
      </c>
      <c r="C200" s="25"/>
      <c r="D200" s="6">
        <v>0.27225200031819702</v>
      </c>
      <c r="E200" s="5" t="s">
        <v>351</v>
      </c>
    </row>
    <row r="201" spans="1:5" ht="13" x14ac:dyDescent="0.15">
      <c r="A201" s="7" t="s">
        <v>724</v>
      </c>
      <c r="B201" s="7" t="str">
        <f ca="1">IFERROR(__xludf.DUMMYFUNCTION("GOOGLETRANSLATE(C201)"),"pla end other")</f>
        <v>pla end other</v>
      </c>
      <c r="C201" s="26" t="s">
        <v>725</v>
      </c>
      <c r="D201" s="8">
        <v>0.26128402648278798</v>
      </c>
      <c r="E201" s="7" t="s">
        <v>341</v>
      </c>
    </row>
    <row r="202" spans="1:5" ht="13" x14ac:dyDescent="0.15">
      <c r="A202" s="5" t="s">
        <v>726</v>
      </c>
      <c r="B202" s="5" t="str">
        <f ca="1">IFERROR(__xludf.DUMMYFUNCTION("GOOGLETRANSLATE(C202)"),"Appointment last year plan of action")</f>
        <v>Appointment last year plan of action</v>
      </c>
      <c r="C202" s="25" t="s">
        <v>727</v>
      </c>
      <c r="D202" s="6">
        <v>0.24607005939697099</v>
      </c>
      <c r="E202" s="5" t="s">
        <v>379</v>
      </c>
    </row>
    <row r="203" spans="1:5" ht="13" x14ac:dyDescent="0.15">
      <c r="A203" s="7" t="s">
        <v>728</v>
      </c>
      <c r="B203" s="7" t="str">
        <f ca="1">IFERROR(__xludf.DUMMYFUNCTION("GOOGLETRANSLATE(C203)"),"Relationship Other Current Form Parents Carers")</f>
        <v>Relationship Other Current Form Parents Carers</v>
      </c>
      <c r="C203" s="26" t="s">
        <v>729</v>
      </c>
      <c r="D203" s="8">
        <v>0.24382869597058601</v>
      </c>
      <c r="E203" s="7" t="s">
        <v>322</v>
      </c>
    </row>
    <row r="204" spans="1:5" ht="13" x14ac:dyDescent="0.15">
      <c r="A204" s="5" t="s">
        <v>730</v>
      </c>
      <c r="B204" s="5" t="str">
        <f ca="1">IFERROR(__xludf.DUMMYFUNCTION("GOOGLETRANSLATE(C204)"),"Personal qualities Language requirement Write OK")</f>
        <v>Personal qualities Language requirement Write OK</v>
      </c>
      <c r="C204" s="25" t="s">
        <v>731</v>
      </c>
      <c r="D204" s="6">
        <v>0.231916985269289</v>
      </c>
      <c r="E204" s="5" t="s">
        <v>351</v>
      </c>
    </row>
    <row r="205" spans="1:5" ht="13" x14ac:dyDescent="0.15">
      <c r="A205" s="7" t="s">
        <v>732</v>
      </c>
      <c r="B205" s="7" t="str">
        <f ca="1">IFERROR(__xludf.DUMMYFUNCTION("GOOGLETRANSLATE(C205)"),"Instrument Reason termination History Other")</f>
        <v>Instrument Reason termination History Other</v>
      </c>
      <c r="C205" s="26"/>
      <c r="D205" s="8">
        <v>0.22941724791602999</v>
      </c>
      <c r="E205" s="7" t="s">
        <v>402</v>
      </c>
    </row>
    <row r="206" spans="1:5" ht="13" x14ac:dyDescent="0.15">
      <c r="A206" s="5" t="s">
        <v>733</v>
      </c>
      <c r="B206" s="5" t="s">
        <v>734</v>
      </c>
      <c r="C206" s="25" t="s">
        <v>735</v>
      </c>
      <c r="D206" s="6">
        <v>0.22314286290885599</v>
      </c>
      <c r="E206" s="5" t="s">
        <v>360</v>
      </c>
    </row>
    <row r="207" spans="1:5" ht="13" x14ac:dyDescent="0.15">
      <c r="A207" s="7" t="s">
        <v>736</v>
      </c>
      <c r="B207" s="7" t="s">
        <v>737</v>
      </c>
      <c r="C207" s="26" t="s">
        <v>738</v>
      </c>
      <c r="D207" s="8">
        <v>0.21493965578634999</v>
      </c>
      <c r="E207" s="7" t="s">
        <v>428</v>
      </c>
    </row>
    <row r="208" spans="1:5" ht="13" x14ac:dyDescent="0.15">
      <c r="A208" s="5" t="s">
        <v>739</v>
      </c>
      <c r="B208" s="5" t="str">
        <f ca="1">IFERROR(__xludf.DUMMYFUNCTION("GOOGLETRANSLATE(C208)"),"appointment last year exemption")</f>
        <v>appointment last year exemption</v>
      </c>
      <c r="C208" s="25" t="s">
        <v>740</v>
      </c>
      <c r="D208" s="6">
        <v>0.20994369825001499</v>
      </c>
      <c r="E208" s="5" t="s">
        <v>379</v>
      </c>
    </row>
    <row r="209" spans="1:5" ht="13" x14ac:dyDescent="0.15">
      <c r="A209" s="7" t="s">
        <v>741</v>
      </c>
      <c r="B209" s="7" t="s">
        <v>742</v>
      </c>
      <c r="C209" s="26"/>
      <c r="D209" s="8">
        <v>0.209640577527266</v>
      </c>
      <c r="E209" s="7" t="s">
        <v>328</v>
      </c>
    </row>
    <row r="210" spans="1:5" ht="13" x14ac:dyDescent="0.15">
      <c r="A210" s="5" t="s">
        <v>743</v>
      </c>
      <c r="B210" s="5" t="str">
        <f ca="1">IFERROR(__xludf.DUMMYFUNCTION("GOOGLETRANSLATE(C210)"),"PLA History Work")</f>
        <v>PLA History Work</v>
      </c>
      <c r="C210" s="25" t="s">
        <v>744</v>
      </c>
      <c r="D210" s="6">
        <v>0.209301301857205</v>
      </c>
      <c r="E210" s="5" t="s">
        <v>341</v>
      </c>
    </row>
    <row r="211" spans="1:5" ht="13" x14ac:dyDescent="0.15">
      <c r="A211" s="7" t="s">
        <v>745</v>
      </c>
      <c r="B211" s="7" t="str">
        <f ca="1">IFERROR(__xludf.DUMMYFUNCTION("GOOGLETRANSLATE(C211)"),"Instrument Reason termination History Transfer to regular team IWPM")</f>
        <v>Instrument Reason termination History Transfer to regular team IWPM</v>
      </c>
      <c r="C211" s="26"/>
      <c r="D211" s="8">
        <v>0.20302323288249699</v>
      </c>
      <c r="E211" s="7" t="s">
        <v>402</v>
      </c>
    </row>
    <row r="212" spans="1:5" ht="13" x14ac:dyDescent="0.15">
      <c r="A212" s="5" t="s">
        <v>746</v>
      </c>
      <c r="B212" s="5" t="str">
        <f ca="1">IFERROR(__xludf.DUMMYFUNCTION("GOOGLETRANSLATE(C212)"),"Personal characteristics initiative")</f>
        <v>Personal characteristics initiative</v>
      </c>
      <c r="C212" s="25"/>
      <c r="D212" s="6">
        <v>0.20026033383703901</v>
      </c>
      <c r="E212" s="5" t="s">
        <v>351</v>
      </c>
    </row>
    <row r="213" spans="1:5" ht="13" x14ac:dyDescent="0.15">
      <c r="A213" s="7" t="s">
        <v>747</v>
      </c>
      <c r="B213" s="7" t="str">
        <f ca="1">IFERROR(__xludf.DUMMYFUNCTION("GOOGLETRANSLATE(C213)"),"PLA HIST PLA Category Objective 27")</f>
        <v>PLA HIST PLA Category Objective 27</v>
      </c>
      <c r="C213" s="26"/>
      <c r="D213" s="8">
        <v>0.19978946265445799</v>
      </c>
      <c r="E213" s="7" t="s">
        <v>341</v>
      </c>
    </row>
    <row r="214" spans="1:5" ht="13" x14ac:dyDescent="0.15">
      <c r="A214" s="5" t="s">
        <v>748</v>
      </c>
      <c r="B214" s="5" t="str">
        <f ca="1">IFERROR(__xludf.DUMMYFUNCTION("GOOGLETRANSLATE(C214)"),"relationship child primary school child")</f>
        <v>relationship child primary school child</v>
      </c>
      <c r="C214" s="25"/>
      <c r="D214" s="6">
        <v>0.198268561708072</v>
      </c>
      <c r="E214" s="5" t="s">
        <v>322</v>
      </c>
    </row>
    <row r="215" spans="1:5" ht="13" x14ac:dyDescent="0.15">
      <c r="A215" s="7" t="s">
        <v>749</v>
      </c>
      <c r="B215" s="7" t="s">
        <v>750</v>
      </c>
      <c r="C215" s="26" t="s">
        <v>751</v>
      </c>
      <c r="D215" s="8">
        <v>0.19668557648600399</v>
      </c>
      <c r="E215" s="7" t="s">
        <v>402</v>
      </c>
    </row>
    <row r="216" spans="1:5" ht="13" x14ac:dyDescent="0.15">
      <c r="A216" s="5" t="s">
        <v>752</v>
      </c>
      <c r="B216" s="5" t="s">
        <v>753</v>
      </c>
      <c r="C216" s="25" t="s">
        <v>754</v>
      </c>
      <c r="D216" s="6">
        <v>0.183548795931814</v>
      </c>
      <c r="E216" s="5" t="s">
        <v>428</v>
      </c>
    </row>
    <row r="217" spans="1:5" ht="13" x14ac:dyDescent="0.15">
      <c r="A217" s="7" t="s">
        <v>755</v>
      </c>
      <c r="B217" s="7" t="s">
        <v>756</v>
      </c>
      <c r="C217" s="26"/>
      <c r="D217" s="8">
        <v>0.17860946536809699</v>
      </c>
      <c r="E217" s="7" t="s">
        <v>351</v>
      </c>
    </row>
    <row r="218" spans="1:5" ht="13" x14ac:dyDescent="0.15">
      <c r="A218" s="5" t="s">
        <v>757</v>
      </c>
      <c r="B218" s="5" t="s">
        <v>758</v>
      </c>
      <c r="C218" s="25"/>
      <c r="D218" s="6">
        <v>0.17636332316680201</v>
      </c>
      <c r="E218" s="5" t="s">
        <v>328</v>
      </c>
    </row>
    <row r="219" spans="1:5" ht="13" x14ac:dyDescent="0.15">
      <c r="A219" s="7" t="s">
        <v>759</v>
      </c>
      <c r="B219" s="7" t="str">
        <f ca="1">IFERROR(__xludf.DUMMYFUNCTION("GOOGLETRANSLATE(C219)"),"Instrument Reason termination History in the long term")</f>
        <v>Instrument Reason termination History in the long term</v>
      </c>
      <c r="C219" s="26"/>
      <c r="D219" s="8">
        <v>0.17404842281793101</v>
      </c>
      <c r="E219" s="7" t="s">
        <v>402</v>
      </c>
    </row>
    <row r="220" spans="1:5" ht="13" x14ac:dyDescent="0.15">
      <c r="A220" s="5" t="s">
        <v>760</v>
      </c>
      <c r="B220" s="5" t="str">
        <f ca="1">IFERROR(__xludf.DUMMYFUNCTION("GOOGLETRANSLATE(C220)"),"Competence ethical and honest action")</f>
        <v>Competence ethical and honest action</v>
      </c>
      <c r="C220" s="25"/>
      <c r="D220" s="6">
        <v>0.172962976010446</v>
      </c>
      <c r="E220" s="5" t="s">
        <v>328</v>
      </c>
    </row>
    <row r="221" spans="1:5" ht="13" x14ac:dyDescent="0.15">
      <c r="A221" s="7" t="s">
        <v>761</v>
      </c>
      <c r="B221" s="7" t="str">
        <f ca="1">IFERROR(__xludf.DUMMYFUNCTION("GOOGLETRANSLATE(C221)"),"Appointment check referral")</f>
        <v>Appointment check referral</v>
      </c>
      <c r="C221" s="26" t="s">
        <v>762</v>
      </c>
      <c r="D221" s="8">
        <v>0.16449137903147901</v>
      </c>
      <c r="E221" s="7" t="s">
        <v>379</v>
      </c>
    </row>
    <row r="222" spans="1:5" ht="13" x14ac:dyDescent="0.15">
      <c r="A222" s="5" t="s">
        <v>763</v>
      </c>
      <c r="B222" s="5" t="s">
        <v>764</v>
      </c>
      <c r="C222" s="25"/>
      <c r="D222" s="6">
        <v>0.16136326971987</v>
      </c>
      <c r="E222" s="5" t="s">
        <v>351</v>
      </c>
    </row>
    <row r="223" spans="1:5" ht="13" x14ac:dyDescent="0.15">
      <c r="A223" s="7" t="s">
        <v>765</v>
      </c>
      <c r="B223" s="7" t="s">
        <v>766</v>
      </c>
      <c r="C223" s="26"/>
      <c r="D223" s="8">
        <v>0.15305296518359199</v>
      </c>
      <c r="E223" s="7" t="s">
        <v>351</v>
      </c>
    </row>
    <row r="224" spans="1:5" ht="13" x14ac:dyDescent="0.15">
      <c r="A224" s="5" t="s">
        <v>767</v>
      </c>
      <c r="B224" s="5" t="str">
        <f ca="1">IFERROR(__xludf.DUMMYFUNCTION("GOOGLETRANSLATE(C224)"),"Personal qualities NL Write 0")</f>
        <v>Personal qualities NL Write 0</v>
      </c>
      <c r="C224" s="25"/>
      <c r="D224" s="6">
        <v>0.142233570993167</v>
      </c>
      <c r="E224" s="5" t="s">
        <v>351</v>
      </c>
    </row>
    <row r="225" spans="1:5" ht="13" x14ac:dyDescent="0.15">
      <c r="A225" s="7" t="s">
        <v>768</v>
      </c>
      <c r="B225" s="7" t="str">
        <f ca="1">IFERROR(__xludf.DUMMYFUNCTION("GOOGLETRANSLATE(C225)"),"Personal characteristics in regular labor rhythm")</f>
        <v>Personal characteristics in regular labor rhythm</v>
      </c>
      <c r="C225" s="26"/>
      <c r="D225" s="8">
        <v>0.141302823297283</v>
      </c>
      <c r="E225" s="7" t="s">
        <v>351</v>
      </c>
    </row>
    <row r="226" spans="1:5" ht="13" x14ac:dyDescent="0.15">
      <c r="A226" s="5" t="s">
        <v>769</v>
      </c>
      <c r="B226" s="5" t="str">
        <f ca="1">IFERROR(__xludf.DUMMYFUNCTION("GOOGLETRANSLATE(C226)"),"PLA Current PLA Category Objective 16")</f>
        <v>PLA Current PLA Category Objective 16</v>
      </c>
      <c r="C226" s="25"/>
      <c r="D226" s="6">
        <v>0.13840146211846099</v>
      </c>
      <c r="E226" s="5" t="s">
        <v>341</v>
      </c>
    </row>
    <row r="227" spans="1:5" ht="13" x14ac:dyDescent="0.15">
      <c r="A227" s="7" t="s">
        <v>770</v>
      </c>
      <c r="B227" s="7" t="s">
        <v>771</v>
      </c>
      <c r="C227" s="26" t="s">
        <v>772</v>
      </c>
      <c r="D227" s="8">
        <v>0.134874390943897</v>
      </c>
      <c r="E227" s="7" t="s">
        <v>351</v>
      </c>
    </row>
    <row r="228" spans="1:5" ht="13" x14ac:dyDescent="0.15">
      <c r="A228" s="5" t="s">
        <v>773</v>
      </c>
      <c r="B228" s="5" t="str">
        <f ca="1">IFERROR(__xludf.DUMMYFUNCTION("GOOGLETRANSLATE(C228)"),"Instrument Ladder Current Work Re Integration")</f>
        <v>Instrument Ladder Current Work Re Integration</v>
      </c>
      <c r="C228" s="25" t="s">
        <v>774</v>
      </c>
      <c r="D228" s="6">
        <v>0.13468748136014799</v>
      </c>
      <c r="E228" s="5" t="s">
        <v>402</v>
      </c>
    </row>
    <row r="229" spans="1:5" ht="13" x14ac:dyDescent="0.15">
      <c r="A229" s="7" t="s">
        <v>775</v>
      </c>
      <c r="B229" s="7" t="s">
        <v>776</v>
      </c>
      <c r="C229" s="26"/>
      <c r="D229" s="8">
        <v>0.13305649732136701</v>
      </c>
      <c r="E229" s="7" t="s">
        <v>328</v>
      </c>
    </row>
    <row r="230" spans="1:5" ht="13" x14ac:dyDescent="0.15">
      <c r="A230" s="5" t="s">
        <v>777</v>
      </c>
      <c r="B230" s="5" t="str">
        <f ca="1">IFERROR(__xludf.DUMMYFUNCTION("GOOGLETRANSLATE(C230)"),"Personal characteristics perseverance")</f>
        <v>Personal characteristics perseverance</v>
      </c>
      <c r="C230" s="25"/>
      <c r="D230" s="6">
        <v>0.121273338079672</v>
      </c>
      <c r="E230" s="5" t="s">
        <v>351</v>
      </c>
    </row>
    <row r="231" spans="1:5" ht="13" x14ac:dyDescent="0.15">
      <c r="A231" s="7" t="s">
        <v>778</v>
      </c>
      <c r="B231" s="7" t="str">
        <f ca="1">IFERROR(__xludf.DUMMYFUNCTION("GOOGLETRANSLATE(C231)"),"Obstacle Hist Psychological Problems")</f>
        <v>Obstacle Hist Psychological Problems</v>
      </c>
      <c r="C231" s="26" t="s">
        <v>779</v>
      </c>
      <c r="D231" s="8">
        <v>0.12096244570817601</v>
      </c>
      <c r="E231" s="7" t="s">
        <v>383</v>
      </c>
    </row>
    <row r="232" spans="1:5" ht="13" x14ac:dyDescent="0.15">
      <c r="A232" s="5" t="s">
        <v>780</v>
      </c>
      <c r="B232" s="5" t="str">
        <f ca="1">IFERROR(__xludf.DUMMYFUNCTION("GOOGLETRANSLATE(C232)"),"Personal characteristics communication")</f>
        <v>Personal characteristics communication</v>
      </c>
      <c r="C232" s="25"/>
      <c r="D232" s="6">
        <v>0.10923264448238799</v>
      </c>
      <c r="E232" s="5" t="s">
        <v>351</v>
      </c>
    </row>
    <row r="233" spans="1:5" ht="13" x14ac:dyDescent="0.15">
      <c r="A233" s="7" t="s">
        <v>781</v>
      </c>
      <c r="B233" s="7" t="s">
        <v>782</v>
      </c>
      <c r="C233" s="26" t="s">
        <v>783</v>
      </c>
      <c r="D233" s="8">
        <v>0.10825707532083401</v>
      </c>
      <c r="E233" s="7" t="s">
        <v>351</v>
      </c>
    </row>
    <row r="234" spans="1:5" ht="13" x14ac:dyDescent="0.15">
      <c r="A234" s="5" t="s">
        <v>784</v>
      </c>
      <c r="B234" s="5" t="s">
        <v>785</v>
      </c>
      <c r="C234" s="25" t="s">
        <v>786</v>
      </c>
      <c r="D234" s="6">
        <v>0.10676556902302201</v>
      </c>
      <c r="E234" s="5" t="s">
        <v>360</v>
      </c>
    </row>
    <row r="235" spans="1:5" ht="13" x14ac:dyDescent="0.15">
      <c r="A235" s="7" t="s">
        <v>787</v>
      </c>
      <c r="B235" s="7" t="str">
        <f ca="1">IFERROR(__xludf.DUMMYFUNCTION("GOOGLETRANSLATE(C235)"),"Personal qualities NL Write 2")</f>
        <v>Personal qualities NL Write 2</v>
      </c>
      <c r="C235" s="26"/>
      <c r="D235" s="8">
        <v>0.105778359033252</v>
      </c>
      <c r="E235" s="7" t="s">
        <v>351</v>
      </c>
    </row>
    <row r="236" spans="1:5" ht="13" x14ac:dyDescent="0.15">
      <c r="A236" s="5" t="s">
        <v>788</v>
      </c>
      <c r="B236" s="5" t="str">
        <f ca="1">IFERROR(__xludf.DUMMYFUNCTION("GOOGLETRANSLATE(C236)"),"PLA End of objective reaches transfer")</f>
        <v>PLA End of objective reaches transfer</v>
      </c>
      <c r="C236" s="25" t="s">
        <v>789</v>
      </c>
      <c r="D236" s="6">
        <v>0.10339153314862499</v>
      </c>
      <c r="E236" s="5" t="s">
        <v>341</v>
      </c>
    </row>
    <row r="237" spans="1:5" ht="13" x14ac:dyDescent="0.15">
      <c r="A237" s="7" t="s">
        <v>790</v>
      </c>
      <c r="B237" s="7" t="str">
        <f ca="1">IFERROR(__xludf.DUMMYFUNCTION("GOOGLETRANSLATE(C237)"),"Contacts Subject Boolean Match Work")</f>
        <v>Contacts Subject Boolean Match Work</v>
      </c>
      <c r="C237" s="26"/>
      <c r="D237" s="8">
        <v>0.102769682873582</v>
      </c>
      <c r="E237" s="7" t="s">
        <v>325</v>
      </c>
    </row>
    <row r="238" spans="1:5" ht="13" x14ac:dyDescent="0.15">
      <c r="A238" s="5" t="s">
        <v>791</v>
      </c>
      <c r="B238" s="5" t="s">
        <v>792</v>
      </c>
      <c r="C238" s="25" t="s">
        <v>793</v>
      </c>
      <c r="D238" s="6">
        <v>0.100737398212232</v>
      </c>
      <c r="E238" s="5" t="s">
        <v>322</v>
      </c>
    </row>
    <row r="239" spans="1:5" ht="13" x14ac:dyDescent="0.15">
      <c r="A239" s="7" t="s">
        <v>794</v>
      </c>
      <c r="B239" s="7" t="s">
        <v>795</v>
      </c>
      <c r="C239" s="26" t="s">
        <v>796</v>
      </c>
      <c r="D239" s="8">
        <v>9.7508434023908797E-2</v>
      </c>
      <c r="E239" s="7" t="s">
        <v>396</v>
      </c>
    </row>
    <row r="240" spans="1:5" ht="13" x14ac:dyDescent="0.15">
      <c r="A240" s="5" t="s">
        <v>797</v>
      </c>
      <c r="B240" s="5" t="s">
        <v>798</v>
      </c>
      <c r="C240" s="25" t="s">
        <v>799</v>
      </c>
      <c r="D240" s="6">
        <v>9.7258246469993107E-2</v>
      </c>
      <c r="E240" s="5" t="s">
        <v>383</v>
      </c>
    </row>
    <row r="241" spans="1:5" ht="13" x14ac:dyDescent="0.15">
      <c r="A241" s="7" t="s">
        <v>800</v>
      </c>
      <c r="B241" s="7" t="s">
        <v>801</v>
      </c>
      <c r="C241" s="26" t="s">
        <v>802</v>
      </c>
      <c r="D241" s="8">
        <v>9.4076916263989702E-2</v>
      </c>
      <c r="E241" s="7" t="s">
        <v>383</v>
      </c>
    </row>
    <row r="242" spans="1:5" ht="13" x14ac:dyDescent="0.15">
      <c r="A242" s="5" t="s">
        <v>803</v>
      </c>
      <c r="B242" s="5" t="str">
        <f ca="1">IFERROR(__xludf.DUMMYFUNCTION("GOOGLETRANSLATE(C242)"),"address most recent IJsselmonde district")</f>
        <v>address most recent IJsselmonde district</v>
      </c>
      <c r="C242" s="25"/>
      <c r="D242" s="6">
        <v>9.1141905495905201E-2</v>
      </c>
      <c r="E242" s="5" t="s">
        <v>334</v>
      </c>
    </row>
    <row r="243" spans="1:5" ht="13" x14ac:dyDescent="0.15">
      <c r="A243" s="7" t="s">
        <v>804</v>
      </c>
      <c r="B243" s="7" t="s">
        <v>805</v>
      </c>
      <c r="C243" s="26"/>
      <c r="D243" s="8">
        <v>8.9770718221529794E-2</v>
      </c>
      <c r="E243" s="7" t="s">
        <v>402</v>
      </c>
    </row>
    <row r="244" spans="1:5" ht="13" x14ac:dyDescent="0.15">
      <c r="A244" s="5" t="s">
        <v>806</v>
      </c>
      <c r="B244" s="5" t="s">
        <v>807</v>
      </c>
      <c r="C244" s="25"/>
      <c r="D244" s="6">
        <v>8.94439591693557E-2</v>
      </c>
      <c r="E244" s="5" t="s">
        <v>428</v>
      </c>
    </row>
    <row r="245" spans="1:5" ht="13" x14ac:dyDescent="0.15">
      <c r="A245" s="7" t="s">
        <v>808</v>
      </c>
      <c r="B245" s="7" t="s">
        <v>809</v>
      </c>
      <c r="C245" s="26"/>
      <c r="D245" s="8">
        <v>8.7876283088846305E-2</v>
      </c>
      <c r="E245" s="7" t="s">
        <v>334</v>
      </c>
    </row>
    <row r="246" spans="1:5" ht="13" x14ac:dyDescent="0.15">
      <c r="A246" s="5" t="s">
        <v>810</v>
      </c>
      <c r="B246" s="5" t="str">
        <f ca="1">IFERROR(__xludf.DUMMYFUNCTION("GOOGLETRANSLATE(C246)"),"Contacts Subject vacation")</f>
        <v>Contacts Subject vacation</v>
      </c>
      <c r="C246" s="25"/>
      <c r="D246" s="6">
        <v>8.6735410855510606E-2</v>
      </c>
      <c r="E246" s="5" t="s">
        <v>325</v>
      </c>
    </row>
    <row r="247" spans="1:5" ht="13" x14ac:dyDescent="0.15">
      <c r="A247" s="7" t="s">
        <v>811</v>
      </c>
      <c r="B247" s="7" t="s">
        <v>812</v>
      </c>
      <c r="C247" s="26"/>
      <c r="D247" s="8">
        <v>8.4308946930591197E-2</v>
      </c>
      <c r="E247" s="7" t="s">
        <v>402</v>
      </c>
    </row>
    <row r="248" spans="1:5" ht="13" x14ac:dyDescent="0.15">
      <c r="A248" s="5" t="s">
        <v>813</v>
      </c>
      <c r="B248" s="5" t="str">
        <f ca="1">IFERROR(__xludf.DUMMYFUNCTION("GOOGLETRANSLATE(C248)"),"PLA HIST PLA Category Objective 6")</f>
        <v>PLA HIST PLA Category Objective 6</v>
      </c>
      <c r="C248" s="25"/>
      <c r="D248" s="6">
        <v>8.3928196137827094E-2</v>
      </c>
      <c r="E248" s="5" t="s">
        <v>341</v>
      </c>
    </row>
    <row r="249" spans="1:5" ht="13" x14ac:dyDescent="0.15">
      <c r="A249" s="7" t="s">
        <v>814</v>
      </c>
      <c r="B249" s="7" t="str">
        <f ca="1">IFERROR(__xludf.DUMMYFUNCTION("GOOGLETRANSLATE(C249)"),"Relationship Other Current Form maintenance person")</f>
        <v>Relationship Other Current Form maintenance person</v>
      </c>
      <c r="C249" s="26"/>
      <c r="D249" s="8">
        <v>8.3442633450062406E-2</v>
      </c>
      <c r="E249" s="7" t="s">
        <v>322</v>
      </c>
    </row>
    <row r="250" spans="1:5" ht="13" x14ac:dyDescent="0.15">
      <c r="A250" s="5" t="s">
        <v>815</v>
      </c>
      <c r="B250" s="5" t="s">
        <v>816</v>
      </c>
      <c r="C250" s="25" t="s">
        <v>817</v>
      </c>
      <c r="D250" s="6">
        <v>8.2465482246508098E-2</v>
      </c>
      <c r="E250" s="5" t="s">
        <v>383</v>
      </c>
    </row>
    <row r="251" spans="1:5" ht="13" x14ac:dyDescent="0.15">
      <c r="A251" s="7" t="s">
        <v>818</v>
      </c>
      <c r="B251" s="7" t="str">
        <f ca="1">IFERROR(__xludf.DUMMYFUNCTION("GOOGLETRANSLATE(C251)"),"availability recently deviant due to social situation")</f>
        <v>availability recently deviant due to social situation</v>
      </c>
      <c r="C251" s="26" t="s">
        <v>819</v>
      </c>
      <c r="D251" s="8">
        <v>8.2325837171601093E-2</v>
      </c>
      <c r="E251" s="7" t="s">
        <v>396</v>
      </c>
    </row>
    <row r="252" spans="1:5" ht="13" x14ac:dyDescent="0.15">
      <c r="A252" s="5" t="s">
        <v>820</v>
      </c>
      <c r="B252" s="5" t="str">
        <f ca="1">IFERROR(__xludf.DUMMYFUNCTION("GOOGLETRANSLATE(C252)"),"Availability current known")</f>
        <v>Availability current known</v>
      </c>
      <c r="C252" s="25" t="s">
        <v>821</v>
      </c>
      <c r="D252" s="6">
        <v>8.1560903505943194E-2</v>
      </c>
      <c r="E252" s="5" t="s">
        <v>396</v>
      </c>
    </row>
    <row r="253" spans="1:5" ht="13" x14ac:dyDescent="0.15">
      <c r="A253" s="7" t="s">
        <v>822</v>
      </c>
      <c r="B253" s="7" t="s">
        <v>823</v>
      </c>
      <c r="C253" s="26"/>
      <c r="D253" s="8">
        <v>7.38474260910814E-2</v>
      </c>
      <c r="E253" s="7" t="s">
        <v>428</v>
      </c>
    </row>
    <row r="254" spans="1:5" ht="13" x14ac:dyDescent="0.15">
      <c r="A254" s="5" t="s">
        <v>824</v>
      </c>
      <c r="B254" s="5" t="str">
        <f ca="1">IFERROR(__xludf.DUMMYFUNCTION("GOOGLETRANSLATE(C254)"),"address most recent neighborhood Nieuwe Westen")</f>
        <v>address most recent neighborhood Nieuwe Westen</v>
      </c>
      <c r="C254" s="25"/>
      <c r="D254" s="6">
        <v>0</v>
      </c>
      <c r="E254" s="5" t="s">
        <v>334</v>
      </c>
    </row>
    <row r="255" spans="1:5" ht="13" x14ac:dyDescent="0.15">
      <c r="A255" s="7" t="s">
        <v>825</v>
      </c>
      <c r="B255" s="7" t="str">
        <f ca="1">IFERROR(__xludf.DUMMYFUNCTION("GOOGLETRANSLATE(C255)"),"address most recent neighborhood Oude Noorden")</f>
        <v>address most recent neighborhood Oude Noorden</v>
      </c>
      <c r="C255" s="26"/>
      <c r="D255" s="8">
        <v>0</v>
      </c>
      <c r="E255" s="7" t="s">
        <v>334</v>
      </c>
    </row>
    <row r="256" spans="1:5" ht="13" x14ac:dyDescent="0.15">
      <c r="A256" s="5" t="s">
        <v>826</v>
      </c>
      <c r="B256" s="5" t="str">
        <f ca="1">IFERROR(__xludf.DUMMYFUNCTION("GOOGLETRANSLATE(C256)"),"address most recent")</f>
        <v>address most recent</v>
      </c>
      <c r="C256" s="25"/>
      <c r="D256" s="6">
        <v>0</v>
      </c>
      <c r="E256" s="5" t="s">
        <v>334</v>
      </c>
    </row>
    <row r="257" spans="1:5" ht="13" x14ac:dyDescent="0.15">
      <c r="A257" s="7" t="s">
        <v>827</v>
      </c>
      <c r="B257" s="7" t="str">
        <f ca="1">IFERROR(__xludf.DUMMYFUNCTION("GOOGLETRANSLATE(C257)"),"Appointment last year Follow -up measurement matchability Job -seeking customer")</f>
        <v>Appointment last year Follow -up measurement matchability Job -seeking customer</v>
      </c>
      <c r="C257" s="26"/>
      <c r="D257" s="8">
        <v>0</v>
      </c>
      <c r="E257" s="7" t="s">
        <v>379</v>
      </c>
    </row>
    <row r="258" spans="1:5" ht="13" x14ac:dyDescent="0.15">
      <c r="A258" s="5" t="s">
        <v>828</v>
      </c>
      <c r="B258" s="5" t="s">
        <v>829</v>
      </c>
      <c r="C258" s="25"/>
      <c r="D258" s="6">
        <v>0</v>
      </c>
      <c r="E258" s="5" t="s">
        <v>383</v>
      </c>
    </row>
    <row r="259" spans="1:5" ht="13" x14ac:dyDescent="0.15">
      <c r="A259" s="7" t="s">
        <v>830</v>
      </c>
      <c r="B259" s="7" t="s">
        <v>831</v>
      </c>
      <c r="C259" s="26"/>
      <c r="D259" s="8">
        <v>0</v>
      </c>
      <c r="E259" s="7" t="s">
        <v>383</v>
      </c>
    </row>
    <row r="260" spans="1:5" ht="13" x14ac:dyDescent="0.15">
      <c r="A260" s="5" t="s">
        <v>832</v>
      </c>
      <c r="B260" s="5" t="s">
        <v>833</v>
      </c>
      <c r="C260" s="25"/>
      <c r="D260" s="6">
        <v>0</v>
      </c>
      <c r="E260" s="5" t="s">
        <v>383</v>
      </c>
    </row>
    <row r="261" spans="1:5" ht="13" x14ac:dyDescent="0.15">
      <c r="A261" s="7" t="s">
        <v>834</v>
      </c>
      <c r="B261" s="7" t="s">
        <v>835</v>
      </c>
      <c r="C261" s="26"/>
      <c r="D261" s="8">
        <v>0</v>
      </c>
      <c r="E261" s="7" t="s">
        <v>328</v>
      </c>
    </row>
    <row r="262" spans="1:5" ht="13" x14ac:dyDescent="0.15">
      <c r="A262" s="5" t="s">
        <v>836</v>
      </c>
      <c r="B262" s="5" t="s">
        <v>837</v>
      </c>
      <c r="C262" s="25"/>
      <c r="D262" s="6">
        <v>0</v>
      </c>
      <c r="E262" s="5" t="s">
        <v>328</v>
      </c>
    </row>
    <row r="263" spans="1:5" ht="13" x14ac:dyDescent="0.15">
      <c r="A263" s="7" t="s">
        <v>838</v>
      </c>
      <c r="B263" s="7" t="str">
        <f ca="1">IFERROR(__xludf.DUMMYFUNCTION("GOOGLETRANSLATE(C263)"),"competence dealing with change and adjustment")</f>
        <v>competence dealing with change and adjustment</v>
      </c>
      <c r="C263" s="26"/>
      <c r="D263" s="8">
        <v>0</v>
      </c>
      <c r="E263" s="7" t="s">
        <v>328</v>
      </c>
    </row>
    <row r="264" spans="1:5" ht="13" x14ac:dyDescent="0.15">
      <c r="A264" s="5" t="s">
        <v>839</v>
      </c>
      <c r="B264" s="5" t="str">
        <f ca="1">IFERROR(__xludf.DUMMYFUNCTION("GOOGLETRANSLATE(C264)"),"Contacts Subject Pre Intake")</f>
        <v>Contacts Subject Pre Intake</v>
      </c>
      <c r="C264" s="25"/>
      <c r="D264" s="6">
        <v>0</v>
      </c>
      <c r="E264" s="5" t="s">
        <v>325</v>
      </c>
    </row>
    <row r="265" spans="1:5" ht="13" x14ac:dyDescent="0.15">
      <c r="A265" s="7" t="s">
        <v>840</v>
      </c>
      <c r="B265" s="7" t="str">
        <f ca="1">IFERROR(__xludf.DUMMYFUNCTION("GOOGLETRANSLATE(C265)"),"Contacts subject Boolean Labor motivation")</f>
        <v>Contacts subject Boolean Labor motivation</v>
      </c>
      <c r="C265" s="26"/>
      <c r="D265" s="8">
        <v>0</v>
      </c>
      <c r="E265" s="7" t="s">
        <v>325</v>
      </c>
    </row>
    <row r="266" spans="1:5" ht="13" x14ac:dyDescent="0.15">
      <c r="A266" s="5" t="s">
        <v>841</v>
      </c>
      <c r="B266" s="5" t="str">
        <f ca="1">IFERROR(__xludf.DUMMYFUNCTION("GOOGLETRANSLATE(C266)"),"Contacts Subject Boolean Pre Intake")</f>
        <v>Contacts Subject Boolean Pre Intake</v>
      </c>
      <c r="C266" s="25"/>
      <c r="D266" s="6">
        <v>0</v>
      </c>
      <c r="E266" s="5" t="s">
        <v>325</v>
      </c>
    </row>
    <row r="267" spans="1:5" ht="13" x14ac:dyDescent="0.15">
      <c r="A267" s="7" t="s">
        <v>842</v>
      </c>
      <c r="B267" s="7" t="str">
        <f ca="1">IFERROR(__xludf.DUMMYFUNCTION("GOOGLETRANSLATE(C267)"),"Contacts Subject Boolean Work Intake")</f>
        <v>Contacts Subject Boolean Work Intake</v>
      </c>
      <c r="C267" s="26"/>
      <c r="D267" s="8">
        <v>0</v>
      </c>
      <c r="E267" s="7" t="s">
        <v>325</v>
      </c>
    </row>
    <row r="268" spans="1:5" ht="13" x14ac:dyDescent="0.15">
      <c r="A268" s="5" t="s">
        <v>843</v>
      </c>
      <c r="B268" s="5" t="s">
        <v>844</v>
      </c>
      <c r="C268" s="25"/>
      <c r="D268" s="6">
        <v>0</v>
      </c>
      <c r="E268" s="5" t="s">
        <v>325</v>
      </c>
    </row>
    <row r="269" spans="1:5" ht="13" x14ac:dyDescent="0.15">
      <c r="A269" s="7" t="s">
        <v>845</v>
      </c>
      <c r="B269" s="7" t="str">
        <f ca="1">IFERROR(__xludf.DUMMYFUNCTION("GOOGLETRANSLATE(C269)"),"Contacts Subject Boolean Contact third parties")</f>
        <v>Contacts Subject Boolean Contact third parties</v>
      </c>
      <c r="C269" s="26"/>
      <c r="D269" s="8">
        <v>0</v>
      </c>
      <c r="E269" s="7" t="s">
        <v>325</v>
      </c>
    </row>
    <row r="270" spans="1:5" ht="13" x14ac:dyDescent="0.15">
      <c r="A270" s="5" t="s">
        <v>846</v>
      </c>
      <c r="B270" s="5" t="s">
        <v>847</v>
      </c>
      <c r="C270" s="25"/>
      <c r="D270" s="6">
        <v>0</v>
      </c>
      <c r="E270" s="5" t="s">
        <v>325</v>
      </c>
    </row>
    <row r="271" spans="1:5" ht="13" x14ac:dyDescent="0.15">
      <c r="A271" s="7" t="s">
        <v>848</v>
      </c>
      <c r="B271" s="7" t="str">
        <f ca="1">IFERROR(__xludf.DUMMYFUNCTION("GOOGLETRANSLATE(C271)"),"Contacts Subject Boolean Diagnose interview")</f>
        <v>Contacts Subject Boolean Diagnose interview</v>
      </c>
      <c r="C271" s="26"/>
      <c r="D271" s="8">
        <v>0</v>
      </c>
      <c r="E271" s="7" t="s">
        <v>325</v>
      </c>
    </row>
    <row r="272" spans="1:5" ht="13" x14ac:dyDescent="0.15">
      <c r="A272" s="5" t="s">
        <v>849</v>
      </c>
      <c r="B272" s="5" t="s">
        <v>850</v>
      </c>
      <c r="C272" s="25"/>
      <c r="D272" s="6">
        <v>0</v>
      </c>
      <c r="E272" s="5" t="s">
        <v>325</v>
      </c>
    </row>
    <row r="273" spans="1:5" ht="13" x14ac:dyDescent="0.15">
      <c r="A273" s="7" t="s">
        <v>851</v>
      </c>
      <c r="B273" s="7" t="str">
        <f ca="1">IFERROR(__xludf.DUMMYFUNCTION("GOOGLETRANSLATE(C273)"),"Contacts Subject Boolean Document Type CV")</f>
        <v>Contacts Subject Boolean Document Type CV</v>
      </c>
      <c r="C273" s="26"/>
      <c r="D273" s="8">
        <v>0</v>
      </c>
      <c r="E273" s="7" t="s">
        <v>325</v>
      </c>
    </row>
    <row r="274" spans="1:5" ht="13" x14ac:dyDescent="0.15">
      <c r="A274" s="5" t="s">
        <v>852</v>
      </c>
      <c r="B274" s="5" t="str">
        <f ca="1">IFERROR(__xludf.DUMMYFUNCTION("GOOGLETRANSLATE(C274)"),"Contacts Subject Boolean Document Type Agreement")</f>
        <v>Contacts Subject Boolean Document Type Agreement</v>
      </c>
      <c r="C274" s="25"/>
      <c r="D274" s="6">
        <v>0</v>
      </c>
      <c r="E274" s="5" t="s">
        <v>325</v>
      </c>
    </row>
    <row r="275" spans="1:5" ht="13" x14ac:dyDescent="0.15">
      <c r="A275" s="7" t="s">
        <v>853</v>
      </c>
      <c r="B275" s="7" t="s">
        <v>854</v>
      </c>
      <c r="C275" s="26"/>
      <c r="D275" s="8">
        <v>0</v>
      </c>
      <c r="E275" s="7" t="s">
        <v>325</v>
      </c>
    </row>
    <row r="276" spans="1:5" ht="13" x14ac:dyDescent="0.15">
      <c r="A276" s="5" t="s">
        <v>855</v>
      </c>
      <c r="B276" s="5" t="str">
        <f ca="1">IFERROR(__xludf.DUMMYFUNCTION("GOOGLETRANSLATE(C276)"),"Contacts Subject Boolean Group meeting")</f>
        <v>Contacts Subject Boolean Group meeting</v>
      </c>
      <c r="C276" s="25"/>
      <c r="D276" s="6">
        <v>0</v>
      </c>
      <c r="E276" s="5" t="s">
        <v>325</v>
      </c>
    </row>
    <row r="277" spans="1:5" ht="13" x14ac:dyDescent="0.15">
      <c r="A277" s="7" t="s">
        <v>856</v>
      </c>
      <c r="B277" s="7" t="str">
        <f ca="1">IFERROR(__xludf.DUMMYFUNCTION("GOOGLETRANSLATE(C277)"),"Contacts Subject Boolean Income")</f>
        <v>Contacts Subject Boolean Income</v>
      </c>
      <c r="C277" s="26"/>
      <c r="D277" s="8">
        <v>0</v>
      </c>
      <c r="E277" s="7" t="s">
        <v>325</v>
      </c>
    </row>
    <row r="278" spans="1:5" ht="13" x14ac:dyDescent="0.15">
      <c r="A278" s="5" t="s">
        <v>857</v>
      </c>
      <c r="B278" s="5" t="str">
        <f ca="1">IFERROR(__xludf.DUMMYFUNCTION("GOOGLETRANSLATE(C278)"),"Contacts Subject Boolean Measure consideration")</f>
        <v>Contacts Subject Boolean Measure consideration</v>
      </c>
      <c r="C278" s="25"/>
      <c r="D278" s="6">
        <v>0</v>
      </c>
      <c r="E278" s="5" t="s">
        <v>325</v>
      </c>
    </row>
    <row r="279" spans="1:5" ht="13" x14ac:dyDescent="0.15">
      <c r="A279" s="7" t="s">
        <v>858</v>
      </c>
      <c r="B279" s="7" t="str">
        <f ca="1">IFERROR(__xludf.DUMMYFUNCTION("GOOGLETRANSLATE(C279)"),"Contacts Subject Boolean Matching")</f>
        <v>Contacts Subject Boolean Matching</v>
      </c>
      <c r="C279" s="26"/>
      <c r="D279" s="8">
        <v>0</v>
      </c>
      <c r="E279" s="7" t="s">
        <v>325</v>
      </c>
    </row>
    <row r="280" spans="1:5" ht="13" x14ac:dyDescent="0.15">
      <c r="A280" s="5" t="s">
        <v>859</v>
      </c>
      <c r="B280" s="5" t="str">
        <f ca="1">IFERROR(__xludf.DUMMYFUNCTION("GOOGLETRANSLATE(C280)"),"Contacts Subject Boolean mutation")</f>
        <v>Contacts Subject Boolean mutation</v>
      </c>
      <c r="C280" s="25"/>
      <c r="D280" s="6">
        <v>0</v>
      </c>
      <c r="E280" s="5" t="s">
        <v>325</v>
      </c>
    </row>
    <row r="281" spans="1:5" ht="13" x14ac:dyDescent="0.15">
      <c r="A281" s="7" t="s">
        <v>860</v>
      </c>
      <c r="B281" s="7" t="str">
        <f ca="1">IFERROR(__xludf.DUMMYFUNCTION("GOOGLETRANSLATE(C281)"),"Contacts Subject Boolean No Show")</f>
        <v>Contacts Subject Boolean No Show</v>
      </c>
      <c r="C281" s="26"/>
      <c r="D281" s="8">
        <v>0</v>
      </c>
      <c r="E281" s="7" t="s">
        <v>325</v>
      </c>
    </row>
    <row r="282" spans="1:5" ht="13" x14ac:dyDescent="0.15">
      <c r="A282" s="5" t="s">
        <v>861</v>
      </c>
      <c r="B282" s="5" t="str">
        <f ca="1">IFERROR(__xludf.DUMMYFUNCTION("GOOGLETRANSLATE(C282)"),"Contacts Subject Boolean Other")</f>
        <v>Contacts Subject Boolean Other</v>
      </c>
      <c r="C282" s="25"/>
      <c r="D282" s="6">
        <v>0</v>
      </c>
      <c r="E282" s="5" t="s">
        <v>325</v>
      </c>
    </row>
    <row r="283" spans="1:5" ht="13" x14ac:dyDescent="0.15">
      <c r="A283" s="7" t="s">
        <v>862</v>
      </c>
      <c r="B283" s="7" t="str">
        <f ca="1">IFERROR(__xludf.DUMMYFUNCTION("GOOGLETRANSLATE(C283)"),"Contacts Subject Boolean Consultation with Income")</f>
        <v>Contacts Subject Boolean Consultation with Income</v>
      </c>
      <c r="C283" s="26"/>
      <c r="D283" s="8">
        <v>0</v>
      </c>
      <c r="E283" s="7" t="s">
        <v>325</v>
      </c>
    </row>
    <row r="284" spans="1:5" ht="13" x14ac:dyDescent="0.15">
      <c r="A284" s="5" t="s">
        <v>863</v>
      </c>
      <c r="B284" s="5" t="str">
        <f ca="1">IFERROR(__xludf.DUMMYFUNCTION("GOOGLETRANSLATE(C284)"),"Contacts Subject Boolean Training")</f>
        <v>Contacts Subject Boolean Training</v>
      </c>
      <c r="C284" s="25"/>
      <c r="D284" s="6">
        <v>0</v>
      </c>
      <c r="E284" s="5" t="s">
        <v>325</v>
      </c>
    </row>
    <row r="285" spans="1:5" ht="13" x14ac:dyDescent="0.15">
      <c r="A285" s="7" t="s">
        <v>864</v>
      </c>
      <c r="B285" s="7" t="str">
        <f ca="1">IFERROR(__xludf.DUMMYFUNCTION("GOOGLETRANSLATE(C285)"),"Contacts Subject Boolean Application")</f>
        <v>Contacts Subject Boolean Application</v>
      </c>
      <c r="C285" s="26"/>
      <c r="D285" s="8">
        <v>0</v>
      </c>
      <c r="E285" s="7" t="s">
        <v>325</v>
      </c>
    </row>
    <row r="286" spans="1:5" ht="13" x14ac:dyDescent="0.15">
      <c r="A286" s="5" t="s">
        <v>865</v>
      </c>
      <c r="B286" s="5" t="s">
        <v>866</v>
      </c>
      <c r="C286" s="25" t="s">
        <v>867</v>
      </c>
      <c r="D286" s="6">
        <v>0</v>
      </c>
      <c r="E286" s="5" t="s">
        <v>325</v>
      </c>
    </row>
    <row r="287" spans="1:5" ht="13" x14ac:dyDescent="0.15">
      <c r="A287" s="7" t="s">
        <v>868</v>
      </c>
      <c r="B287" s="7" t="str">
        <f ca="1">IFERROR(__xludf.DUMMYFUNCTION("GOOGLETRANSLATE(C287)"),"Contacts Subject Boolean recall request")</f>
        <v>Contacts Subject Boolean recall request</v>
      </c>
      <c r="C287" s="26"/>
      <c r="D287" s="8">
        <v>0</v>
      </c>
      <c r="E287" s="7" t="s">
        <v>325</v>
      </c>
    </row>
    <row r="288" spans="1:5" ht="13" x14ac:dyDescent="0.15">
      <c r="A288" s="5" t="s">
        <v>869</v>
      </c>
      <c r="B288" s="5" t="str">
        <f ca="1">IFERROR(__xludf.DUMMYFUNCTION("GOOGLETRANSLATE(C288)"),"Contacts Subject Boolean process")</f>
        <v>Contacts Subject Boolean process</v>
      </c>
      <c r="C288" s="25"/>
      <c r="D288" s="6">
        <v>0</v>
      </c>
      <c r="E288" s="5" t="s">
        <v>325</v>
      </c>
    </row>
    <row r="289" spans="1:5" ht="13" x14ac:dyDescent="0.15">
      <c r="A289" s="7" t="s">
        <v>870</v>
      </c>
      <c r="B289" s="7" t="str">
        <f ca="1">IFERROR(__xludf.DUMMYFUNCTION("GOOGLETRANSLATE(C289)"),"Contacts Subject Boolean Invitation")</f>
        <v>Contacts Subject Boolean Invitation</v>
      </c>
      <c r="C289" s="26"/>
      <c r="D289" s="8">
        <v>0</v>
      </c>
      <c r="E289" s="7" t="s">
        <v>325</v>
      </c>
    </row>
    <row r="290" spans="1:5" ht="13" x14ac:dyDescent="0.15">
      <c r="A290" s="5" t="s">
        <v>871</v>
      </c>
      <c r="B290" s="5" t="str">
        <f ca="1">IFERROR(__xludf.DUMMYFUNCTION("GOOGLETRANSLATE(C290)"),"Contacts Subject Boolean sick or cancellation")</f>
        <v>Contacts Subject Boolean sick or cancellation</v>
      </c>
      <c r="C290" s="25"/>
      <c r="D290" s="6">
        <v>0</v>
      </c>
      <c r="E290" s="5" t="s">
        <v>325</v>
      </c>
    </row>
    <row r="291" spans="1:5" ht="13" x14ac:dyDescent="0.15">
      <c r="A291" s="7" t="s">
        <v>872</v>
      </c>
      <c r="B291" s="7" t="s">
        <v>873</v>
      </c>
      <c r="C291" s="26"/>
      <c r="D291" s="8">
        <v>0</v>
      </c>
      <c r="E291" s="7" t="s">
        <v>325</v>
      </c>
    </row>
    <row r="292" spans="1:5" ht="13" x14ac:dyDescent="0.15">
      <c r="A292" s="5" t="s">
        <v>874</v>
      </c>
      <c r="B292" s="5" t="str">
        <f ca="1">IFERROR(__xludf.DUMMYFUNCTION("GOOGLETRANSLATE(C292)"),"Contacts Subject Intake request")</f>
        <v>Contacts Subject Intake request</v>
      </c>
      <c r="C292" s="25"/>
      <c r="D292" s="6">
        <v>0</v>
      </c>
      <c r="E292" s="5" t="s">
        <v>325</v>
      </c>
    </row>
    <row r="293" spans="1:5" ht="13" x14ac:dyDescent="0.15">
      <c r="A293" s="7" t="s">
        <v>875</v>
      </c>
      <c r="B293" s="7" t="str">
        <f ca="1">IFERROR(__xludf.DUMMYFUNCTION("GOOGLETRANSLATE(C293)"),"instrument reasoning termination history diagnosis set")</f>
        <v>instrument reasoning termination history diagnosis set</v>
      </c>
      <c r="C293" s="26"/>
      <c r="D293" s="8">
        <v>0</v>
      </c>
      <c r="E293" s="7" t="s">
        <v>402</v>
      </c>
    </row>
    <row r="294" spans="1:5" ht="13" x14ac:dyDescent="0.15">
      <c r="A294" s="5" t="s">
        <v>876</v>
      </c>
      <c r="B294" s="5" t="str">
        <f ca="1">IFERROR(__xludf.DUMMYFUNCTION("GOOGLETRANSLATE(C294)"),"Instrument Reason termination History Objective achieved outflow to regular work")</f>
        <v>Instrument Reason termination History Objective achieved outflow to regular work</v>
      </c>
      <c r="C294" s="25" t="s">
        <v>877</v>
      </c>
      <c r="D294" s="6">
        <v>0</v>
      </c>
      <c r="E294" s="5" t="s">
        <v>402</v>
      </c>
    </row>
    <row r="295" spans="1:5" ht="13" x14ac:dyDescent="0.15">
      <c r="A295" s="7" t="s">
        <v>878</v>
      </c>
      <c r="B295" s="7" t="str">
        <f ca="1">IFERROR(__xludf.DUMMYFUNCTION("GOOGLETRANSLATE(C295)"),"Instrument Reason termination History Objective achieves outflow Other")</f>
        <v>Instrument Reason termination History Objective achieves outflow Other</v>
      </c>
      <c r="C295" s="26"/>
      <c r="D295" s="8">
        <v>0</v>
      </c>
      <c r="E295" s="7" t="s">
        <v>402</v>
      </c>
    </row>
    <row r="296" spans="1:5" ht="13" x14ac:dyDescent="0.15">
      <c r="A296" s="5" t="s">
        <v>879</v>
      </c>
      <c r="B296" s="5" t="str">
        <f ca="1">IFERROR(__xludf.DUMMYFUNCTION("GOOGLETRANSLATE(C296)"),"Instrument Reason termination History is not matchable")</f>
        <v>Instrument Reason termination History is not matchable</v>
      </c>
      <c r="C296" s="25"/>
      <c r="D296" s="6">
        <v>0</v>
      </c>
      <c r="E296" s="5" t="s">
        <v>402</v>
      </c>
    </row>
    <row r="297" spans="1:5" ht="13" x14ac:dyDescent="0.15">
      <c r="A297" s="7" t="s">
        <v>880</v>
      </c>
      <c r="B297" s="7" t="str">
        <f ca="1">IFERROR(__xludf.DUMMYFUNCTION("GOOGLETRANSLATE(C297)"),"instrument reason Under termination History not successful reason for a job seeker")</f>
        <v>instrument reason Under termination History not successful reason for a job seeker</v>
      </c>
      <c r="C297" s="26"/>
      <c r="D297" s="8">
        <v>0</v>
      </c>
      <c r="E297" s="7" t="s">
        <v>402</v>
      </c>
    </row>
    <row r="298" spans="1:5" ht="13" x14ac:dyDescent="0.15">
      <c r="A298" s="5" t="s">
        <v>881</v>
      </c>
      <c r="B298" s="5" t="str">
        <f ca="1">IFERROR(__xludf.DUMMYFUNCTION("GOOGLETRANSLATE(C298)"),"Instrument Reason termination History Transfer to Prematching")</f>
        <v>Instrument Reason termination History Transfer to Prematching</v>
      </c>
      <c r="C298" s="25"/>
      <c r="D298" s="6">
        <v>0</v>
      </c>
      <c r="E298" s="5" t="s">
        <v>402</v>
      </c>
    </row>
    <row r="299" spans="1:5" ht="13" x14ac:dyDescent="0.15">
      <c r="A299" s="7" t="s">
        <v>882</v>
      </c>
      <c r="B299" s="7" t="str">
        <f ca="1">IFERROR(__xludf.DUMMYFUNCTION("GOOGLETRANSLATE(C299)"),"Exemption Reason Hist Medical Grounds")</f>
        <v>Exemption Reason Hist Medical Grounds</v>
      </c>
      <c r="C299" s="26"/>
      <c r="D299" s="8">
        <v>0</v>
      </c>
      <c r="E299" s="7" t="s">
        <v>360</v>
      </c>
    </row>
    <row r="300" spans="1:5" ht="13" x14ac:dyDescent="0.15">
      <c r="A300" s="5" t="s">
        <v>883</v>
      </c>
      <c r="B300" s="5" t="str">
        <f ca="1">IFERROR(__xludf.DUMMYFUNCTION("GOOGLETRANSLATE(C300)"),"Exemption reason Hist temporary exemption for labor obligations")</f>
        <v>Exemption reason Hist temporary exemption for labor obligations</v>
      </c>
      <c r="C300" s="25"/>
      <c r="D300" s="6">
        <v>0</v>
      </c>
      <c r="E300" s="5" t="s">
        <v>360</v>
      </c>
    </row>
    <row r="301" spans="1:5" ht="13" x14ac:dyDescent="0.15">
      <c r="A301" s="7" t="s">
        <v>884</v>
      </c>
      <c r="B301" s="7" t="str">
        <f ca="1">IFERROR(__xludf.DUMMYFUNCTION("GOOGLETRANSLATE(C301)"),"Personal characteristics flexibility")</f>
        <v>Personal characteristics flexibility</v>
      </c>
      <c r="C301" s="26"/>
      <c r="D301" s="8">
        <v>0</v>
      </c>
      <c r="E301" s="7" t="s">
        <v>351</v>
      </c>
    </row>
    <row r="302" spans="1:5" ht="13" x14ac:dyDescent="0.15">
      <c r="A302" s="5" t="s">
        <v>885</v>
      </c>
      <c r="B302" s="5" t="str">
        <f ca="1">IFERROR(__xludf.DUMMYFUNCTION("GOOGLETRANSLATE(C302)"),"Personal properties IND outside office hours")</f>
        <v>Personal properties IND outside office hours</v>
      </c>
      <c r="C302" s="25"/>
      <c r="D302" s="6">
        <v>0</v>
      </c>
      <c r="E302" s="5" t="s">
        <v>351</v>
      </c>
    </row>
    <row r="303" spans="1:5" ht="13" x14ac:dyDescent="0.15">
      <c r="A303" s="7" t="s">
        <v>886</v>
      </c>
      <c r="B303" s="7" t="str">
        <f ca="1">IFERROR(__xludf.DUMMYFUNCTION("GOOGLETRANSLATE(C303)"),"Personal qualities NL read 3")</f>
        <v>Personal qualities NL read 3</v>
      </c>
      <c r="C303" s="26"/>
      <c r="D303" s="8">
        <v>0</v>
      </c>
      <c r="E303" s="7" t="s">
        <v>351</v>
      </c>
    </row>
    <row r="304" spans="1:5" ht="13" x14ac:dyDescent="0.15">
      <c r="A304" s="5" t="s">
        <v>887</v>
      </c>
      <c r="B304" s="5" t="str">
        <f ca="1">IFERROR(__xludf.DUMMYFUNCTION("GOOGLETRANSLATE(C304)"),"Personal qualities NL Read 4")</f>
        <v>Personal qualities NL Read 4</v>
      </c>
      <c r="C304" s="25"/>
      <c r="D304" s="6">
        <v>0</v>
      </c>
      <c r="E304" s="5" t="s">
        <v>351</v>
      </c>
    </row>
    <row r="305" spans="1:5" ht="13" x14ac:dyDescent="0.15">
      <c r="A305" s="7" t="s">
        <v>888</v>
      </c>
      <c r="B305" s="7" t="str">
        <f ca="1">IFERROR(__xludf.DUMMYFUNCTION("GOOGLETRANSLATE(C305)"),"Personal qualities NL Write 1")</f>
        <v>Personal qualities NL Write 1</v>
      </c>
      <c r="C305" s="26"/>
      <c r="D305" s="8">
        <v>0</v>
      </c>
      <c r="E305" s="7" t="s">
        <v>351</v>
      </c>
    </row>
    <row r="306" spans="1:5" ht="13" x14ac:dyDescent="0.15">
      <c r="A306" s="5" t="s">
        <v>889</v>
      </c>
      <c r="B306" s="5" t="str">
        <f ca="1">IFERROR(__xludf.DUMMYFUNCTION("GOOGLETRANSLATE(C306)"),"Personal qualities NL Write 3")</f>
        <v>Personal qualities NL Write 3</v>
      </c>
      <c r="C306" s="25"/>
      <c r="D306" s="6">
        <v>0</v>
      </c>
      <c r="E306" s="5" t="s">
        <v>351</v>
      </c>
    </row>
    <row r="307" spans="1:5" ht="13" x14ac:dyDescent="0.15">
      <c r="A307" s="7" t="s">
        <v>890</v>
      </c>
      <c r="B307" s="7" t="str">
        <f ca="1">IFERROR(__xludf.DUMMYFUNCTION("GOOGLETRANSLATE(C307)"),"Personal characteristics independence")</f>
        <v>Personal characteristics independence</v>
      </c>
      <c r="C307" s="26"/>
      <c r="D307" s="8">
        <v>0</v>
      </c>
      <c r="E307" s="7" t="s">
        <v>351</v>
      </c>
    </row>
    <row r="308" spans="1:5" ht="13" x14ac:dyDescent="0.15">
      <c r="A308" s="5" t="s">
        <v>891</v>
      </c>
      <c r="B308" s="5" t="str">
        <f ca="1">IFERROR(__xludf.DUMMYFUNCTION("GOOGLETRANSLATE(C308)"),"PLA End of objective not reached transfer")</f>
        <v>PLA End of objective not reached transfer</v>
      </c>
      <c r="C308" s="25"/>
      <c r="D308" s="6">
        <v>0</v>
      </c>
      <c r="E308" s="5" t="s">
        <v>341</v>
      </c>
    </row>
    <row r="309" spans="1:5" ht="13" x14ac:dyDescent="0.15">
      <c r="A309" s="7" t="s">
        <v>892</v>
      </c>
      <c r="B309" s="7" t="str">
        <f ca="1">IFERROR(__xludf.DUMMYFUNCTION("GOOGLETRANSLATE(C309)"),"PLA History Work and Integration")</f>
        <v>PLA History Work and Integration</v>
      </c>
      <c r="C309" s="26" t="s">
        <v>893</v>
      </c>
      <c r="D309" s="8">
        <v>0</v>
      </c>
      <c r="E309" s="7" t="s">
        <v>341</v>
      </c>
    </row>
    <row r="310" spans="1:5" ht="13" x14ac:dyDescent="0.15">
      <c r="A310" s="5" t="s">
        <v>894</v>
      </c>
      <c r="B310" s="5" t="str">
        <f ca="1">IFERROR(__xludf.DUMMYFUNCTION("GOOGLETRANSLATE(C310)"),"relationship child has children")</f>
        <v>relationship child has children</v>
      </c>
      <c r="C310" s="25" t="s">
        <v>895</v>
      </c>
      <c r="D310" s="6">
        <v>0</v>
      </c>
      <c r="E310" s="5" t="s">
        <v>322</v>
      </c>
    </row>
    <row r="311" spans="1:5" ht="13" x14ac:dyDescent="0.15">
      <c r="A311" s="7" t="s">
        <v>896</v>
      </c>
      <c r="B311" s="7" t="str">
        <f ca="1">IFERROR(__xludf.DUMMYFUNCTION("GOOGLETRANSLATE(C311)"),"Relationship Other Current Form authorized representative")</f>
        <v>Relationship Other Current Form authorized representative</v>
      </c>
      <c r="C311" s="26"/>
      <c r="D311" s="8">
        <v>0</v>
      </c>
      <c r="E311" s="7" t="s">
        <v>322</v>
      </c>
    </row>
    <row r="312" spans="1:5" ht="13" x14ac:dyDescent="0.15">
      <c r="A312" s="5" t="s">
        <v>897</v>
      </c>
      <c r="B312" s="5" t="s">
        <v>898</v>
      </c>
      <c r="C312" s="25"/>
      <c r="D312" s="6">
        <v>0</v>
      </c>
      <c r="E312" s="5" t="s">
        <v>428</v>
      </c>
    </row>
    <row r="313" spans="1:5" ht="13" x14ac:dyDescent="0.15">
      <c r="A313" s="7" t="s">
        <v>899</v>
      </c>
      <c r="B313" s="7" t="s">
        <v>900</v>
      </c>
      <c r="C313" s="26"/>
      <c r="D313" s="8">
        <v>0</v>
      </c>
      <c r="E313" s="7" t="s">
        <v>428</v>
      </c>
    </row>
    <row r="314" spans="1:5" ht="13" x14ac:dyDescent="0.15">
      <c r="A314" s="5" t="s">
        <v>901</v>
      </c>
      <c r="B314" s="5" t="s">
        <v>902</v>
      </c>
      <c r="C314" s="25"/>
      <c r="D314" s="6">
        <v>0</v>
      </c>
      <c r="E314" s="5" t="s">
        <v>428</v>
      </c>
    </row>
    <row r="315" spans="1:5" ht="13" x14ac:dyDescent="0.15">
      <c r="A315" s="7" t="s">
        <v>903</v>
      </c>
      <c r="B315" s="7" t="s">
        <v>904</v>
      </c>
      <c r="C315" s="26"/>
      <c r="D315" s="8">
        <v>0</v>
      </c>
      <c r="E315" s="7" t="s">
        <v>428</v>
      </c>
    </row>
    <row r="316" spans="1:5" ht="13" x14ac:dyDescent="0.15">
      <c r="A316" s="5" t="s">
        <v>905</v>
      </c>
      <c r="B316" s="5" t="s">
        <v>906</v>
      </c>
      <c r="C316" s="25" t="s">
        <v>907</v>
      </c>
      <c r="D316" s="6">
        <v>0</v>
      </c>
      <c r="E316" s="5" t="s">
        <v>428</v>
      </c>
    </row>
    <row r="317" spans="1:5" ht="13" x14ac:dyDescent="0.15">
      <c r="A317" s="7"/>
      <c r="B317" s="10"/>
      <c r="C317" s="26"/>
      <c r="D317" s="8"/>
      <c r="E317" s="7"/>
    </row>
    <row r="318" spans="1:5" ht="13" x14ac:dyDescent="0.15">
      <c r="B318" s="1"/>
      <c r="C318" s="28"/>
      <c r="D318" s="12"/>
    </row>
    <row r="319" spans="1:5" ht="13" x14ac:dyDescent="0.15">
      <c r="B319" s="1"/>
      <c r="C319" s="28"/>
      <c r="D319" s="12"/>
    </row>
    <row r="320" spans="1:5" ht="13" x14ac:dyDescent="0.15">
      <c r="B320" s="1"/>
      <c r="C320" s="28"/>
      <c r="D320" s="12"/>
    </row>
    <row r="321" spans="2:4" ht="13" x14ac:dyDescent="0.15">
      <c r="B321" s="1"/>
      <c r="C321" s="28"/>
      <c r="D321" s="12"/>
    </row>
    <row r="322" spans="2:4" ht="13" x14ac:dyDescent="0.15">
      <c r="B322" s="1"/>
      <c r="C322" s="28"/>
      <c r="D322" s="12"/>
    </row>
    <row r="323" spans="2:4" ht="13" x14ac:dyDescent="0.15">
      <c r="B323" s="1"/>
      <c r="C323" s="28"/>
      <c r="D323" s="12"/>
    </row>
    <row r="324" spans="2:4" ht="13" x14ac:dyDescent="0.15">
      <c r="B324" s="1"/>
      <c r="C324" s="28"/>
      <c r="D324" s="12"/>
    </row>
    <row r="325" spans="2:4" ht="13" x14ac:dyDescent="0.15">
      <c r="B325" s="1"/>
      <c r="C325" s="28"/>
      <c r="D325" s="12"/>
    </row>
    <row r="326" spans="2:4" ht="13" x14ac:dyDescent="0.15">
      <c r="B326" s="1"/>
      <c r="C326" s="28"/>
      <c r="D326" s="12"/>
    </row>
    <row r="327" spans="2:4" ht="13" x14ac:dyDescent="0.15">
      <c r="B327" s="1"/>
      <c r="C327" s="28"/>
      <c r="D327" s="12"/>
    </row>
    <row r="328" spans="2:4" ht="13" x14ac:dyDescent="0.15">
      <c r="B328" s="1"/>
      <c r="C328" s="28"/>
      <c r="D328" s="12"/>
    </row>
    <row r="329" spans="2:4" ht="13" x14ac:dyDescent="0.15">
      <c r="B329" s="1"/>
      <c r="C329" s="28"/>
      <c r="D329" s="12"/>
    </row>
    <row r="330" spans="2:4" ht="13" x14ac:dyDescent="0.15">
      <c r="B330" s="1"/>
      <c r="C330" s="28"/>
      <c r="D330" s="12"/>
    </row>
    <row r="331" spans="2:4" ht="13" x14ac:dyDescent="0.15">
      <c r="B331" s="1"/>
      <c r="C331" s="28"/>
      <c r="D331" s="12"/>
    </row>
    <row r="332" spans="2:4" ht="13" x14ac:dyDescent="0.15">
      <c r="B332" s="1"/>
      <c r="C332" s="28"/>
      <c r="D332" s="12"/>
    </row>
    <row r="333" spans="2:4" ht="13" x14ac:dyDescent="0.15">
      <c r="B333" s="1"/>
      <c r="C333" s="28"/>
      <c r="D333" s="12"/>
    </row>
    <row r="334" spans="2:4" ht="13" x14ac:dyDescent="0.15">
      <c r="B334" s="1"/>
      <c r="C334" s="28"/>
      <c r="D334" s="12"/>
    </row>
    <row r="335" spans="2:4" ht="13" x14ac:dyDescent="0.15">
      <c r="B335" s="1"/>
      <c r="C335" s="28"/>
      <c r="D335" s="12"/>
    </row>
    <row r="336" spans="2:4" ht="13" x14ac:dyDescent="0.15">
      <c r="B336" s="1"/>
      <c r="C336" s="28"/>
      <c r="D336" s="12"/>
    </row>
    <row r="337" spans="2:4" ht="13" x14ac:dyDescent="0.15">
      <c r="B337" s="1"/>
      <c r="C337" s="28"/>
      <c r="D337" s="12"/>
    </row>
    <row r="338" spans="2:4" ht="13" x14ac:dyDescent="0.15">
      <c r="B338" s="1"/>
      <c r="C338" s="28"/>
      <c r="D338" s="12"/>
    </row>
    <row r="339" spans="2:4" ht="13" x14ac:dyDescent="0.15">
      <c r="B339" s="1"/>
      <c r="C339" s="28"/>
      <c r="D339" s="12"/>
    </row>
    <row r="340" spans="2:4" ht="13" x14ac:dyDescent="0.15">
      <c r="B340" s="1"/>
      <c r="C340" s="28"/>
      <c r="D340" s="12"/>
    </row>
    <row r="341" spans="2:4" ht="13" x14ac:dyDescent="0.15">
      <c r="B341" s="1"/>
      <c r="C341" s="28"/>
      <c r="D341" s="12"/>
    </row>
    <row r="342" spans="2:4" ht="13" x14ac:dyDescent="0.15">
      <c r="B342" s="1"/>
      <c r="C342" s="28"/>
      <c r="D342" s="12"/>
    </row>
    <row r="343" spans="2:4" ht="13" x14ac:dyDescent="0.15">
      <c r="B343" s="1"/>
      <c r="C343" s="28"/>
      <c r="D343" s="12"/>
    </row>
    <row r="344" spans="2:4" ht="13" x14ac:dyDescent="0.15">
      <c r="B344" s="1"/>
      <c r="C344" s="28"/>
      <c r="D344" s="12"/>
    </row>
    <row r="345" spans="2:4" ht="13" x14ac:dyDescent="0.15">
      <c r="B345" s="1"/>
      <c r="C345" s="28"/>
      <c r="D345" s="12"/>
    </row>
    <row r="346" spans="2:4" ht="13" x14ac:dyDescent="0.15">
      <c r="B346" s="1"/>
      <c r="C346" s="28"/>
      <c r="D346" s="12"/>
    </row>
    <row r="347" spans="2:4" ht="13" x14ac:dyDescent="0.15">
      <c r="B347" s="1"/>
      <c r="C347" s="28"/>
      <c r="D347" s="12"/>
    </row>
    <row r="348" spans="2:4" ht="13" x14ac:dyDescent="0.15">
      <c r="B348" s="1"/>
      <c r="C348" s="28"/>
      <c r="D348" s="12"/>
    </row>
    <row r="349" spans="2:4" ht="13" x14ac:dyDescent="0.15">
      <c r="B349" s="1"/>
      <c r="C349" s="28"/>
      <c r="D349" s="12"/>
    </row>
    <row r="350" spans="2:4" ht="13" x14ac:dyDescent="0.15">
      <c r="B350" s="1"/>
      <c r="C350" s="28"/>
      <c r="D350" s="12"/>
    </row>
    <row r="351" spans="2:4" ht="13" x14ac:dyDescent="0.15">
      <c r="B351" s="1"/>
      <c r="C351" s="28"/>
      <c r="D351" s="12"/>
    </row>
    <row r="352" spans="2:4" ht="13" x14ac:dyDescent="0.15">
      <c r="B352" s="1"/>
      <c r="C352" s="28"/>
      <c r="D352" s="12"/>
    </row>
    <row r="353" spans="2:4" ht="13" x14ac:dyDescent="0.15">
      <c r="B353" s="1"/>
      <c r="C353" s="28"/>
      <c r="D353" s="12"/>
    </row>
    <row r="354" spans="2:4" ht="13" x14ac:dyDescent="0.15">
      <c r="B354" s="1"/>
      <c r="C354" s="28"/>
      <c r="D354" s="12"/>
    </row>
    <row r="355" spans="2:4" ht="13" x14ac:dyDescent="0.15">
      <c r="B355" s="1"/>
      <c r="C355" s="28"/>
      <c r="D355" s="12"/>
    </row>
    <row r="356" spans="2:4" ht="13" x14ac:dyDescent="0.15">
      <c r="B356" s="1"/>
      <c r="C356" s="28"/>
      <c r="D356" s="12"/>
    </row>
    <row r="357" spans="2:4" ht="13" x14ac:dyDescent="0.15">
      <c r="B357" s="1"/>
      <c r="C357" s="28"/>
      <c r="D357" s="12"/>
    </row>
    <row r="358" spans="2:4" ht="13" x14ac:dyDescent="0.15">
      <c r="B358" s="1"/>
      <c r="C358" s="28"/>
      <c r="D358" s="12"/>
    </row>
    <row r="359" spans="2:4" ht="13" x14ac:dyDescent="0.15">
      <c r="B359" s="1"/>
      <c r="C359" s="28"/>
      <c r="D359" s="12"/>
    </row>
    <row r="360" spans="2:4" ht="13" x14ac:dyDescent="0.15">
      <c r="B360" s="1"/>
      <c r="C360" s="28"/>
      <c r="D360" s="12"/>
    </row>
    <row r="361" spans="2:4" ht="13" x14ac:dyDescent="0.15">
      <c r="B361" s="1"/>
      <c r="C361" s="28"/>
      <c r="D361" s="12"/>
    </row>
    <row r="362" spans="2:4" ht="13" x14ac:dyDescent="0.15">
      <c r="B362" s="1"/>
      <c r="C362" s="28"/>
      <c r="D362" s="12"/>
    </row>
    <row r="363" spans="2:4" ht="13" x14ac:dyDescent="0.15">
      <c r="B363" s="1"/>
      <c r="C363" s="28"/>
      <c r="D363" s="12"/>
    </row>
    <row r="364" spans="2:4" ht="13" x14ac:dyDescent="0.15">
      <c r="B364" s="1"/>
      <c r="C364" s="28"/>
      <c r="D364" s="12"/>
    </row>
    <row r="365" spans="2:4" ht="13" x14ac:dyDescent="0.15">
      <c r="B365" s="1"/>
      <c r="C365" s="28"/>
      <c r="D365" s="12"/>
    </row>
    <row r="366" spans="2:4" ht="13" x14ac:dyDescent="0.15">
      <c r="B366" s="1"/>
      <c r="C366" s="28"/>
      <c r="D366" s="12"/>
    </row>
    <row r="367" spans="2:4" ht="13" x14ac:dyDescent="0.15">
      <c r="B367" s="1"/>
      <c r="C367" s="28"/>
      <c r="D367" s="12"/>
    </row>
    <row r="368" spans="2:4" ht="13" x14ac:dyDescent="0.15">
      <c r="B368" s="1"/>
      <c r="C368" s="28"/>
      <c r="D368" s="12"/>
    </row>
    <row r="369" spans="2:4" ht="13" x14ac:dyDescent="0.15">
      <c r="B369" s="1"/>
      <c r="C369" s="28"/>
      <c r="D369" s="12"/>
    </row>
    <row r="370" spans="2:4" ht="13" x14ac:dyDescent="0.15">
      <c r="B370" s="1"/>
      <c r="C370" s="28"/>
      <c r="D370" s="12"/>
    </row>
    <row r="371" spans="2:4" ht="13" x14ac:dyDescent="0.15">
      <c r="B371" s="1"/>
      <c r="C371" s="28"/>
      <c r="D371" s="12"/>
    </row>
    <row r="372" spans="2:4" ht="13" x14ac:dyDescent="0.15">
      <c r="B372" s="1"/>
      <c r="C372" s="28"/>
      <c r="D372" s="12"/>
    </row>
    <row r="373" spans="2:4" ht="13" x14ac:dyDescent="0.15">
      <c r="B373" s="1"/>
      <c r="C373" s="28"/>
      <c r="D373" s="12"/>
    </row>
    <row r="374" spans="2:4" ht="13" x14ac:dyDescent="0.15">
      <c r="B374" s="1"/>
      <c r="C374" s="28"/>
      <c r="D374" s="12"/>
    </row>
    <row r="375" spans="2:4" ht="13" x14ac:dyDescent="0.15">
      <c r="B375" s="1"/>
      <c r="C375" s="28"/>
      <c r="D375" s="12"/>
    </row>
    <row r="376" spans="2:4" ht="13" x14ac:dyDescent="0.15">
      <c r="B376" s="1"/>
      <c r="C376" s="28"/>
      <c r="D376" s="12"/>
    </row>
    <row r="377" spans="2:4" ht="13" x14ac:dyDescent="0.15">
      <c r="B377" s="1"/>
      <c r="C377" s="28"/>
      <c r="D377" s="12"/>
    </row>
    <row r="378" spans="2:4" ht="13" x14ac:dyDescent="0.15">
      <c r="B378" s="1"/>
      <c r="C378" s="28"/>
      <c r="D378" s="12"/>
    </row>
    <row r="379" spans="2:4" ht="13" x14ac:dyDescent="0.15">
      <c r="B379" s="1"/>
      <c r="C379" s="28"/>
      <c r="D379" s="12"/>
    </row>
    <row r="380" spans="2:4" ht="13" x14ac:dyDescent="0.15">
      <c r="B380" s="1"/>
      <c r="C380" s="28"/>
      <c r="D380" s="12"/>
    </row>
    <row r="381" spans="2:4" ht="13" x14ac:dyDescent="0.15">
      <c r="B381" s="1"/>
      <c r="C381" s="28"/>
      <c r="D381" s="12"/>
    </row>
    <row r="382" spans="2:4" ht="13" x14ac:dyDescent="0.15">
      <c r="B382" s="1"/>
      <c r="C382" s="28"/>
      <c r="D382" s="12"/>
    </row>
    <row r="383" spans="2:4" ht="13" x14ac:dyDescent="0.15">
      <c r="B383" s="1"/>
      <c r="C383" s="28"/>
      <c r="D383" s="12"/>
    </row>
    <row r="384" spans="2:4" ht="13" x14ac:dyDescent="0.15">
      <c r="B384" s="1"/>
      <c r="C384" s="28"/>
      <c r="D384" s="12"/>
    </row>
    <row r="385" spans="2:4" ht="13" x14ac:dyDescent="0.15">
      <c r="B385" s="1"/>
      <c r="C385" s="28"/>
      <c r="D385" s="12"/>
    </row>
    <row r="386" spans="2:4" ht="13" x14ac:dyDescent="0.15">
      <c r="B386" s="1"/>
      <c r="C386" s="28"/>
      <c r="D386" s="12"/>
    </row>
    <row r="387" spans="2:4" ht="13" x14ac:dyDescent="0.15">
      <c r="B387" s="1"/>
      <c r="C387" s="28"/>
      <c r="D387" s="12"/>
    </row>
    <row r="388" spans="2:4" ht="13" x14ac:dyDescent="0.15">
      <c r="B388" s="1"/>
      <c r="C388" s="28"/>
      <c r="D388" s="12"/>
    </row>
    <row r="389" spans="2:4" ht="13" x14ac:dyDescent="0.15">
      <c r="B389" s="1"/>
      <c r="C389" s="28"/>
      <c r="D389" s="12"/>
    </row>
    <row r="390" spans="2:4" ht="13" x14ac:dyDescent="0.15">
      <c r="B390" s="1"/>
      <c r="C390" s="28"/>
      <c r="D390" s="12"/>
    </row>
    <row r="391" spans="2:4" ht="13" x14ac:dyDescent="0.15">
      <c r="B391" s="1"/>
      <c r="C391" s="28"/>
      <c r="D391" s="12"/>
    </row>
    <row r="392" spans="2:4" ht="13" x14ac:dyDescent="0.15">
      <c r="B392" s="1"/>
      <c r="C392" s="28"/>
      <c r="D392" s="12"/>
    </row>
    <row r="393" spans="2:4" ht="13" x14ac:dyDescent="0.15">
      <c r="B393" s="1"/>
      <c r="C393" s="28"/>
      <c r="D393" s="12"/>
    </row>
    <row r="394" spans="2:4" ht="13" x14ac:dyDescent="0.15">
      <c r="B394" s="1"/>
      <c r="C394" s="28"/>
      <c r="D394" s="12"/>
    </row>
    <row r="395" spans="2:4" ht="13" x14ac:dyDescent="0.15">
      <c r="B395" s="1"/>
      <c r="C395" s="28"/>
      <c r="D395" s="12"/>
    </row>
    <row r="396" spans="2:4" ht="13" x14ac:dyDescent="0.15">
      <c r="B396" s="1"/>
      <c r="C396" s="28"/>
      <c r="D396" s="12"/>
    </row>
    <row r="397" spans="2:4" ht="13" x14ac:dyDescent="0.15">
      <c r="B397" s="1"/>
      <c r="C397" s="28"/>
      <c r="D397" s="12"/>
    </row>
    <row r="398" spans="2:4" ht="13" x14ac:dyDescent="0.15">
      <c r="B398" s="1"/>
      <c r="C398" s="28"/>
      <c r="D398" s="12"/>
    </row>
    <row r="399" spans="2:4" ht="13" x14ac:dyDescent="0.15">
      <c r="B399" s="1"/>
      <c r="C399" s="28"/>
      <c r="D399" s="12"/>
    </row>
    <row r="400" spans="2:4" ht="13" x14ac:dyDescent="0.15">
      <c r="B400" s="1"/>
      <c r="C400" s="28"/>
      <c r="D400" s="12"/>
    </row>
    <row r="401" spans="2:4" ht="13" x14ac:dyDescent="0.15">
      <c r="B401" s="1"/>
      <c r="C401" s="28"/>
      <c r="D401" s="12"/>
    </row>
    <row r="402" spans="2:4" ht="13" x14ac:dyDescent="0.15">
      <c r="B402" s="1"/>
      <c r="C402" s="28"/>
      <c r="D402" s="12"/>
    </row>
    <row r="403" spans="2:4" ht="13" x14ac:dyDescent="0.15">
      <c r="B403" s="1"/>
      <c r="C403" s="28"/>
      <c r="D403" s="12"/>
    </row>
    <row r="404" spans="2:4" ht="13" x14ac:dyDescent="0.15">
      <c r="B404" s="1"/>
      <c r="C404" s="28"/>
      <c r="D404" s="12"/>
    </row>
    <row r="405" spans="2:4" ht="13" x14ac:dyDescent="0.15">
      <c r="B405" s="1"/>
      <c r="C405" s="28"/>
      <c r="D405" s="12"/>
    </row>
    <row r="406" spans="2:4" ht="13" x14ac:dyDescent="0.15">
      <c r="B406" s="1"/>
      <c r="C406" s="28"/>
      <c r="D406" s="12"/>
    </row>
    <row r="407" spans="2:4" ht="13" x14ac:dyDescent="0.15">
      <c r="B407" s="1"/>
      <c r="C407" s="28"/>
      <c r="D407" s="12"/>
    </row>
    <row r="408" spans="2:4" ht="13" x14ac:dyDescent="0.15">
      <c r="B408" s="1"/>
      <c r="C408" s="28"/>
      <c r="D408" s="12"/>
    </row>
    <row r="409" spans="2:4" ht="13" x14ac:dyDescent="0.15">
      <c r="B409" s="1"/>
      <c r="C409" s="28"/>
      <c r="D409" s="12"/>
    </row>
    <row r="410" spans="2:4" ht="13" x14ac:dyDescent="0.15">
      <c r="B410" s="1"/>
      <c r="C410" s="28"/>
      <c r="D410" s="12"/>
    </row>
    <row r="411" spans="2:4" ht="13" x14ac:dyDescent="0.15">
      <c r="B411" s="1"/>
      <c r="C411" s="28"/>
      <c r="D411" s="12"/>
    </row>
    <row r="412" spans="2:4" ht="13" x14ac:dyDescent="0.15">
      <c r="B412" s="1"/>
      <c r="C412" s="28"/>
      <c r="D412" s="12"/>
    </row>
    <row r="413" spans="2:4" ht="13" x14ac:dyDescent="0.15">
      <c r="B413" s="1"/>
      <c r="C413" s="28"/>
      <c r="D413" s="12"/>
    </row>
    <row r="414" spans="2:4" ht="13" x14ac:dyDescent="0.15">
      <c r="B414" s="1"/>
      <c r="C414" s="28"/>
      <c r="D414" s="12"/>
    </row>
    <row r="415" spans="2:4" ht="13" x14ac:dyDescent="0.15">
      <c r="B415" s="1"/>
      <c r="C415" s="28"/>
      <c r="D415" s="12"/>
    </row>
    <row r="416" spans="2:4" ht="13" x14ac:dyDescent="0.15">
      <c r="B416" s="1"/>
      <c r="C416" s="28"/>
      <c r="D416" s="12"/>
    </row>
    <row r="417" spans="2:4" ht="13" x14ac:dyDescent="0.15">
      <c r="B417" s="1"/>
      <c r="C417" s="28"/>
      <c r="D417" s="12"/>
    </row>
    <row r="418" spans="2:4" ht="13" x14ac:dyDescent="0.15">
      <c r="B418" s="1"/>
      <c r="C418" s="28"/>
      <c r="D418" s="12"/>
    </row>
    <row r="419" spans="2:4" ht="13" x14ac:dyDescent="0.15">
      <c r="B419" s="1"/>
      <c r="C419" s="28"/>
      <c r="D419" s="12"/>
    </row>
    <row r="420" spans="2:4" ht="13" x14ac:dyDescent="0.15">
      <c r="B420" s="1"/>
      <c r="C420" s="28"/>
      <c r="D420" s="12"/>
    </row>
    <row r="421" spans="2:4" ht="13" x14ac:dyDescent="0.15">
      <c r="B421" s="1"/>
      <c r="C421" s="28"/>
      <c r="D421" s="12"/>
    </row>
    <row r="422" spans="2:4" ht="13" x14ac:dyDescent="0.15">
      <c r="B422" s="1"/>
      <c r="C422" s="28"/>
      <c r="D422" s="12"/>
    </row>
    <row r="423" spans="2:4" ht="13" x14ac:dyDescent="0.15">
      <c r="B423" s="1"/>
      <c r="C423" s="28"/>
      <c r="D423" s="12"/>
    </row>
    <row r="424" spans="2:4" ht="13" x14ac:dyDescent="0.15">
      <c r="B424" s="1"/>
      <c r="C424" s="28"/>
      <c r="D424" s="12"/>
    </row>
    <row r="425" spans="2:4" ht="13" x14ac:dyDescent="0.15">
      <c r="B425" s="1"/>
      <c r="C425" s="28"/>
      <c r="D425" s="12"/>
    </row>
    <row r="426" spans="2:4" ht="13" x14ac:dyDescent="0.15">
      <c r="B426" s="1"/>
      <c r="C426" s="28"/>
      <c r="D426" s="12"/>
    </row>
    <row r="427" spans="2:4" ht="13" x14ac:dyDescent="0.15">
      <c r="B427" s="1"/>
      <c r="C427" s="28"/>
      <c r="D427" s="12"/>
    </row>
    <row r="428" spans="2:4" ht="13" x14ac:dyDescent="0.15">
      <c r="B428" s="1"/>
      <c r="C428" s="28"/>
      <c r="D428" s="12"/>
    </row>
    <row r="429" spans="2:4" ht="13" x14ac:dyDescent="0.15">
      <c r="B429" s="1"/>
      <c r="C429" s="28"/>
      <c r="D429" s="12"/>
    </row>
    <row r="430" spans="2:4" ht="13" x14ac:dyDescent="0.15">
      <c r="B430" s="1"/>
      <c r="C430" s="28"/>
      <c r="D430" s="12"/>
    </row>
    <row r="431" spans="2:4" ht="13" x14ac:dyDescent="0.15">
      <c r="B431" s="1"/>
      <c r="C431" s="28"/>
      <c r="D431" s="12"/>
    </row>
    <row r="432" spans="2:4" ht="13" x14ac:dyDescent="0.15">
      <c r="B432" s="1"/>
      <c r="C432" s="28"/>
      <c r="D432" s="12"/>
    </row>
    <row r="433" spans="2:4" ht="13" x14ac:dyDescent="0.15">
      <c r="B433" s="1"/>
      <c r="C433" s="28"/>
      <c r="D433" s="12"/>
    </row>
    <row r="434" spans="2:4" ht="13" x14ac:dyDescent="0.15">
      <c r="B434" s="1"/>
      <c r="C434" s="28"/>
      <c r="D434" s="12"/>
    </row>
    <row r="435" spans="2:4" ht="13" x14ac:dyDescent="0.15">
      <c r="B435" s="1"/>
      <c r="C435" s="28"/>
      <c r="D435" s="12"/>
    </row>
    <row r="436" spans="2:4" ht="13" x14ac:dyDescent="0.15">
      <c r="B436" s="1"/>
      <c r="C436" s="28"/>
      <c r="D436" s="12"/>
    </row>
    <row r="437" spans="2:4" ht="13" x14ac:dyDescent="0.15">
      <c r="B437" s="1"/>
      <c r="C437" s="28"/>
      <c r="D437" s="12"/>
    </row>
    <row r="438" spans="2:4" ht="13" x14ac:dyDescent="0.15">
      <c r="B438" s="1"/>
      <c r="C438" s="28"/>
      <c r="D438" s="12"/>
    </row>
    <row r="439" spans="2:4" ht="13" x14ac:dyDescent="0.15">
      <c r="B439" s="1"/>
      <c r="C439" s="28"/>
      <c r="D439" s="12"/>
    </row>
    <row r="440" spans="2:4" ht="13" x14ac:dyDescent="0.15">
      <c r="B440" s="1"/>
      <c r="C440" s="28"/>
      <c r="D440" s="12"/>
    </row>
    <row r="441" spans="2:4" ht="13" x14ac:dyDescent="0.15">
      <c r="B441" s="1"/>
      <c r="C441" s="28"/>
      <c r="D441" s="12"/>
    </row>
    <row r="442" spans="2:4" ht="13" x14ac:dyDescent="0.15">
      <c r="B442" s="1"/>
      <c r="C442" s="28"/>
      <c r="D442" s="12"/>
    </row>
    <row r="443" spans="2:4" ht="13" x14ac:dyDescent="0.15">
      <c r="B443" s="1"/>
      <c r="C443" s="28"/>
      <c r="D443" s="12"/>
    </row>
    <row r="444" spans="2:4" ht="13" x14ac:dyDescent="0.15">
      <c r="B444" s="1"/>
      <c r="C444" s="28"/>
      <c r="D444" s="12"/>
    </row>
    <row r="445" spans="2:4" ht="13" x14ac:dyDescent="0.15">
      <c r="B445" s="1"/>
      <c r="C445" s="28"/>
      <c r="D445" s="12"/>
    </row>
    <row r="446" spans="2:4" ht="13" x14ac:dyDescent="0.15">
      <c r="B446" s="1"/>
      <c r="C446" s="28"/>
      <c r="D446" s="12"/>
    </row>
    <row r="447" spans="2:4" ht="13" x14ac:dyDescent="0.15">
      <c r="B447" s="1"/>
      <c r="C447" s="28"/>
      <c r="D447" s="12"/>
    </row>
    <row r="448" spans="2:4" ht="13" x14ac:dyDescent="0.15">
      <c r="B448" s="1"/>
      <c r="C448" s="28"/>
      <c r="D448" s="12"/>
    </row>
    <row r="449" spans="2:4" ht="13" x14ac:dyDescent="0.15">
      <c r="B449" s="1"/>
      <c r="C449" s="28"/>
      <c r="D449" s="12"/>
    </row>
    <row r="450" spans="2:4" ht="13" x14ac:dyDescent="0.15">
      <c r="B450" s="1"/>
      <c r="C450" s="28"/>
      <c r="D450" s="12"/>
    </row>
    <row r="451" spans="2:4" ht="13" x14ac:dyDescent="0.15">
      <c r="B451" s="1"/>
      <c r="C451" s="28"/>
      <c r="D451" s="12"/>
    </row>
    <row r="452" spans="2:4" ht="13" x14ac:dyDescent="0.15">
      <c r="B452" s="1"/>
      <c r="C452" s="28"/>
      <c r="D452" s="12"/>
    </row>
    <row r="453" spans="2:4" ht="13" x14ac:dyDescent="0.15">
      <c r="B453" s="1"/>
      <c r="C453" s="28"/>
      <c r="D453" s="12"/>
    </row>
    <row r="454" spans="2:4" ht="13" x14ac:dyDescent="0.15">
      <c r="B454" s="1"/>
      <c r="C454" s="28"/>
      <c r="D454" s="12"/>
    </row>
    <row r="455" spans="2:4" ht="13" x14ac:dyDescent="0.15">
      <c r="B455" s="1"/>
      <c r="C455" s="28"/>
      <c r="D455" s="12"/>
    </row>
    <row r="456" spans="2:4" ht="13" x14ac:dyDescent="0.15">
      <c r="B456" s="1"/>
      <c r="C456" s="28"/>
      <c r="D456" s="12"/>
    </row>
    <row r="457" spans="2:4" ht="13" x14ac:dyDescent="0.15">
      <c r="B457" s="1"/>
      <c r="C457" s="28"/>
      <c r="D457" s="12"/>
    </row>
    <row r="458" spans="2:4" ht="13" x14ac:dyDescent="0.15">
      <c r="B458" s="1"/>
      <c r="C458" s="28"/>
      <c r="D458" s="12"/>
    </row>
    <row r="459" spans="2:4" ht="13" x14ac:dyDescent="0.15">
      <c r="B459" s="1"/>
      <c r="C459" s="28"/>
      <c r="D459" s="12"/>
    </row>
    <row r="460" spans="2:4" ht="13" x14ac:dyDescent="0.15">
      <c r="B460" s="1"/>
      <c r="C460" s="28"/>
      <c r="D460" s="12"/>
    </row>
    <row r="461" spans="2:4" ht="13" x14ac:dyDescent="0.15">
      <c r="B461" s="1"/>
      <c r="C461" s="28"/>
      <c r="D461" s="12"/>
    </row>
    <row r="462" spans="2:4" ht="13" x14ac:dyDescent="0.15">
      <c r="B462" s="1"/>
      <c r="C462" s="28"/>
      <c r="D462" s="12"/>
    </row>
    <row r="463" spans="2:4" ht="13" x14ac:dyDescent="0.15">
      <c r="B463" s="1"/>
      <c r="C463" s="28"/>
      <c r="D463" s="12"/>
    </row>
    <row r="464" spans="2:4" ht="13" x14ac:dyDescent="0.15">
      <c r="B464" s="1"/>
      <c r="C464" s="28"/>
      <c r="D464" s="12"/>
    </row>
    <row r="465" spans="2:4" ht="13" x14ac:dyDescent="0.15">
      <c r="B465" s="1"/>
      <c r="C465" s="28"/>
      <c r="D465" s="12"/>
    </row>
    <row r="466" spans="2:4" ht="13" x14ac:dyDescent="0.15">
      <c r="B466" s="1"/>
      <c r="C466" s="28"/>
      <c r="D466" s="12"/>
    </row>
    <row r="467" spans="2:4" ht="13" x14ac:dyDescent="0.15">
      <c r="B467" s="1"/>
      <c r="C467" s="28"/>
      <c r="D467" s="12"/>
    </row>
    <row r="468" spans="2:4" ht="13" x14ac:dyDescent="0.15">
      <c r="B468" s="1"/>
      <c r="C468" s="28"/>
      <c r="D468" s="12"/>
    </row>
    <row r="469" spans="2:4" ht="13" x14ac:dyDescent="0.15">
      <c r="B469" s="1"/>
      <c r="C469" s="28"/>
      <c r="D469" s="12"/>
    </row>
    <row r="470" spans="2:4" ht="13" x14ac:dyDescent="0.15">
      <c r="B470" s="1"/>
      <c r="C470" s="28"/>
      <c r="D470" s="12"/>
    </row>
    <row r="471" spans="2:4" ht="13" x14ac:dyDescent="0.15">
      <c r="B471" s="1"/>
      <c r="C471" s="28"/>
      <c r="D471" s="12"/>
    </row>
    <row r="472" spans="2:4" ht="13" x14ac:dyDescent="0.15">
      <c r="B472" s="1"/>
      <c r="C472" s="28"/>
      <c r="D472" s="12"/>
    </row>
    <row r="473" spans="2:4" ht="13" x14ac:dyDescent="0.15">
      <c r="B473" s="1"/>
      <c r="C473" s="28"/>
      <c r="D473" s="12"/>
    </row>
    <row r="474" spans="2:4" ht="13" x14ac:dyDescent="0.15">
      <c r="B474" s="1"/>
      <c r="C474" s="28"/>
      <c r="D474" s="12"/>
    </row>
    <row r="475" spans="2:4" ht="13" x14ac:dyDescent="0.15">
      <c r="B475" s="1"/>
      <c r="C475" s="28"/>
      <c r="D475" s="12"/>
    </row>
    <row r="476" spans="2:4" ht="13" x14ac:dyDescent="0.15">
      <c r="B476" s="1"/>
      <c r="C476" s="28"/>
      <c r="D476" s="12"/>
    </row>
    <row r="477" spans="2:4" ht="13" x14ac:dyDescent="0.15">
      <c r="B477" s="1"/>
      <c r="C477" s="28"/>
      <c r="D477" s="12"/>
    </row>
    <row r="478" spans="2:4" ht="13" x14ac:dyDescent="0.15">
      <c r="B478" s="1"/>
      <c r="C478" s="28"/>
      <c r="D478" s="12"/>
    </row>
    <row r="479" spans="2:4" ht="13" x14ac:dyDescent="0.15">
      <c r="B479" s="1"/>
      <c r="C479" s="28"/>
      <c r="D479" s="12"/>
    </row>
    <row r="480" spans="2:4" ht="13" x14ac:dyDescent="0.15">
      <c r="B480" s="1"/>
      <c r="C480" s="28"/>
      <c r="D480" s="12"/>
    </row>
    <row r="481" spans="2:4" ht="13" x14ac:dyDescent="0.15">
      <c r="B481" s="1"/>
      <c r="C481" s="28"/>
      <c r="D481" s="12"/>
    </row>
    <row r="482" spans="2:4" ht="13" x14ac:dyDescent="0.15">
      <c r="B482" s="1"/>
      <c r="C482" s="28"/>
      <c r="D482" s="12"/>
    </row>
    <row r="483" spans="2:4" ht="13" x14ac:dyDescent="0.15">
      <c r="B483" s="1"/>
      <c r="C483" s="28"/>
      <c r="D483" s="12"/>
    </row>
    <row r="484" spans="2:4" ht="13" x14ac:dyDescent="0.15">
      <c r="B484" s="1"/>
      <c r="C484" s="28"/>
      <c r="D484" s="12"/>
    </row>
    <row r="485" spans="2:4" ht="13" x14ac:dyDescent="0.15">
      <c r="B485" s="1"/>
      <c r="C485" s="28"/>
      <c r="D485" s="12"/>
    </row>
    <row r="486" spans="2:4" ht="13" x14ac:dyDescent="0.15">
      <c r="B486" s="1"/>
      <c r="C486" s="28"/>
      <c r="D486" s="12"/>
    </row>
    <row r="487" spans="2:4" ht="13" x14ac:dyDescent="0.15">
      <c r="B487" s="1"/>
      <c r="C487" s="28"/>
      <c r="D487" s="12"/>
    </row>
    <row r="488" spans="2:4" ht="13" x14ac:dyDescent="0.15">
      <c r="B488" s="1"/>
      <c r="C488" s="28"/>
      <c r="D488" s="12"/>
    </row>
    <row r="489" spans="2:4" ht="13" x14ac:dyDescent="0.15">
      <c r="B489" s="1"/>
      <c r="C489" s="28"/>
      <c r="D489" s="12"/>
    </row>
    <row r="490" spans="2:4" ht="13" x14ac:dyDescent="0.15">
      <c r="B490" s="1"/>
      <c r="C490" s="28"/>
      <c r="D490" s="12"/>
    </row>
    <row r="491" spans="2:4" ht="13" x14ac:dyDescent="0.15">
      <c r="B491" s="1"/>
      <c r="C491" s="28"/>
      <c r="D491" s="12"/>
    </row>
    <row r="492" spans="2:4" ht="13" x14ac:dyDescent="0.15">
      <c r="B492" s="1"/>
      <c r="C492" s="28"/>
      <c r="D492" s="12"/>
    </row>
    <row r="493" spans="2:4" ht="13" x14ac:dyDescent="0.15">
      <c r="B493" s="1"/>
      <c r="C493" s="28"/>
      <c r="D493" s="12"/>
    </row>
    <row r="494" spans="2:4" ht="13" x14ac:dyDescent="0.15">
      <c r="B494" s="1"/>
      <c r="C494" s="28"/>
      <c r="D494" s="12"/>
    </row>
    <row r="495" spans="2:4" ht="13" x14ac:dyDescent="0.15">
      <c r="B495" s="1"/>
      <c r="C495" s="28"/>
      <c r="D495" s="12"/>
    </row>
    <row r="496" spans="2:4" ht="13" x14ac:dyDescent="0.15">
      <c r="B496" s="1"/>
      <c r="C496" s="28"/>
      <c r="D496" s="12"/>
    </row>
    <row r="497" spans="2:4" ht="13" x14ac:dyDescent="0.15">
      <c r="B497" s="1"/>
      <c r="C497" s="28"/>
      <c r="D497" s="12"/>
    </row>
    <row r="498" spans="2:4" ht="13" x14ac:dyDescent="0.15">
      <c r="B498" s="1"/>
      <c r="C498" s="28"/>
      <c r="D498" s="12"/>
    </row>
    <row r="499" spans="2:4" ht="13" x14ac:dyDescent="0.15">
      <c r="B499" s="1"/>
      <c r="C499" s="28"/>
      <c r="D499" s="12"/>
    </row>
    <row r="500" spans="2:4" ht="13" x14ac:dyDescent="0.15">
      <c r="B500" s="1"/>
      <c r="C500" s="28"/>
      <c r="D500" s="12"/>
    </row>
    <row r="501" spans="2:4" ht="13" x14ac:dyDescent="0.15">
      <c r="B501" s="1"/>
      <c r="C501" s="28"/>
      <c r="D501" s="12"/>
    </row>
    <row r="502" spans="2:4" ht="13" x14ac:dyDescent="0.15">
      <c r="B502" s="1"/>
      <c r="C502" s="28"/>
      <c r="D502" s="12"/>
    </row>
    <row r="503" spans="2:4" ht="13" x14ac:dyDescent="0.15">
      <c r="B503" s="1"/>
      <c r="C503" s="28"/>
      <c r="D503" s="12"/>
    </row>
    <row r="504" spans="2:4" ht="13" x14ac:dyDescent="0.15">
      <c r="B504" s="1"/>
      <c r="C504" s="28"/>
      <c r="D504" s="12"/>
    </row>
    <row r="505" spans="2:4" ht="13" x14ac:dyDescent="0.15">
      <c r="B505" s="1"/>
      <c r="C505" s="28"/>
      <c r="D505" s="12"/>
    </row>
    <row r="506" spans="2:4" ht="13" x14ac:dyDescent="0.15">
      <c r="B506" s="1"/>
      <c r="C506" s="28"/>
      <c r="D506" s="12"/>
    </row>
    <row r="507" spans="2:4" ht="13" x14ac:dyDescent="0.15">
      <c r="B507" s="1"/>
      <c r="C507" s="28"/>
      <c r="D507" s="12"/>
    </row>
    <row r="508" spans="2:4" ht="13" x14ac:dyDescent="0.15">
      <c r="B508" s="1"/>
      <c r="C508" s="28"/>
      <c r="D508" s="12"/>
    </row>
    <row r="509" spans="2:4" ht="13" x14ac:dyDescent="0.15">
      <c r="B509" s="1"/>
      <c r="C509" s="28"/>
      <c r="D509" s="12"/>
    </row>
    <row r="510" spans="2:4" ht="13" x14ac:dyDescent="0.15">
      <c r="B510" s="1"/>
      <c r="C510" s="28"/>
      <c r="D510" s="12"/>
    </row>
    <row r="511" spans="2:4" ht="13" x14ac:dyDescent="0.15">
      <c r="B511" s="1"/>
      <c r="C511" s="28"/>
      <c r="D511" s="12"/>
    </row>
    <row r="512" spans="2:4" ht="13" x14ac:dyDescent="0.15">
      <c r="B512" s="1"/>
      <c r="C512" s="28"/>
      <c r="D512" s="12"/>
    </row>
    <row r="513" spans="2:4" ht="13" x14ac:dyDescent="0.15">
      <c r="B513" s="1"/>
      <c r="C513" s="28"/>
      <c r="D513" s="12"/>
    </row>
    <row r="514" spans="2:4" ht="13" x14ac:dyDescent="0.15">
      <c r="B514" s="1"/>
      <c r="C514" s="28"/>
      <c r="D514" s="12"/>
    </row>
    <row r="515" spans="2:4" ht="13" x14ac:dyDescent="0.15">
      <c r="B515" s="1"/>
      <c r="C515" s="28"/>
      <c r="D515" s="12"/>
    </row>
    <row r="516" spans="2:4" ht="13" x14ac:dyDescent="0.15">
      <c r="B516" s="1"/>
      <c r="C516" s="28"/>
      <c r="D516" s="12"/>
    </row>
    <row r="517" spans="2:4" ht="13" x14ac:dyDescent="0.15">
      <c r="B517" s="1"/>
      <c r="C517" s="28"/>
      <c r="D517" s="12"/>
    </row>
    <row r="518" spans="2:4" ht="13" x14ac:dyDescent="0.15">
      <c r="B518" s="1"/>
      <c r="C518" s="28"/>
      <c r="D518" s="12"/>
    </row>
    <row r="519" spans="2:4" ht="13" x14ac:dyDescent="0.15">
      <c r="B519" s="1"/>
      <c r="C519" s="28"/>
      <c r="D519" s="12"/>
    </row>
    <row r="520" spans="2:4" ht="13" x14ac:dyDescent="0.15">
      <c r="B520" s="1"/>
      <c r="C520" s="28"/>
      <c r="D520" s="12"/>
    </row>
    <row r="521" spans="2:4" ht="13" x14ac:dyDescent="0.15">
      <c r="B521" s="1"/>
      <c r="C521" s="28"/>
      <c r="D521" s="12"/>
    </row>
    <row r="522" spans="2:4" ht="13" x14ac:dyDescent="0.15">
      <c r="B522" s="1"/>
      <c r="C522" s="28"/>
      <c r="D522" s="12"/>
    </row>
    <row r="523" spans="2:4" ht="13" x14ac:dyDescent="0.15">
      <c r="B523" s="1"/>
      <c r="C523" s="28"/>
      <c r="D523" s="12"/>
    </row>
    <row r="524" spans="2:4" ht="13" x14ac:dyDescent="0.15">
      <c r="B524" s="1"/>
      <c r="C524" s="28"/>
      <c r="D524" s="12"/>
    </row>
    <row r="525" spans="2:4" ht="13" x14ac:dyDescent="0.15">
      <c r="B525" s="1"/>
      <c r="C525" s="28"/>
      <c r="D525" s="12"/>
    </row>
    <row r="526" spans="2:4" ht="13" x14ac:dyDescent="0.15">
      <c r="B526" s="1"/>
      <c r="C526" s="28"/>
      <c r="D526" s="12"/>
    </row>
    <row r="527" spans="2:4" ht="13" x14ac:dyDescent="0.15">
      <c r="B527" s="1"/>
      <c r="C527" s="28"/>
      <c r="D527" s="12"/>
    </row>
    <row r="528" spans="2:4" ht="13" x14ac:dyDescent="0.15">
      <c r="B528" s="1"/>
      <c r="C528" s="28"/>
      <c r="D528" s="12"/>
    </row>
    <row r="529" spans="2:4" ht="13" x14ac:dyDescent="0.15">
      <c r="B529" s="1"/>
      <c r="C529" s="28"/>
      <c r="D529" s="12"/>
    </row>
    <row r="530" spans="2:4" ht="13" x14ac:dyDescent="0.15">
      <c r="B530" s="1"/>
      <c r="C530" s="28"/>
      <c r="D530" s="12"/>
    </row>
    <row r="531" spans="2:4" ht="13" x14ac:dyDescent="0.15">
      <c r="B531" s="1"/>
      <c r="C531" s="28"/>
      <c r="D531" s="12"/>
    </row>
    <row r="532" spans="2:4" ht="13" x14ac:dyDescent="0.15">
      <c r="B532" s="1"/>
      <c r="C532" s="28"/>
      <c r="D532" s="12"/>
    </row>
    <row r="533" spans="2:4" ht="13" x14ac:dyDescent="0.15">
      <c r="B533" s="1"/>
      <c r="C533" s="28"/>
      <c r="D533" s="12"/>
    </row>
    <row r="534" spans="2:4" ht="13" x14ac:dyDescent="0.15">
      <c r="B534" s="1"/>
      <c r="C534" s="28"/>
      <c r="D534" s="12"/>
    </row>
    <row r="535" spans="2:4" ht="13" x14ac:dyDescent="0.15">
      <c r="B535" s="1"/>
      <c r="C535" s="28"/>
      <c r="D535" s="12"/>
    </row>
    <row r="536" spans="2:4" ht="13" x14ac:dyDescent="0.15">
      <c r="B536" s="1"/>
      <c r="C536" s="28"/>
      <c r="D536" s="12"/>
    </row>
    <row r="537" spans="2:4" ht="13" x14ac:dyDescent="0.15">
      <c r="B537" s="1"/>
      <c r="C537" s="28"/>
      <c r="D537" s="12"/>
    </row>
    <row r="538" spans="2:4" ht="13" x14ac:dyDescent="0.15">
      <c r="B538" s="1"/>
      <c r="C538" s="28"/>
      <c r="D538" s="12"/>
    </row>
    <row r="539" spans="2:4" ht="13" x14ac:dyDescent="0.15">
      <c r="B539" s="1"/>
      <c r="C539" s="28"/>
      <c r="D539" s="12"/>
    </row>
    <row r="540" spans="2:4" ht="13" x14ac:dyDescent="0.15">
      <c r="B540" s="1"/>
      <c r="C540" s="28"/>
      <c r="D540" s="12"/>
    </row>
    <row r="541" spans="2:4" ht="13" x14ac:dyDescent="0.15">
      <c r="B541" s="1"/>
      <c r="C541" s="28"/>
      <c r="D541" s="12"/>
    </row>
    <row r="542" spans="2:4" ht="13" x14ac:dyDescent="0.15">
      <c r="B542" s="1"/>
      <c r="C542" s="28"/>
      <c r="D542" s="12"/>
    </row>
    <row r="543" spans="2:4" ht="13" x14ac:dyDescent="0.15">
      <c r="B543" s="1"/>
      <c r="C543" s="28"/>
      <c r="D543" s="12"/>
    </row>
    <row r="544" spans="2:4" ht="13" x14ac:dyDescent="0.15">
      <c r="B544" s="1"/>
      <c r="C544" s="28"/>
      <c r="D544" s="12"/>
    </row>
    <row r="545" spans="2:4" ht="13" x14ac:dyDescent="0.15">
      <c r="B545" s="1"/>
      <c r="C545" s="28"/>
      <c r="D545" s="12"/>
    </row>
    <row r="546" spans="2:4" ht="13" x14ac:dyDescent="0.15">
      <c r="B546" s="1"/>
      <c r="C546" s="28"/>
      <c r="D546" s="12"/>
    </row>
    <row r="547" spans="2:4" ht="13" x14ac:dyDescent="0.15">
      <c r="B547" s="1"/>
      <c r="C547" s="28"/>
      <c r="D547" s="12"/>
    </row>
    <row r="548" spans="2:4" ht="13" x14ac:dyDescent="0.15">
      <c r="B548" s="1"/>
      <c r="C548" s="28"/>
      <c r="D548" s="12"/>
    </row>
    <row r="549" spans="2:4" ht="13" x14ac:dyDescent="0.15">
      <c r="B549" s="1"/>
      <c r="C549" s="28"/>
      <c r="D549" s="12"/>
    </row>
    <row r="550" spans="2:4" ht="13" x14ac:dyDescent="0.15">
      <c r="B550" s="1"/>
      <c r="C550" s="28"/>
      <c r="D550" s="12"/>
    </row>
    <row r="551" spans="2:4" ht="13" x14ac:dyDescent="0.15">
      <c r="B551" s="1"/>
      <c r="C551" s="28"/>
      <c r="D551" s="12"/>
    </row>
    <row r="552" spans="2:4" ht="13" x14ac:dyDescent="0.15">
      <c r="B552" s="1"/>
      <c r="C552" s="28"/>
      <c r="D552" s="12"/>
    </row>
    <row r="553" spans="2:4" ht="13" x14ac:dyDescent="0.15">
      <c r="B553" s="1"/>
      <c r="C553" s="28"/>
      <c r="D553" s="12"/>
    </row>
    <row r="554" spans="2:4" ht="13" x14ac:dyDescent="0.15">
      <c r="B554" s="1"/>
      <c r="C554" s="28"/>
      <c r="D554" s="12"/>
    </row>
    <row r="555" spans="2:4" ht="13" x14ac:dyDescent="0.15">
      <c r="B555" s="1"/>
      <c r="C555" s="28"/>
      <c r="D555" s="12"/>
    </row>
    <row r="556" spans="2:4" ht="13" x14ac:dyDescent="0.15">
      <c r="B556" s="1"/>
      <c r="C556" s="28"/>
      <c r="D556" s="12"/>
    </row>
    <row r="557" spans="2:4" ht="13" x14ac:dyDescent="0.15">
      <c r="B557" s="1"/>
      <c r="C557" s="28"/>
      <c r="D557" s="12"/>
    </row>
    <row r="558" spans="2:4" ht="13" x14ac:dyDescent="0.15">
      <c r="B558" s="1"/>
      <c r="C558" s="28"/>
      <c r="D558" s="12"/>
    </row>
    <row r="559" spans="2:4" ht="13" x14ac:dyDescent="0.15">
      <c r="B559" s="1"/>
      <c r="C559" s="28"/>
      <c r="D559" s="12"/>
    </row>
    <row r="560" spans="2:4" ht="13" x14ac:dyDescent="0.15">
      <c r="B560" s="1"/>
      <c r="C560" s="28"/>
      <c r="D560" s="12"/>
    </row>
    <row r="561" spans="2:4" ht="13" x14ac:dyDescent="0.15">
      <c r="B561" s="1"/>
      <c r="C561" s="28"/>
      <c r="D561" s="12"/>
    </row>
    <row r="562" spans="2:4" ht="13" x14ac:dyDescent="0.15">
      <c r="B562" s="1"/>
      <c r="C562" s="28"/>
      <c r="D562" s="12"/>
    </row>
    <row r="563" spans="2:4" ht="13" x14ac:dyDescent="0.15">
      <c r="B563" s="1"/>
      <c r="C563" s="28"/>
      <c r="D563" s="12"/>
    </row>
    <row r="564" spans="2:4" ht="13" x14ac:dyDescent="0.15">
      <c r="B564" s="1"/>
      <c r="C564" s="28"/>
      <c r="D564" s="12"/>
    </row>
    <row r="565" spans="2:4" ht="13" x14ac:dyDescent="0.15">
      <c r="B565" s="1"/>
      <c r="C565" s="28"/>
      <c r="D565" s="12"/>
    </row>
    <row r="566" spans="2:4" ht="13" x14ac:dyDescent="0.15">
      <c r="B566" s="1"/>
      <c r="C566" s="28"/>
      <c r="D566" s="12"/>
    </row>
    <row r="567" spans="2:4" ht="13" x14ac:dyDescent="0.15">
      <c r="B567" s="1"/>
      <c r="C567" s="28"/>
      <c r="D567" s="12"/>
    </row>
    <row r="568" spans="2:4" ht="13" x14ac:dyDescent="0.15">
      <c r="B568" s="1"/>
      <c r="C568" s="28"/>
      <c r="D568" s="12"/>
    </row>
    <row r="569" spans="2:4" ht="13" x14ac:dyDescent="0.15">
      <c r="B569" s="1"/>
      <c r="C569" s="28"/>
      <c r="D569" s="12"/>
    </row>
    <row r="570" spans="2:4" ht="13" x14ac:dyDescent="0.15">
      <c r="B570" s="1"/>
      <c r="C570" s="28"/>
      <c r="D570" s="12"/>
    </row>
    <row r="571" spans="2:4" ht="13" x14ac:dyDescent="0.15">
      <c r="B571" s="1"/>
      <c r="C571" s="28"/>
      <c r="D571" s="12"/>
    </row>
    <row r="572" spans="2:4" ht="13" x14ac:dyDescent="0.15">
      <c r="B572" s="1"/>
      <c r="C572" s="28"/>
      <c r="D572" s="12"/>
    </row>
    <row r="573" spans="2:4" ht="13" x14ac:dyDescent="0.15">
      <c r="B573" s="1"/>
      <c r="C573" s="28"/>
      <c r="D573" s="12"/>
    </row>
    <row r="574" spans="2:4" ht="13" x14ac:dyDescent="0.15">
      <c r="B574" s="1"/>
      <c r="C574" s="28"/>
      <c r="D574" s="12"/>
    </row>
    <row r="575" spans="2:4" ht="13" x14ac:dyDescent="0.15">
      <c r="B575" s="1"/>
      <c r="C575" s="28"/>
      <c r="D575" s="12"/>
    </row>
    <row r="576" spans="2:4" ht="13" x14ac:dyDescent="0.15">
      <c r="B576" s="1"/>
      <c r="C576" s="28"/>
      <c r="D576" s="12"/>
    </row>
    <row r="577" spans="2:4" ht="13" x14ac:dyDescent="0.15">
      <c r="B577" s="1"/>
      <c r="C577" s="28"/>
      <c r="D577" s="12"/>
    </row>
    <row r="578" spans="2:4" ht="13" x14ac:dyDescent="0.15">
      <c r="B578" s="1"/>
      <c r="C578" s="28"/>
      <c r="D578" s="12"/>
    </row>
    <row r="579" spans="2:4" ht="13" x14ac:dyDescent="0.15">
      <c r="B579" s="1"/>
      <c r="C579" s="28"/>
      <c r="D579" s="12"/>
    </row>
    <row r="580" spans="2:4" ht="13" x14ac:dyDescent="0.15">
      <c r="B580" s="1"/>
      <c r="C580" s="28"/>
      <c r="D580" s="12"/>
    </row>
    <row r="581" spans="2:4" ht="13" x14ac:dyDescent="0.15">
      <c r="B581" s="1"/>
      <c r="C581" s="28"/>
      <c r="D581" s="12"/>
    </row>
    <row r="582" spans="2:4" ht="13" x14ac:dyDescent="0.15">
      <c r="B582" s="1"/>
      <c r="C582" s="28"/>
      <c r="D582" s="12"/>
    </row>
    <row r="583" spans="2:4" ht="13" x14ac:dyDescent="0.15">
      <c r="B583" s="1"/>
      <c r="C583" s="28"/>
      <c r="D583" s="12"/>
    </row>
    <row r="584" spans="2:4" ht="13" x14ac:dyDescent="0.15">
      <c r="B584" s="1"/>
      <c r="C584" s="28"/>
      <c r="D584" s="12"/>
    </row>
    <row r="585" spans="2:4" ht="13" x14ac:dyDescent="0.15">
      <c r="B585" s="1"/>
      <c r="C585" s="28"/>
      <c r="D585" s="12"/>
    </row>
    <row r="586" spans="2:4" ht="13" x14ac:dyDescent="0.15">
      <c r="B586" s="1"/>
      <c r="C586" s="28"/>
      <c r="D586" s="12"/>
    </row>
    <row r="587" spans="2:4" ht="13" x14ac:dyDescent="0.15">
      <c r="B587" s="1"/>
      <c r="C587" s="28"/>
      <c r="D587" s="12"/>
    </row>
    <row r="588" spans="2:4" ht="13" x14ac:dyDescent="0.15">
      <c r="B588" s="1"/>
      <c r="C588" s="28"/>
      <c r="D588" s="12"/>
    </row>
    <row r="589" spans="2:4" ht="13" x14ac:dyDescent="0.15">
      <c r="B589" s="1"/>
      <c r="C589" s="28"/>
      <c r="D589" s="12"/>
    </row>
    <row r="590" spans="2:4" ht="13" x14ac:dyDescent="0.15">
      <c r="B590" s="1"/>
      <c r="C590" s="28"/>
      <c r="D590" s="12"/>
    </row>
    <row r="591" spans="2:4" ht="13" x14ac:dyDescent="0.15">
      <c r="B591" s="1"/>
      <c r="C591" s="28"/>
      <c r="D591" s="12"/>
    </row>
    <row r="592" spans="2:4" ht="13" x14ac:dyDescent="0.15">
      <c r="B592" s="1"/>
      <c r="C592" s="28"/>
      <c r="D592" s="12"/>
    </row>
    <row r="593" spans="2:4" ht="13" x14ac:dyDescent="0.15">
      <c r="B593" s="1"/>
      <c r="C593" s="28"/>
      <c r="D593" s="12"/>
    </row>
    <row r="594" spans="2:4" ht="13" x14ac:dyDescent="0.15">
      <c r="B594" s="1"/>
      <c r="C594" s="28"/>
      <c r="D594" s="12"/>
    </row>
    <row r="595" spans="2:4" ht="13" x14ac:dyDescent="0.15">
      <c r="B595" s="1"/>
      <c r="C595" s="28"/>
      <c r="D595" s="12"/>
    </row>
    <row r="596" spans="2:4" ht="13" x14ac:dyDescent="0.15">
      <c r="B596" s="1"/>
      <c r="C596" s="28"/>
      <c r="D596" s="12"/>
    </row>
    <row r="597" spans="2:4" ht="13" x14ac:dyDescent="0.15">
      <c r="B597" s="1"/>
      <c r="C597" s="28"/>
      <c r="D597" s="12"/>
    </row>
    <row r="598" spans="2:4" ht="13" x14ac:dyDescent="0.15">
      <c r="B598" s="1"/>
      <c r="C598" s="28"/>
      <c r="D598" s="12"/>
    </row>
    <row r="599" spans="2:4" ht="13" x14ac:dyDescent="0.15">
      <c r="B599" s="1"/>
      <c r="C599" s="28"/>
      <c r="D599" s="12"/>
    </row>
    <row r="600" spans="2:4" ht="13" x14ac:dyDescent="0.15">
      <c r="B600" s="1"/>
      <c r="C600" s="28"/>
      <c r="D600" s="12"/>
    </row>
    <row r="601" spans="2:4" ht="13" x14ac:dyDescent="0.15">
      <c r="B601" s="1"/>
      <c r="C601" s="28"/>
      <c r="D601" s="12"/>
    </row>
    <row r="602" spans="2:4" ht="13" x14ac:dyDescent="0.15">
      <c r="B602" s="1"/>
      <c r="C602" s="28"/>
      <c r="D602" s="12"/>
    </row>
    <row r="603" spans="2:4" ht="13" x14ac:dyDescent="0.15">
      <c r="B603" s="1"/>
      <c r="C603" s="28"/>
      <c r="D603" s="12"/>
    </row>
    <row r="604" spans="2:4" ht="13" x14ac:dyDescent="0.15">
      <c r="B604" s="1"/>
      <c r="C604" s="28"/>
      <c r="D604" s="12"/>
    </row>
    <row r="605" spans="2:4" ht="13" x14ac:dyDescent="0.15">
      <c r="B605" s="1"/>
      <c r="C605" s="28"/>
      <c r="D605" s="12"/>
    </row>
    <row r="606" spans="2:4" ht="13" x14ac:dyDescent="0.15">
      <c r="B606" s="1"/>
      <c r="C606" s="28"/>
      <c r="D606" s="12"/>
    </row>
    <row r="607" spans="2:4" ht="13" x14ac:dyDescent="0.15">
      <c r="B607" s="1"/>
      <c r="C607" s="28"/>
      <c r="D607" s="12"/>
    </row>
    <row r="608" spans="2:4" ht="13" x14ac:dyDescent="0.15">
      <c r="B608" s="1"/>
      <c r="C608" s="28"/>
      <c r="D608" s="12"/>
    </row>
    <row r="609" spans="2:4" ht="13" x14ac:dyDescent="0.15">
      <c r="B609" s="1"/>
      <c r="C609" s="28"/>
      <c r="D609" s="12"/>
    </row>
    <row r="610" spans="2:4" ht="13" x14ac:dyDescent="0.15">
      <c r="B610" s="1"/>
      <c r="C610" s="28"/>
      <c r="D610" s="12"/>
    </row>
    <row r="611" spans="2:4" ht="13" x14ac:dyDescent="0.15">
      <c r="B611" s="1"/>
      <c r="C611" s="28"/>
      <c r="D611" s="12"/>
    </row>
    <row r="612" spans="2:4" ht="13" x14ac:dyDescent="0.15">
      <c r="B612" s="1"/>
      <c r="C612" s="28"/>
      <c r="D612" s="12"/>
    </row>
    <row r="613" spans="2:4" ht="13" x14ac:dyDescent="0.15">
      <c r="B613" s="1"/>
      <c r="C613" s="28"/>
      <c r="D613" s="12"/>
    </row>
    <row r="614" spans="2:4" ht="13" x14ac:dyDescent="0.15">
      <c r="B614" s="1"/>
      <c r="C614" s="28"/>
      <c r="D614" s="12"/>
    </row>
    <row r="615" spans="2:4" ht="13" x14ac:dyDescent="0.15">
      <c r="B615" s="1"/>
      <c r="C615" s="28"/>
      <c r="D615" s="12"/>
    </row>
    <row r="616" spans="2:4" ht="13" x14ac:dyDescent="0.15">
      <c r="B616" s="1"/>
      <c r="C616" s="28"/>
      <c r="D616" s="12"/>
    </row>
    <row r="617" spans="2:4" ht="13" x14ac:dyDescent="0.15">
      <c r="B617" s="1"/>
      <c r="C617" s="28"/>
      <c r="D617" s="12"/>
    </row>
    <row r="618" spans="2:4" ht="13" x14ac:dyDescent="0.15">
      <c r="B618" s="1"/>
      <c r="C618" s="28"/>
      <c r="D618" s="12"/>
    </row>
    <row r="619" spans="2:4" ht="13" x14ac:dyDescent="0.15">
      <c r="B619" s="1"/>
      <c r="C619" s="28"/>
      <c r="D619" s="12"/>
    </row>
    <row r="620" spans="2:4" ht="13" x14ac:dyDescent="0.15">
      <c r="B620" s="1"/>
      <c r="C620" s="28"/>
      <c r="D620" s="12"/>
    </row>
    <row r="621" spans="2:4" ht="13" x14ac:dyDescent="0.15">
      <c r="B621" s="1"/>
      <c r="C621" s="28"/>
      <c r="D621" s="12"/>
    </row>
    <row r="622" spans="2:4" ht="13" x14ac:dyDescent="0.15">
      <c r="B622" s="1"/>
      <c r="C622" s="28"/>
      <c r="D622" s="12"/>
    </row>
    <row r="623" spans="2:4" ht="13" x14ac:dyDescent="0.15">
      <c r="B623" s="1"/>
      <c r="C623" s="28"/>
      <c r="D623" s="12"/>
    </row>
    <row r="624" spans="2:4" ht="13" x14ac:dyDescent="0.15">
      <c r="B624" s="1"/>
      <c r="C624" s="28"/>
      <c r="D624" s="12"/>
    </row>
    <row r="625" spans="2:4" ht="13" x14ac:dyDescent="0.15">
      <c r="B625" s="1"/>
      <c r="C625" s="28"/>
      <c r="D625" s="12"/>
    </row>
    <row r="626" spans="2:4" ht="13" x14ac:dyDescent="0.15">
      <c r="B626" s="1"/>
      <c r="C626" s="28"/>
      <c r="D626" s="12"/>
    </row>
    <row r="627" spans="2:4" ht="13" x14ac:dyDescent="0.15">
      <c r="B627" s="1"/>
      <c r="C627" s="28"/>
      <c r="D627" s="12"/>
    </row>
    <row r="628" spans="2:4" ht="13" x14ac:dyDescent="0.15">
      <c r="B628" s="1"/>
      <c r="C628" s="28"/>
      <c r="D628" s="12"/>
    </row>
    <row r="629" spans="2:4" ht="13" x14ac:dyDescent="0.15">
      <c r="B629" s="1"/>
      <c r="C629" s="28"/>
      <c r="D629" s="12"/>
    </row>
    <row r="630" spans="2:4" ht="13" x14ac:dyDescent="0.15">
      <c r="B630" s="1"/>
      <c r="C630" s="28"/>
      <c r="D630" s="12"/>
    </row>
    <row r="631" spans="2:4" ht="13" x14ac:dyDescent="0.15">
      <c r="B631" s="1"/>
      <c r="C631" s="28"/>
      <c r="D631" s="12"/>
    </row>
    <row r="632" spans="2:4" ht="13" x14ac:dyDescent="0.15">
      <c r="B632" s="1"/>
      <c r="C632" s="28"/>
      <c r="D632" s="12"/>
    </row>
    <row r="633" spans="2:4" ht="13" x14ac:dyDescent="0.15">
      <c r="B633" s="1"/>
      <c r="C633" s="28"/>
      <c r="D633" s="12"/>
    </row>
    <row r="634" spans="2:4" ht="13" x14ac:dyDescent="0.15">
      <c r="B634" s="1"/>
      <c r="C634" s="28"/>
      <c r="D634" s="12"/>
    </row>
    <row r="635" spans="2:4" ht="13" x14ac:dyDescent="0.15">
      <c r="B635" s="1"/>
      <c r="C635" s="28"/>
      <c r="D635" s="12"/>
    </row>
    <row r="636" spans="2:4" ht="13" x14ac:dyDescent="0.15">
      <c r="B636" s="1"/>
      <c r="C636" s="28"/>
      <c r="D636" s="12"/>
    </row>
    <row r="637" spans="2:4" ht="13" x14ac:dyDescent="0.15">
      <c r="B637" s="1"/>
      <c r="C637" s="28"/>
      <c r="D637" s="12"/>
    </row>
    <row r="638" spans="2:4" ht="13" x14ac:dyDescent="0.15">
      <c r="B638" s="1"/>
      <c r="C638" s="28"/>
      <c r="D638" s="12"/>
    </row>
    <row r="639" spans="2:4" ht="13" x14ac:dyDescent="0.15">
      <c r="B639" s="1"/>
      <c r="C639" s="28"/>
      <c r="D639" s="12"/>
    </row>
    <row r="640" spans="2:4" ht="13" x14ac:dyDescent="0.15">
      <c r="B640" s="1"/>
      <c r="C640" s="28"/>
      <c r="D640" s="12"/>
    </row>
    <row r="641" spans="2:4" ht="13" x14ac:dyDescent="0.15">
      <c r="B641" s="1"/>
      <c r="C641" s="28"/>
      <c r="D641" s="12"/>
    </row>
    <row r="642" spans="2:4" ht="13" x14ac:dyDescent="0.15">
      <c r="B642" s="1"/>
      <c r="C642" s="28"/>
      <c r="D642" s="12"/>
    </row>
    <row r="643" spans="2:4" ht="13" x14ac:dyDescent="0.15">
      <c r="B643" s="1"/>
      <c r="C643" s="28"/>
      <c r="D643" s="12"/>
    </row>
    <row r="644" spans="2:4" ht="13" x14ac:dyDescent="0.15">
      <c r="B644" s="1"/>
      <c r="C644" s="28"/>
      <c r="D644" s="12"/>
    </row>
    <row r="645" spans="2:4" ht="13" x14ac:dyDescent="0.15">
      <c r="B645" s="1"/>
      <c r="C645" s="28"/>
      <c r="D645" s="12"/>
    </row>
    <row r="646" spans="2:4" ht="13" x14ac:dyDescent="0.15">
      <c r="B646" s="1"/>
      <c r="C646" s="28"/>
      <c r="D646" s="12"/>
    </row>
    <row r="647" spans="2:4" ht="13" x14ac:dyDescent="0.15">
      <c r="B647" s="1"/>
      <c r="C647" s="28"/>
      <c r="D647" s="12"/>
    </row>
    <row r="648" spans="2:4" ht="13" x14ac:dyDescent="0.15">
      <c r="B648" s="1"/>
      <c r="C648" s="28"/>
      <c r="D648" s="12"/>
    </row>
    <row r="649" spans="2:4" ht="13" x14ac:dyDescent="0.15">
      <c r="B649" s="1"/>
      <c r="C649" s="28"/>
      <c r="D649" s="12"/>
    </row>
    <row r="650" spans="2:4" ht="13" x14ac:dyDescent="0.15">
      <c r="B650" s="1"/>
      <c r="C650" s="28"/>
      <c r="D650" s="12"/>
    </row>
    <row r="651" spans="2:4" ht="13" x14ac:dyDescent="0.15">
      <c r="B651" s="1"/>
      <c r="C651" s="28"/>
      <c r="D651" s="12"/>
    </row>
    <row r="652" spans="2:4" ht="13" x14ac:dyDescent="0.15">
      <c r="B652" s="1"/>
      <c r="C652" s="28"/>
      <c r="D652" s="12"/>
    </row>
    <row r="653" spans="2:4" ht="13" x14ac:dyDescent="0.15">
      <c r="B653" s="1"/>
      <c r="C653" s="28"/>
      <c r="D653" s="12"/>
    </row>
    <row r="654" spans="2:4" ht="13" x14ac:dyDescent="0.15">
      <c r="B654" s="1"/>
      <c r="C654" s="28"/>
      <c r="D654" s="12"/>
    </row>
    <row r="655" spans="2:4" ht="13" x14ac:dyDescent="0.15">
      <c r="B655" s="1"/>
      <c r="C655" s="28"/>
      <c r="D655" s="12"/>
    </row>
    <row r="656" spans="2:4" ht="13" x14ac:dyDescent="0.15">
      <c r="B656" s="1"/>
      <c r="C656" s="28"/>
      <c r="D656" s="12"/>
    </row>
    <row r="657" spans="2:4" ht="13" x14ac:dyDescent="0.15">
      <c r="B657" s="1"/>
      <c r="C657" s="28"/>
      <c r="D657" s="12"/>
    </row>
    <row r="658" spans="2:4" ht="13" x14ac:dyDescent="0.15">
      <c r="B658" s="1"/>
      <c r="C658" s="28"/>
      <c r="D658" s="12"/>
    </row>
    <row r="659" spans="2:4" ht="13" x14ac:dyDescent="0.15">
      <c r="B659" s="1"/>
      <c r="C659" s="28"/>
      <c r="D659" s="12"/>
    </row>
    <row r="660" spans="2:4" ht="13" x14ac:dyDescent="0.15">
      <c r="B660" s="1"/>
      <c r="C660" s="28"/>
      <c r="D660" s="12"/>
    </row>
    <row r="661" spans="2:4" ht="13" x14ac:dyDescent="0.15">
      <c r="B661" s="1"/>
      <c r="C661" s="28"/>
      <c r="D661" s="12"/>
    </row>
    <row r="662" spans="2:4" ht="13" x14ac:dyDescent="0.15">
      <c r="B662" s="1"/>
      <c r="C662" s="28"/>
      <c r="D662" s="12"/>
    </row>
    <row r="663" spans="2:4" ht="13" x14ac:dyDescent="0.15">
      <c r="B663" s="1"/>
      <c r="C663" s="28"/>
      <c r="D663" s="12"/>
    </row>
    <row r="664" spans="2:4" ht="13" x14ac:dyDescent="0.15">
      <c r="B664" s="1"/>
      <c r="C664" s="28"/>
      <c r="D664" s="12"/>
    </row>
    <row r="665" spans="2:4" ht="13" x14ac:dyDescent="0.15">
      <c r="B665" s="1"/>
      <c r="C665" s="28"/>
      <c r="D665" s="12"/>
    </row>
    <row r="666" spans="2:4" ht="13" x14ac:dyDescent="0.15">
      <c r="B666" s="1"/>
      <c r="C666" s="28"/>
      <c r="D666" s="12"/>
    </row>
    <row r="667" spans="2:4" ht="13" x14ac:dyDescent="0.15">
      <c r="B667" s="1"/>
      <c r="C667" s="28"/>
      <c r="D667" s="12"/>
    </row>
    <row r="668" spans="2:4" ht="13" x14ac:dyDescent="0.15">
      <c r="B668" s="1"/>
      <c r="C668" s="28"/>
      <c r="D668" s="12"/>
    </row>
    <row r="669" spans="2:4" ht="13" x14ac:dyDescent="0.15">
      <c r="B669" s="1"/>
      <c r="C669" s="28"/>
      <c r="D669" s="12"/>
    </row>
    <row r="670" spans="2:4" ht="13" x14ac:dyDescent="0.15">
      <c r="B670" s="1"/>
      <c r="C670" s="28"/>
      <c r="D670" s="12"/>
    </row>
    <row r="671" spans="2:4" ht="13" x14ac:dyDescent="0.15">
      <c r="B671" s="1"/>
      <c r="C671" s="28"/>
      <c r="D671" s="12"/>
    </row>
    <row r="672" spans="2:4" ht="13" x14ac:dyDescent="0.15">
      <c r="B672" s="1"/>
      <c r="C672" s="28"/>
      <c r="D672" s="12"/>
    </row>
    <row r="673" spans="2:4" ht="13" x14ac:dyDescent="0.15">
      <c r="B673" s="1"/>
      <c r="C673" s="28"/>
      <c r="D673" s="12"/>
    </row>
    <row r="674" spans="2:4" ht="13" x14ac:dyDescent="0.15">
      <c r="B674" s="1"/>
      <c r="C674" s="28"/>
      <c r="D674" s="12"/>
    </row>
    <row r="675" spans="2:4" ht="13" x14ac:dyDescent="0.15">
      <c r="B675" s="1"/>
      <c r="C675" s="28"/>
      <c r="D675" s="12"/>
    </row>
    <row r="676" spans="2:4" ht="13" x14ac:dyDescent="0.15">
      <c r="B676" s="1"/>
      <c r="C676" s="28"/>
      <c r="D676" s="12"/>
    </row>
    <row r="677" spans="2:4" ht="13" x14ac:dyDescent="0.15">
      <c r="B677" s="1"/>
      <c r="C677" s="28"/>
      <c r="D677" s="12"/>
    </row>
    <row r="678" spans="2:4" ht="13" x14ac:dyDescent="0.15">
      <c r="B678" s="1"/>
      <c r="C678" s="28"/>
      <c r="D678" s="12"/>
    </row>
    <row r="679" spans="2:4" ht="13" x14ac:dyDescent="0.15">
      <c r="B679" s="1"/>
      <c r="C679" s="28"/>
      <c r="D679" s="12"/>
    </row>
    <row r="680" spans="2:4" ht="13" x14ac:dyDescent="0.15">
      <c r="B680" s="1"/>
      <c r="C680" s="28"/>
      <c r="D680" s="12"/>
    </row>
    <row r="681" spans="2:4" ht="13" x14ac:dyDescent="0.15">
      <c r="B681" s="1"/>
      <c r="C681" s="28"/>
      <c r="D681" s="12"/>
    </row>
    <row r="682" spans="2:4" ht="13" x14ac:dyDescent="0.15">
      <c r="B682" s="1"/>
      <c r="C682" s="28"/>
      <c r="D682" s="12"/>
    </row>
    <row r="683" spans="2:4" ht="13" x14ac:dyDescent="0.15">
      <c r="B683" s="1"/>
      <c r="C683" s="28"/>
      <c r="D683" s="12"/>
    </row>
    <row r="684" spans="2:4" ht="13" x14ac:dyDescent="0.15">
      <c r="B684" s="1"/>
      <c r="C684" s="28"/>
      <c r="D684" s="12"/>
    </row>
    <row r="685" spans="2:4" ht="13" x14ac:dyDescent="0.15">
      <c r="B685" s="1"/>
      <c r="C685" s="28"/>
      <c r="D685" s="12"/>
    </row>
    <row r="686" spans="2:4" ht="13" x14ac:dyDescent="0.15">
      <c r="B686" s="1"/>
      <c r="C686" s="28"/>
      <c r="D686" s="12"/>
    </row>
    <row r="687" spans="2:4" ht="13" x14ac:dyDescent="0.15">
      <c r="B687" s="1"/>
      <c r="C687" s="28"/>
      <c r="D687" s="12"/>
    </row>
    <row r="688" spans="2:4" ht="13" x14ac:dyDescent="0.15">
      <c r="B688" s="1"/>
      <c r="C688" s="28"/>
      <c r="D688" s="12"/>
    </row>
    <row r="689" spans="2:4" ht="13" x14ac:dyDescent="0.15">
      <c r="B689" s="1"/>
      <c r="C689" s="28"/>
      <c r="D689" s="12"/>
    </row>
    <row r="690" spans="2:4" ht="13" x14ac:dyDescent="0.15">
      <c r="B690" s="1"/>
      <c r="C690" s="28"/>
      <c r="D690" s="12"/>
    </row>
    <row r="691" spans="2:4" ht="13" x14ac:dyDescent="0.15">
      <c r="B691" s="1"/>
      <c r="C691" s="28"/>
      <c r="D691" s="12"/>
    </row>
    <row r="692" spans="2:4" ht="13" x14ac:dyDescent="0.15">
      <c r="B692" s="1"/>
      <c r="C692" s="28"/>
      <c r="D692" s="12"/>
    </row>
    <row r="693" spans="2:4" ht="13" x14ac:dyDescent="0.15">
      <c r="B693" s="1"/>
      <c r="C693" s="28"/>
      <c r="D693" s="12"/>
    </row>
    <row r="694" spans="2:4" ht="13" x14ac:dyDescent="0.15">
      <c r="B694" s="1"/>
      <c r="C694" s="28"/>
      <c r="D694" s="12"/>
    </row>
    <row r="695" spans="2:4" ht="13" x14ac:dyDescent="0.15">
      <c r="B695" s="1"/>
      <c r="C695" s="28"/>
      <c r="D695" s="12"/>
    </row>
    <row r="696" spans="2:4" ht="13" x14ac:dyDescent="0.15">
      <c r="B696" s="1"/>
      <c r="C696" s="28"/>
      <c r="D696" s="12"/>
    </row>
    <row r="697" spans="2:4" ht="13" x14ac:dyDescent="0.15">
      <c r="B697" s="1"/>
      <c r="C697" s="28"/>
      <c r="D697" s="12"/>
    </row>
    <row r="698" spans="2:4" ht="13" x14ac:dyDescent="0.15">
      <c r="B698" s="1"/>
      <c r="C698" s="28"/>
      <c r="D698" s="12"/>
    </row>
    <row r="699" spans="2:4" ht="13" x14ac:dyDescent="0.15">
      <c r="B699" s="1"/>
      <c r="C699" s="28"/>
      <c r="D699" s="12"/>
    </row>
    <row r="700" spans="2:4" ht="13" x14ac:dyDescent="0.15">
      <c r="B700" s="1"/>
      <c r="C700" s="28"/>
      <c r="D700" s="12"/>
    </row>
    <row r="701" spans="2:4" ht="13" x14ac:dyDescent="0.15">
      <c r="B701" s="1"/>
      <c r="C701" s="28"/>
      <c r="D701" s="12"/>
    </row>
    <row r="702" spans="2:4" ht="13" x14ac:dyDescent="0.15">
      <c r="B702" s="1"/>
      <c r="C702" s="28"/>
      <c r="D702" s="12"/>
    </row>
    <row r="703" spans="2:4" ht="13" x14ac:dyDescent="0.15">
      <c r="B703" s="1"/>
      <c r="C703" s="28"/>
      <c r="D703" s="12"/>
    </row>
    <row r="704" spans="2:4" ht="13" x14ac:dyDescent="0.15">
      <c r="B704" s="1"/>
      <c r="C704" s="28"/>
      <c r="D704" s="12"/>
    </row>
    <row r="705" spans="2:4" ht="13" x14ac:dyDescent="0.15">
      <c r="B705" s="1"/>
      <c r="C705" s="28"/>
      <c r="D705" s="12"/>
    </row>
    <row r="706" spans="2:4" ht="13" x14ac:dyDescent="0.15">
      <c r="B706" s="1"/>
      <c r="C706" s="28"/>
      <c r="D706" s="12"/>
    </row>
    <row r="707" spans="2:4" ht="13" x14ac:dyDescent="0.15">
      <c r="B707" s="1"/>
      <c r="C707" s="28"/>
      <c r="D707" s="12"/>
    </row>
    <row r="708" spans="2:4" ht="13" x14ac:dyDescent="0.15">
      <c r="B708" s="1"/>
      <c r="C708" s="28"/>
      <c r="D708" s="12"/>
    </row>
    <row r="709" spans="2:4" ht="13" x14ac:dyDescent="0.15">
      <c r="B709" s="1"/>
      <c r="C709" s="28"/>
      <c r="D709" s="12"/>
    </row>
    <row r="710" spans="2:4" ht="13" x14ac:dyDescent="0.15">
      <c r="B710" s="1"/>
      <c r="C710" s="28"/>
      <c r="D710" s="12"/>
    </row>
    <row r="711" spans="2:4" ht="13" x14ac:dyDescent="0.15">
      <c r="B711" s="1"/>
      <c r="C711" s="28"/>
      <c r="D711" s="12"/>
    </row>
    <row r="712" spans="2:4" ht="13" x14ac:dyDescent="0.15">
      <c r="B712" s="1"/>
      <c r="C712" s="28"/>
      <c r="D712" s="12"/>
    </row>
    <row r="713" spans="2:4" ht="13" x14ac:dyDescent="0.15">
      <c r="B713" s="1"/>
      <c r="C713" s="28"/>
      <c r="D713" s="12"/>
    </row>
    <row r="714" spans="2:4" ht="13" x14ac:dyDescent="0.15">
      <c r="B714" s="1"/>
      <c r="C714" s="28"/>
      <c r="D714" s="12"/>
    </row>
    <row r="715" spans="2:4" ht="13" x14ac:dyDescent="0.15">
      <c r="B715" s="1"/>
      <c r="C715" s="28"/>
      <c r="D715" s="12"/>
    </row>
    <row r="716" spans="2:4" ht="13" x14ac:dyDescent="0.15">
      <c r="B716" s="1"/>
      <c r="C716" s="28"/>
      <c r="D716" s="12"/>
    </row>
    <row r="717" spans="2:4" ht="13" x14ac:dyDescent="0.15">
      <c r="B717" s="1"/>
      <c r="C717" s="28"/>
      <c r="D717" s="12"/>
    </row>
    <row r="718" spans="2:4" ht="13" x14ac:dyDescent="0.15">
      <c r="B718" s="1"/>
      <c r="C718" s="28"/>
      <c r="D718" s="12"/>
    </row>
    <row r="719" spans="2:4" ht="13" x14ac:dyDescent="0.15">
      <c r="B719" s="1"/>
      <c r="C719" s="28"/>
      <c r="D719" s="12"/>
    </row>
    <row r="720" spans="2:4" ht="13" x14ac:dyDescent="0.15">
      <c r="B720" s="1"/>
      <c r="C720" s="28"/>
      <c r="D720" s="12"/>
    </row>
    <row r="721" spans="2:4" ht="13" x14ac:dyDescent="0.15">
      <c r="B721" s="1"/>
      <c r="C721" s="28"/>
      <c r="D721" s="12"/>
    </row>
    <row r="722" spans="2:4" ht="13" x14ac:dyDescent="0.15">
      <c r="B722" s="1"/>
      <c r="C722" s="28"/>
      <c r="D722" s="12"/>
    </row>
    <row r="723" spans="2:4" ht="13" x14ac:dyDescent="0.15">
      <c r="B723" s="1"/>
      <c r="C723" s="28"/>
      <c r="D723" s="12"/>
    </row>
    <row r="724" spans="2:4" ht="13" x14ac:dyDescent="0.15">
      <c r="B724" s="1"/>
      <c r="C724" s="28"/>
      <c r="D724" s="12"/>
    </row>
    <row r="725" spans="2:4" ht="13" x14ac:dyDescent="0.15">
      <c r="B725" s="1"/>
      <c r="C725" s="28"/>
      <c r="D725" s="12"/>
    </row>
    <row r="726" spans="2:4" ht="13" x14ac:dyDescent="0.15">
      <c r="B726" s="1"/>
      <c r="C726" s="28"/>
      <c r="D726" s="12"/>
    </row>
    <row r="727" spans="2:4" ht="13" x14ac:dyDescent="0.15">
      <c r="B727" s="1"/>
      <c r="C727" s="28"/>
      <c r="D727" s="12"/>
    </row>
    <row r="728" spans="2:4" ht="13" x14ac:dyDescent="0.15">
      <c r="B728" s="1"/>
      <c r="C728" s="28"/>
      <c r="D728" s="12"/>
    </row>
    <row r="729" spans="2:4" ht="13" x14ac:dyDescent="0.15">
      <c r="B729" s="1"/>
      <c r="C729" s="28"/>
      <c r="D729" s="12"/>
    </row>
    <row r="730" spans="2:4" ht="13" x14ac:dyDescent="0.15">
      <c r="B730" s="1"/>
      <c r="C730" s="28"/>
      <c r="D730" s="12"/>
    </row>
    <row r="731" spans="2:4" ht="13" x14ac:dyDescent="0.15">
      <c r="B731" s="1"/>
      <c r="C731" s="28"/>
      <c r="D731" s="12"/>
    </row>
    <row r="732" spans="2:4" ht="13" x14ac:dyDescent="0.15">
      <c r="B732" s="1"/>
      <c r="C732" s="28"/>
      <c r="D732" s="12"/>
    </row>
    <row r="733" spans="2:4" ht="13" x14ac:dyDescent="0.15">
      <c r="B733" s="1"/>
      <c r="C733" s="28"/>
      <c r="D733" s="12"/>
    </row>
    <row r="734" spans="2:4" ht="13" x14ac:dyDescent="0.15">
      <c r="B734" s="1"/>
      <c r="C734" s="28"/>
      <c r="D734" s="12"/>
    </row>
    <row r="735" spans="2:4" ht="13" x14ac:dyDescent="0.15">
      <c r="B735" s="1"/>
      <c r="C735" s="28"/>
      <c r="D735" s="12"/>
    </row>
    <row r="736" spans="2:4" ht="13" x14ac:dyDescent="0.15">
      <c r="B736" s="1"/>
      <c r="C736" s="28"/>
      <c r="D736" s="12"/>
    </row>
    <row r="737" spans="2:4" ht="13" x14ac:dyDescent="0.15">
      <c r="B737" s="1"/>
      <c r="C737" s="28"/>
      <c r="D737" s="12"/>
    </row>
    <row r="738" spans="2:4" ht="13" x14ac:dyDescent="0.15">
      <c r="B738" s="1"/>
      <c r="C738" s="28"/>
      <c r="D738" s="12"/>
    </row>
    <row r="739" spans="2:4" ht="13" x14ac:dyDescent="0.15">
      <c r="B739" s="1"/>
      <c r="C739" s="28"/>
      <c r="D739" s="12"/>
    </row>
    <row r="740" spans="2:4" ht="13" x14ac:dyDescent="0.15">
      <c r="B740" s="1"/>
      <c r="C740" s="28"/>
      <c r="D740" s="12"/>
    </row>
    <row r="741" spans="2:4" ht="13" x14ac:dyDescent="0.15">
      <c r="B741" s="1"/>
      <c r="C741" s="28"/>
      <c r="D741" s="12"/>
    </row>
    <row r="742" spans="2:4" ht="13" x14ac:dyDescent="0.15">
      <c r="B742" s="1"/>
      <c r="C742" s="28"/>
      <c r="D742" s="12"/>
    </row>
    <row r="743" spans="2:4" ht="13" x14ac:dyDescent="0.15">
      <c r="B743" s="1"/>
      <c r="C743" s="28"/>
      <c r="D743" s="12"/>
    </row>
    <row r="744" spans="2:4" ht="13" x14ac:dyDescent="0.15">
      <c r="B744" s="1"/>
      <c r="C744" s="28"/>
      <c r="D744" s="12"/>
    </row>
    <row r="745" spans="2:4" ht="13" x14ac:dyDescent="0.15">
      <c r="B745" s="1"/>
      <c r="C745" s="28"/>
      <c r="D745" s="12"/>
    </row>
    <row r="746" spans="2:4" ht="13" x14ac:dyDescent="0.15">
      <c r="B746" s="1"/>
      <c r="C746" s="28"/>
      <c r="D746" s="12"/>
    </row>
    <row r="747" spans="2:4" ht="13" x14ac:dyDescent="0.15">
      <c r="B747" s="1"/>
      <c r="C747" s="28"/>
      <c r="D747" s="12"/>
    </row>
    <row r="748" spans="2:4" ht="13" x14ac:dyDescent="0.15">
      <c r="B748" s="1"/>
      <c r="C748" s="28"/>
      <c r="D748" s="12"/>
    </row>
    <row r="749" spans="2:4" ht="13" x14ac:dyDescent="0.15">
      <c r="B749" s="1"/>
      <c r="C749" s="28"/>
      <c r="D749" s="12"/>
    </row>
    <row r="750" spans="2:4" ht="13" x14ac:dyDescent="0.15">
      <c r="B750" s="1"/>
      <c r="C750" s="28"/>
      <c r="D750" s="12"/>
    </row>
    <row r="751" spans="2:4" ht="13" x14ac:dyDescent="0.15">
      <c r="B751" s="1"/>
      <c r="C751" s="28"/>
      <c r="D751" s="12"/>
    </row>
    <row r="752" spans="2:4" ht="13" x14ac:dyDescent="0.15">
      <c r="B752" s="1"/>
      <c r="C752" s="28"/>
      <c r="D752" s="12"/>
    </row>
    <row r="753" spans="2:4" ht="13" x14ac:dyDescent="0.15">
      <c r="B753" s="1"/>
      <c r="C753" s="28"/>
      <c r="D753" s="12"/>
    </row>
    <row r="754" spans="2:4" ht="13" x14ac:dyDescent="0.15">
      <c r="B754" s="1"/>
      <c r="C754" s="28"/>
      <c r="D754" s="12"/>
    </row>
    <row r="755" spans="2:4" ht="13" x14ac:dyDescent="0.15">
      <c r="B755" s="1"/>
      <c r="C755" s="28"/>
      <c r="D755" s="12"/>
    </row>
    <row r="756" spans="2:4" ht="13" x14ac:dyDescent="0.15">
      <c r="B756" s="1"/>
      <c r="C756" s="28"/>
      <c r="D756" s="12"/>
    </row>
    <row r="757" spans="2:4" ht="13" x14ac:dyDescent="0.15">
      <c r="B757" s="1"/>
      <c r="C757" s="28"/>
      <c r="D757" s="12"/>
    </row>
    <row r="758" spans="2:4" ht="13" x14ac:dyDescent="0.15">
      <c r="B758" s="1"/>
      <c r="C758" s="28"/>
      <c r="D758" s="12"/>
    </row>
    <row r="759" spans="2:4" ht="13" x14ac:dyDescent="0.15">
      <c r="B759" s="1"/>
      <c r="C759" s="28"/>
      <c r="D759" s="12"/>
    </row>
    <row r="760" spans="2:4" ht="13" x14ac:dyDescent="0.15">
      <c r="B760" s="1"/>
      <c r="C760" s="28"/>
      <c r="D760" s="12"/>
    </row>
    <row r="761" spans="2:4" ht="13" x14ac:dyDescent="0.15">
      <c r="B761" s="1"/>
      <c r="C761" s="28"/>
      <c r="D761" s="12"/>
    </row>
    <row r="762" spans="2:4" ht="13" x14ac:dyDescent="0.15">
      <c r="B762" s="1"/>
      <c r="C762" s="28"/>
      <c r="D762" s="12"/>
    </row>
    <row r="763" spans="2:4" ht="13" x14ac:dyDescent="0.15">
      <c r="B763" s="1"/>
      <c r="C763" s="28"/>
      <c r="D763" s="12"/>
    </row>
    <row r="764" spans="2:4" ht="13" x14ac:dyDescent="0.15">
      <c r="B764" s="1"/>
      <c r="C764" s="28"/>
      <c r="D764" s="12"/>
    </row>
    <row r="765" spans="2:4" ht="13" x14ac:dyDescent="0.15">
      <c r="B765" s="1"/>
      <c r="C765" s="28"/>
      <c r="D765" s="12"/>
    </row>
    <row r="766" spans="2:4" ht="13" x14ac:dyDescent="0.15">
      <c r="B766" s="1"/>
      <c r="C766" s="28"/>
      <c r="D766" s="12"/>
    </row>
    <row r="767" spans="2:4" ht="13" x14ac:dyDescent="0.15">
      <c r="B767" s="1"/>
      <c r="C767" s="28"/>
      <c r="D767" s="12"/>
    </row>
    <row r="768" spans="2:4" ht="13" x14ac:dyDescent="0.15">
      <c r="B768" s="1"/>
      <c r="C768" s="28"/>
      <c r="D768" s="12"/>
    </row>
    <row r="769" spans="2:4" ht="13" x14ac:dyDescent="0.15">
      <c r="B769" s="1"/>
      <c r="C769" s="28"/>
      <c r="D769" s="12"/>
    </row>
    <row r="770" spans="2:4" ht="13" x14ac:dyDescent="0.15">
      <c r="B770" s="1"/>
      <c r="C770" s="28"/>
      <c r="D770" s="12"/>
    </row>
    <row r="771" spans="2:4" ht="13" x14ac:dyDescent="0.15">
      <c r="B771" s="1"/>
      <c r="C771" s="28"/>
      <c r="D771" s="12"/>
    </row>
    <row r="772" spans="2:4" ht="13" x14ac:dyDescent="0.15">
      <c r="B772" s="1"/>
      <c r="C772" s="28"/>
      <c r="D772" s="12"/>
    </row>
    <row r="773" spans="2:4" ht="13" x14ac:dyDescent="0.15">
      <c r="B773" s="1"/>
      <c r="C773" s="28"/>
      <c r="D773" s="12"/>
    </row>
    <row r="774" spans="2:4" ht="13" x14ac:dyDescent="0.15">
      <c r="B774" s="1"/>
      <c r="C774" s="28"/>
      <c r="D774" s="12"/>
    </row>
    <row r="775" spans="2:4" ht="13" x14ac:dyDescent="0.15">
      <c r="B775" s="1"/>
      <c r="C775" s="28"/>
      <c r="D775" s="12"/>
    </row>
    <row r="776" spans="2:4" ht="13" x14ac:dyDescent="0.15">
      <c r="B776" s="1"/>
      <c r="C776" s="28"/>
      <c r="D776" s="12"/>
    </row>
    <row r="777" spans="2:4" ht="13" x14ac:dyDescent="0.15">
      <c r="B777" s="1"/>
      <c r="C777" s="28"/>
      <c r="D777" s="12"/>
    </row>
    <row r="778" spans="2:4" ht="13" x14ac:dyDescent="0.15">
      <c r="B778" s="1"/>
      <c r="C778" s="28"/>
      <c r="D778" s="12"/>
    </row>
    <row r="779" spans="2:4" ht="13" x14ac:dyDescent="0.15">
      <c r="B779" s="1"/>
      <c r="C779" s="28"/>
      <c r="D779" s="12"/>
    </row>
    <row r="780" spans="2:4" ht="13" x14ac:dyDescent="0.15">
      <c r="B780" s="1"/>
      <c r="C780" s="28"/>
      <c r="D780" s="12"/>
    </row>
    <row r="781" spans="2:4" ht="13" x14ac:dyDescent="0.15">
      <c r="B781" s="1"/>
      <c r="C781" s="28"/>
      <c r="D781" s="12"/>
    </row>
    <row r="782" spans="2:4" ht="13" x14ac:dyDescent="0.15">
      <c r="B782" s="1"/>
      <c r="C782" s="28"/>
      <c r="D782" s="12"/>
    </row>
    <row r="783" spans="2:4" ht="13" x14ac:dyDescent="0.15">
      <c r="B783" s="1"/>
      <c r="C783" s="28"/>
      <c r="D783" s="12"/>
    </row>
    <row r="784" spans="2:4" ht="13" x14ac:dyDescent="0.15">
      <c r="B784" s="1"/>
      <c r="C784" s="28"/>
      <c r="D784" s="12"/>
    </row>
    <row r="785" spans="2:4" ht="13" x14ac:dyDescent="0.15">
      <c r="B785" s="1"/>
      <c r="C785" s="28"/>
      <c r="D785" s="12"/>
    </row>
    <row r="786" spans="2:4" ht="13" x14ac:dyDescent="0.15">
      <c r="B786" s="1"/>
      <c r="C786" s="28"/>
      <c r="D786" s="12"/>
    </row>
    <row r="787" spans="2:4" ht="13" x14ac:dyDescent="0.15">
      <c r="B787" s="1"/>
      <c r="C787" s="28"/>
      <c r="D787" s="12"/>
    </row>
    <row r="788" spans="2:4" ht="13" x14ac:dyDescent="0.15">
      <c r="B788" s="1"/>
      <c r="C788" s="28"/>
      <c r="D788" s="12"/>
    </row>
    <row r="789" spans="2:4" ht="13" x14ac:dyDescent="0.15">
      <c r="B789" s="1"/>
      <c r="C789" s="28"/>
      <c r="D789" s="12"/>
    </row>
    <row r="790" spans="2:4" ht="13" x14ac:dyDescent="0.15">
      <c r="B790" s="1"/>
      <c r="C790" s="28"/>
      <c r="D790" s="12"/>
    </row>
    <row r="791" spans="2:4" ht="13" x14ac:dyDescent="0.15">
      <c r="B791" s="1"/>
      <c r="C791" s="28"/>
      <c r="D791" s="12"/>
    </row>
    <row r="792" spans="2:4" ht="13" x14ac:dyDescent="0.15">
      <c r="B792" s="1"/>
      <c r="C792" s="28"/>
      <c r="D792" s="12"/>
    </row>
    <row r="793" spans="2:4" ht="13" x14ac:dyDescent="0.15">
      <c r="B793" s="1"/>
      <c r="C793" s="28"/>
      <c r="D793" s="12"/>
    </row>
    <row r="794" spans="2:4" ht="13" x14ac:dyDescent="0.15">
      <c r="B794" s="1"/>
      <c r="C794" s="28"/>
      <c r="D794" s="12"/>
    </row>
    <row r="795" spans="2:4" ht="13" x14ac:dyDescent="0.15">
      <c r="B795" s="1"/>
      <c r="C795" s="28"/>
      <c r="D795" s="12"/>
    </row>
    <row r="796" spans="2:4" ht="13" x14ac:dyDescent="0.15">
      <c r="B796" s="1"/>
      <c r="C796" s="28"/>
      <c r="D796" s="12"/>
    </row>
    <row r="797" spans="2:4" ht="13" x14ac:dyDescent="0.15">
      <c r="B797" s="1"/>
      <c r="C797" s="28"/>
      <c r="D797" s="12"/>
    </row>
    <row r="798" spans="2:4" ht="13" x14ac:dyDescent="0.15">
      <c r="B798" s="1"/>
      <c r="C798" s="28"/>
      <c r="D798" s="12"/>
    </row>
    <row r="799" spans="2:4" ht="13" x14ac:dyDescent="0.15">
      <c r="B799" s="1"/>
      <c r="C799" s="28"/>
      <c r="D799" s="12"/>
    </row>
    <row r="800" spans="2:4" ht="13" x14ac:dyDescent="0.15">
      <c r="B800" s="1"/>
      <c r="C800" s="28"/>
      <c r="D800" s="12"/>
    </row>
    <row r="801" spans="2:4" ht="13" x14ac:dyDescent="0.15">
      <c r="B801" s="1"/>
      <c r="C801" s="28"/>
      <c r="D801" s="12"/>
    </row>
    <row r="802" spans="2:4" ht="13" x14ac:dyDescent="0.15">
      <c r="B802" s="1"/>
      <c r="C802" s="28"/>
      <c r="D802" s="12"/>
    </row>
    <row r="803" spans="2:4" ht="13" x14ac:dyDescent="0.15">
      <c r="B803" s="1"/>
      <c r="C803" s="28"/>
      <c r="D803" s="12"/>
    </row>
    <row r="804" spans="2:4" ht="13" x14ac:dyDescent="0.15">
      <c r="B804" s="1"/>
      <c r="C804" s="28"/>
      <c r="D804" s="12"/>
    </row>
    <row r="805" spans="2:4" ht="13" x14ac:dyDescent="0.15">
      <c r="B805" s="1"/>
      <c r="C805" s="28"/>
      <c r="D805" s="12"/>
    </row>
    <row r="806" spans="2:4" ht="13" x14ac:dyDescent="0.15">
      <c r="B806" s="1"/>
      <c r="C806" s="28"/>
      <c r="D806" s="12"/>
    </row>
    <row r="807" spans="2:4" ht="13" x14ac:dyDescent="0.15">
      <c r="B807" s="1"/>
      <c r="C807" s="28"/>
      <c r="D807" s="12"/>
    </row>
    <row r="808" spans="2:4" ht="13" x14ac:dyDescent="0.15">
      <c r="B808" s="1"/>
      <c r="C808" s="28"/>
      <c r="D808" s="12"/>
    </row>
    <row r="809" spans="2:4" ht="13" x14ac:dyDescent="0.15">
      <c r="B809" s="1"/>
      <c r="C809" s="28"/>
      <c r="D809" s="12"/>
    </row>
    <row r="810" spans="2:4" ht="13" x14ac:dyDescent="0.15">
      <c r="B810" s="1"/>
      <c r="C810" s="28"/>
      <c r="D810" s="12"/>
    </row>
    <row r="811" spans="2:4" ht="13" x14ac:dyDescent="0.15">
      <c r="B811" s="1"/>
      <c r="C811" s="28"/>
      <c r="D811" s="12"/>
    </row>
    <row r="812" spans="2:4" ht="13" x14ac:dyDescent="0.15">
      <c r="B812" s="1"/>
      <c r="C812" s="28"/>
      <c r="D812" s="12"/>
    </row>
    <row r="813" spans="2:4" ht="13" x14ac:dyDescent="0.15">
      <c r="B813" s="1"/>
      <c r="C813" s="28"/>
      <c r="D813" s="12"/>
    </row>
    <row r="814" spans="2:4" ht="13" x14ac:dyDescent="0.15">
      <c r="B814" s="1"/>
      <c r="C814" s="28"/>
      <c r="D814" s="12"/>
    </row>
    <row r="815" spans="2:4" ht="13" x14ac:dyDescent="0.15">
      <c r="B815" s="1"/>
      <c r="C815" s="28"/>
      <c r="D815" s="12"/>
    </row>
    <row r="816" spans="2:4" ht="13" x14ac:dyDescent="0.15">
      <c r="B816" s="1"/>
      <c r="C816" s="28"/>
      <c r="D816" s="12"/>
    </row>
    <row r="817" spans="2:4" ht="13" x14ac:dyDescent="0.15">
      <c r="B817" s="1"/>
      <c r="C817" s="28"/>
      <c r="D817" s="12"/>
    </row>
    <row r="818" spans="2:4" ht="13" x14ac:dyDescent="0.15">
      <c r="B818" s="1"/>
      <c r="C818" s="28"/>
      <c r="D818" s="12"/>
    </row>
    <row r="819" spans="2:4" ht="13" x14ac:dyDescent="0.15">
      <c r="B819" s="1"/>
      <c r="C819" s="28"/>
      <c r="D819" s="12"/>
    </row>
    <row r="820" spans="2:4" ht="13" x14ac:dyDescent="0.15">
      <c r="B820" s="1"/>
      <c r="C820" s="28"/>
      <c r="D820" s="12"/>
    </row>
    <row r="821" spans="2:4" ht="13" x14ac:dyDescent="0.15">
      <c r="B821" s="1"/>
      <c r="C821" s="28"/>
      <c r="D821" s="12"/>
    </row>
    <row r="822" spans="2:4" ht="13" x14ac:dyDescent="0.15">
      <c r="B822" s="1"/>
      <c r="C822" s="28"/>
      <c r="D822" s="12"/>
    </row>
    <row r="823" spans="2:4" ht="13" x14ac:dyDescent="0.15">
      <c r="B823" s="1"/>
      <c r="C823" s="28"/>
      <c r="D823" s="12"/>
    </row>
    <row r="824" spans="2:4" ht="13" x14ac:dyDescent="0.15">
      <c r="B824" s="1"/>
      <c r="C824" s="28"/>
      <c r="D824" s="12"/>
    </row>
    <row r="825" spans="2:4" ht="13" x14ac:dyDescent="0.15">
      <c r="B825" s="1"/>
      <c r="C825" s="28"/>
      <c r="D825" s="12"/>
    </row>
    <row r="826" spans="2:4" ht="13" x14ac:dyDescent="0.15">
      <c r="B826" s="1"/>
      <c r="C826" s="28"/>
      <c r="D826" s="12"/>
    </row>
    <row r="827" spans="2:4" ht="13" x14ac:dyDescent="0.15">
      <c r="B827" s="1"/>
      <c r="C827" s="28"/>
      <c r="D827" s="12"/>
    </row>
    <row r="828" spans="2:4" ht="13" x14ac:dyDescent="0.15">
      <c r="B828" s="1"/>
      <c r="C828" s="28"/>
      <c r="D828" s="12"/>
    </row>
    <row r="829" spans="2:4" ht="13" x14ac:dyDescent="0.15">
      <c r="B829" s="1"/>
      <c r="C829" s="28"/>
      <c r="D829" s="12"/>
    </row>
    <row r="830" spans="2:4" ht="13" x14ac:dyDescent="0.15">
      <c r="B830" s="1"/>
      <c r="C830" s="28"/>
      <c r="D830" s="12"/>
    </row>
    <row r="831" spans="2:4" ht="13" x14ac:dyDescent="0.15">
      <c r="B831" s="1"/>
      <c r="C831" s="28"/>
      <c r="D831" s="12"/>
    </row>
    <row r="832" spans="2:4" ht="13" x14ac:dyDescent="0.15">
      <c r="B832" s="1"/>
      <c r="C832" s="28"/>
      <c r="D832" s="12"/>
    </row>
    <row r="833" spans="2:4" ht="13" x14ac:dyDescent="0.15">
      <c r="B833" s="1"/>
      <c r="C833" s="28"/>
      <c r="D833" s="12"/>
    </row>
    <row r="834" spans="2:4" ht="13" x14ac:dyDescent="0.15">
      <c r="B834" s="1"/>
      <c r="C834" s="28"/>
      <c r="D834" s="12"/>
    </row>
    <row r="835" spans="2:4" ht="13" x14ac:dyDescent="0.15">
      <c r="B835" s="1"/>
      <c r="C835" s="28"/>
      <c r="D835" s="12"/>
    </row>
    <row r="836" spans="2:4" ht="13" x14ac:dyDescent="0.15">
      <c r="B836" s="1"/>
      <c r="C836" s="28"/>
      <c r="D836" s="12"/>
    </row>
    <row r="837" spans="2:4" ht="13" x14ac:dyDescent="0.15">
      <c r="B837" s="1"/>
      <c r="C837" s="28"/>
      <c r="D837" s="12"/>
    </row>
    <row r="838" spans="2:4" ht="13" x14ac:dyDescent="0.15">
      <c r="B838" s="1"/>
      <c r="C838" s="28"/>
      <c r="D838" s="12"/>
    </row>
    <row r="839" spans="2:4" ht="13" x14ac:dyDescent="0.15">
      <c r="B839" s="1"/>
      <c r="C839" s="28"/>
      <c r="D839" s="12"/>
    </row>
    <row r="840" spans="2:4" ht="13" x14ac:dyDescent="0.15">
      <c r="B840" s="1"/>
      <c r="C840" s="28"/>
      <c r="D840" s="12"/>
    </row>
    <row r="841" spans="2:4" ht="13" x14ac:dyDescent="0.15">
      <c r="B841" s="1"/>
      <c r="C841" s="28"/>
      <c r="D841" s="12"/>
    </row>
    <row r="842" spans="2:4" ht="13" x14ac:dyDescent="0.15">
      <c r="B842" s="1"/>
      <c r="C842" s="28"/>
      <c r="D842" s="12"/>
    </row>
    <row r="843" spans="2:4" ht="13" x14ac:dyDescent="0.15">
      <c r="B843" s="1"/>
      <c r="C843" s="28"/>
      <c r="D843" s="12"/>
    </row>
    <row r="844" spans="2:4" ht="13" x14ac:dyDescent="0.15">
      <c r="B844" s="1"/>
      <c r="C844" s="28"/>
      <c r="D844" s="12"/>
    </row>
    <row r="845" spans="2:4" ht="13" x14ac:dyDescent="0.15">
      <c r="B845" s="1"/>
      <c r="C845" s="28"/>
      <c r="D845" s="12"/>
    </row>
    <row r="846" spans="2:4" ht="13" x14ac:dyDescent="0.15">
      <c r="B846" s="1"/>
      <c r="C846" s="28"/>
      <c r="D846" s="12"/>
    </row>
    <row r="847" spans="2:4" ht="13" x14ac:dyDescent="0.15">
      <c r="B847" s="1"/>
      <c r="C847" s="28"/>
      <c r="D847" s="12"/>
    </row>
    <row r="848" spans="2:4" ht="13" x14ac:dyDescent="0.15">
      <c r="B848" s="1"/>
      <c r="C848" s="28"/>
      <c r="D848" s="12"/>
    </row>
    <row r="849" spans="2:4" ht="13" x14ac:dyDescent="0.15">
      <c r="B849" s="1"/>
      <c r="C849" s="28"/>
      <c r="D849" s="12"/>
    </row>
    <row r="850" spans="2:4" ht="13" x14ac:dyDescent="0.15">
      <c r="B850" s="1"/>
      <c r="C850" s="28"/>
      <c r="D850" s="12"/>
    </row>
    <row r="851" spans="2:4" ht="13" x14ac:dyDescent="0.15">
      <c r="B851" s="1"/>
      <c r="C851" s="28"/>
      <c r="D851" s="12"/>
    </row>
    <row r="852" spans="2:4" ht="13" x14ac:dyDescent="0.15">
      <c r="B852" s="1"/>
      <c r="C852" s="28"/>
      <c r="D852" s="12"/>
    </row>
    <row r="853" spans="2:4" ht="13" x14ac:dyDescent="0.15">
      <c r="B853" s="1"/>
      <c r="C853" s="28"/>
      <c r="D853" s="12"/>
    </row>
    <row r="854" spans="2:4" ht="13" x14ac:dyDescent="0.15">
      <c r="B854" s="1"/>
      <c r="C854" s="28"/>
      <c r="D854" s="12"/>
    </row>
    <row r="855" spans="2:4" ht="13" x14ac:dyDescent="0.15">
      <c r="B855" s="1"/>
      <c r="C855" s="28"/>
      <c r="D855" s="12"/>
    </row>
    <row r="856" spans="2:4" ht="13" x14ac:dyDescent="0.15">
      <c r="B856" s="1"/>
      <c r="C856" s="28"/>
      <c r="D856" s="12"/>
    </row>
    <row r="857" spans="2:4" ht="13" x14ac:dyDescent="0.15">
      <c r="B857" s="1"/>
      <c r="C857" s="28"/>
      <c r="D857" s="12"/>
    </row>
    <row r="858" spans="2:4" ht="13" x14ac:dyDescent="0.15">
      <c r="B858" s="1"/>
      <c r="C858" s="28"/>
      <c r="D858" s="12"/>
    </row>
    <row r="859" spans="2:4" ht="13" x14ac:dyDescent="0.15">
      <c r="B859" s="1"/>
      <c r="C859" s="28"/>
      <c r="D859" s="12"/>
    </row>
    <row r="860" spans="2:4" ht="13" x14ac:dyDescent="0.15">
      <c r="B860" s="1"/>
      <c r="C860" s="28"/>
      <c r="D860" s="12"/>
    </row>
    <row r="861" spans="2:4" ht="13" x14ac:dyDescent="0.15">
      <c r="B861" s="1"/>
      <c r="C861" s="28"/>
      <c r="D861" s="12"/>
    </row>
    <row r="862" spans="2:4" ht="13" x14ac:dyDescent="0.15">
      <c r="B862" s="1"/>
      <c r="C862" s="28"/>
      <c r="D862" s="12"/>
    </row>
    <row r="863" spans="2:4" ht="13" x14ac:dyDescent="0.15">
      <c r="B863" s="1"/>
      <c r="C863" s="28"/>
      <c r="D863" s="12"/>
    </row>
    <row r="864" spans="2:4" ht="13" x14ac:dyDescent="0.15">
      <c r="B864" s="1"/>
      <c r="C864" s="28"/>
      <c r="D864" s="12"/>
    </row>
    <row r="865" spans="2:4" ht="13" x14ac:dyDescent="0.15">
      <c r="B865" s="1"/>
      <c r="C865" s="28"/>
      <c r="D865" s="12"/>
    </row>
    <row r="866" spans="2:4" ht="13" x14ac:dyDescent="0.15">
      <c r="B866" s="1"/>
      <c r="C866" s="28"/>
      <c r="D866" s="12"/>
    </row>
    <row r="867" spans="2:4" ht="13" x14ac:dyDescent="0.15">
      <c r="B867" s="1"/>
      <c r="C867" s="28"/>
      <c r="D867" s="12"/>
    </row>
    <row r="868" spans="2:4" ht="13" x14ac:dyDescent="0.15">
      <c r="B868" s="1"/>
      <c r="C868" s="28"/>
      <c r="D868" s="12"/>
    </row>
    <row r="869" spans="2:4" ht="13" x14ac:dyDescent="0.15">
      <c r="B869" s="1"/>
      <c r="C869" s="28"/>
      <c r="D869" s="12"/>
    </row>
    <row r="870" spans="2:4" ht="13" x14ac:dyDescent="0.15">
      <c r="B870" s="1"/>
      <c r="C870" s="28"/>
      <c r="D870" s="12"/>
    </row>
    <row r="871" spans="2:4" ht="13" x14ac:dyDescent="0.15">
      <c r="B871" s="1"/>
      <c r="C871" s="28"/>
      <c r="D871" s="12"/>
    </row>
    <row r="872" spans="2:4" ht="13" x14ac:dyDescent="0.15">
      <c r="B872" s="1"/>
      <c r="C872" s="28"/>
      <c r="D872" s="12"/>
    </row>
    <row r="873" spans="2:4" ht="13" x14ac:dyDescent="0.15">
      <c r="B873" s="1"/>
      <c r="C873" s="28"/>
      <c r="D873" s="12"/>
    </row>
    <row r="874" spans="2:4" ht="13" x14ac:dyDescent="0.15">
      <c r="B874" s="1"/>
      <c r="C874" s="28"/>
      <c r="D874" s="12"/>
    </row>
    <row r="875" spans="2:4" ht="13" x14ac:dyDescent="0.15">
      <c r="B875" s="1"/>
      <c r="C875" s="28"/>
      <c r="D875" s="12"/>
    </row>
    <row r="876" spans="2:4" ht="13" x14ac:dyDescent="0.15">
      <c r="B876" s="1"/>
      <c r="C876" s="28"/>
      <c r="D876" s="12"/>
    </row>
    <row r="877" spans="2:4" ht="13" x14ac:dyDescent="0.15">
      <c r="B877" s="1"/>
      <c r="C877" s="28"/>
      <c r="D877" s="12"/>
    </row>
    <row r="878" spans="2:4" ht="13" x14ac:dyDescent="0.15">
      <c r="B878" s="1"/>
      <c r="C878" s="28"/>
      <c r="D878" s="12"/>
    </row>
    <row r="879" spans="2:4" ht="13" x14ac:dyDescent="0.15">
      <c r="B879" s="1"/>
      <c r="C879" s="28"/>
      <c r="D879" s="12"/>
    </row>
    <row r="880" spans="2:4" ht="13" x14ac:dyDescent="0.15">
      <c r="B880" s="1"/>
      <c r="C880" s="28"/>
      <c r="D880" s="12"/>
    </row>
    <row r="881" spans="2:4" ht="13" x14ac:dyDescent="0.15">
      <c r="B881" s="1"/>
      <c r="C881" s="28"/>
      <c r="D881" s="12"/>
    </row>
    <row r="882" spans="2:4" ht="13" x14ac:dyDescent="0.15">
      <c r="B882" s="1"/>
      <c r="C882" s="28"/>
      <c r="D882" s="12"/>
    </row>
    <row r="883" spans="2:4" ht="13" x14ac:dyDescent="0.15">
      <c r="B883" s="1"/>
      <c r="C883" s="28"/>
      <c r="D883" s="12"/>
    </row>
    <row r="884" spans="2:4" ht="13" x14ac:dyDescent="0.15">
      <c r="B884" s="1"/>
      <c r="C884" s="28"/>
      <c r="D884" s="12"/>
    </row>
    <row r="885" spans="2:4" ht="13" x14ac:dyDescent="0.15">
      <c r="B885" s="1"/>
      <c r="C885" s="28"/>
      <c r="D885" s="12"/>
    </row>
    <row r="886" spans="2:4" ht="13" x14ac:dyDescent="0.15">
      <c r="B886" s="1"/>
      <c r="C886" s="28"/>
      <c r="D886" s="12"/>
    </row>
    <row r="887" spans="2:4" ht="13" x14ac:dyDescent="0.15">
      <c r="B887" s="1"/>
      <c r="C887" s="28"/>
      <c r="D887" s="12"/>
    </row>
    <row r="888" spans="2:4" ht="13" x14ac:dyDescent="0.15">
      <c r="B888" s="1"/>
      <c r="C888" s="28"/>
      <c r="D888" s="12"/>
    </row>
    <row r="889" spans="2:4" ht="13" x14ac:dyDescent="0.15">
      <c r="B889" s="1"/>
      <c r="C889" s="28"/>
      <c r="D889" s="12"/>
    </row>
    <row r="890" spans="2:4" ht="13" x14ac:dyDescent="0.15">
      <c r="B890" s="1"/>
      <c r="C890" s="28"/>
      <c r="D890" s="12"/>
    </row>
    <row r="891" spans="2:4" ht="13" x14ac:dyDescent="0.15">
      <c r="B891" s="1"/>
      <c r="C891" s="28"/>
      <c r="D891" s="12"/>
    </row>
    <row r="892" spans="2:4" ht="13" x14ac:dyDescent="0.15">
      <c r="B892" s="1"/>
      <c r="C892" s="28"/>
      <c r="D892" s="12"/>
    </row>
    <row r="893" spans="2:4" ht="13" x14ac:dyDescent="0.15">
      <c r="B893" s="1"/>
      <c r="C893" s="28"/>
      <c r="D893" s="12"/>
    </row>
    <row r="894" spans="2:4" ht="13" x14ac:dyDescent="0.15">
      <c r="B894" s="1"/>
      <c r="C894" s="28"/>
      <c r="D894" s="12"/>
    </row>
    <row r="895" spans="2:4" ht="13" x14ac:dyDescent="0.15">
      <c r="B895" s="1"/>
      <c r="C895" s="28"/>
      <c r="D895" s="12"/>
    </row>
    <row r="896" spans="2:4" ht="13" x14ac:dyDescent="0.15">
      <c r="B896" s="1"/>
      <c r="C896" s="28"/>
      <c r="D896" s="12"/>
    </row>
    <row r="897" spans="2:4" ht="13" x14ac:dyDescent="0.15">
      <c r="B897" s="1"/>
      <c r="C897" s="28"/>
      <c r="D897" s="12"/>
    </row>
    <row r="898" spans="2:4" ht="13" x14ac:dyDescent="0.15">
      <c r="B898" s="1"/>
      <c r="C898" s="28"/>
      <c r="D898" s="12"/>
    </row>
    <row r="899" spans="2:4" ht="13" x14ac:dyDescent="0.15">
      <c r="B899" s="1"/>
      <c r="C899" s="28"/>
      <c r="D899" s="12"/>
    </row>
    <row r="900" spans="2:4" ht="13" x14ac:dyDescent="0.15">
      <c r="B900" s="1"/>
      <c r="C900" s="28"/>
      <c r="D900" s="12"/>
    </row>
    <row r="901" spans="2:4" ht="13" x14ac:dyDescent="0.15">
      <c r="B901" s="1"/>
      <c r="C901" s="28"/>
      <c r="D901" s="12"/>
    </row>
    <row r="902" spans="2:4" ht="13" x14ac:dyDescent="0.15">
      <c r="B902" s="1"/>
      <c r="C902" s="28"/>
      <c r="D902" s="12"/>
    </row>
    <row r="903" spans="2:4" ht="13" x14ac:dyDescent="0.15">
      <c r="B903" s="1"/>
      <c r="C903" s="28"/>
      <c r="D903" s="12"/>
    </row>
    <row r="904" spans="2:4" ht="13" x14ac:dyDescent="0.15">
      <c r="B904" s="1"/>
      <c r="C904" s="28"/>
      <c r="D904" s="12"/>
    </row>
    <row r="905" spans="2:4" ht="13" x14ac:dyDescent="0.15">
      <c r="B905" s="1"/>
      <c r="C905" s="28"/>
      <c r="D905" s="12"/>
    </row>
    <row r="906" spans="2:4" ht="13" x14ac:dyDescent="0.15">
      <c r="B906" s="1"/>
      <c r="C906" s="28"/>
      <c r="D906" s="12"/>
    </row>
    <row r="907" spans="2:4" ht="13" x14ac:dyDescent="0.15">
      <c r="B907" s="1"/>
      <c r="C907" s="28"/>
      <c r="D907" s="12"/>
    </row>
    <row r="908" spans="2:4" ht="13" x14ac:dyDescent="0.15">
      <c r="B908" s="1"/>
      <c r="C908" s="28"/>
      <c r="D908" s="12"/>
    </row>
    <row r="909" spans="2:4" ht="13" x14ac:dyDescent="0.15">
      <c r="B909" s="1"/>
      <c r="C909" s="28"/>
      <c r="D909" s="12"/>
    </row>
    <row r="910" spans="2:4" ht="13" x14ac:dyDescent="0.15">
      <c r="B910" s="1"/>
      <c r="C910" s="28"/>
      <c r="D910" s="12"/>
    </row>
    <row r="911" spans="2:4" ht="13" x14ac:dyDescent="0.15">
      <c r="B911" s="1"/>
      <c r="C911" s="28"/>
      <c r="D911" s="12"/>
    </row>
    <row r="912" spans="2:4" ht="13" x14ac:dyDescent="0.15">
      <c r="B912" s="1"/>
      <c r="C912" s="28"/>
      <c r="D912" s="12"/>
    </row>
    <row r="913" spans="2:4" ht="13" x14ac:dyDescent="0.15">
      <c r="B913" s="1"/>
      <c r="C913" s="28"/>
      <c r="D913" s="12"/>
    </row>
    <row r="914" spans="2:4" ht="13" x14ac:dyDescent="0.15">
      <c r="B914" s="1"/>
      <c r="C914" s="28"/>
      <c r="D914" s="12"/>
    </row>
    <row r="915" spans="2:4" ht="13" x14ac:dyDescent="0.15">
      <c r="B915" s="1"/>
      <c r="C915" s="28"/>
      <c r="D915" s="12"/>
    </row>
    <row r="916" spans="2:4" ht="13" x14ac:dyDescent="0.15">
      <c r="B916" s="1"/>
      <c r="C916" s="28"/>
      <c r="D916" s="12"/>
    </row>
    <row r="917" spans="2:4" ht="13" x14ac:dyDescent="0.15">
      <c r="B917" s="1"/>
      <c r="C917" s="28"/>
      <c r="D917" s="12"/>
    </row>
    <row r="918" spans="2:4" ht="13" x14ac:dyDescent="0.15">
      <c r="B918" s="1"/>
      <c r="C918" s="28"/>
      <c r="D918" s="12"/>
    </row>
    <row r="919" spans="2:4" ht="13" x14ac:dyDescent="0.15">
      <c r="B919" s="1"/>
      <c r="C919" s="28"/>
      <c r="D919" s="12"/>
    </row>
    <row r="920" spans="2:4" ht="13" x14ac:dyDescent="0.15">
      <c r="B920" s="1"/>
      <c r="C920" s="28"/>
      <c r="D920" s="12"/>
    </row>
    <row r="921" spans="2:4" ht="13" x14ac:dyDescent="0.15">
      <c r="B921" s="1"/>
      <c r="C921" s="28"/>
      <c r="D921" s="12"/>
    </row>
    <row r="922" spans="2:4" ht="13" x14ac:dyDescent="0.15">
      <c r="B922" s="1"/>
      <c r="C922" s="28"/>
      <c r="D922" s="12"/>
    </row>
    <row r="923" spans="2:4" ht="13" x14ac:dyDescent="0.15">
      <c r="B923" s="1"/>
      <c r="C923" s="28"/>
      <c r="D923" s="12"/>
    </row>
    <row r="924" spans="2:4" ht="13" x14ac:dyDescent="0.15">
      <c r="B924" s="1"/>
      <c r="C924" s="28"/>
      <c r="D924" s="12"/>
    </row>
    <row r="925" spans="2:4" ht="13" x14ac:dyDescent="0.15">
      <c r="B925" s="1"/>
      <c r="C925" s="28"/>
      <c r="D925" s="12"/>
    </row>
    <row r="926" spans="2:4" ht="13" x14ac:dyDescent="0.15">
      <c r="B926" s="1"/>
      <c r="C926" s="28"/>
      <c r="D926" s="12"/>
    </row>
    <row r="927" spans="2:4" ht="13" x14ac:dyDescent="0.15">
      <c r="B927" s="1"/>
      <c r="C927" s="28"/>
      <c r="D927" s="12"/>
    </row>
    <row r="928" spans="2:4" ht="13" x14ac:dyDescent="0.15">
      <c r="B928" s="1"/>
      <c r="C928" s="28"/>
      <c r="D928" s="12"/>
    </row>
    <row r="929" spans="2:4" ht="13" x14ac:dyDescent="0.15">
      <c r="B929" s="1"/>
      <c r="C929" s="28"/>
      <c r="D929" s="12"/>
    </row>
    <row r="930" spans="2:4" ht="13" x14ac:dyDescent="0.15">
      <c r="B930" s="1"/>
      <c r="C930" s="28"/>
      <c r="D930" s="12"/>
    </row>
    <row r="931" spans="2:4" ht="13" x14ac:dyDescent="0.15">
      <c r="B931" s="1"/>
      <c r="C931" s="28"/>
      <c r="D931" s="12"/>
    </row>
    <row r="932" spans="2:4" ht="13" x14ac:dyDescent="0.15">
      <c r="B932" s="1"/>
      <c r="C932" s="28"/>
      <c r="D932" s="12"/>
    </row>
    <row r="933" spans="2:4" ht="13" x14ac:dyDescent="0.15">
      <c r="B933" s="1"/>
      <c r="C933" s="28"/>
      <c r="D933" s="12"/>
    </row>
    <row r="934" spans="2:4" ht="13" x14ac:dyDescent="0.15">
      <c r="B934" s="1"/>
      <c r="C934" s="28"/>
      <c r="D934" s="12"/>
    </row>
    <row r="935" spans="2:4" ht="13" x14ac:dyDescent="0.15">
      <c r="B935" s="1"/>
      <c r="C935" s="28"/>
      <c r="D935" s="12"/>
    </row>
    <row r="936" spans="2:4" ht="13" x14ac:dyDescent="0.15">
      <c r="B936" s="1"/>
      <c r="C936" s="28"/>
      <c r="D936" s="12"/>
    </row>
    <row r="937" spans="2:4" ht="13" x14ac:dyDescent="0.15">
      <c r="B937" s="1"/>
      <c r="C937" s="28"/>
      <c r="D937" s="12"/>
    </row>
    <row r="938" spans="2:4" ht="13" x14ac:dyDescent="0.15">
      <c r="B938" s="1"/>
      <c r="C938" s="28"/>
      <c r="D938" s="12"/>
    </row>
    <row r="939" spans="2:4" ht="13" x14ac:dyDescent="0.15">
      <c r="B939" s="1"/>
      <c r="C939" s="28"/>
      <c r="D939" s="12"/>
    </row>
    <row r="940" spans="2:4" ht="13" x14ac:dyDescent="0.15">
      <c r="B940" s="1"/>
      <c r="C940" s="28"/>
      <c r="D940" s="12"/>
    </row>
    <row r="941" spans="2:4" ht="13" x14ac:dyDescent="0.15">
      <c r="B941" s="1"/>
      <c r="C941" s="28"/>
      <c r="D941" s="12"/>
    </row>
    <row r="942" spans="2:4" ht="13" x14ac:dyDescent="0.15">
      <c r="B942" s="1"/>
      <c r="C942" s="28"/>
      <c r="D942" s="12"/>
    </row>
    <row r="943" spans="2:4" ht="13" x14ac:dyDescent="0.15">
      <c r="B943" s="1"/>
      <c r="C943" s="28"/>
      <c r="D943" s="12"/>
    </row>
    <row r="944" spans="2:4" ht="13" x14ac:dyDescent="0.15">
      <c r="B944" s="1"/>
      <c r="C944" s="28"/>
      <c r="D944" s="12"/>
    </row>
    <row r="945" spans="2:4" ht="13" x14ac:dyDescent="0.15">
      <c r="B945" s="1"/>
      <c r="C945" s="28"/>
      <c r="D945" s="12"/>
    </row>
    <row r="946" spans="2:4" ht="13" x14ac:dyDescent="0.15">
      <c r="B946" s="1"/>
      <c r="C946" s="28"/>
      <c r="D946" s="12"/>
    </row>
    <row r="947" spans="2:4" ht="13" x14ac:dyDescent="0.15">
      <c r="B947" s="1"/>
      <c r="C947" s="28"/>
      <c r="D947" s="12"/>
    </row>
    <row r="948" spans="2:4" ht="13" x14ac:dyDescent="0.15">
      <c r="B948" s="1"/>
      <c r="C948" s="28"/>
      <c r="D948" s="12"/>
    </row>
    <row r="949" spans="2:4" ht="13" x14ac:dyDescent="0.15">
      <c r="B949" s="1"/>
      <c r="C949" s="28"/>
      <c r="D949" s="12"/>
    </row>
    <row r="950" spans="2:4" ht="13" x14ac:dyDescent="0.15">
      <c r="B950" s="1"/>
      <c r="C950" s="28"/>
      <c r="D950" s="12"/>
    </row>
    <row r="951" spans="2:4" ht="13" x14ac:dyDescent="0.15">
      <c r="B951" s="1"/>
      <c r="C951" s="28"/>
      <c r="D951" s="12"/>
    </row>
    <row r="952" spans="2:4" ht="13" x14ac:dyDescent="0.15">
      <c r="B952" s="1"/>
      <c r="C952" s="28"/>
      <c r="D952" s="12"/>
    </row>
    <row r="953" spans="2:4" ht="13" x14ac:dyDescent="0.15">
      <c r="B953" s="1"/>
      <c r="C953" s="28"/>
      <c r="D953" s="12"/>
    </row>
    <row r="954" spans="2:4" ht="13" x14ac:dyDescent="0.15">
      <c r="B954" s="1"/>
      <c r="C954" s="28"/>
      <c r="D954" s="12"/>
    </row>
    <row r="955" spans="2:4" ht="13" x14ac:dyDescent="0.15">
      <c r="B955" s="1"/>
      <c r="C955" s="28"/>
      <c r="D955" s="12"/>
    </row>
    <row r="956" spans="2:4" ht="13" x14ac:dyDescent="0.15">
      <c r="B956" s="1"/>
      <c r="C956" s="28"/>
      <c r="D956" s="12"/>
    </row>
    <row r="957" spans="2:4" ht="13" x14ac:dyDescent="0.15">
      <c r="B957" s="1"/>
      <c r="C957" s="28"/>
      <c r="D957" s="12"/>
    </row>
    <row r="958" spans="2:4" ht="13" x14ac:dyDescent="0.15">
      <c r="B958" s="1"/>
      <c r="C958" s="28"/>
      <c r="D958" s="12"/>
    </row>
    <row r="959" spans="2:4" ht="13" x14ac:dyDescent="0.15">
      <c r="B959" s="1"/>
      <c r="C959" s="28"/>
      <c r="D959" s="12"/>
    </row>
    <row r="960" spans="2:4" ht="13" x14ac:dyDescent="0.15">
      <c r="B960" s="1"/>
      <c r="C960" s="28"/>
      <c r="D960" s="12"/>
    </row>
    <row r="961" spans="2:4" ht="13" x14ac:dyDescent="0.15">
      <c r="B961" s="1"/>
      <c r="C961" s="28"/>
      <c r="D961" s="12"/>
    </row>
    <row r="962" spans="2:4" ht="13" x14ac:dyDescent="0.15">
      <c r="B962" s="1"/>
      <c r="C962" s="28"/>
      <c r="D962" s="12"/>
    </row>
    <row r="963" spans="2:4" ht="13" x14ac:dyDescent="0.15">
      <c r="B963" s="1"/>
      <c r="C963" s="28"/>
      <c r="D963" s="12"/>
    </row>
    <row r="964" spans="2:4" ht="13" x14ac:dyDescent="0.15">
      <c r="B964" s="1"/>
      <c r="C964" s="28"/>
      <c r="D964" s="12"/>
    </row>
    <row r="965" spans="2:4" ht="13" x14ac:dyDescent="0.15">
      <c r="B965" s="1"/>
      <c r="C965" s="28"/>
      <c r="D965" s="12"/>
    </row>
    <row r="966" spans="2:4" ht="13" x14ac:dyDescent="0.15">
      <c r="B966" s="1"/>
      <c r="C966" s="28"/>
      <c r="D966" s="12"/>
    </row>
    <row r="967" spans="2:4" ht="13" x14ac:dyDescent="0.15">
      <c r="B967" s="1"/>
      <c r="C967" s="28"/>
      <c r="D967" s="12"/>
    </row>
    <row r="968" spans="2:4" ht="13" x14ac:dyDescent="0.15">
      <c r="B968" s="1"/>
      <c r="C968" s="28"/>
      <c r="D968" s="12"/>
    </row>
    <row r="969" spans="2:4" ht="13" x14ac:dyDescent="0.15">
      <c r="B969" s="1"/>
      <c r="C969" s="28"/>
      <c r="D969" s="12"/>
    </row>
    <row r="970" spans="2:4" ht="13" x14ac:dyDescent="0.15">
      <c r="B970" s="1"/>
      <c r="C970" s="28"/>
      <c r="D970" s="12"/>
    </row>
    <row r="971" spans="2:4" ht="13" x14ac:dyDescent="0.15">
      <c r="B971" s="1"/>
      <c r="C971" s="28"/>
      <c r="D971" s="12"/>
    </row>
    <row r="972" spans="2:4" ht="13" x14ac:dyDescent="0.15">
      <c r="B972" s="1"/>
      <c r="C972" s="28"/>
      <c r="D972" s="12"/>
    </row>
    <row r="973" spans="2:4" ht="13" x14ac:dyDescent="0.15">
      <c r="B973" s="1"/>
      <c r="C973" s="28"/>
      <c r="D973" s="12"/>
    </row>
    <row r="974" spans="2:4" ht="13" x14ac:dyDescent="0.15">
      <c r="B974" s="1"/>
      <c r="C974" s="28"/>
      <c r="D974" s="12"/>
    </row>
    <row r="975" spans="2:4" ht="13" x14ac:dyDescent="0.15">
      <c r="B975" s="1"/>
      <c r="C975" s="28"/>
      <c r="D975" s="12"/>
    </row>
    <row r="976" spans="2:4" ht="13" x14ac:dyDescent="0.15">
      <c r="B976" s="1"/>
      <c r="C976" s="28"/>
      <c r="D976" s="12"/>
    </row>
    <row r="977" spans="2:4" ht="13" x14ac:dyDescent="0.15">
      <c r="B977" s="1"/>
      <c r="C977" s="28"/>
      <c r="D977" s="12"/>
    </row>
    <row r="978" spans="2:4" ht="13" x14ac:dyDescent="0.15">
      <c r="B978" s="1"/>
      <c r="C978" s="28"/>
      <c r="D978" s="12"/>
    </row>
    <row r="979" spans="2:4" ht="13" x14ac:dyDescent="0.15">
      <c r="B979" s="1"/>
      <c r="C979" s="28"/>
      <c r="D979" s="12"/>
    </row>
    <row r="980" spans="2:4" ht="13" x14ac:dyDescent="0.15">
      <c r="B980" s="1"/>
      <c r="C980" s="28"/>
      <c r="D980" s="12"/>
    </row>
    <row r="981" spans="2:4" ht="13" x14ac:dyDescent="0.15">
      <c r="B981" s="1"/>
      <c r="C981" s="28"/>
      <c r="D981" s="12"/>
    </row>
    <row r="982" spans="2:4" ht="13" x14ac:dyDescent="0.15">
      <c r="B982" s="1"/>
      <c r="C982" s="28"/>
      <c r="D982" s="12"/>
    </row>
    <row r="983" spans="2:4" ht="13" x14ac:dyDescent="0.15">
      <c r="B983" s="1"/>
      <c r="C983" s="28"/>
      <c r="D983" s="12"/>
    </row>
    <row r="984" spans="2:4" ht="13" x14ac:dyDescent="0.15">
      <c r="B984" s="1"/>
      <c r="C984" s="28"/>
      <c r="D984" s="12"/>
    </row>
    <row r="985" spans="2:4" ht="13" x14ac:dyDescent="0.15">
      <c r="B985" s="1"/>
      <c r="C985" s="28"/>
      <c r="D985" s="12"/>
    </row>
    <row r="986" spans="2:4" ht="13" x14ac:dyDescent="0.15">
      <c r="B986" s="1"/>
      <c r="C986" s="28"/>
      <c r="D986" s="12"/>
    </row>
    <row r="987" spans="2:4" ht="13" x14ac:dyDescent="0.15">
      <c r="B987" s="1"/>
      <c r="C987" s="28"/>
      <c r="D987" s="12"/>
    </row>
    <row r="988" spans="2:4" ht="13" x14ac:dyDescent="0.15">
      <c r="B988" s="1"/>
      <c r="C988" s="28"/>
      <c r="D988" s="12"/>
    </row>
    <row r="989" spans="2:4" ht="13" x14ac:dyDescent="0.15">
      <c r="B989" s="1"/>
      <c r="C989" s="28"/>
      <c r="D989" s="12"/>
    </row>
    <row r="990" spans="2:4" ht="13" x14ac:dyDescent="0.15">
      <c r="B990" s="1"/>
      <c r="C990" s="28"/>
      <c r="D990" s="12"/>
    </row>
    <row r="991" spans="2:4" ht="13" x14ac:dyDescent="0.15">
      <c r="B991" s="1"/>
      <c r="C991" s="28"/>
      <c r="D991" s="12"/>
    </row>
    <row r="992" spans="2:4" ht="13" x14ac:dyDescent="0.15">
      <c r="B992" s="1"/>
      <c r="C992" s="28"/>
      <c r="D992" s="12"/>
    </row>
    <row r="993" spans="2:4" ht="13" x14ac:dyDescent="0.15">
      <c r="B993" s="1"/>
      <c r="C993" s="28"/>
      <c r="D993" s="12"/>
    </row>
    <row r="994" spans="2:4" ht="13" x14ac:dyDescent="0.15">
      <c r="B994" s="1"/>
      <c r="C994" s="28"/>
      <c r="D994" s="12"/>
    </row>
    <row r="995" spans="2:4" ht="13" x14ac:dyDescent="0.15">
      <c r="B995" s="1"/>
      <c r="C995" s="28"/>
      <c r="D995" s="12"/>
    </row>
    <row r="996" spans="2:4" ht="13" x14ac:dyDescent="0.15">
      <c r="B996" s="1"/>
      <c r="C996" s="28"/>
      <c r="D996" s="12"/>
    </row>
    <row r="997" spans="2:4" ht="13" x14ac:dyDescent="0.15">
      <c r="B997" s="1"/>
      <c r="C997" s="28"/>
      <c r="D997" s="12"/>
    </row>
    <row r="998" spans="2:4" ht="13" x14ac:dyDescent="0.15">
      <c r="B998" s="1"/>
      <c r="C998" s="28"/>
      <c r="D998" s="12"/>
    </row>
    <row r="999" spans="2:4" ht="13" x14ac:dyDescent="0.15">
      <c r="B999" s="1"/>
      <c r="C999" s="28"/>
      <c r="D999" s="12"/>
    </row>
    <row r="1000" spans="2:4" ht="13" x14ac:dyDescent="0.15">
      <c r="B1000" s="1"/>
      <c r="C1000" s="28"/>
      <c r="D1000" s="12"/>
    </row>
  </sheetData>
  <autoFilter ref="E1:E1000" xr:uid="{00000000-0009-0000-0000-000001000000}"/>
  <customSheetViews>
    <customSheetView guid="{B5763548-DE6F-44E8-834D-07734F71FD52}" filter="1" showAutoFilter="1">
      <pageMargins left="0.7" right="0.7" top="0.75" bottom="0.75" header="0.3" footer="0.3"/>
      <autoFilter ref="C1:K317" xr:uid="{63311F95-12A3-FF4D-9F87-DBA8CD9D446E}">
        <filterColumn colId="8">
          <filters>
            <filter val="FALSE"/>
          </filters>
        </filterColumn>
      </autoFilter>
    </customSheetView>
  </customSheetView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31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338</v>
      </c>
      <c r="B2" s="2" t="s">
        <v>339</v>
      </c>
      <c r="C2" s="11" t="s">
        <v>340</v>
      </c>
      <c r="D2" s="2">
        <v>19.1112949665124</v>
      </c>
      <c r="E2" s="2" t="s">
        <v>341</v>
      </c>
      <c r="F2" s="11"/>
      <c r="G2" s="2"/>
      <c r="H2" s="2"/>
    </row>
    <row r="3" spans="1:8" ht="15.75" customHeight="1" x14ac:dyDescent="0.15">
      <c r="A3" s="2" t="s">
        <v>363</v>
      </c>
      <c r="B3" s="2" t="str">
        <f ca="1">IFERROR(__xludf.DUMMYFUNCTION("GOOGLETRANSLATE(A3)"),"PLA HIST PLA Category Objective 16")</f>
        <v>PLA HIST PLA Category Objective 16</v>
      </c>
      <c r="C3" s="11"/>
      <c r="D3" s="2">
        <v>11.9346682295393</v>
      </c>
      <c r="E3" s="2" t="s">
        <v>341</v>
      </c>
      <c r="F3" s="11"/>
      <c r="G3" s="2"/>
      <c r="H3" s="2"/>
    </row>
    <row r="4" spans="1:8" ht="15.75" customHeight="1" x14ac:dyDescent="0.15">
      <c r="A4" s="2" t="s">
        <v>384</v>
      </c>
      <c r="B4" s="2" t="s">
        <v>385</v>
      </c>
      <c r="C4" s="11" t="s">
        <v>386</v>
      </c>
      <c r="D4" s="2">
        <v>8.9550541509408408</v>
      </c>
      <c r="E4" s="2" t="s">
        <v>341</v>
      </c>
      <c r="F4" s="11" t="s">
        <v>387</v>
      </c>
      <c r="G4" s="2"/>
      <c r="H4" s="2"/>
    </row>
    <row r="5" spans="1:8" ht="15.75" customHeight="1" x14ac:dyDescent="0.15">
      <c r="A5" s="2" t="s">
        <v>431</v>
      </c>
      <c r="B5" s="2" t="s">
        <v>432</v>
      </c>
      <c r="C5" s="11" t="s">
        <v>433</v>
      </c>
      <c r="D5" s="2">
        <v>4.6626867352788599</v>
      </c>
      <c r="E5" s="2" t="s">
        <v>341</v>
      </c>
      <c r="F5" s="11"/>
      <c r="G5" s="2"/>
      <c r="H5" s="2"/>
    </row>
    <row r="6" spans="1:8" ht="15.75" customHeight="1" x14ac:dyDescent="0.15">
      <c r="A6" s="2" t="s">
        <v>473</v>
      </c>
      <c r="B6" s="2" t="s">
        <v>474</v>
      </c>
      <c r="C6" s="11"/>
      <c r="D6" s="2">
        <v>2.5579296518428398</v>
      </c>
      <c r="E6" s="2" t="s">
        <v>341</v>
      </c>
      <c r="F6" s="11"/>
      <c r="G6" s="2"/>
      <c r="H6" s="2"/>
    </row>
    <row r="7" spans="1:8" ht="15.75" customHeight="1" x14ac:dyDescent="0.15">
      <c r="A7" s="2" t="s">
        <v>525</v>
      </c>
      <c r="B7" s="2" t="str">
        <f ca="1">IFERROR(__xludf.DUMMYFUNCTION("GOOGLETRANSLATE(A7)"),"PLA HIST PLA Category Objective 2")</f>
        <v>PLA HIST PLA Category Objective 2</v>
      </c>
      <c r="C7" s="11"/>
      <c r="D7" s="2">
        <v>1.4493443759986</v>
      </c>
      <c r="E7" s="2" t="s">
        <v>341</v>
      </c>
      <c r="F7" s="11"/>
      <c r="G7" s="2" t="b">
        <v>0</v>
      </c>
      <c r="H7" s="2"/>
    </row>
    <row r="8" spans="1:8" ht="15.75" customHeight="1" x14ac:dyDescent="0.15">
      <c r="A8" s="2" t="s">
        <v>544</v>
      </c>
      <c r="B8" s="2" t="s">
        <v>545</v>
      </c>
      <c r="C8" s="11" t="s">
        <v>546</v>
      </c>
      <c r="D8" s="2">
        <v>1.16756067239928</v>
      </c>
      <c r="E8" s="2" t="s">
        <v>341</v>
      </c>
      <c r="F8" s="11"/>
      <c r="G8" s="2"/>
      <c r="H8" s="2"/>
    </row>
    <row r="9" spans="1:8" ht="15.75" customHeight="1" x14ac:dyDescent="0.15">
      <c r="A9" s="2" t="s">
        <v>558</v>
      </c>
      <c r="B9" s="2" t="str">
        <f ca="1">IFERROR(__xludf.DUMMYFUNCTION("GOOGLETRANSLATE(A9)"),"PLA HIST PLA Category Objective 3")</f>
        <v>PLA HIST PLA Category Objective 3</v>
      </c>
      <c r="C9" s="11"/>
      <c r="D9" s="2">
        <v>1.08978622296932</v>
      </c>
      <c r="E9" s="2" t="s">
        <v>341</v>
      </c>
      <c r="F9" s="11"/>
      <c r="G9" s="2" t="b">
        <v>0</v>
      </c>
      <c r="H9" s="2"/>
    </row>
    <row r="10" spans="1:8" ht="15.75" customHeight="1" x14ac:dyDescent="0.15">
      <c r="A10" s="2" t="s">
        <v>591</v>
      </c>
      <c r="B10" s="2" t="str">
        <f ca="1">IFERROR(__xludf.DUMMYFUNCTION("GOOGLETRANSLATE(A10)"),"PLA HIST PLA Category Objective 10")</f>
        <v>PLA HIST PLA Category Objective 10</v>
      </c>
      <c r="C10" s="11"/>
      <c r="D10" s="2">
        <v>0.71687434909261205</v>
      </c>
      <c r="E10" s="2" t="s">
        <v>341</v>
      </c>
      <c r="F10" s="11"/>
      <c r="G10" s="2" t="b">
        <v>0</v>
      </c>
      <c r="H10" s="2"/>
    </row>
    <row r="11" spans="1:8" ht="15.75" customHeight="1" x14ac:dyDescent="0.15">
      <c r="A11" s="2" t="s">
        <v>592</v>
      </c>
      <c r="B11" s="2" t="str">
        <f ca="1">IFERROR(__xludf.DUMMYFUNCTION("GOOGLETRANSLATE(A11)"),"PLA HIST PLA Category Objective 5")</f>
        <v>PLA HIST PLA Category Objective 5</v>
      </c>
      <c r="C11" s="11"/>
      <c r="D11" s="2">
        <v>0.71505243888968695</v>
      </c>
      <c r="E11" s="2" t="s">
        <v>341</v>
      </c>
      <c r="F11" s="11"/>
      <c r="G11" s="2" t="b">
        <v>0</v>
      </c>
      <c r="H11" s="2"/>
    </row>
    <row r="12" spans="1:8" ht="15.75" customHeight="1" x14ac:dyDescent="0.15">
      <c r="A12" s="2" t="s">
        <v>599</v>
      </c>
      <c r="B12" s="2" t="str">
        <f ca="1">IFERROR(__xludf.DUMMYFUNCTION("GOOGLETRANSLATE(A12)"),"PLA HIST PLA Category Objective Other")</f>
        <v>PLA HIST PLA Category Objective Other</v>
      </c>
      <c r="C12" s="11"/>
      <c r="D12" s="2">
        <v>0.68174332974392404</v>
      </c>
      <c r="E12" s="2" t="s">
        <v>341</v>
      </c>
      <c r="F12" s="11"/>
      <c r="G12" s="2" t="b">
        <v>0</v>
      </c>
      <c r="H12" s="2"/>
    </row>
    <row r="13" spans="1:8" ht="15.75" customHeight="1" x14ac:dyDescent="0.15">
      <c r="A13" s="2" t="s">
        <v>608</v>
      </c>
      <c r="B13" s="2" t="s">
        <v>609</v>
      </c>
      <c r="C13" s="11" t="s">
        <v>610</v>
      </c>
      <c r="D13" s="2">
        <v>0.61653293557576505</v>
      </c>
      <c r="E13" s="2" t="s">
        <v>341</v>
      </c>
      <c r="F13" s="11"/>
      <c r="G13" s="2"/>
      <c r="H13" s="2"/>
    </row>
    <row r="14" spans="1:8" ht="15.75" customHeight="1" x14ac:dyDescent="0.15">
      <c r="A14" s="2" t="s">
        <v>612</v>
      </c>
      <c r="B14" s="2" t="str">
        <f ca="1">IFERROR(__xludf.DUMMYFUNCTION("GOOGLETRANSLATE(A14)"),"PLA HIST PLA Category Objective 1")</f>
        <v>PLA HIST PLA Category Objective 1</v>
      </c>
      <c r="C14" s="11"/>
      <c r="D14" s="2">
        <v>0.606763074713904</v>
      </c>
      <c r="E14" s="2" t="s">
        <v>341</v>
      </c>
      <c r="F14" s="11"/>
      <c r="G14" s="2" t="b">
        <v>0</v>
      </c>
      <c r="H14" s="2"/>
    </row>
    <row r="15" spans="1:8" ht="15.75" customHeight="1" x14ac:dyDescent="0.15">
      <c r="A15" s="2" t="s">
        <v>615</v>
      </c>
      <c r="B15" s="2" t="str">
        <f ca="1">IFERROR(__xludf.DUMMYFUNCTION("GOOGLETRANSLATE(A15)"),"PLA HIST PLA Category Objective 9")</f>
        <v>PLA HIST PLA Category Objective 9</v>
      </c>
      <c r="C15" s="11"/>
      <c r="D15" s="2">
        <v>0.60135224140113797</v>
      </c>
      <c r="E15" s="2" t="s">
        <v>341</v>
      </c>
      <c r="F15" s="11"/>
      <c r="G15" s="2" t="b">
        <v>0</v>
      </c>
      <c r="H15" s="2"/>
    </row>
    <row r="16" spans="1:8" ht="15.75" customHeight="1" x14ac:dyDescent="0.15">
      <c r="A16" s="2" t="s">
        <v>623</v>
      </c>
      <c r="B16" s="2" t="str">
        <f ca="1">IFERROR(__xludf.DUMMYFUNCTION("GOOGLETRANSLATE(A16)"),"Pla history other")</f>
        <v>Pla history other</v>
      </c>
      <c r="C16" s="11"/>
      <c r="D16" s="2">
        <v>0.58391702123017697</v>
      </c>
      <c r="E16" s="2" t="s">
        <v>341</v>
      </c>
      <c r="F16" s="11"/>
      <c r="G16" s="2" t="b">
        <v>0</v>
      </c>
      <c r="H16" s="2"/>
    </row>
    <row r="17" spans="1:8" ht="15.75" customHeight="1" x14ac:dyDescent="0.15">
      <c r="A17" s="2" t="s">
        <v>625</v>
      </c>
      <c r="B17" s="2" t="str">
        <f ca="1">IFERROR(__xludf.DUMMYFUNCTION("GOOGLETRANSLATE(A17)"),"PLA HIST PLA Category Objective 11")</f>
        <v>PLA HIST PLA Category Objective 11</v>
      </c>
      <c r="C17" s="11"/>
      <c r="D17" s="2">
        <v>0.57455807005256199</v>
      </c>
      <c r="E17" s="2" t="s">
        <v>341</v>
      </c>
      <c r="F17" s="11"/>
      <c r="G17" s="2" t="b">
        <v>0</v>
      </c>
      <c r="H17" s="2"/>
    </row>
    <row r="18" spans="1:8" ht="15.75" customHeight="1" x14ac:dyDescent="0.15">
      <c r="A18" s="2" t="s">
        <v>633</v>
      </c>
      <c r="B18" s="2" t="s">
        <v>634</v>
      </c>
      <c r="C18" s="11"/>
      <c r="D18" s="2">
        <v>0.54414988146551602</v>
      </c>
      <c r="E18" s="2" t="s">
        <v>341</v>
      </c>
      <c r="F18" s="11"/>
      <c r="G18" s="2"/>
      <c r="H18" s="2"/>
    </row>
    <row r="19" spans="1:8" ht="15.75" customHeight="1" x14ac:dyDescent="0.15">
      <c r="A19" s="2" t="s">
        <v>641</v>
      </c>
      <c r="B19" s="2" t="str">
        <f ca="1">IFERROR(__xludf.DUMMYFUNCTION("GOOGLETRANSLATE(A19)"),"PLA HIST PLA Category Objective 4")</f>
        <v>PLA HIST PLA Category Objective 4</v>
      </c>
      <c r="C19" s="11"/>
      <c r="D19" s="2">
        <v>0.535187296122829</v>
      </c>
      <c r="E19" s="2" t="s">
        <v>341</v>
      </c>
      <c r="F19" s="11"/>
      <c r="G19" s="2" t="b">
        <v>0</v>
      </c>
      <c r="H19" s="2"/>
    </row>
    <row r="20" spans="1:8" ht="15.75" customHeight="1" x14ac:dyDescent="0.15">
      <c r="A20" s="2" t="s">
        <v>645</v>
      </c>
      <c r="B20" s="2" t="s">
        <v>646</v>
      </c>
      <c r="C20" s="11"/>
      <c r="D20" s="2">
        <v>0.50827353432264399</v>
      </c>
      <c r="E20" s="2" t="s">
        <v>341</v>
      </c>
      <c r="F20" s="11"/>
      <c r="G20" s="2"/>
      <c r="H20" s="2"/>
    </row>
    <row r="21" spans="1:8" ht="15.75" customHeight="1" x14ac:dyDescent="0.15">
      <c r="A21" s="2" t="s">
        <v>651</v>
      </c>
      <c r="B21" s="2" t="str">
        <f ca="1">IFERROR(__xludf.DUMMYFUNCTION("GOOGLETRANSLATE(A21)"),"PLA Current PLA Category Objective 9")</f>
        <v>PLA Current PLA Category Objective 9</v>
      </c>
      <c r="C21" s="11"/>
      <c r="D21" s="2">
        <v>0.481296749160181</v>
      </c>
      <c r="E21" s="2" t="s">
        <v>341</v>
      </c>
      <c r="F21" s="11"/>
      <c r="G21" s="2" t="b">
        <v>0</v>
      </c>
      <c r="H21" s="2"/>
    </row>
    <row r="22" spans="1:8" ht="15.75" customHeight="1" x14ac:dyDescent="0.15">
      <c r="A22" s="2" t="s">
        <v>670</v>
      </c>
      <c r="B22" s="2" t="str">
        <f ca="1">IFERROR(__xludf.DUMMYFUNCTION("GOOGLETRANSLATE(A22)"),"PLA History Social Exercise")</f>
        <v>PLA History Social Exercise</v>
      </c>
      <c r="C22" s="11" t="s">
        <v>671</v>
      </c>
      <c r="D22" s="2">
        <v>0.426314858516946</v>
      </c>
      <c r="E22" s="2" t="s">
        <v>341</v>
      </c>
      <c r="F22" s="11"/>
      <c r="G22" s="2"/>
      <c r="H22" s="2"/>
    </row>
    <row r="23" spans="1:8" ht="15.75" customHeight="1" x14ac:dyDescent="0.15">
      <c r="A23" s="2" t="s">
        <v>715</v>
      </c>
      <c r="B23" s="2" t="str">
        <f ca="1">IFERROR(__xludf.DUMMYFUNCTION("GOOGLETRANSLATE(A23)"),"pla end planned end date exceeded without further notice")</f>
        <v>pla end planned end date exceeded without further notice</v>
      </c>
      <c r="C23" s="11" t="s">
        <v>716</v>
      </c>
      <c r="D23" s="2">
        <v>0.27994178877581699</v>
      </c>
      <c r="E23" s="2" t="s">
        <v>341</v>
      </c>
      <c r="F23" s="11"/>
      <c r="G23" s="2"/>
      <c r="H23" s="2"/>
    </row>
    <row r="24" spans="1:8" ht="15.75" customHeight="1" x14ac:dyDescent="0.15">
      <c r="A24" s="2" t="s">
        <v>724</v>
      </c>
      <c r="B24" s="2" t="str">
        <f ca="1">IFERROR(__xludf.DUMMYFUNCTION("GOOGLETRANSLATE(A24)"),"pla end other")</f>
        <v>pla end other</v>
      </c>
      <c r="C24" s="11" t="s">
        <v>725</v>
      </c>
      <c r="D24" s="2">
        <v>0.26128402648278798</v>
      </c>
      <c r="E24" s="2" t="s">
        <v>341</v>
      </c>
      <c r="F24" s="11"/>
      <c r="G24" s="2"/>
      <c r="H24" s="2"/>
    </row>
    <row r="25" spans="1:8" ht="15.75" customHeight="1" x14ac:dyDescent="0.15">
      <c r="A25" s="2" t="s">
        <v>743</v>
      </c>
      <c r="B25" s="2" t="str">
        <f ca="1">IFERROR(__xludf.DUMMYFUNCTION("GOOGLETRANSLATE(A25)"),"PLA History Work")</f>
        <v>PLA History Work</v>
      </c>
      <c r="C25" s="11" t="s">
        <v>744</v>
      </c>
      <c r="D25" s="2">
        <v>0.209301301857205</v>
      </c>
      <c r="E25" s="2" t="s">
        <v>341</v>
      </c>
      <c r="F25" s="11"/>
      <c r="G25" s="2"/>
      <c r="H25" s="2"/>
    </row>
    <row r="26" spans="1:8" ht="15.75" customHeight="1" x14ac:dyDescent="0.15">
      <c r="A26" s="2" t="s">
        <v>747</v>
      </c>
      <c r="B26" s="2" t="str">
        <f ca="1">IFERROR(__xludf.DUMMYFUNCTION("GOOGLETRANSLATE(A26)"),"PLA HIST PLA Category Objective 27")</f>
        <v>PLA HIST PLA Category Objective 27</v>
      </c>
      <c r="C26" s="11"/>
      <c r="D26" s="2">
        <v>0.19978946265445799</v>
      </c>
      <c r="E26" s="2" t="s">
        <v>341</v>
      </c>
      <c r="F26" s="11"/>
      <c r="G26" s="2" t="b">
        <v>0</v>
      </c>
      <c r="H26" s="2"/>
    </row>
    <row r="27" spans="1:8" ht="15.75" customHeight="1" x14ac:dyDescent="0.15">
      <c r="A27" s="2" t="s">
        <v>769</v>
      </c>
      <c r="B27" s="2" t="str">
        <f ca="1">IFERROR(__xludf.DUMMYFUNCTION("GOOGLETRANSLATE(A27)"),"PLA Current PLA Category Objective 16")</f>
        <v>PLA Current PLA Category Objective 16</v>
      </c>
      <c r="C27" s="11"/>
      <c r="D27" s="2">
        <v>0.13840146211846099</v>
      </c>
      <c r="E27" s="2" t="s">
        <v>341</v>
      </c>
      <c r="F27" s="11"/>
      <c r="G27" s="2" t="b">
        <v>0</v>
      </c>
      <c r="H27" s="2"/>
    </row>
    <row r="28" spans="1:8" ht="15.75" customHeight="1" x14ac:dyDescent="0.15">
      <c r="A28" s="2" t="s">
        <v>788</v>
      </c>
      <c r="B28" s="2" t="str">
        <f ca="1">IFERROR(__xludf.DUMMYFUNCTION("GOOGLETRANSLATE(A28)"),"PLA End of objective reaches transfer")</f>
        <v>PLA End of objective reaches transfer</v>
      </c>
      <c r="C28" s="11" t="s">
        <v>955</v>
      </c>
      <c r="D28" s="2">
        <v>0.10339153314862499</v>
      </c>
      <c r="E28" s="2" t="s">
        <v>341</v>
      </c>
      <c r="F28" s="11"/>
      <c r="G28" s="2"/>
      <c r="H28" s="2"/>
    </row>
    <row r="29" spans="1:8" ht="15.75" customHeight="1" x14ac:dyDescent="0.15">
      <c r="A29" s="2" t="s">
        <v>813</v>
      </c>
      <c r="B29" s="2" t="str">
        <f ca="1">IFERROR(__xludf.DUMMYFUNCTION("GOOGLETRANSLATE(A29)"),"PLA HIST PLA Category Objective 6")</f>
        <v>PLA HIST PLA Category Objective 6</v>
      </c>
      <c r="C29" s="11"/>
      <c r="D29" s="2">
        <v>8.3928196137827094E-2</v>
      </c>
      <c r="E29" s="2" t="s">
        <v>341</v>
      </c>
      <c r="F29" s="11"/>
      <c r="G29" s="2" t="b">
        <v>0</v>
      </c>
      <c r="H29" s="2"/>
    </row>
    <row r="30" spans="1:8" ht="15.75" customHeight="1" x14ac:dyDescent="0.15">
      <c r="A30" s="2" t="s">
        <v>891</v>
      </c>
      <c r="B30" s="2" t="str">
        <f ca="1">IFERROR(__xludf.DUMMYFUNCTION("GOOGLETRANSLATE(A30)"),"PLA End of objective not reached transfer")</f>
        <v>PLA End of objective not reached transfer</v>
      </c>
      <c r="C30" s="11"/>
      <c r="D30" s="2">
        <v>0</v>
      </c>
      <c r="E30" s="2" t="s">
        <v>341</v>
      </c>
      <c r="F30" s="11"/>
      <c r="G30" s="2" t="b">
        <v>0</v>
      </c>
      <c r="H30" s="2"/>
    </row>
    <row r="31" spans="1:8" ht="15.75" customHeight="1" x14ac:dyDescent="0.15">
      <c r="A31" s="2" t="s">
        <v>892</v>
      </c>
      <c r="B31" s="2" t="str">
        <f ca="1">IFERROR(__xludf.DUMMYFUNCTION("GOOGLETRANSLATE(A31)"),"PLA History Work and Integration")</f>
        <v>PLA History Work and Integration</v>
      </c>
      <c r="C31" s="11" t="s">
        <v>893</v>
      </c>
      <c r="D31" s="2">
        <v>0</v>
      </c>
      <c r="E31" s="2" t="s">
        <v>341</v>
      </c>
      <c r="F31" s="11"/>
      <c r="G31" s="2"/>
      <c r="H3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4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332</v>
      </c>
      <c r="B2" s="2" t="str">
        <f ca="1">IFERROR(__xludf.DUMMYFUNCTION("GOOGLETRANSLATE(A2)"),"Address days at address")</f>
        <v>Address days at address</v>
      </c>
      <c r="C2" s="11"/>
      <c r="D2" s="2">
        <v>23.329141197404699</v>
      </c>
      <c r="E2" s="2" t="s">
        <v>334</v>
      </c>
      <c r="F2" s="11"/>
      <c r="G2" s="2"/>
      <c r="H2" s="2"/>
    </row>
    <row r="3" spans="1:8" ht="15.75" customHeight="1" x14ac:dyDescent="0.15">
      <c r="A3" s="2" t="s">
        <v>420</v>
      </c>
      <c r="B3" s="2" t="s">
        <v>421</v>
      </c>
      <c r="C3" s="11" t="s">
        <v>422</v>
      </c>
      <c r="D3" s="2">
        <v>6.3707922210249004</v>
      </c>
      <c r="E3" s="2" t="s">
        <v>334</v>
      </c>
      <c r="F3" s="11"/>
      <c r="G3" s="2"/>
      <c r="H3" s="2"/>
    </row>
    <row r="4" spans="1:8" ht="15.75" customHeight="1" x14ac:dyDescent="0.15">
      <c r="A4" s="2" t="s">
        <v>429</v>
      </c>
      <c r="B4" s="2" t="str">
        <f ca="1">IFERROR(__xludf.DUMMYFUNCTION("GOOGLETRANSLATE(A4)"),"address number of shipping address")</f>
        <v>address number of shipping address</v>
      </c>
      <c r="C4" s="11"/>
      <c r="D4" s="2">
        <v>4.6796384845890797</v>
      </c>
      <c r="E4" s="2" t="s">
        <v>334</v>
      </c>
      <c r="F4" s="11"/>
      <c r="G4" s="2"/>
      <c r="H4" s="2"/>
    </row>
    <row r="5" spans="1:8" ht="15.75" customHeight="1" x14ac:dyDescent="0.15">
      <c r="A5" s="2" t="s">
        <v>457</v>
      </c>
      <c r="B5" s="2" t="str">
        <f ca="1">IFERROR(__xludf.DUMMYFUNCTION("GOOGLETRANSLATE(A5)"),"address most recent neighborhood Groot IJsselmonde")</f>
        <v>address most recent neighborhood Groot IJsselmonde</v>
      </c>
      <c r="C5" s="11"/>
      <c r="D5" s="2">
        <v>3.69234624081815</v>
      </c>
      <c r="E5" s="2" t="s">
        <v>334</v>
      </c>
      <c r="F5" s="11"/>
      <c r="G5" s="2"/>
      <c r="H5" s="2"/>
    </row>
    <row r="6" spans="1:8" ht="15.75" customHeight="1" x14ac:dyDescent="0.15">
      <c r="A6" s="2" t="s">
        <v>483</v>
      </c>
      <c r="B6" s="2" t="s">
        <v>484</v>
      </c>
      <c r="C6" s="11" t="s">
        <v>485</v>
      </c>
      <c r="D6" s="2">
        <v>2.38551409019807</v>
      </c>
      <c r="E6" s="2" t="s">
        <v>334</v>
      </c>
      <c r="F6" s="11" t="s">
        <v>486</v>
      </c>
      <c r="G6" s="2"/>
      <c r="H6" s="2"/>
    </row>
    <row r="7" spans="1:8" ht="15.75" customHeight="1" x14ac:dyDescent="0.15">
      <c r="A7" s="2" t="s">
        <v>487</v>
      </c>
      <c r="B7" s="2" t="str">
        <f ca="1">IFERROR(__xludf.DUMMYFUNCTION("GOOGLETRANSLATE(A7)"),"address most recent neighborhood other")</f>
        <v>address most recent neighborhood other</v>
      </c>
      <c r="C7" s="11"/>
      <c r="D7" s="2">
        <v>2.3539577963782401</v>
      </c>
      <c r="E7" s="2" t="s">
        <v>334</v>
      </c>
      <c r="F7" s="11"/>
      <c r="G7" s="2"/>
      <c r="H7" s="2"/>
    </row>
    <row r="8" spans="1:8" ht="15.75" customHeight="1" x14ac:dyDescent="0.15">
      <c r="A8" s="2" t="s">
        <v>506</v>
      </c>
      <c r="B8" s="2" t="str">
        <f ca="1">IFERROR(__xludf.DUMMYFUNCTION("GOOGLETRANSLATE(A8)"),"address number of different neighborhoods")</f>
        <v>address number of different neighborhoods</v>
      </c>
      <c r="C8" s="11"/>
      <c r="D8" s="2">
        <v>1.8642036491968199</v>
      </c>
      <c r="E8" s="2" t="s">
        <v>334</v>
      </c>
      <c r="F8" s="11"/>
      <c r="G8" s="2"/>
      <c r="H8" s="2"/>
    </row>
    <row r="9" spans="1:8" ht="15.75" customHeight="1" x14ac:dyDescent="0.15">
      <c r="A9" s="2" t="s">
        <v>526</v>
      </c>
      <c r="B9" s="2" t="s">
        <v>527</v>
      </c>
      <c r="C9" s="11"/>
      <c r="D9" s="2">
        <v>1.4039055739013799</v>
      </c>
      <c r="E9" s="2" t="s">
        <v>334</v>
      </c>
      <c r="F9" s="11"/>
      <c r="G9" s="2"/>
      <c r="H9" s="2"/>
    </row>
    <row r="10" spans="1:8" ht="15.75" customHeight="1" x14ac:dyDescent="0.15">
      <c r="A10" s="2" t="s">
        <v>528</v>
      </c>
      <c r="B10" s="2" t="str">
        <f ca="1">IFERROR(__xludf.DUMMYFUNCTION("GOOGLETRANSLATE(A10)"),"address most recent Delfshaven district")</f>
        <v>address most recent Delfshaven district</v>
      </c>
      <c r="C10" s="11"/>
      <c r="D10" s="2">
        <v>1.37830382988484</v>
      </c>
      <c r="E10" s="2" t="s">
        <v>334</v>
      </c>
      <c r="F10" s="11"/>
      <c r="G10" s="2"/>
      <c r="H10" s="2"/>
    </row>
    <row r="11" spans="1:8" ht="15.75" customHeight="1" x14ac:dyDescent="0.15">
      <c r="A11" s="2" t="s">
        <v>532</v>
      </c>
      <c r="B11" s="2" t="str">
        <f ca="1">IFERROR(__xludf.DUMMYFUNCTION("GOOGLETRANSLATE(A11)"),"address most recent district Prins Alexa")</f>
        <v>address most recent district Prins Alexa</v>
      </c>
      <c r="C11" s="11"/>
      <c r="D11" s="2">
        <v>1.3207768325327001</v>
      </c>
      <c r="E11" s="2" t="s">
        <v>334</v>
      </c>
      <c r="F11" s="11"/>
      <c r="G11" s="2"/>
      <c r="H11" s="2"/>
    </row>
    <row r="12" spans="1:8" ht="15.75" customHeight="1" x14ac:dyDescent="0.15">
      <c r="A12" s="2" t="s">
        <v>556</v>
      </c>
      <c r="B12" s="2" t="str">
        <f ca="1">IFERROR(__xludf.DUMMYFUNCTION("GOOGLETRANSLATE(A12)"),"address most recent Charlois district")</f>
        <v>address most recent Charlois district</v>
      </c>
      <c r="C12" s="11"/>
      <c r="D12" s="2">
        <v>1.09252962067599</v>
      </c>
      <c r="E12" s="2" t="s">
        <v>334</v>
      </c>
      <c r="F12" s="11"/>
      <c r="G12" s="2"/>
      <c r="H12" s="2"/>
    </row>
    <row r="13" spans="1:8" ht="15.75" customHeight="1" x14ac:dyDescent="0.15">
      <c r="A13" s="2" t="s">
        <v>559</v>
      </c>
      <c r="B13" s="2" t="str">
        <f ca="1">IFERROR(__xludf.DUMMYFUNCTION("GOOGLETRANSLATE(A13)"),"Address unique district ratio")</f>
        <v>Address unique district ratio</v>
      </c>
      <c r="C13" s="11"/>
      <c r="D13" s="2">
        <v>1.08605203075762</v>
      </c>
      <c r="E13" s="2" t="s">
        <v>334</v>
      </c>
      <c r="F13" s="11"/>
      <c r="G13" s="2"/>
      <c r="H13" s="2"/>
    </row>
    <row r="14" spans="1:8" ht="15.75" customHeight="1" x14ac:dyDescent="0.15">
      <c r="A14" s="2" t="s">
        <v>566</v>
      </c>
      <c r="B14" s="2" t="s">
        <v>567</v>
      </c>
      <c r="C14" s="11"/>
      <c r="D14" s="2">
        <v>1.0117448999324301</v>
      </c>
      <c r="E14" s="2" t="s">
        <v>334</v>
      </c>
      <c r="F14" s="11"/>
      <c r="G14" s="2"/>
      <c r="H14" s="2"/>
    </row>
    <row r="15" spans="1:8" ht="15.75" customHeight="1" x14ac:dyDescent="0.15">
      <c r="A15" s="2" t="s">
        <v>579</v>
      </c>
      <c r="B15" s="2" t="str">
        <f ca="1">IFERROR(__xludf.DUMMYFUNCTION("GOOGLETRANSLATE(A15)"),"address most recent")</f>
        <v>address most recent</v>
      </c>
      <c r="C15" s="11"/>
      <c r="D15" s="2">
        <v>0.90174698383864005</v>
      </c>
      <c r="E15" s="2" t="s">
        <v>334</v>
      </c>
      <c r="F15" s="11"/>
      <c r="G15" s="2"/>
      <c r="H15" s="2"/>
    </row>
    <row r="16" spans="1:8" ht="15.75" customHeight="1" x14ac:dyDescent="0.15">
      <c r="A16" s="2" t="s">
        <v>629</v>
      </c>
      <c r="B16" s="2" t="s">
        <v>630</v>
      </c>
      <c r="C16" s="11"/>
      <c r="D16" s="2">
        <v>0.55847303994970698</v>
      </c>
      <c r="E16" s="2" t="s">
        <v>334</v>
      </c>
      <c r="F16" s="11"/>
      <c r="G16" s="2"/>
      <c r="H16" s="2"/>
    </row>
    <row r="17" spans="1:8" ht="15.75" customHeight="1" x14ac:dyDescent="0.15">
      <c r="A17" s="2" t="s">
        <v>658</v>
      </c>
      <c r="B17" s="2" t="str">
        <f ca="1">IFERROR(__xludf.DUMMYFUNCTION("GOOGLETRANSLATE(A17)"),"address most recent neighborhood Vreewijk")</f>
        <v>address most recent neighborhood Vreewijk</v>
      </c>
      <c r="C17" s="11"/>
      <c r="D17" s="2">
        <v>0.46287700116002101</v>
      </c>
      <c r="E17" s="2" t="s">
        <v>334</v>
      </c>
      <c r="F17" s="11"/>
      <c r="G17" s="2"/>
      <c r="H17" s="2"/>
    </row>
    <row r="18" spans="1:8" ht="15.75" customHeight="1" x14ac:dyDescent="0.15">
      <c r="A18" s="2" t="s">
        <v>714</v>
      </c>
      <c r="B18" s="2" t="str">
        <f ca="1">IFERROR(__xludf.DUMMYFUNCTION("GOOGLETRANSLATE(A18)"),"Address most recent Kralingen C district")</f>
        <v>Address most recent Kralingen C district</v>
      </c>
      <c r="C18" s="11"/>
      <c r="D18" s="2">
        <v>0.281590185450663</v>
      </c>
      <c r="E18" s="2" t="s">
        <v>334</v>
      </c>
      <c r="F18" s="11"/>
      <c r="G18" s="2"/>
      <c r="H18" s="2"/>
    </row>
    <row r="19" spans="1:8" ht="15.75" customHeight="1" x14ac:dyDescent="0.15">
      <c r="A19" s="2" t="s">
        <v>803</v>
      </c>
      <c r="B19" s="2" t="str">
        <f ca="1">IFERROR(__xludf.DUMMYFUNCTION("GOOGLETRANSLATE(A19)"),"address most recent IJsselmonde district")</f>
        <v>address most recent IJsselmonde district</v>
      </c>
      <c r="C19" s="11"/>
      <c r="D19" s="2">
        <v>9.1141905495905201E-2</v>
      </c>
      <c r="E19" s="2" t="s">
        <v>334</v>
      </c>
      <c r="F19" s="11"/>
      <c r="G19" s="2"/>
      <c r="H19" s="2"/>
    </row>
    <row r="20" spans="1:8" ht="15.75" customHeight="1" x14ac:dyDescent="0.15">
      <c r="A20" s="2" t="s">
        <v>808</v>
      </c>
      <c r="B20" s="2" t="s">
        <v>809</v>
      </c>
      <c r="C20" s="11"/>
      <c r="D20" s="2">
        <v>8.7876283088846305E-2</v>
      </c>
      <c r="E20" s="2" t="s">
        <v>334</v>
      </c>
      <c r="F20" s="11"/>
      <c r="G20" s="2"/>
      <c r="H20" s="2"/>
    </row>
    <row r="21" spans="1:8" ht="15.75" customHeight="1" x14ac:dyDescent="0.15">
      <c r="A21" s="2" t="s">
        <v>826</v>
      </c>
      <c r="B21" s="2" t="s">
        <v>956</v>
      </c>
      <c r="C21" s="11"/>
      <c r="D21" s="2">
        <v>0</v>
      </c>
      <c r="E21" s="2" t="s">
        <v>334</v>
      </c>
      <c r="F21" s="11"/>
      <c r="G21" s="2"/>
      <c r="H21" s="2"/>
    </row>
    <row r="22" spans="1:8" ht="15.75" customHeight="1" x14ac:dyDescent="0.15">
      <c r="A22" s="2" t="s">
        <v>824</v>
      </c>
      <c r="B22" s="2" t="str">
        <f ca="1">IFERROR(__xludf.DUMMYFUNCTION("GOOGLETRANSLATE(A22)"),"address most recent neighborhood Nieuwe Westen")</f>
        <v>address most recent neighborhood Nieuwe Westen</v>
      </c>
      <c r="C22" s="11"/>
      <c r="D22" s="2">
        <v>0</v>
      </c>
      <c r="E22" s="2" t="s">
        <v>334</v>
      </c>
      <c r="F22" s="11"/>
      <c r="G22" s="2"/>
      <c r="H22" s="2"/>
    </row>
    <row r="23" spans="1:8" ht="15.75" customHeight="1" x14ac:dyDescent="0.15">
      <c r="A23" s="2" t="s">
        <v>825</v>
      </c>
      <c r="B23" s="2" t="str">
        <f ca="1">IFERROR(__xludf.DUMMYFUNCTION("GOOGLETRANSLATE(A23)"),"address most recent neighborhood Oude Noorden")</f>
        <v>address most recent neighborhood Oude Noorden</v>
      </c>
      <c r="C23" s="11"/>
      <c r="D23" s="2">
        <v>0</v>
      </c>
      <c r="E23" s="2" t="s">
        <v>334</v>
      </c>
      <c r="F23" s="11"/>
      <c r="G23" s="2"/>
      <c r="H23" s="2"/>
    </row>
    <row r="24" spans="1:8" ht="15.75" customHeight="1" x14ac:dyDescent="0.15">
      <c r="A24" s="2" t="s">
        <v>68</v>
      </c>
      <c r="B24" s="2"/>
      <c r="C24" s="11"/>
      <c r="D24" s="2"/>
      <c r="E24" s="2"/>
      <c r="F24" s="11"/>
      <c r="G24" s="2"/>
      <c r="H24" s="2"/>
    </row>
  </sheetData>
  <customSheetViews>
    <customSheetView guid="{6B8A4FFC-DCEA-430D-8D0E-3BCC62F2DB39}" filter="1" showAutoFilter="1">
      <pageMargins left="0.7" right="0.7" top="0.75" bottom="0.75" header="0.3" footer="0.3"/>
      <autoFilter ref="A1:H24" xr:uid="{9C8DAC9C-F7CA-F04D-88CA-5A46A4AD4346}">
        <filterColumn colId="0">
          <filters>
            <filter val="adres recentst onderdeel rdam"/>
            <filter val="adres recentste buurt groot ijsselmonde"/>
            <filter val="adres recentste buurt nieuwe westen"/>
            <filter val="adres recentste buurt other"/>
            <filter val="adres recentste buurt oude noorden"/>
            <filter val="adres recentste buurt vreewijk"/>
            <filter val="adres recentste plaats other"/>
            <filter val="adres recentste plaats rotterdam"/>
            <filter val="adres recentste wijk charlois"/>
            <filter val="adres recentste wijk delfshaven"/>
            <filter val="adres recentste wijk ijsselmonde"/>
            <filter val="adres recentste wijk kralingen c"/>
            <filter val="adres recentste wijk noord"/>
            <filter val="adres recentste wijk other"/>
            <filter val="adres recentste wijk prins alexa"/>
            <filter val="adres recentste wijk stadscentru"/>
            <filter val="adres_recentste_wijk_feijenoord"/>
          </filters>
        </filterColumn>
      </autoFilter>
    </customSheetView>
  </customSheetView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002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342</v>
      </c>
      <c r="B2" s="2" t="str">
        <f ca="1">IFERROR(__xludf.DUMMYFUNCTION("GOOGLETRANSLATE(A2)"),"Instrument Ladder Current activation")</f>
        <v>Instrument Ladder Current activation</v>
      </c>
      <c r="C2" s="11" t="s">
        <v>343</v>
      </c>
      <c r="D2" s="2">
        <v>17.504786804464899</v>
      </c>
      <c r="E2" s="2" t="s">
        <v>344</v>
      </c>
      <c r="F2" s="11" t="s">
        <v>345</v>
      </c>
      <c r="G2" s="2"/>
      <c r="H2" s="2"/>
    </row>
    <row r="3" spans="1:8" ht="15.75" customHeight="1" x14ac:dyDescent="0.15">
      <c r="A3" s="2" t="s">
        <v>369</v>
      </c>
      <c r="B3" s="2" t="s">
        <v>370</v>
      </c>
      <c r="C3" s="11" t="s">
        <v>371</v>
      </c>
      <c r="D3" s="2">
        <v>10.760432826565699</v>
      </c>
      <c r="E3" s="2" t="s">
        <v>402</v>
      </c>
      <c r="F3" s="11"/>
      <c r="G3" s="2"/>
      <c r="H3" s="2"/>
    </row>
    <row r="4" spans="1:8" ht="15.75" customHeight="1" x14ac:dyDescent="0.15">
      <c r="A4" s="2" t="s">
        <v>399</v>
      </c>
      <c r="B4" s="2" t="s">
        <v>400</v>
      </c>
      <c r="C4" s="11"/>
      <c r="D4" s="2">
        <v>7.3793685912712901</v>
      </c>
      <c r="E4" s="2" t="s">
        <v>402</v>
      </c>
      <c r="F4" s="11"/>
      <c r="G4" s="2"/>
      <c r="H4" s="2"/>
    </row>
    <row r="5" spans="1:8" ht="15.75" customHeight="1" x14ac:dyDescent="0.15">
      <c r="A5" s="2" t="s">
        <v>602</v>
      </c>
      <c r="B5" s="2" t="str">
        <f ca="1">IFERROR(__xludf.DUMMYFUNCTION("GOOGLETRANSLATE(A5)"),"instrument reason Under termination History not successful")</f>
        <v>instrument reason Under termination History not successful</v>
      </c>
      <c r="C5" s="11"/>
      <c r="D5" s="2">
        <v>0.64648197678013297</v>
      </c>
      <c r="E5" s="2" t="s">
        <v>402</v>
      </c>
      <c r="F5" s="11"/>
      <c r="G5" s="2"/>
      <c r="H5" s="2"/>
    </row>
    <row r="6" spans="1:8" ht="15.75" customHeight="1" x14ac:dyDescent="0.15">
      <c r="A6" s="2" t="s">
        <v>616</v>
      </c>
      <c r="B6" s="2" t="str">
        <f ca="1">IFERROR(__xludf.DUMMYFUNCTION("GOOGLETRANSLATE(A6)"),"Instrument Ladder Current Other")</f>
        <v>Instrument Ladder Current Other</v>
      </c>
      <c r="C6" s="11"/>
      <c r="D6" s="2">
        <v>0.59933769660162795</v>
      </c>
      <c r="E6" s="2" t="s">
        <v>402</v>
      </c>
      <c r="F6" s="11"/>
      <c r="G6" s="2"/>
      <c r="H6" s="2"/>
    </row>
    <row r="7" spans="1:8" ht="15.75" customHeight="1" x14ac:dyDescent="0.15">
      <c r="A7" s="2" t="s">
        <v>617</v>
      </c>
      <c r="B7" s="2" t="s">
        <v>618</v>
      </c>
      <c r="C7" s="11" t="s">
        <v>619</v>
      </c>
      <c r="D7" s="2">
        <v>0.59917000286831501</v>
      </c>
      <c r="E7" s="2" t="s">
        <v>402</v>
      </c>
      <c r="F7" s="11"/>
      <c r="G7" s="2"/>
      <c r="H7" s="2"/>
    </row>
    <row r="8" spans="1:8" ht="15.75" customHeight="1" x14ac:dyDescent="0.15">
      <c r="A8" s="2" t="s">
        <v>628</v>
      </c>
      <c r="B8" s="2" t="str">
        <f ca="1">IFERROR(__xludf.DUMMYFUNCTION("GOOGLETRANSLATE(A8)"),"Instrument Ladder History Other")</f>
        <v>Instrument Ladder History Other</v>
      </c>
      <c r="C8" s="11"/>
      <c r="D8" s="2">
        <v>0.57244173257123898</v>
      </c>
      <c r="E8" s="2" t="s">
        <v>402</v>
      </c>
      <c r="F8" s="11"/>
      <c r="G8" s="2"/>
      <c r="H8" s="2"/>
    </row>
    <row r="9" spans="1:8" ht="15.75" customHeight="1" x14ac:dyDescent="0.15">
      <c r="A9" s="2" t="s">
        <v>636</v>
      </c>
      <c r="B9" s="2" t="s">
        <v>637</v>
      </c>
      <c r="C9" s="11"/>
      <c r="D9" s="2">
        <v>0.54180960042156801</v>
      </c>
      <c r="E9" s="2" t="s">
        <v>402</v>
      </c>
      <c r="F9" s="11"/>
      <c r="G9" s="2"/>
      <c r="H9" s="2"/>
    </row>
    <row r="10" spans="1:8" ht="15.75" customHeight="1" x14ac:dyDescent="0.15">
      <c r="A10" s="2" t="s">
        <v>647</v>
      </c>
      <c r="B10" s="2" t="str">
        <f ca="1">IFERROR(__xludf.DUMMYFUNCTION("GOOGLETRANSLATE(A10)"),"Instrument Reason termination History Central Action Wigo4it")</f>
        <v>Instrument Reason termination History Central Action Wigo4it</v>
      </c>
      <c r="C10" s="11"/>
      <c r="D10" s="2">
        <v>0.49620721499196202</v>
      </c>
      <c r="E10" s="2" t="s">
        <v>402</v>
      </c>
      <c r="F10" s="11"/>
      <c r="G10" s="2"/>
      <c r="H10" s="2"/>
    </row>
    <row r="11" spans="1:8" ht="15.75" customHeight="1" x14ac:dyDescent="0.15">
      <c r="A11" s="2" t="s">
        <v>684</v>
      </c>
      <c r="B11" s="2" t="s">
        <v>685</v>
      </c>
      <c r="C11" s="11"/>
      <c r="D11" s="2">
        <v>0.35638768299728402</v>
      </c>
      <c r="E11" s="2" t="s">
        <v>402</v>
      </c>
      <c r="F11" s="11"/>
      <c r="G11" s="2"/>
      <c r="H11" s="2"/>
    </row>
    <row r="12" spans="1:8" ht="15.75" customHeight="1" x14ac:dyDescent="0.15">
      <c r="A12" s="2" t="s">
        <v>694</v>
      </c>
      <c r="B12" s="2" t="str">
        <f ca="1">IFERROR(__xludf.DUMMYFUNCTION("GOOGLETRANSLATE(A12)"),"Instrument Reason Understanding History Transfer Successful")</f>
        <v>Instrument Reason Understanding History Transfer Successful</v>
      </c>
      <c r="C12" s="11" t="s">
        <v>695</v>
      </c>
      <c r="D12" s="2">
        <v>0.30899016437940402</v>
      </c>
      <c r="E12" s="2" t="s">
        <v>402</v>
      </c>
      <c r="F12" s="11"/>
      <c r="G12" s="2"/>
      <c r="H12" s="2"/>
    </row>
    <row r="13" spans="1:8" ht="15.75" customHeight="1" x14ac:dyDescent="0.15">
      <c r="A13" s="2" t="s">
        <v>708</v>
      </c>
      <c r="B13" s="2" t="str">
        <f ca="1">IFERROR(__xludf.DUMMYFUNCTION("GOOGLETRANSLATE(A13)"),"Instrument Reason termination History Transfer to MO")</f>
        <v>Instrument Reason termination History Transfer to MO</v>
      </c>
      <c r="C13" s="11"/>
      <c r="D13" s="2">
        <v>0.28479989281416102</v>
      </c>
      <c r="E13" s="2" t="s">
        <v>402</v>
      </c>
      <c r="F13" s="11"/>
      <c r="G13" s="2"/>
      <c r="H13" s="2"/>
    </row>
    <row r="14" spans="1:8" ht="15.75" customHeight="1" x14ac:dyDescent="0.15">
      <c r="A14" s="2" t="s">
        <v>732</v>
      </c>
      <c r="B14" s="2" t="str">
        <f ca="1">IFERROR(__xludf.DUMMYFUNCTION("GOOGLETRANSLATE(A14)"),"Instrument Reason termination History Other")</f>
        <v>Instrument Reason termination History Other</v>
      </c>
      <c r="C14" s="11"/>
      <c r="D14" s="2">
        <v>0.22941724791602999</v>
      </c>
      <c r="E14" s="2" t="s">
        <v>402</v>
      </c>
      <c r="F14" s="11"/>
      <c r="G14" s="2"/>
      <c r="H14" s="2"/>
    </row>
    <row r="15" spans="1:8" ht="15.75" customHeight="1" x14ac:dyDescent="0.15">
      <c r="A15" s="2" t="s">
        <v>745</v>
      </c>
      <c r="B15" s="2" t="str">
        <f ca="1">IFERROR(__xludf.DUMMYFUNCTION("GOOGLETRANSLATE(A15)"),"Instrument Reason termination History Transfer to regular team IWPM")</f>
        <v>Instrument Reason termination History Transfer to regular team IWPM</v>
      </c>
      <c r="C15" s="11"/>
      <c r="D15" s="2">
        <v>0.20302323288249699</v>
      </c>
      <c r="E15" s="2" t="s">
        <v>402</v>
      </c>
      <c r="F15" s="11"/>
      <c r="G15" s="2"/>
      <c r="H15" s="2"/>
    </row>
    <row r="16" spans="1:8" ht="15.75" customHeight="1" x14ac:dyDescent="0.15">
      <c r="A16" s="2" t="s">
        <v>749</v>
      </c>
      <c r="B16" s="2" t="s">
        <v>750</v>
      </c>
      <c r="C16" s="11" t="s">
        <v>751</v>
      </c>
      <c r="D16" s="2">
        <v>0.19668557648600399</v>
      </c>
      <c r="E16" s="2" t="s">
        <v>402</v>
      </c>
      <c r="F16" s="11"/>
      <c r="G16" s="2"/>
      <c r="H16" s="2"/>
    </row>
    <row r="17" spans="1:8" ht="15.75" customHeight="1" x14ac:dyDescent="0.15">
      <c r="A17" s="2" t="s">
        <v>759</v>
      </c>
      <c r="B17" s="2" t="str">
        <f ca="1">IFERROR(__xludf.DUMMYFUNCTION("GOOGLETRANSLATE(A17)"),"Instrument Reason termination History in the long term")</f>
        <v>Instrument Reason termination History in the long term</v>
      </c>
      <c r="C17" s="11"/>
      <c r="D17" s="2">
        <v>0.17404842281793101</v>
      </c>
      <c r="E17" s="2" t="s">
        <v>402</v>
      </c>
      <c r="F17" s="11"/>
      <c r="G17" s="2"/>
      <c r="H17" s="2"/>
    </row>
    <row r="18" spans="1:8" ht="15.75" customHeight="1" x14ac:dyDescent="0.15">
      <c r="A18" s="2" t="s">
        <v>773</v>
      </c>
      <c r="B18" s="2" t="str">
        <f ca="1">IFERROR(__xludf.DUMMYFUNCTION("GOOGLETRANSLATE(A18)"),"Instrument Ladder Current Work Re Integration")</f>
        <v>Instrument Ladder Current Work Re Integration</v>
      </c>
      <c r="C18" s="11"/>
      <c r="D18" s="2">
        <v>0.13468748136014799</v>
      </c>
      <c r="E18" s="2" t="s">
        <v>402</v>
      </c>
      <c r="F18" s="11"/>
      <c r="G18" s="2"/>
      <c r="H18" s="2"/>
    </row>
    <row r="19" spans="1:8" ht="15.75" customHeight="1" x14ac:dyDescent="0.15">
      <c r="A19" s="2" t="s">
        <v>804</v>
      </c>
      <c r="B19" s="2" t="s">
        <v>805</v>
      </c>
      <c r="C19" s="11"/>
      <c r="D19" s="2">
        <v>8.9770718221529794E-2</v>
      </c>
      <c r="E19" s="2" t="s">
        <v>402</v>
      </c>
      <c r="F19" s="11"/>
      <c r="G19" s="2"/>
      <c r="H19" s="2"/>
    </row>
    <row r="20" spans="1:8" ht="15.75" customHeight="1" x14ac:dyDescent="0.15">
      <c r="A20" s="2" t="s">
        <v>811</v>
      </c>
      <c r="B20" s="2" t="s">
        <v>812</v>
      </c>
      <c r="C20" s="11"/>
      <c r="D20" s="2">
        <v>8.4308946930591197E-2</v>
      </c>
      <c r="E20" s="2" t="s">
        <v>402</v>
      </c>
      <c r="F20" s="11"/>
      <c r="G20" s="2"/>
      <c r="H20" s="2"/>
    </row>
    <row r="21" spans="1:8" ht="15.75" customHeight="1" x14ac:dyDescent="0.15">
      <c r="A21" s="2" t="s">
        <v>876</v>
      </c>
      <c r="B21" s="2" t="str">
        <f ca="1">IFERROR(__xludf.DUMMYFUNCTION("GOOGLETRANSLATE(A21)"),"Instrument Reason termination History Objective achieved outflow to regular work")</f>
        <v>Instrument Reason termination History Objective achieved outflow to regular work</v>
      </c>
      <c r="C21" s="11"/>
      <c r="D21" s="2">
        <v>0</v>
      </c>
      <c r="E21" s="2" t="s">
        <v>402</v>
      </c>
      <c r="F21" s="11"/>
      <c r="G21" s="2"/>
      <c r="H21" s="2"/>
    </row>
    <row r="22" spans="1:8" ht="15.75" customHeight="1" x14ac:dyDescent="0.15">
      <c r="A22" s="2" t="s">
        <v>879</v>
      </c>
      <c r="B22" s="2" t="str">
        <f ca="1">IFERROR(__xludf.DUMMYFUNCTION("GOOGLETRANSLATE(A22)"),"Instrument Reason termination History is not matchable")</f>
        <v>Instrument Reason termination History is not matchable</v>
      </c>
      <c r="C22" s="11"/>
      <c r="D22" s="2">
        <v>0</v>
      </c>
      <c r="E22" s="2" t="s">
        <v>402</v>
      </c>
      <c r="F22" s="11"/>
      <c r="G22" s="2"/>
      <c r="H22" s="2"/>
    </row>
    <row r="23" spans="1:8" ht="15.75" customHeight="1" x14ac:dyDescent="0.15">
      <c r="A23" s="2" t="s">
        <v>881</v>
      </c>
      <c r="B23" s="2" t="str">
        <f ca="1">IFERROR(__xludf.DUMMYFUNCTION("GOOGLETRANSLATE(A23)"),"Instrument Reason termination History Transfer to Prematching")</f>
        <v>Instrument Reason termination History Transfer to Prematching</v>
      </c>
      <c r="C23" s="11"/>
      <c r="D23" s="2">
        <v>0</v>
      </c>
      <c r="E23" s="2" t="s">
        <v>402</v>
      </c>
      <c r="F23" s="11"/>
      <c r="G23" s="2"/>
      <c r="H23" s="2"/>
    </row>
    <row r="24" spans="1:8" ht="15.75" customHeight="1" x14ac:dyDescent="0.15">
      <c r="A24" s="2" t="s">
        <v>880</v>
      </c>
      <c r="B24" s="2" t="str">
        <f ca="1">IFERROR(__xludf.DUMMYFUNCTION("GOOGLETRANSLATE(A24)"),"instrument reason Under termination History not successful reason for a job seeker")</f>
        <v>instrument reason Under termination History not successful reason for a job seeker</v>
      </c>
      <c r="C24" s="11"/>
      <c r="D24" s="2">
        <v>0</v>
      </c>
      <c r="E24" s="2" t="s">
        <v>402</v>
      </c>
      <c r="F24" s="11"/>
      <c r="G24" s="2"/>
      <c r="H24" s="2"/>
    </row>
    <row r="25" spans="1:8" ht="15.75" customHeight="1" x14ac:dyDescent="0.15">
      <c r="A25" s="2" t="s">
        <v>878</v>
      </c>
      <c r="B25" s="2" t="str">
        <f ca="1">IFERROR(__xludf.DUMMYFUNCTION("GOOGLETRANSLATE(A25)"),"Instrument Reason termination History Objective achieves outflow Other")</f>
        <v>Instrument Reason termination History Objective achieves outflow Other</v>
      </c>
      <c r="C25" s="11"/>
      <c r="D25" s="2">
        <v>0</v>
      </c>
      <c r="E25" s="2" t="s">
        <v>402</v>
      </c>
      <c r="F25" s="11"/>
      <c r="G25" s="2"/>
      <c r="H25" s="2"/>
    </row>
    <row r="26" spans="1:8" ht="15.75" customHeight="1" x14ac:dyDescent="0.15">
      <c r="A26" s="2" t="s">
        <v>875</v>
      </c>
      <c r="B26" s="2" t="str">
        <f ca="1">IFERROR(__xludf.DUMMYFUNCTION("GOOGLETRANSLATE(A26)"),"instrument reasoning termination history diagnosis set")</f>
        <v>instrument reasoning termination history diagnosis set</v>
      </c>
      <c r="C26" s="11"/>
      <c r="D26" s="2">
        <v>0</v>
      </c>
      <c r="E26" s="2" t="s">
        <v>402</v>
      </c>
      <c r="F26" s="11"/>
      <c r="G26" s="2"/>
      <c r="H26" s="2"/>
    </row>
    <row r="27" spans="1:8" ht="15.75" customHeight="1" x14ac:dyDescent="0.15">
      <c r="A27" s="2"/>
      <c r="B27" s="2"/>
      <c r="C27" s="11"/>
      <c r="D27" s="2"/>
      <c r="E27" s="2"/>
      <c r="F27" s="11"/>
      <c r="G27" s="2"/>
      <c r="H27" s="2"/>
    </row>
    <row r="28" spans="1:8" ht="15.75" customHeight="1" x14ac:dyDescent="0.15">
      <c r="A28" s="2"/>
      <c r="B28" s="2"/>
      <c r="C28" s="11"/>
      <c r="D28" s="2"/>
      <c r="E28" s="2"/>
      <c r="F28" s="11"/>
      <c r="G28" s="2"/>
      <c r="H28" s="2"/>
    </row>
    <row r="29" spans="1:8" ht="15.75" customHeight="1" x14ac:dyDescent="0.15">
      <c r="A29" s="2"/>
      <c r="B29" s="2"/>
      <c r="C29" s="11"/>
      <c r="D29" s="2"/>
      <c r="E29" s="2"/>
      <c r="F29" s="11"/>
      <c r="G29" s="2"/>
      <c r="H29" s="2"/>
    </row>
    <row r="30" spans="1:8" ht="15.75" customHeight="1" x14ac:dyDescent="0.15">
      <c r="A30" s="2"/>
      <c r="B30" s="2"/>
      <c r="C30" s="11"/>
      <c r="D30" s="2"/>
      <c r="E30" s="2"/>
      <c r="F30" s="11"/>
      <c r="G30" s="2"/>
      <c r="H30" s="2"/>
    </row>
    <row r="31" spans="1:8" ht="15.75" customHeight="1" x14ac:dyDescent="0.15">
      <c r="A31" s="2"/>
      <c r="B31" s="2"/>
      <c r="C31" s="11"/>
      <c r="D31" s="2"/>
      <c r="E31" s="2"/>
      <c r="F31" s="11"/>
      <c r="G31" s="2"/>
      <c r="H31" s="2"/>
    </row>
    <row r="32" spans="1:8" ht="15.75" customHeight="1" x14ac:dyDescent="0.15">
      <c r="A32" s="2"/>
      <c r="B32" s="2"/>
      <c r="C32" s="11"/>
      <c r="D32" s="2"/>
      <c r="E32" s="2"/>
      <c r="F32" s="11"/>
      <c r="G32" s="2"/>
      <c r="H32" s="2"/>
    </row>
    <row r="33" spans="1:8" ht="15.75" customHeight="1" x14ac:dyDescent="0.15">
      <c r="A33" s="2"/>
      <c r="B33" s="2"/>
      <c r="C33" s="11"/>
      <c r="D33" s="2"/>
      <c r="E33" s="2"/>
      <c r="F33" s="11"/>
      <c r="G33" s="2"/>
      <c r="H33" s="2"/>
    </row>
    <row r="34" spans="1:8" ht="15.75" customHeight="1" x14ac:dyDescent="0.15">
      <c r="A34" s="2"/>
      <c r="B34" s="2"/>
      <c r="C34" s="11"/>
      <c r="D34" s="2"/>
      <c r="E34" s="2"/>
      <c r="F34" s="11"/>
      <c r="G34" s="2"/>
      <c r="H34" s="2"/>
    </row>
    <row r="35" spans="1:8" ht="15.75" customHeight="1" x14ac:dyDescent="0.15">
      <c r="A35" s="2"/>
      <c r="B35" s="2"/>
      <c r="C35" s="11"/>
      <c r="D35" s="2"/>
      <c r="E35" s="2"/>
      <c r="F35" s="11"/>
      <c r="G35" s="2"/>
      <c r="H35" s="2"/>
    </row>
    <row r="36" spans="1:8" ht="15.75" customHeight="1" x14ac:dyDescent="0.15">
      <c r="A36" s="2"/>
      <c r="B36" s="2"/>
      <c r="C36" s="11"/>
      <c r="D36" s="2"/>
      <c r="E36" s="2"/>
      <c r="F36" s="11"/>
      <c r="G36" s="2"/>
      <c r="H36" s="2"/>
    </row>
    <row r="37" spans="1:8" ht="15.75" customHeight="1" x14ac:dyDescent="0.15">
      <c r="A37" s="2"/>
      <c r="B37" s="2"/>
      <c r="C37" s="11"/>
      <c r="D37" s="2"/>
      <c r="E37" s="2"/>
      <c r="F37" s="11"/>
      <c r="G37" s="2"/>
      <c r="H37" s="2"/>
    </row>
    <row r="38" spans="1:8" ht="15.75" customHeight="1" x14ac:dyDescent="0.15">
      <c r="A38" s="2"/>
      <c r="B38" s="2"/>
      <c r="C38" s="11"/>
      <c r="D38" s="2"/>
      <c r="E38" s="2"/>
      <c r="F38" s="11"/>
      <c r="G38" s="2"/>
      <c r="H38" s="2"/>
    </row>
    <row r="39" spans="1:8" ht="15.75" customHeight="1" x14ac:dyDescent="0.15">
      <c r="A39" s="2"/>
      <c r="B39" s="2"/>
      <c r="C39" s="11"/>
      <c r="D39" s="2"/>
      <c r="E39" s="2"/>
      <c r="F39" s="11"/>
      <c r="G39" s="2"/>
      <c r="H39" s="2"/>
    </row>
    <row r="40" spans="1:8" ht="15.75" customHeight="1" x14ac:dyDescent="0.15">
      <c r="A40" s="2"/>
      <c r="B40" s="2"/>
      <c r="C40" s="11"/>
      <c r="D40" s="2"/>
      <c r="E40" s="2"/>
      <c r="F40" s="11"/>
      <c r="G40" s="2"/>
      <c r="H40" s="2"/>
    </row>
    <row r="41" spans="1:8" ht="15.75" customHeight="1" x14ac:dyDescent="0.15">
      <c r="A41" s="2"/>
      <c r="B41" s="2"/>
      <c r="C41" s="11"/>
      <c r="D41" s="2"/>
      <c r="E41" s="2"/>
      <c r="F41" s="11"/>
      <c r="G41" s="2"/>
      <c r="H41" s="2"/>
    </row>
    <row r="42" spans="1:8" ht="15.75" customHeight="1" x14ac:dyDescent="0.15">
      <c r="A42" s="2"/>
      <c r="B42" s="2"/>
      <c r="C42" s="11"/>
      <c r="D42" s="2"/>
      <c r="E42" s="2"/>
      <c r="F42" s="11"/>
      <c r="G42" s="2"/>
      <c r="H42" s="2"/>
    </row>
    <row r="43" spans="1:8" ht="15.75" customHeight="1" x14ac:dyDescent="0.15">
      <c r="A43" s="2"/>
      <c r="B43" s="2"/>
      <c r="C43" s="11"/>
      <c r="D43" s="2"/>
      <c r="E43" s="2"/>
      <c r="F43" s="11"/>
      <c r="G43" s="2"/>
      <c r="H43" s="2"/>
    </row>
    <row r="44" spans="1:8" ht="15.75" customHeight="1" x14ac:dyDescent="0.15">
      <c r="A44" s="2"/>
      <c r="B44" s="2"/>
      <c r="C44" s="11"/>
      <c r="D44" s="2"/>
      <c r="E44" s="2"/>
      <c r="F44" s="11"/>
      <c r="G44" s="2"/>
      <c r="H44" s="2"/>
    </row>
    <row r="45" spans="1:8" ht="15.75" customHeight="1" x14ac:dyDescent="0.15">
      <c r="A45" s="2"/>
      <c r="B45" s="2"/>
      <c r="C45" s="11"/>
      <c r="D45" s="2"/>
      <c r="E45" s="2"/>
      <c r="F45" s="11"/>
      <c r="G45" s="2"/>
      <c r="H45" s="2"/>
    </row>
    <row r="46" spans="1:8" ht="15.75" customHeight="1" x14ac:dyDescent="0.15">
      <c r="A46" s="2"/>
      <c r="B46" s="2"/>
      <c r="C46" s="11"/>
      <c r="D46" s="2"/>
      <c r="E46" s="2"/>
      <c r="F46" s="11"/>
      <c r="G46" s="2"/>
      <c r="H46" s="2"/>
    </row>
    <row r="47" spans="1:8" ht="15.75" customHeight="1" x14ac:dyDescent="0.15">
      <c r="A47" s="2"/>
      <c r="B47" s="2"/>
      <c r="C47" s="11"/>
      <c r="D47" s="2"/>
      <c r="E47" s="2"/>
      <c r="F47" s="11"/>
      <c r="G47" s="2"/>
      <c r="H47" s="2"/>
    </row>
    <row r="48" spans="1:8" ht="15.75" customHeight="1" x14ac:dyDescent="0.15">
      <c r="A48" s="2"/>
      <c r="B48" s="2"/>
      <c r="C48" s="11"/>
      <c r="D48" s="2"/>
      <c r="E48" s="2"/>
      <c r="F48" s="11"/>
      <c r="G48" s="2"/>
      <c r="H48" s="2"/>
    </row>
    <row r="49" spans="1:8" ht="15.75" customHeight="1" x14ac:dyDescent="0.15">
      <c r="A49" s="2"/>
      <c r="B49" s="2"/>
      <c r="C49" s="11"/>
      <c r="D49" s="2"/>
      <c r="E49" s="2"/>
      <c r="F49" s="11"/>
      <c r="G49" s="2"/>
      <c r="H49" s="2"/>
    </row>
    <row r="50" spans="1:8" ht="13" x14ac:dyDescent="0.15">
      <c r="A50" s="2"/>
      <c r="B50" s="2"/>
      <c r="C50" s="11"/>
      <c r="D50" s="2"/>
      <c r="E50" s="2"/>
      <c r="F50" s="11"/>
      <c r="G50" s="2"/>
      <c r="H50" s="2"/>
    </row>
    <row r="51" spans="1:8" ht="13" x14ac:dyDescent="0.15">
      <c r="A51" s="2"/>
      <c r="B51" s="2"/>
      <c r="C51" s="11"/>
      <c r="D51" s="2"/>
      <c r="E51" s="2"/>
      <c r="F51" s="11"/>
      <c r="G51" s="2"/>
      <c r="H51" s="2"/>
    </row>
    <row r="52" spans="1:8" ht="13" x14ac:dyDescent="0.15">
      <c r="A52" s="2"/>
      <c r="B52" s="2"/>
      <c r="C52" s="11"/>
      <c r="D52" s="2"/>
      <c r="E52" s="2"/>
      <c r="F52" s="11"/>
      <c r="G52" s="2"/>
      <c r="H52" s="2"/>
    </row>
    <row r="53" spans="1:8" ht="13" x14ac:dyDescent="0.15">
      <c r="A53" s="2"/>
      <c r="B53" s="2"/>
      <c r="C53" s="11"/>
      <c r="D53" s="2"/>
      <c r="E53" s="2"/>
      <c r="F53" s="11"/>
      <c r="G53" s="2"/>
      <c r="H53" s="2"/>
    </row>
    <row r="54" spans="1:8" ht="13" x14ac:dyDescent="0.15">
      <c r="A54" s="2"/>
      <c r="B54" s="2"/>
      <c r="C54" s="11"/>
      <c r="D54" s="2"/>
      <c r="E54" s="2"/>
      <c r="F54" s="11"/>
      <c r="G54" s="2"/>
      <c r="H54" s="2"/>
    </row>
    <row r="55" spans="1:8" ht="13" x14ac:dyDescent="0.15">
      <c r="A55" s="2"/>
      <c r="B55" s="2"/>
      <c r="C55" s="11"/>
      <c r="D55" s="2"/>
      <c r="E55" s="2"/>
      <c r="F55" s="11"/>
      <c r="G55" s="2"/>
      <c r="H55" s="2"/>
    </row>
    <row r="56" spans="1:8" ht="13" x14ac:dyDescent="0.15">
      <c r="A56" s="2"/>
      <c r="B56" s="2"/>
      <c r="C56" s="11"/>
      <c r="D56" s="2"/>
      <c r="E56" s="2"/>
      <c r="F56" s="11"/>
      <c r="G56" s="2"/>
      <c r="H56" s="2"/>
    </row>
    <row r="57" spans="1:8" ht="13" x14ac:dyDescent="0.15">
      <c r="A57" s="2"/>
      <c r="B57" s="2"/>
      <c r="C57" s="11"/>
      <c r="D57" s="2"/>
      <c r="E57" s="2"/>
      <c r="F57" s="11"/>
      <c r="G57" s="2"/>
      <c r="H57" s="2"/>
    </row>
    <row r="58" spans="1:8" ht="13" x14ac:dyDescent="0.15">
      <c r="A58" s="2"/>
      <c r="B58" s="2"/>
      <c r="C58" s="11"/>
      <c r="D58" s="2"/>
      <c r="E58" s="2"/>
      <c r="F58" s="11"/>
      <c r="G58" s="2"/>
      <c r="H58" s="2"/>
    </row>
    <row r="59" spans="1:8" ht="13" x14ac:dyDescent="0.15">
      <c r="A59" s="2"/>
      <c r="B59" s="2"/>
      <c r="C59" s="11"/>
      <c r="D59" s="2"/>
      <c r="E59" s="2"/>
      <c r="F59" s="11"/>
      <c r="G59" s="2"/>
      <c r="H59" s="2"/>
    </row>
    <row r="60" spans="1:8" ht="13" x14ac:dyDescent="0.15">
      <c r="A60" s="2"/>
      <c r="B60" s="2"/>
      <c r="C60" s="11"/>
      <c r="D60" s="2"/>
      <c r="E60" s="2"/>
      <c r="F60" s="11"/>
      <c r="G60" s="2"/>
      <c r="H60" s="2"/>
    </row>
    <row r="61" spans="1:8" ht="13" x14ac:dyDescent="0.15">
      <c r="A61" s="2"/>
      <c r="B61" s="2"/>
      <c r="C61" s="11"/>
      <c r="D61" s="2"/>
      <c r="E61" s="2"/>
      <c r="F61" s="11"/>
      <c r="G61" s="2"/>
      <c r="H61" s="2"/>
    </row>
    <row r="62" spans="1:8" ht="13" x14ac:dyDescent="0.15">
      <c r="A62" s="2"/>
      <c r="B62" s="2"/>
      <c r="C62" s="11"/>
      <c r="D62" s="2"/>
      <c r="E62" s="2"/>
      <c r="F62" s="11"/>
      <c r="G62" s="2"/>
      <c r="H62" s="2"/>
    </row>
    <row r="63" spans="1:8" ht="13" x14ac:dyDescent="0.15">
      <c r="A63" s="2"/>
      <c r="B63" s="2"/>
      <c r="C63" s="11"/>
      <c r="D63" s="2"/>
      <c r="E63" s="2"/>
      <c r="F63" s="11"/>
      <c r="G63" s="2"/>
      <c r="H63" s="2"/>
    </row>
    <row r="64" spans="1:8" ht="13" x14ac:dyDescent="0.15">
      <c r="A64" s="2"/>
      <c r="B64" s="2"/>
      <c r="C64" s="11"/>
      <c r="D64" s="2"/>
      <c r="E64" s="2"/>
      <c r="F64" s="11"/>
      <c r="G64" s="2"/>
      <c r="H64" s="2"/>
    </row>
    <row r="65" spans="1:8" ht="13" x14ac:dyDescent="0.15">
      <c r="A65" s="2"/>
      <c r="B65" s="2"/>
      <c r="C65" s="11"/>
      <c r="D65" s="2"/>
      <c r="E65" s="2"/>
      <c r="F65" s="11"/>
      <c r="G65" s="2"/>
      <c r="H65" s="2"/>
    </row>
    <row r="66" spans="1:8" ht="13" x14ac:dyDescent="0.15">
      <c r="A66" s="2"/>
      <c r="B66" s="2"/>
      <c r="C66" s="11"/>
      <c r="D66" s="2"/>
      <c r="E66" s="2"/>
      <c r="F66" s="11"/>
      <c r="G66" s="2"/>
      <c r="H66" s="2"/>
    </row>
    <row r="67" spans="1:8" ht="13" x14ac:dyDescent="0.15">
      <c r="A67" s="2"/>
      <c r="B67" s="2"/>
      <c r="C67" s="11"/>
      <c r="D67" s="2"/>
      <c r="E67" s="2"/>
      <c r="F67" s="11"/>
      <c r="G67" s="2"/>
      <c r="H67" s="2"/>
    </row>
    <row r="68" spans="1:8" ht="13" x14ac:dyDescent="0.15">
      <c r="A68" s="2"/>
      <c r="B68" s="2"/>
      <c r="C68" s="11"/>
      <c r="D68" s="2"/>
      <c r="E68" s="2"/>
      <c r="F68" s="11"/>
      <c r="G68" s="2"/>
      <c r="H68" s="2"/>
    </row>
    <row r="69" spans="1:8" ht="13" x14ac:dyDescent="0.15">
      <c r="A69" s="2"/>
      <c r="B69" s="2"/>
      <c r="C69" s="11"/>
      <c r="D69" s="2"/>
      <c r="E69" s="2"/>
      <c r="F69" s="11"/>
      <c r="G69" s="2"/>
      <c r="H69" s="2"/>
    </row>
    <row r="70" spans="1:8" ht="13" x14ac:dyDescent="0.15">
      <c r="A70" s="2"/>
      <c r="B70" s="2"/>
      <c r="C70" s="11"/>
      <c r="D70" s="2"/>
      <c r="E70" s="2"/>
      <c r="F70" s="11"/>
      <c r="G70" s="2"/>
      <c r="H70" s="2"/>
    </row>
    <row r="71" spans="1:8" ht="13" x14ac:dyDescent="0.15">
      <c r="A71" s="2"/>
      <c r="B71" s="2"/>
      <c r="C71" s="11"/>
      <c r="D71" s="2"/>
      <c r="E71" s="2"/>
      <c r="F71" s="11"/>
      <c r="G71" s="2"/>
      <c r="H71" s="2"/>
    </row>
    <row r="72" spans="1:8" ht="13" x14ac:dyDescent="0.15">
      <c r="A72" s="2"/>
      <c r="B72" s="2"/>
      <c r="C72" s="11"/>
      <c r="D72" s="2"/>
      <c r="E72" s="2"/>
      <c r="F72" s="11"/>
      <c r="G72" s="2"/>
      <c r="H72" s="2"/>
    </row>
    <row r="73" spans="1:8" ht="13" x14ac:dyDescent="0.15">
      <c r="A73" s="2"/>
      <c r="B73" s="2"/>
      <c r="C73" s="11"/>
      <c r="D73" s="2"/>
      <c r="E73" s="2"/>
      <c r="F73" s="11"/>
      <c r="G73" s="2"/>
      <c r="H73" s="2"/>
    </row>
    <row r="74" spans="1:8" ht="13" x14ac:dyDescent="0.15">
      <c r="A74" s="2"/>
      <c r="B74" s="2"/>
      <c r="C74" s="11"/>
      <c r="D74" s="2"/>
      <c r="E74" s="2"/>
      <c r="F74" s="11"/>
      <c r="G74" s="2"/>
      <c r="H74" s="2"/>
    </row>
    <row r="75" spans="1:8" ht="13" x14ac:dyDescent="0.15">
      <c r="A75" s="2"/>
      <c r="B75" s="2"/>
      <c r="C75" s="11"/>
      <c r="D75" s="2"/>
      <c r="E75" s="2"/>
      <c r="F75" s="11"/>
      <c r="G75" s="2"/>
      <c r="H75" s="2"/>
    </row>
    <row r="76" spans="1:8" ht="13" x14ac:dyDescent="0.15">
      <c r="A76" s="2"/>
      <c r="B76" s="2"/>
      <c r="C76" s="11"/>
      <c r="D76" s="2"/>
      <c r="E76" s="2"/>
      <c r="F76" s="11"/>
      <c r="G76" s="2"/>
      <c r="H76" s="2"/>
    </row>
    <row r="77" spans="1:8" ht="13" x14ac:dyDescent="0.15">
      <c r="A77" s="2"/>
      <c r="B77" s="2"/>
      <c r="C77" s="11"/>
      <c r="D77" s="2"/>
      <c r="E77" s="2"/>
      <c r="F77" s="11"/>
      <c r="G77" s="2"/>
      <c r="H77" s="2"/>
    </row>
    <row r="78" spans="1:8" ht="13" x14ac:dyDescent="0.15">
      <c r="A78" s="2"/>
      <c r="B78" s="2"/>
      <c r="C78" s="11"/>
      <c r="D78" s="2"/>
      <c r="E78" s="2"/>
      <c r="F78" s="11"/>
      <c r="G78" s="2"/>
      <c r="H78" s="2"/>
    </row>
    <row r="79" spans="1:8" ht="13" x14ac:dyDescent="0.15">
      <c r="A79" s="2"/>
      <c r="B79" s="2"/>
      <c r="C79" s="11"/>
      <c r="D79" s="2"/>
      <c r="E79" s="2"/>
      <c r="F79" s="11"/>
      <c r="G79" s="2"/>
      <c r="H79" s="2"/>
    </row>
    <row r="80" spans="1:8" ht="13" x14ac:dyDescent="0.15">
      <c r="A80" s="2"/>
      <c r="B80" s="2"/>
      <c r="C80" s="11"/>
      <c r="D80" s="2"/>
      <c r="E80" s="2"/>
      <c r="F80" s="11"/>
      <c r="G80" s="2"/>
      <c r="H80" s="2"/>
    </row>
    <row r="81" spans="1:8" ht="13" x14ac:dyDescent="0.15">
      <c r="A81" s="2"/>
      <c r="B81" s="2"/>
      <c r="C81" s="11"/>
      <c r="D81" s="2"/>
      <c r="E81" s="2"/>
      <c r="F81" s="11"/>
      <c r="G81" s="2"/>
      <c r="H81" s="2"/>
    </row>
    <row r="82" spans="1:8" ht="13" x14ac:dyDescent="0.15">
      <c r="A82" s="2"/>
      <c r="B82" s="2"/>
      <c r="C82" s="11"/>
      <c r="D82" s="2"/>
      <c r="E82" s="2"/>
      <c r="F82" s="11"/>
      <c r="G82" s="2"/>
      <c r="H82" s="2"/>
    </row>
    <row r="83" spans="1:8" ht="13" x14ac:dyDescent="0.15">
      <c r="A83" s="2"/>
      <c r="B83" s="2"/>
      <c r="C83" s="11"/>
      <c r="D83" s="2"/>
      <c r="E83" s="2"/>
      <c r="F83" s="11"/>
      <c r="G83" s="2"/>
      <c r="H83" s="2"/>
    </row>
    <row r="84" spans="1:8" ht="13" x14ac:dyDescent="0.15">
      <c r="A84" s="2"/>
      <c r="B84" s="2"/>
      <c r="C84" s="11"/>
      <c r="D84" s="2"/>
      <c r="E84" s="2"/>
      <c r="F84" s="11"/>
      <c r="G84" s="2"/>
      <c r="H84" s="2"/>
    </row>
    <row r="85" spans="1:8" ht="13" x14ac:dyDescent="0.15">
      <c r="A85" s="2"/>
      <c r="B85" s="2"/>
      <c r="C85" s="11"/>
      <c r="D85" s="2"/>
      <c r="E85" s="2"/>
      <c r="F85" s="11"/>
      <c r="G85" s="2"/>
      <c r="H85" s="2"/>
    </row>
    <row r="86" spans="1:8" ht="13" x14ac:dyDescent="0.15">
      <c r="A86" s="2"/>
      <c r="B86" s="2"/>
      <c r="C86" s="11"/>
      <c r="D86" s="2"/>
      <c r="E86" s="2"/>
      <c r="F86" s="11"/>
      <c r="G86" s="2"/>
      <c r="H86" s="2"/>
    </row>
    <row r="87" spans="1:8" ht="13" x14ac:dyDescent="0.15">
      <c r="A87" s="2"/>
      <c r="B87" s="2"/>
      <c r="C87" s="11"/>
      <c r="D87" s="2"/>
      <c r="E87" s="2"/>
      <c r="F87" s="11"/>
      <c r="G87" s="2"/>
      <c r="H87" s="2"/>
    </row>
    <row r="88" spans="1:8" ht="13" x14ac:dyDescent="0.15">
      <c r="A88" s="2"/>
      <c r="B88" s="2"/>
      <c r="C88" s="11"/>
      <c r="D88" s="2"/>
      <c r="E88" s="2"/>
      <c r="F88" s="11"/>
      <c r="G88" s="2"/>
      <c r="H88" s="2"/>
    </row>
    <row r="89" spans="1:8" ht="13" x14ac:dyDescent="0.15">
      <c r="A89" s="2"/>
      <c r="B89" s="2"/>
      <c r="C89" s="11"/>
      <c r="D89" s="2"/>
      <c r="E89" s="2"/>
      <c r="F89" s="11"/>
      <c r="G89" s="2"/>
      <c r="H89" s="2"/>
    </row>
    <row r="90" spans="1:8" ht="13" x14ac:dyDescent="0.15">
      <c r="A90" s="2"/>
      <c r="B90" s="2"/>
      <c r="C90" s="11"/>
      <c r="D90" s="2"/>
      <c r="E90" s="2"/>
      <c r="F90" s="11"/>
      <c r="G90" s="2"/>
      <c r="H90" s="2"/>
    </row>
    <row r="91" spans="1:8" ht="13" x14ac:dyDescent="0.15">
      <c r="A91" s="2"/>
      <c r="B91" s="2"/>
      <c r="C91" s="11"/>
      <c r="D91" s="2"/>
      <c r="E91" s="2"/>
      <c r="F91" s="11"/>
      <c r="G91" s="2"/>
      <c r="H91" s="2"/>
    </row>
    <row r="92" spans="1:8" ht="13" x14ac:dyDescent="0.15">
      <c r="A92" s="2"/>
      <c r="B92" s="2"/>
      <c r="C92" s="11"/>
      <c r="D92" s="2"/>
      <c r="E92" s="2"/>
      <c r="F92" s="11"/>
      <c r="G92" s="2"/>
      <c r="H92" s="2"/>
    </row>
    <row r="93" spans="1:8" ht="13" x14ac:dyDescent="0.15">
      <c r="A93" s="2"/>
      <c r="B93" s="2"/>
      <c r="C93" s="11"/>
      <c r="D93" s="2"/>
      <c r="E93" s="2"/>
      <c r="F93" s="11"/>
      <c r="G93" s="2"/>
      <c r="H93" s="2"/>
    </row>
    <row r="94" spans="1:8" ht="13" x14ac:dyDescent="0.15">
      <c r="A94" s="2"/>
      <c r="B94" s="2"/>
      <c r="C94" s="11"/>
      <c r="D94" s="2"/>
      <c r="E94" s="2"/>
      <c r="F94" s="11"/>
      <c r="G94" s="2"/>
      <c r="H94" s="2"/>
    </row>
    <row r="95" spans="1:8" ht="13" x14ac:dyDescent="0.15">
      <c r="A95" s="2"/>
      <c r="B95" s="2"/>
      <c r="C95" s="11"/>
      <c r="D95" s="2"/>
      <c r="E95" s="2"/>
      <c r="F95" s="11"/>
      <c r="G95" s="2"/>
      <c r="H95" s="2"/>
    </row>
    <row r="96" spans="1:8" ht="13" x14ac:dyDescent="0.15">
      <c r="A96" s="2"/>
      <c r="B96" s="2"/>
      <c r="C96" s="11"/>
      <c r="D96" s="2"/>
      <c r="E96" s="2"/>
      <c r="F96" s="11"/>
      <c r="G96" s="2"/>
      <c r="H96" s="2"/>
    </row>
    <row r="97" spans="1:8" ht="13" x14ac:dyDescent="0.15">
      <c r="A97" s="2"/>
      <c r="B97" s="2"/>
      <c r="C97" s="11"/>
      <c r="D97" s="2"/>
      <c r="E97" s="2"/>
      <c r="F97" s="11"/>
      <c r="G97" s="2"/>
      <c r="H97" s="2"/>
    </row>
    <row r="98" spans="1:8" ht="13" x14ac:dyDescent="0.15">
      <c r="A98" s="2"/>
      <c r="B98" s="2"/>
      <c r="C98" s="11"/>
      <c r="D98" s="2"/>
      <c r="E98" s="2"/>
      <c r="F98" s="11"/>
      <c r="G98" s="2"/>
      <c r="H98" s="2"/>
    </row>
    <row r="99" spans="1:8" ht="13" x14ac:dyDescent="0.15">
      <c r="A99" s="2"/>
      <c r="B99" s="2"/>
      <c r="C99" s="11"/>
      <c r="D99" s="2"/>
      <c r="E99" s="2"/>
      <c r="F99" s="11"/>
      <c r="G99" s="2"/>
      <c r="H99" s="2"/>
    </row>
    <row r="100" spans="1:8" ht="13" x14ac:dyDescent="0.15">
      <c r="A100" s="2"/>
      <c r="B100" s="2"/>
      <c r="C100" s="11"/>
      <c r="D100" s="2"/>
      <c r="E100" s="2"/>
      <c r="F100" s="11"/>
      <c r="G100" s="2"/>
      <c r="H100" s="2"/>
    </row>
    <row r="101" spans="1:8" ht="13" x14ac:dyDescent="0.15">
      <c r="A101" s="2"/>
      <c r="B101" s="2"/>
      <c r="C101" s="11"/>
      <c r="D101" s="2"/>
      <c r="E101" s="2"/>
      <c r="F101" s="11"/>
      <c r="G101" s="2"/>
      <c r="H101" s="2"/>
    </row>
    <row r="102" spans="1:8" ht="13" x14ac:dyDescent="0.15">
      <c r="A102" s="2"/>
      <c r="B102" s="2"/>
      <c r="C102" s="11"/>
      <c r="D102" s="2"/>
      <c r="E102" s="2"/>
      <c r="F102" s="11"/>
      <c r="G102" s="2"/>
      <c r="H102" s="2"/>
    </row>
    <row r="103" spans="1:8" ht="13" x14ac:dyDescent="0.15">
      <c r="A103" s="2"/>
      <c r="B103" s="2"/>
      <c r="C103" s="11"/>
      <c r="D103" s="2"/>
      <c r="E103" s="2"/>
      <c r="F103" s="11"/>
      <c r="G103" s="2"/>
      <c r="H103" s="2"/>
    </row>
    <row r="104" spans="1:8" ht="13" x14ac:dyDescent="0.15">
      <c r="A104" s="2"/>
      <c r="B104" s="2"/>
      <c r="C104" s="11"/>
      <c r="D104" s="2"/>
      <c r="E104" s="2"/>
      <c r="F104" s="11"/>
      <c r="G104" s="2"/>
      <c r="H104" s="2"/>
    </row>
    <row r="105" spans="1:8" ht="13" x14ac:dyDescent="0.15">
      <c r="A105" s="2"/>
      <c r="B105" s="2"/>
      <c r="C105" s="11"/>
      <c r="D105" s="2"/>
      <c r="E105" s="2"/>
      <c r="F105" s="11"/>
      <c r="G105" s="2"/>
      <c r="H105" s="2"/>
    </row>
    <row r="106" spans="1:8" ht="13" x14ac:dyDescent="0.15">
      <c r="A106" s="2"/>
      <c r="B106" s="2"/>
      <c r="C106" s="11"/>
      <c r="D106" s="2"/>
      <c r="E106" s="2"/>
      <c r="F106" s="11"/>
      <c r="G106" s="2"/>
      <c r="H106" s="2"/>
    </row>
    <row r="107" spans="1:8" ht="13" x14ac:dyDescent="0.15">
      <c r="A107" s="2"/>
      <c r="B107" s="2"/>
      <c r="C107" s="11"/>
      <c r="D107" s="2"/>
      <c r="E107" s="2"/>
      <c r="F107" s="11"/>
      <c r="G107" s="2"/>
      <c r="H107" s="2"/>
    </row>
    <row r="108" spans="1:8" ht="13" x14ac:dyDescent="0.15">
      <c r="A108" s="2"/>
      <c r="B108" s="2"/>
      <c r="C108" s="11"/>
      <c r="D108" s="2"/>
      <c r="E108" s="2"/>
      <c r="F108" s="11"/>
      <c r="G108" s="2"/>
      <c r="H108" s="2"/>
    </row>
    <row r="109" spans="1:8" ht="13" x14ac:dyDescent="0.15">
      <c r="A109" s="2"/>
      <c r="B109" s="2"/>
      <c r="C109" s="11"/>
      <c r="D109" s="2"/>
      <c r="E109" s="2"/>
      <c r="F109" s="11"/>
      <c r="G109" s="2"/>
      <c r="H109" s="2"/>
    </row>
    <row r="110" spans="1:8" ht="13" x14ac:dyDescent="0.15">
      <c r="A110" s="2"/>
      <c r="B110" s="2"/>
      <c r="C110" s="11"/>
      <c r="D110" s="2"/>
      <c r="E110" s="2"/>
      <c r="F110" s="11"/>
      <c r="G110" s="2"/>
      <c r="H110" s="2"/>
    </row>
    <row r="111" spans="1:8" ht="13" x14ac:dyDescent="0.15">
      <c r="A111" s="2"/>
      <c r="B111" s="2"/>
      <c r="C111" s="11"/>
      <c r="D111" s="2"/>
      <c r="E111" s="2"/>
      <c r="F111" s="11"/>
      <c r="G111" s="2"/>
      <c r="H111" s="2"/>
    </row>
    <row r="112" spans="1:8" ht="13" x14ac:dyDescent="0.15">
      <c r="A112" s="2"/>
      <c r="B112" s="2"/>
      <c r="C112" s="11"/>
      <c r="D112" s="2"/>
      <c r="E112" s="2"/>
      <c r="F112" s="11"/>
      <c r="G112" s="2"/>
      <c r="H112" s="2"/>
    </row>
    <row r="113" spans="1:8" ht="13" x14ac:dyDescent="0.15">
      <c r="A113" s="2"/>
      <c r="B113" s="2"/>
      <c r="C113" s="11"/>
      <c r="D113" s="2"/>
      <c r="E113" s="2"/>
      <c r="F113" s="11"/>
      <c r="G113" s="2"/>
      <c r="H113" s="2"/>
    </row>
    <row r="114" spans="1:8" ht="13" x14ac:dyDescent="0.15">
      <c r="A114" s="2"/>
      <c r="B114" s="2"/>
      <c r="C114" s="11"/>
      <c r="D114" s="2"/>
      <c r="E114" s="2"/>
      <c r="F114" s="11"/>
      <c r="G114" s="2"/>
      <c r="H114" s="2"/>
    </row>
    <row r="115" spans="1:8" ht="13" x14ac:dyDescent="0.15">
      <c r="A115" s="2"/>
      <c r="B115" s="2"/>
      <c r="C115" s="11"/>
      <c r="D115" s="2"/>
      <c r="E115" s="2"/>
      <c r="F115" s="11"/>
      <c r="G115" s="2"/>
      <c r="H115" s="2"/>
    </row>
    <row r="116" spans="1:8" ht="13" x14ac:dyDescent="0.15">
      <c r="A116" s="2"/>
      <c r="B116" s="2"/>
      <c r="C116" s="11"/>
      <c r="D116" s="2"/>
      <c r="E116" s="2"/>
      <c r="F116" s="11"/>
      <c r="G116" s="2"/>
      <c r="H116" s="2"/>
    </row>
    <row r="117" spans="1:8" ht="13" x14ac:dyDescent="0.15">
      <c r="A117" s="2"/>
      <c r="B117" s="2"/>
      <c r="C117" s="11"/>
      <c r="D117" s="2"/>
      <c r="E117" s="2"/>
      <c r="F117" s="11"/>
      <c r="G117" s="2"/>
      <c r="H117" s="2"/>
    </row>
    <row r="118" spans="1:8" ht="13" x14ac:dyDescent="0.15">
      <c r="A118" s="2"/>
      <c r="B118" s="2"/>
      <c r="C118" s="11"/>
      <c r="D118" s="2"/>
      <c r="E118" s="2"/>
      <c r="F118" s="11"/>
      <c r="G118" s="2"/>
      <c r="H118" s="2"/>
    </row>
    <row r="119" spans="1:8" ht="13" x14ac:dyDescent="0.15">
      <c r="A119" s="2"/>
      <c r="B119" s="2"/>
      <c r="C119" s="11"/>
      <c r="D119" s="2"/>
      <c r="E119" s="2"/>
      <c r="F119" s="11"/>
      <c r="G119" s="2"/>
      <c r="H119" s="2"/>
    </row>
    <row r="120" spans="1:8" ht="13" x14ac:dyDescent="0.15">
      <c r="A120" s="2"/>
      <c r="B120" s="2"/>
      <c r="C120" s="11"/>
      <c r="D120" s="2"/>
      <c r="E120" s="2"/>
      <c r="F120" s="11"/>
      <c r="G120" s="2"/>
      <c r="H120" s="2"/>
    </row>
    <row r="121" spans="1:8" ht="13" x14ac:dyDescent="0.15">
      <c r="A121" s="2"/>
      <c r="B121" s="2"/>
      <c r="C121" s="11"/>
      <c r="D121" s="2"/>
      <c r="E121" s="2"/>
      <c r="F121" s="11"/>
      <c r="G121" s="2"/>
      <c r="H121" s="2"/>
    </row>
    <row r="122" spans="1:8" ht="13" x14ac:dyDescent="0.15">
      <c r="A122" s="2"/>
      <c r="B122" s="2"/>
      <c r="C122" s="11"/>
      <c r="D122" s="2"/>
      <c r="E122" s="2"/>
      <c r="F122" s="11"/>
      <c r="G122" s="2"/>
      <c r="H122" s="2"/>
    </row>
    <row r="123" spans="1:8" ht="13" x14ac:dyDescent="0.15">
      <c r="A123" s="2"/>
      <c r="B123" s="2"/>
      <c r="C123" s="11"/>
      <c r="D123" s="2"/>
      <c r="E123" s="2"/>
      <c r="F123" s="11"/>
      <c r="G123" s="2"/>
      <c r="H123" s="2"/>
    </row>
    <row r="124" spans="1:8" ht="13" x14ac:dyDescent="0.15">
      <c r="A124" s="2"/>
      <c r="B124" s="2"/>
      <c r="C124" s="11"/>
      <c r="D124" s="2"/>
      <c r="E124" s="2"/>
      <c r="F124" s="11"/>
      <c r="G124" s="2"/>
      <c r="H124" s="2"/>
    </row>
    <row r="125" spans="1:8" ht="13" x14ac:dyDescent="0.15">
      <c r="A125" s="2"/>
      <c r="B125" s="2"/>
      <c r="C125" s="11"/>
      <c r="D125" s="2"/>
      <c r="E125" s="2"/>
      <c r="F125" s="11"/>
      <c r="G125" s="2"/>
      <c r="H125" s="2"/>
    </row>
    <row r="126" spans="1:8" ht="13" x14ac:dyDescent="0.15">
      <c r="A126" s="2"/>
      <c r="B126" s="2"/>
      <c r="C126" s="11"/>
      <c r="D126" s="2"/>
      <c r="E126" s="2"/>
      <c r="F126" s="11"/>
      <c r="G126" s="2"/>
      <c r="H126" s="2"/>
    </row>
    <row r="127" spans="1:8" ht="13" x14ac:dyDescent="0.15">
      <c r="A127" s="2"/>
      <c r="B127" s="2"/>
      <c r="C127" s="11"/>
      <c r="D127" s="2"/>
      <c r="E127" s="2"/>
      <c r="F127" s="11"/>
      <c r="G127" s="2"/>
      <c r="H127" s="2"/>
    </row>
    <row r="128" spans="1:8" ht="13" x14ac:dyDescent="0.15">
      <c r="A128" s="2"/>
      <c r="B128" s="2"/>
      <c r="C128" s="11"/>
      <c r="D128" s="2"/>
      <c r="E128" s="2"/>
      <c r="F128" s="11"/>
      <c r="G128" s="2"/>
      <c r="H128" s="2"/>
    </row>
    <row r="129" spans="1:8" ht="13" x14ac:dyDescent="0.15">
      <c r="A129" s="2"/>
      <c r="B129" s="2"/>
      <c r="C129" s="11"/>
      <c r="D129" s="2"/>
      <c r="E129" s="2"/>
      <c r="F129" s="11"/>
      <c r="G129" s="2"/>
      <c r="H129" s="2"/>
    </row>
    <row r="130" spans="1:8" ht="13" x14ac:dyDescent="0.15">
      <c r="A130" s="2"/>
      <c r="B130" s="2"/>
      <c r="C130" s="11"/>
      <c r="D130" s="2"/>
      <c r="E130" s="2"/>
      <c r="F130" s="11"/>
      <c r="G130" s="2"/>
      <c r="H130" s="2"/>
    </row>
    <row r="131" spans="1:8" ht="13" x14ac:dyDescent="0.15">
      <c r="A131" s="2"/>
      <c r="B131" s="2"/>
      <c r="C131" s="11"/>
      <c r="D131" s="2"/>
      <c r="E131" s="2"/>
      <c r="F131" s="11"/>
      <c r="G131" s="2"/>
      <c r="H131" s="2"/>
    </row>
    <row r="132" spans="1:8" ht="13" x14ac:dyDescent="0.15">
      <c r="A132" s="2"/>
      <c r="B132" s="2"/>
      <c r="C132" s="11"/>
      <c r="D132" s="2"/>
      <c r="E132" s="2"/>
      <c r="F132" s="11"/>
      <c r="G132" s="2"/>
      <c r="H132" s="2"/>
    </row>
    <row r="133" spans="1:8" ht="13" x14ac:dyDescent="0.15">
      <c r="A133" s="2"/>
      <c r="B133" s="2"/>
      <c r="C133" s="11"/>
      <c r="D133" s="2"/>
      <c r="E133" s="2"/>
      <c r="F133" s="11"/>
      <c r="G133" s="2"/>
      <c r="H133" s="2"/>
    </row>
    <row r="134" spans="1:8" ht="13" x14ac:dyDescent="0.15">
      <c r="A134" s="2"/>
      <c r="B134" s="2"/>
      <c r="C134" s="11"/>
      <c r="D134" s="2"/>
      <c r="E134" s="2"/>
      <c r="F134" s="11"/>
      <c r="G134" s="2"/>
      <c r="H134" s="2"/>
    </row>
    <row r="135" spans="1:8" ht="13" x14ac:dyDescent="0.15">
      <c r="A135" s="2"/>
      <c r="B135" s="2"/>
      <c r="C135" s="11"/>
      <c r="D135" s="2"/>
      <c r="E135" s="2"/>
      <c r="F135" s="11"/>
      <c r="G135" s="2"/>
      <c r="H135" s="2"/>
    </row>
    <row r="136" spans="1:8" ht="13" x14ac:dyDescent="0.15">
      <c r="A136" s="2"/>
      <c r="B136" s="2"/>
      <c r="C136" s="11"/>
      <c r="D136" s="2"/>
      <c r="E136" s="2"/>
      <c r="F136" s="11"/>
      <c r="G136" s="2"/>
      <c r="H136" s="2"/>
    </row>
    <row r="137" spans="1:8" ht="13" x14ac:dyDescent="0.15">
      <c r="A137" s="2"/>
      <c r="B137" s="2"/>
      <c r="C137" s="11"/>
      <c r="D137" s="2"/>
      <c r="E137" s="2"/>
      <c r="F137" s="11"/>
      <c r="G137" s="2"/>
      <c r="H137" s="2"/>
    </row>
    <row r="138" spans="1:8" ht="13" x14ac:dyDescent="0.15">
      <c r="A138" s="2"/>
      <c r="B138" s="2"/>
      <c r="C138" s="11"/>
      <c r="D138" s="2"/>
      <c r="E138" s="2"/>
      <c r="F138" s="11"/>
      <c r="G138" s="2"/>
      <c r="H138" s="2"/>
    </row>
    <row r="139" spans="1:8" ht="13" x14ac:dyDescent="0.15">
      <c r="A139" s="2"/>
      <c r="B139" s="2"/>
      <c r="C139" s="11"/>
      <c r="D139" s="2"/>
      <c r="E139" s="2"/>
      <c r="F139" s="11"/>
      <c r="G139" s="2"/>
      <c r="H139" s="2"/>
    </row>
    <row r="140" spans="1:8" ht="13" x14ac:dyDescent="0.15">
      <c r="A140" s="2"/>
      <c r="B140" s="2"/>
      <c r="C140" s="11"/>
      <c r="D140" s="2"/>
      <c r="E140" s="2"/>
      <c r="F140" s="11"/>
      <c r="G140" s="2"/>
      <c r="H140" s="2"/>
    </row>
    <row r="141" spans="1:8" ht="13" x14ac:dyDescent="0.15">
      <c r="A141" s="2"/>
      <c r="B141" s="2"/>
      <c r="C141" s="11"/>
      <c r="D141" s="2"/>
      <c r="E141" s="2"/>
      <c r="F141" s="11"/>
      <c r="G141" s="2"/>
      <c r="H141" s="2"/>
    </row>
    <row r="142" spans="1:8" ht="13" x14ac:dyDescent="0.15">
      <c r="A142" s="2"/>
      <c r="B142" s="2"/>
      <c r="C142" s="11"/>
      <c r="D142" s="2"/>
      <c r="E142" s="2"/>
      <c r="F142" s="11"/>
      <c r="G142" s="2"/>
      <c r="H142" s="2"/>
    </row>
    <row r="143" spans="1:8" ht="13" x14ac:dyDescent="0.15">
      <c r="A143" s="2"/>
      <c r="B143" s="2"/>
      <c r="C143" s="11"/>
      <c r="D143" s="2"/>
      <c r="E143" s="2"/>
      <c r="F143" s="11"/>
      <c r="G143" s="2"/>
      <c r="H143" s="2"/>
    </row>
    <row r="144" spans="1:8" ht="13" x14ac:dyDescent="0.15">
      <c r="A144" s="2"/>
      <c r="B144" s="2"/>
      <c r="C144" s="11"/>
      <c r="D144" s="2"/>
      <c r="E144" s="2"/>
      <c r="F144" s="11"/>
      <c r="G144" s="2"/>
      <c r="H144" s="2"/>
    </row>
    <row r="145" spans="1:8" ht="13" x14ac:dyDescent="0.15">
      <c r="A145" s="2"/>
      <c r="B145" s="2"/>
      <c r="C145" s="11"/>
      <c r="D145" s="2"/>
      <c r="E145" s="2"/>
      <c r="F145" s="11"/>
      <c r="G145" s="2"/>
      <c r="H145" s="2"/>
    </row>
    <row r="146" spans="1:8" ht="13" x14ac:dyDescent="0.15">
      <c r="A146" s="2"/>
      <c r="B146" s="2"/>
      <c r="C146" s="11"/>
      <c r="D146" s="2"/>
      <c r="E146" s="2"/>
      <c r="F146" s="11"/>
      <c r="G146" s="2"/>
      <c r="H146" s="2"/>
    </row>
    <row r="147" spans="1:8" ht="13" x14ac:dyDescent="0.15">
      <c r="A147" s="2"/>
      <c r="B147" s="2"/>
      <c r="C147" s="11"/>
      <c r="D147" s="2"/>
      <c r="E147" s="2"/>
      <c r="F147" s="11"/>
      <c r="G147" s="2"/>
      <c r="H147" s="2"/>
    </row>
    <row r="148" spans="1:8" ht="13" x14ac:dyDescent="0.15">
      <c r="A148" s="2"/>
      <c r="B148" s="2"/>
      <c r="C148" s="11"/>
      <c r="D148" s="2"/>
      <c r="E148" s="2"/>
      <c r="F148" s="11"/>
      <c r="G148" s="2"/>
      <c r="H148" s="2"/>
    </row>
    <row r="149" spans="1:8" ht="13" x14ac:dyDescent="0.15">
      <c r="A149" s="2"/>
      <c r="B149" s="2"/>
      <c r="C149" s="11"/>
      <c r="D149" s="2"/>
      <c r="E149" s="2"/>
      <c r="F149" s="11"/>
      <c r="G149" s="2"/>
      <c r="H149" s="2"/>
    </row>
    <row r="150" spans="1:8" ht="13" x14ac:dyDescent="0.15">
      <c r="A150" s="2"/>
      <c r="B150" s="2"/>
      <c r="C150" s="11"/>
      <c r="D150" s="2"/>
      <c r="E150" s="2"/>
      <c r="F150" s="11"/>
      <c r="G150" s="2"/>
      <c r="H150" s="2"/>
    </row>
    <row r="151" spans="1:8" ht="13" x14ac:dyDescent="0.15">
      <c r="A151" s="2"/>
      <c r="B151" s="2"/>
      <c r="C151" s="11"/>
      <c r="D151" s="2"/>
      <c r="E151" s="2"/>
      <c r="F151" s="11"/>
      <c r="G151" s="2"/>
      <c r="H151" s="2"/>
    </row>
    <row r="152" spans="1:8" ht="13" x14ac:dyDescent="0.15">
      <c r="A152" s="2"/>
      <c r="B152" s="2"/>
      <c r="C152" s="11"/>
      <c r="D152" s="2"/>
      <c r="E152" s="2"/>
      <c r="F152" s="11"/>
      <c r="G152" s="2"/>
      <c r="H152" s="2"/>
    </row>
    <row r="153" spans="1:8" ht="13" x14ac:dyDescent="0.15">
      <c r="A153" s="2"/>
      <c r="B153" s="2"/>
      <c r="C153" s="11"/>
      <c r="D153" s="2"/>
      <c r="E153" s="2"/>
      <c r="F153" s="11"/>
      <c r="G153" s="2"/>
      <c r="H153" s="2"/>
    </row>
    <row r="154" spans="1:8" ht="13" x14ac:dyDescent="0.15">
      <c r="A154" s="2"/>
      <c r="B154" s="2"/>
      <c r="C154" s="11"/>
      <c r="D154" s="2"/>
      <c r="E154" s="2"/>
      <c r="F154" s="11"/>
      <c r="G154" s="2"/>
      <c r="H154" s="2"/>
    </row>
    <row r="155" spans="1:8" ht="13" x14ac:dyDescent="0.15">
      <c r="A155" s="2"/>
      <c r="B155" s="2"/>
      <c r="C155" s="11"/>
      <c r="D155" s="2"/>
      <c r="E155" s="2"/>
      <c r="F155" s="11"/>
      <c r="G155" s="2"/>
      <c r="H155" s="2"/>
    </row>
    <row r="156" spans="1:8" ht="13" x14ac:dyDescent="0.15">
      <c r="A156" s="2"/>
      <c r="B156" s="2"/>
      <c r="C156" s="11"/>
      <c r="D156" s="2"/>
      <c r="E156" s="2"/>
      <c r="F156" s="11"/>
      <c r="G156" s="2"/>
      <c r="H156" s="2"/>
    </row>
    <row r="157" spans="1:8" ht="13" x14ac:dyDescent="0.15">
      <c r="A157" s="2"/>
      <c r="B157" s="2"/>
      <c r="C157" s="11"/>
      <c r="D157" s="2"/>
      <c r="E157" s="2"/>
      <c r="F157" s="11"/>
      <c r="G157" s="2"/>
      <c r="H157" s="2"/>
    </row>
    <row r="158" spans="1:8" ht="13" x14ac:dyDescent="0.15">
      <c r="A158" s="2"/>
      <c r="B158" s="2"/>
      <c r="C158" s="11"/>
      <c r="D158" s="2"/>
      <c r="E158" s="2"/>
      <c r="F158" s="11"/>
      <c r="G158" s="2"/>
      <c r="H158" s="2"/>
    </row>
    <row r="159" spans="1:8" ht="13" x14ac:dyDescent="0.15">
      <c r="A159" s="2"/>
      <c r="B159" s="2"/>
      <c r="C159" s="11"/>
      <c r="D159" s="2"/>
      <c r="E159" s="2"/>
      <c r="F159" s="11"/>
      <c r="G159" s="2"/>
      <c r="H159" s="2"/>
    </row>
    <row r="160" spans="1:8" ht="13" x14ac:dyDescent="0.15">
      <c r="A160" s="2"/>
      <c r="B160" s="2"/>
      <c r="C160" s="11"/>
      <c r="D160" s="2"/>
      <c r="E160" s="2"/>
      <c r="F160" s="11"/>
      <c r="G160" s="2"/>
      <c r="H160" s="2"/>
    </row>
    <row r="161" spans="1:8" ht="13" x14ac:dyDescent="0.15">
      <c r="A161" s="2"/>
      <c r="B161" s="2"/>
      <c r="C161" s="11"/>
      <c r="D161" s="2"/>
      <c r="E161" s="2"/>
      <c r="F161" s="11"/>
      <c r="G161" s="2"/>
      <c r="H161" s="2"/>
    </row>
    <row r="162" spans="1:8" ht="13" x14ac:dyDescent="0.15">
      <c r="A162" s="2"/>
      <c r="B162" s="2"/>
      <c r="C162" s="11"/>
      <c r="D162" s="2"/>
      <c r="E162" s="2"/>
      <c r="F162" s="11"/>
      <c r="G162" s="2"/>
      <c r="H162" s="2"/>
    </row>
    <row r="163" spans="1:8" ht="13" x14ac:dyDescent="0.15">
      <c r="A163" s="2"/>
      <c r="B163" s="2"/>
      <c r="C163" s="11"/>
      <c r="D163" s="2"/>
      <c r="E163" s="2"/>
      <c r="F163" s="11"/>
      <c r="G163" s="2"/>
      <c r="H163" s="2"/>
    </row>
    <row r="164" spans="1:8" ht="13" x14ac:dyDescent="0.15">
      <c r="A164" s="2"/>
      <c r="B164" s="2"/>
      <c r="C164" s="11"/>
      <c r="D164" s="2"/>
      <c r="E164" s="2"/>
      <c r="F164" s="11"/>
      <c r="G164" s="2"/>
      <c r="H164" s="2"/>
    </row>
    <row r="165" spans="1:8" ht="13" x14ac:dyDescent="0.15">
      <c r="A165" s="2"/>
      <c r="B165" s="2"/>
      <c r="C165" s="11"/>
      <c r="D165" s="2"/>
      <c r="E165" s="2"/>
      <c r="F165" s="11"/>
      <c r="G165" s="2"/>
      <c r="H165" s="2"/>
    </row>
    <row r="166" spans="1:8" ht="13" x14ac:dyDescent="0.15">
      <c r="A166" s="2"/>
      <c r="B166" s="2"/>
      <c r="C166" s="11"/>
      <c r="D166" s="2"/>
      <c r="E166" s="2"/>
      <c r="F166" s="11"/>
      <c r="G166" s="2"/>
      <c r="H166" s="2"/>
    </row>
    <row r="167" spans="1:8" ht="13" x14ac:dyDescent="0.15">
      <c r="A167" s="2"/>
      <c r="B167" s="2"/>
      <c r="C167" s="11"/>
      <c r="D167" s="2"/>
      <c r="E167" s="2"/>
      <c r="F167" s="11"/>
      <c r="G167" s="2"/>
      <c r="H167" s="2"/>
    </row>
    <row r="168" spans="1:8" ht="13" x14ac:dyDescent="0.15">
      <c r="A168" s="2"/>
      <c r="B168" s="2"/>
      <c r="C168" s="11"/>
      <c r="D168" s="2"/>
      <c r="E168" s="2"/>
      <c r="F168" s="11"/>
      <c r="G168" s="2"/>
      <c r="H168" s="2"/>
    </row>
    <row r="169" spans="1:8" ht="13" x14ac:dyDescent="0.15">
      <c r="A169" s="2"/>
      <c r="B169" s="2"/>
      <c r="C169" s="11"/>
      <c r="D169" s="2"/>
      <c r="E169" s="2"/>
      <c r="F169" s="11"/>
      <c r="G169" s="2"/>
      <c r="H169" s="2"/>
    </row>
    <row r="170" spans="1:8" ht="13" x14ac:dyDescent="0.15">
      <c r="A170" s="2"/>
      <c r="B170" s="2"/>
      <c r="C170" s="11"/>
      <c r="D170" s="2"/>
      <c r="E170" s="2"/>
      <c r="F170" s="11"/>
      <c r="G170" s="2"/>
      <c r="H170" s="2"/>
    </row>
    <row r="171" spans="1:8" ht="13" x14ac:dyDescent="0.15">
      <c r="A171" s="2"/>
      <c r="B171" s="2"/>
      <c r="C171" s="11"/>
      <c r="D171" s="2"/>
      <c r="E171" s="2"/>
      <c r="F171" s="11"/>
      <c r="G171" s="2"/>
      <c r="H171" s="2"/>
    </row>
    <row r="172" spans="1:8" ht="13" x14ac:dyDescent="0.15">
      <c r="A172" s="2"/>
      <c r="B172" s="2"/>
      <c r="C172" s="11"/>
      <c r="D172" s="2"/>
      <c r="E172" s="2"/>
      <c r="F172" s="11"/>
      <c r="G172" s="2"/>
      <c r="H172" s="2"/>
    </row>
    <row r="173" spans="1:8" ht="13" x14ac:dyDescent="0.15">
      <c r="A173" s="2"/>
      <c r="B173" s="2"/>
      <c r="C173" s="11"/>
      <c r="D173" s="2"/>
      <c r="E173" s="2"/>
      <c r="F173" s="11"/>
      <c r="G173" s="2"/>
      <c r="H173" s="2"/>
    </row>
    <row r="174" spans="1:8" ht="13" x14ac:dyDescent="0.15">
      <c r="A174" s="2"/>
      <c r="B174" s="2"/>
      <c r="C174" s="11"/>
      <c r="D174" s="2"/>
      <c r="E174" s="2"/>
      <c r="F174" s="11"/>
      <c r="G174" s="2"/>
      <c r="H174" s="2"/>
    </row>
    <row r="175" spans="1:8" ht="13" x14ac:dyDescent="0.15">
      <c r="A175" s="2"/>
      <c r="B175" s="2"/>
      <c r="C175" s="11"/>
      <c r="D175" s="2"/>
      <c r="E175" s="2"/>
      <c r="F175" s="11"/>
      <c r="G175" s="2"/>
      <c r="H175" s="2"/>
    </row>
    <row r="176" spans="1:8" ht="13" x14ac:dyDescent="0.15">
      <c r="A176" s="2"/>
      <c r="B176" s="2"/>
      <c r="C176" s="11"/>
      <c r="D176" s="2"/>
      <c r="E176" s="2"/>
      <c r="F176" s="11"/>
      <c r="G176" s="2"/>
      <c r="H176" s="2"/>
    </row>
    <row r="177" spans="1:8" ht="13" x14ac:dyDescent="0.15">
      <c r="A177" s="2"/>
      <c r="B177" s="2"/>
      <c r="C177" s="11"/>
      <c r="D177" s="2"/>
      <c r="E177" s="2"/>
      <c r="F177" s="11"/>
      <c r="G177" s="2"/>
      <c r="H177" s="2"/>
    </row>
    <row r="178" spans="1:8" ht="13" x14ac:dyDescent="0.15">
      <c r="A178" s="2"/>
      <c r="B178" s="2"/>
      <c r="C178" s="11"/>
      <c r="D178" s="2"/>
      <c r="E178" s="2"/>
      <c r="F178" s="11"/>
      <c r="G178" s="2"/>
      <c r="H178" s="2"/>
    </row>
    <row r="179" spans="1:8" ht="13" x14ac:dyDescent="0.15">
      <c r="A179" s="2"/>
      <c r="B179" s="2"/>
      <c r="C179" s="11"/>
      <c r="D179" s="2"/>
      <c r="E179" s="2"/>
      <c r="F179" s="11"/>
      <c r="G179" s="2"/>
      <c r="H179" s="2"/>
    </row>
    <row r="180" spans="1:8" ht="13" x14ac:dyDescent="0.15">
      <c r="A180" s="2"/>
      <c r="B180" s="2"/>
      <c r="C180" s="11"/>
      <c r="D180" s="2"/>
      <c r="E180" s="2"/>
      <c r="F180" s="11"/>
      <c r="G180" s="2"/>
      <c r="H180" s="2"/>
    </row>
    <row r="181" spans="1:8" ht="13" x14ac:dyDescent="0.15">
      <c r="A181" s="2"/>
      <c r="B181" s="2"/>
      <c r="C181" s="11"/>
      <c r="D181" s="2"/>
      <c r="E181" s="2"/>
      <c r="F181" s="11"/>
      <c r="G181" s="2"/>
      <c r="H181" s="2"/>
    </row>
    <row r="182" spans="1:8" ht="13" x14ac:dyDescent="0.15">
      <c r="A182" s="2"/>
      <c r="B182" s="2"/>
      <c r="C182" s="11"/>
      <c r="D182" s="2"/>
      <c r="E182" s="2"/>
      <c r="F182" s="11"/>
      <c r="G182" s="2"/>
      <c r="H182" s="2"/>
    </row>
    <row r="183" spans="1:8" ht="13" x14ac:dyDescent="0.15">
      <c r="A183" s="2"/>
      <c r="B183" s="2"/>
      <c r="C183" s="11"/>
      <c r="D183" s="2"/>
      <c r="E183" s="2"/>
      <c r="F183" s="11"/>
      <c r="G183" s="2"/>
      <c r="H183" s="2"/>
    </row>
    <row r="184" spans="1:8" ht="13" x14ac:dyDescent="0.15">
      <c r="A184" s="2"/>
      <c r="B184" s="2"/>
      <c r="C184" s="11"/>
      <c r="D184" s="2"/>
      <c r="E184" s="2"/>
      <c r="F184" s="11"/>
      <c r="G184" s="2"/>
      <c r="H184" s="2"/>
    </row>
    <row r="185" spans="1:8" ht="13" x14ac:dyDescent="0.15">
      <c r="A185" s="2"/>
      <c r="B185" s="2"/>
      <c r="C185" s="11"/>
      <c r="D185" s="2"/>
      <c r="E185" s="2"/>
      <c r="F185" s="11"/>
      <c r="G185" s="2"/>
      <c r="H185" s="2"/>
    </row>
    <row r="186" spans="1:8" ht="13" x14ac:dyDescent="0.15">
      <c r="A186" s="2"/>
      <c r="B186" s="2"/>
      <c r="C186" s="11"/>
      <c r="D186" s="2"/>
      <c r="E186" s="2"/>
      <c r="F186" s="11"/>
      <c r="G186" s="2"/>
      <c r="H186" s="2"/>
    </row>
    <row r="187" spans="1:8" ht="13" x14ac:dyDescent="0.15">
      <c r="A187" s="2"/>
      <c r="B187" s="2"/>
      <c r="C187" s="11"/>
      <c r="D187" s="2"/>
      <c r="E187" s="2"/>
      <c r="F187" s="11"/>
      <c r="G187" s="2"/>
      <c r="H187" s="2"/>
    </row>
    <row r="188" spans="1:8" ht="13" x14ac:dyDescent="0.15">
      <c r="A188" s="2"/>
      <c r="B188" s="2"/>
      <c r="C188" s="11"/>
      <c r="D188" s="2"/>
      <c r="E188" s="2"/>
      <c r="F188" s="11"/>
      <c r="G188" s="2"/>
      <c r="H188" s="2"/>
    </row>
    <row r="189" spans="1:8" ht="13" x14ac:dyDescent="0.15">
      <c r="A189" s="2"/>
      <c r="B189" s="2"/>
      <c r="C189" s="11"/>
      <c r="D189" s="2"/>
      <c r="E189" s="2"/>
      <c r="F189" s="11"/>
      <c r="G189" s="2"/>
      <c r="H189" s="2"/>
    </row>
    <row r="190" spans="1:8" ht="13" x14ac:dyDescent="0.15">
      <c r="A190" s="2"/>
      <c r="B190" s="2"/>
      <c r="C190" s="11"/>
      <c r="D190" s="2"/>
      <c r="E190" s="2"/>
      <c r="F190" s="11"/>
      <c r="G190" s="2"/>
      <c r="H190" s="2"/>
    </row>
    <row r="191" spans="1:8" ht="13" x14ac:dyDescent="0.15">
      <c r="A191" s="2"/>
      <c r="B191" s="2"/>
      <c r="C191" s="11"/>
      <c r="D191" s="2"/>
      <c r="E191" s="2"/>
      <c r="F191" s="11"/>
      <c r="G191" s="2"/>
      <c r="H191" s="2"/>
    </row>
    <row r="192" spans="1:8" ht="13" x14ac:dyDescent="0.15">
      <c r="A192" s="2"/>
      <c r="B192" s="2"/>
      <c r="C192" s="11"/>
      <c r="D192" s="2"/>
      <c r="E192" s="2"/>
      <c r="F192" s="11"/>
      <c r="G192" s="2"/>
      <c r="H192" s="2"/>
    </row>
    <row r="193" spans="1:8" ht="13" x14ac:dyDescent="0.15">
      <c r="A193" s="2"/>
      <c r="B193" s="2"/>
      <c r="C193" s="11"/>
      <c r="D193" s="2"/>
      <c r="E193" s="2"/>
      <c r="F193" s="11"/>
      <c r="G193" s="2"/>
      <c r="H193" s="2"/>
    </row>
    <row r="194" spans="1:8" ht="13" x14ac:dyDescent="0.15">
      <c r="A194" s="2"/>
      <c r="B194" s="2"/>
      <c r="C194" s="11"/>
      <c r="D194" s="2"/>
      <c r="E194" s="2"/>
      <c r="F194" s="11"/>
      <c r="G194" s="2"/>
      <c r="H194" s="2"/>
    </row>
    <row r="195" spans="1:8" ht="13" x14ac:dyDescent="0.15">
      <c r="A195" s="2"/>
      <c r="B195" s="2"/>
      <c r="C195" s="11"/>
      <c r="D195" s="2"/>
      <c r="E195" s="2"/>
      <c r="F195" s="11"/>
      <c r="G195" s="2"/>
      <c r="H195" s="2"/>
    </row>
    <row r="196" spans="1:8" ht="13" x14ac:dyDescent="0.15">
      <c r="A196" s="2"/>
      <c r="B196" s="2"/>
      <c r="C196" s="11"/>
      <c r="D196" s="2"/>
      <c r="E196" s="2"/>
      <c r="F196" s="11"/>
      <c r="G196" s="2"/>
      <c r="H196" s="2"/>
    </row>
    <row r="197" spans="1:8" ht="13" x14ac:dyDescent="0.15">
      <c r="A197" s="2"/>
      <c r="B197" s="2"/>
      <c r="C197" s="11"/>
      <c r="D197" s="2"/>
      <c r="E197" s="2"/>
      <c r="F197" s="11"/>
      <c r="G197" s="2"/>
      <c r="H197" s="2"/>
    </row>
    <row r="198" spans="1:8" ht="13" x14ac:dyDescent="0.15">
      <c r="A198" s="2"/>
      <c r="B198" s="2"/>
      <c r="C198" s="11"/>
      <c r="D198" s="2"/>
      <c r="E198" s="2"/>
      <c r="F198" s="11"/>
      <c r="G198" s="2"/>
      <c r="H198" s="2"/>
    </row>
    <row r="199" spans="1:8" ht="13" x14ac:dyDescent="0.15">
      <c r="A199" s="2"/>
      <c r="B199" s="2"/>
      <c r="C199" s="11"/>
      <c r="D199" s="2"/>
      <c r="E199" s="2"/>
      <c r="F199" s="11"/>
      <c r="G199" s="2"/>
      <c r="H199" s="2"/>
    </row>
    <row r="200" spans="1:8" ht="13" x14ac:dyDescent="0.15">
      <c r="A200" s="2"/>
      <c r="B200" s="2"/>
      <c r="C200" s="11"/>
      <c r="D200" s="2"/>
      <c r="E200" s="2"/>
      <c r="F200" s="11"/>
      <c r="G200" s="2"/>
      <c r="H200" s="2"/>
    </row>
    <row r="201" spans="1:8" ht="13" x14ac:dyDescent="0.15">
      <c r="A201" s="2"/>
      <c r="B201" s="2"/>
      <c r="C201" s="11"/>
      <c r="D201" s="2"/>
      <c r="E201" s="2"/>
      <c r="F201" s="11"/>
      <c r="G201" s="2"/>
      <c r="H201" s="2"/>
    </row>
    <row r="202" spans="1:8" ht="13" x14ac:dyDescent="0.15">
      <c r="A202" s="2"/>
      <c r="B202" s="2"/>
      <c r="C202" s="11"/>
      <c r="D202" s="2"/>
      <c r="E202" s="2"/>
      <c r="F202" s="11"/>
      <c r="G202" s="2"/>
      <c r="H202" s="2"/>
    </row>
    <row r="203" spans="1:8" ht="13" x14ac:dyDescent="0.15">
      <c r="A203" s="2"/>
      <c r="B203" s="2"/>
      <c r="C203" s="11"/>
      <c r="D203" s="2"/>
      <c r="E203" s="2"/>
      <c r="F203" s="11"/>
      <c r="G203" s="2"/>
      <c r="H203" s="2"/>
    </row>
    <row r="204" spans="1:8" ht="13" x14ac:dyDescent="0.15">
      <c r="A204" s="2"/>
      <c r="B204" s="2"/>
      <c r="C204" s="11"/>
      <c r="D204" s="2"/>
      <c r="E204" s="2"/>
      <c r="F204" s="11"/>
      <c r="G204" s="2"/>
      <c r="H204" s="2"/>
    </row>
    <row r="205" spans="1:8" ht="13" x14ac:dyDescent="0.15">
      <c r="A205" s="2"/>
      <c r="B205" s="2"/>
      <c r="C205" s="11"/>
      <c r="D205" s="2"/>
      <c r="E205" s="2"/>
      <c r="F205" s="11"/>
      <c r="G205" s="2"/>
      <c r="H205" s="2"/>
    </row>
    <row r="206" spans="1:8" ht="13" x14ac:dyDescent="0.15">
      <c r="A206" s="2"/>
      <c r="B206" s="2"/>
      <c r="C206" s="11"/>
      <c r="D206" s="2"/>
      <c r="E206" s="2"/>
      <c r="F206" s="11"/>
      <c r="G206" s="2"/>
      <c r="H206" s="2"/>
    </row>
    <row r="207" spans="1:8" ht="13" x14ac:dyDescent="0.15">
      <c r="A207" s="2"/>
      <c r="B207" s="2"/>
      <c r="C207" s="11"/>
      <c r="D207" s="2"/>
      <c r="E207" s="2"/>
      <c r="F207" s="11"/>
      <c r="G207" s="2"/>
      <c r="H207" s="2"/>
    </row>
    <row r="208" spans="1:8" ht="13" x14ac:dyDescent="0.15">
      <c r="A208" s="2"/>
      <c r="B208" s="2"/>
      <c r="C208" s="11"/>
      <c r="D208" s="2"/>
      <c r="E208" s="2"/>
      <c r="F208" s="11"/>
      <c r="G208" s="2"/>
      <c r="H208" s="2"/>
    </row>
    <row r="209" spans="1:8" ht="13" x14ac:dyDescent="0.15">
      <c r="A209" s="2"/>
      <c r="B209" s="2"/>
      <c r="C209" s="11"/>
      <c r="D209" s="2"/>
      <c r="E209" s="2"/>
      <c r="F209" s="11"/>
      <c r="G209" s="2"/>
      <c r="H209" s="2"/>
    </row>
    <row r="210" spans="1:8" ht="13" x14ac:dyDescent="0.15">
      <c r="A210" s="2"/>
      <c r="B210" s="2"/>
      <c r="C210" s="11"/>
      <c r="D210" s="2"/>
      <c r="E210" s="2"/>
      <c r="F210" s="11"/>
      <c r="G210" s="2"/>
      <c r="H210" s="2"/>
    </row>
    <row r="211" spans="1:8" ht="13" x14ac:dyDescent="0.15">
      <c r="A211" s="2"/>
      <c r="B211" s="2"/>
      <c r="C211" s="11"/>
      <c r="D211" s="2"/>
      <c r="E211" s="2"/>
      <c r="F211" s="11"/>
      <c r="G211" s="2"/>
      <c r="H211" s="2"/>
    </row>
    <row r="212" spans="1:8" ht="13" x14ac:dyDescent="0.15">
      <c r="A212" s="2"/>
      <c r="B212" s="2"/>
      <c r="C212" s="11"/>
      <c r="D212" s="2"/>
      <c r="E212" s="2"/>
      <c r="F212" s="11"/>
      <c r="G212" s="2"/>
      <c r="H212" s="2"/>
    </row>
    <row r="213" spans="1:8" ht="13" x14ac:dyDescent="0.15">
      <c r="A213" s="2"/>
      <c r="B213" s="2"/>
      <c r="C213" s="11"/>
      <c r="D213" s="2"/>
      <c r="E213" s="2"/>
      <c r="F213" s="11"/>
      <c r="G213" s="2"/>
      <c r="H213" s="2"/>
    </row>
    <row r="214" spans="1:8" ht="13" x14ac:dyDescent="0.15">
      <c r="A214" s="2"/>
      <c r="B214" s="2"/>
      <c r="C214" s="11"/>
      <c r="D214" s="2"/>
      <c r="E214" s="2"/>
      <c r="F214" s="11"/>
      <c r="G214" s="2"/>
      <c r="H214" s="2"/>
    </row>
    <row r="215" spans="1:8" ht="13" x14ac:dyDescent="0.15">
      <c r="A215" s="2"/>
      <c r="B215" s="2"/>
      <c r="C215" s="11"/>
      <c r="D215" s="2"/>
      <c r="E215" s="2"/>
      <c r="F215" s="11"/>
      <c r="G215" s="2"/>
      <c r="H215" s="2"/>
    </row>
    <row r="216" spans="1:8" ht="13" x14ac:dyDescent="0.15">
      <c r="A216" s="2"/>
      <c r="B216" s="2"/>
      <c r="C216" s="11"/>
      <c r="D216" s="2"/>
      <c r="E216" s="2"/>
      <c r="F216" s="11"/>
      <c r="G216" s="2"/>
      <c r="H216" s="2"/>
    </row>
    <row r="217" spans="1:8" ht="13" x14ac:dyDescent="0.15">
      <c r="A217" s="2"/>
      <c r="B217" s="2"/>
      <c r="C217" s="11"/>
      <c r="D217" s="2"/>
      <c r="E217" s="2"/>
      <c r="F217" s="11"/>
      <c r="G217" s="2"/>
      <c r="H217" s="2"/>
    </row>
    <row r="218" spans="1:8" ht="13" x14ac:dyDescent="0.15">
      <c r="A218" s="2"/>
      <c r="B218" s="2"/>
      <c r="C218" s="11"/>
      <c r="D218" s="2"/>
      <c r="E218" s="2"/>
      <c r="F218" s="11"/>
      <c r="G218" s="2"/>
      <c r="H218" s="2"/>
    </row>
    <row r="219" spans="1:8" ht="13" x14ac:dyDescent="0.15">
      <c r="A219" s="2"/>
      <c r="B219" s="2"/>
      <c r="C219" s="11"/>
      <c r="D219" s="2"/>
      <c r="E219" s="2"/>
      <c r="F219" s="11"/>
      <c r="G219" s="2"/>
      <c r="H219" s="2"/>
    </row>
    <row r="220" spans="1:8" ht="13" x14ac:dyDescent="0.15">
      <c r="A220" s="2"/>
      <c r="B220" s="2"/>
      <c r="C220" s="11"/>
      <c r="D220" s="2"/>
      <c r="E220" s="2"/>
      <c r="F220" s="11"/>
      <c r="G220" s="2"/>
      <c r="H220" s="2"/>
    </row>
    <row r="221" spans="1:8" ht="13" x14ac:dyDescent="0.15">
      <c r="A221" s="2"/>
      <c r="B221" s="2"/>
      <c r="C221" s="11"/>
      <c r="D221" s="2"/>
      <c r="E221" s="2"/>
      <c r="F221" s="11"/>
      <c r="G221" s="2"/>
      <c r="H221" s="2"/>
    </row>
    <row r="222" spans="1:8" ht="13" x14ac:dyDescent="0.15">
      <c r="A222" s="2"/>
      <c r="B222" s="2"/>
      <c r="C222" s="11"/>
      <c r="D222" s="2"/>
      <c r="E222" s="2"/>
      <c r="F222" s="11"/>
      <c r="G222" s="2"/>
      <c r="H222" s="2"/>
    </row>
    <row r="223" spans="1:8" ht="13" x14ac:dyDescent="0.15">
      <c r="A223" s="2"/>
      <c r="B223" s="2"/>
      <c r="C223" s="11"/>
      <c r="D223" s="2"/>
      <c r="E223" s="2"/>
      <c r="F223" s="11"/>
      <c r="G223" s="2"/>
      <c r="H223" s="2"/>
    </row>
    <row r="224" spans="1:8" ht="13" x14ac:dyDescent="0.15">
      <c r="A224" s="2"/>
      <c r="B224" s="2"/>
      <c r="C224" s="11"/>
      <c r="D224" s="2"/>
      <c r="E224" s="2"/>
      <c r="F224" s="11"/>
      <c r="G224" s="2"/>
      <c r="H224" s="2"/>
    </row>
    <row r="225" spans="1:8" ht="13" x14ac:dyDescent="0.15">
      <c r="A225" s="2"/>
      <c r="B225" s="2"/>
      <c r="C225" s="11"/>
      <c r="D225" s="2"/>
      <c r="E225" s="2"/>
      <c r="F225" s="11"/>
      <c r="G225" s="2"/>
      <c r="H225" s="2"/>
    </row>
    <row r="226" spans="1:8" ht="13" x14ac:dyDescent="0.15">
      <c r="A226" s="2"/>
      <c r="B226" s="2"/>
      <c r="C226" s="11"/>
      <c r="D226" s="2"/>
      <c r="E226" s="2"/>
      <c r="F226" s="11"/>
      <c r="G226" s="2"/>
      <c r="H226" s="2"/>
    </row>
    <row r="227" spans="1:8" ht="13" x14ac:dyDescent="0.15">
      <c r="A227" s="2"/>
      <c r="B227" s="2"/>
      <c r="C227" s="11"/>
      <c r="D227" s="2"/>
      <c r="E227" s="2"/>
      <c r="F227" s="11"/>
      <c r="G227" s="2"/>
      <c r="H227" s="2"/>
    </row>
    <row r="228" spans="1:8" ht="13" x14ac:dyDescent="0.15">
      <c r="A228" s="2"/>
      <c r="B228" s="2"/>
      <c r="C228" s="11"/>
      <c r="D228" s="2"/>
      <c r="E228" s="2"/>
      <c r="F228" s="11"/>
      <c r="G228" s="2"/>
      <c r="H228" s="2"/>
    </row>
    <row r="229" spans="1:8" ht="13" x14ac:dyDescent="0.15">
      <c r="A229" s="2"/>
      <c r="B229" s="2"/>
      <c r="C229" s="11"/>
      <c r="D229" s="2"/>
      <c r="E229" s="2"/>
      <c r="F229" s="11"/>
      <c r="G229" s="2"/>
      <c r="H229" s="2"/>
    </row>
    <row r="230" spans="1:8" ht="13" x14ac:dyDescent="0.15">
      <c r="A230" s="2"/>
      <c r="B230" s="2"/>
      <c r="C230" s="11"/>
      <c r="D230" s="2"/>
      <c r="E230" s="2"/>
      <c r="F230" s="11"/>
      <c r="G230" s="2"/>
      <c r="H230" s="2"/>
    </row>
    <row r="231" spans="1:8" ht="13" x14ac:dyDescent="0.15">
      <c r="A231" s="2"/>
      <c r="B231" s="2"/>
      <c r="C231" s="11"/>
      <c r="D231" s="2"/>
      <c r="E231" s="2"/>
      <c r="F231" s="11"/>
      <c r="G231" s="2"/>
      <c r="H231" s="2"/>
    </row>
    <row r="232" spans="1:8" ht="13" x14ac:dyDescent="0.15">
      <c r="A232" s="2"/>
      <c r="B232" s="2"/>
      <c r="C232" s="11"/>
      <c r="D232" s="2"/>
      <c r="E232" s="2"/>
      <c r="F232" s="11"/>
      <c r="G232" s="2"/>
      <c r="H232" s="2"/>
    </row>
    <row r="233" spans="1:8" ht="13" x14ac:dyDescent="0.15">
      <c r="A233" s="2"/>
      <c r="B233" s="2"/>
      <c r="C233" s="11"/>
      <c r="D233" s="2"/>
      <c r="E233" s="2"/>
      <c r="F233" s="11"/>
      <c r="G233" s="2"/>
      <c r="H233" s="2"/>
    </row>
    <row r="234" spans="1:8" ht="13" x14ac:dyDescent="0.15">
      <c r="A234" s="2"/>
      <c r="B234" s="2"/>
      <c r="C234" s="11"/>
      <c r="D234" s="2"/>
      <c r="E234" s="2"/>
      <c r="F234" s="11"/>
      <c r="G234" s="2"/>
      <c r="H234" s="2"/>
    </row>
    <row r="235" spans="1:8" ht="13" x14ac:dyDescent="0.15">
      <c r="A235" s="2"/>
      <c r="B235" s="2"/>
      <c r="C235" s="11"/>
      <c r="D235" s="2"/>
      <c r="E235" s="2"/>
      <c r="F235" s="11"/>
      <c r="G235" s="2"/>
      <c r="H235" s="2"/>
    </row>
    <row r="236" spans="1:8" ht="13" x14ac:dyDescent="0.15">
      <c r="A236" s="2"/>
      <c r="B236" s="2"/>
      <c r="C236" s="11"/>
      <c r="D236" s="2"/>
      <c r="E236" s="2"/>
      <c r="F236" s="11"/>
      <c r="G236" s="2"/>
      <c r="H236" s="2"/>
    </row>
    <row r="237" spans="1:8" ht="13" x14ac:dyDescent="0.15">
      <c r="A237" s="2"/>
      <c r="B237" s="2"/>
      <c r="C237" s="11"/>
      <c r="D237" s="2"/>
      <c r="E237" s="2"/>
      <c r="F237" s="11"/>
      <c r="G237" s="2"/>
      <c r="H237" s="2"/>
    </row>
    <row r="238" spans="1:8" ht="13" x14ac:dyDescent="0.15">
      <c r="A238" s="2"/>
      <c r="B238" s="2"/>
      <c r="C238" s="11"/>
      <c r="D238" s="2"/>
      <c r="E238" s="2"/>
      <c r="F238" s="11"/>
      <c r="G238" s="2"/>
      <c r="H238" s="2"/>
    </row>
    <row r="239" spans="1:8" ht="13" x14ac:dyDescent="0.15">
      <c r="A239" s="2"/>
      <c r="B239" s="2"/>
      <c r="C239" s="11"/>
      <c r="D239" s="2"/>
      <c r="E239" s="2"/>
      <c r="F239" s="11"/>
      <c r="G239" s="2"/>
      <c r="H239" s="2"/>
    </row>
    <row r="240" spans="1:8" ht="13" x14ac:dyDescent="0.15">
      <c r="A240" s="2"/>
      <c r="B240" s="2"/>
      <c r="C240" s="11"/>
      <c r="D240" s="2"/>
      <c r="E240" s="2"/>
      <c r="F240" s="11"/>
      <c r="G240" s="2"/>
      <c r="H240" s="2"/>
    </row>
    <row r="241" spans="1:8" ht="13" x14ac:dyDescent="0.15">
      <c r="A241" s="2"/>
      <c r="B241" s="2"/>
      <c r="C241" s="11"/>
      <c r="D241" s="2"/>
      <c r="E241" s="2"/>
      <c r="F241" s="11"/>
      <c r="G241" s="2"/>
      <c r="H241" s="2"/>
    </row>
    <row r="242" spans="1:8" ht="13" x14ac:dyDescent="0.15">
      <c r="A242" s="2"/>
      <c r="B242" s="2"/>
      <c r="C242" s="11"/>
      <c r="D242" s="2"/>
      <c r="E242" s="2"/>
      <c r="F242" s="11"/>
      <c r="G242" s="2"/>
      <c r="H242" s="2"/>
    </row>
    <row r="243" spans="1:8" ht="13" x14ac:dyDescent="0.15">
      <c r="A243" s="2"/>
      <c r="B243" s="2"/>
      <c r="C243" s="11"/>
      <c r="D243" s="2"/>
      <c r="E243" s="2"/>
      <c r="F243" s="11"/>
      <c r="G243" s="2"/>
      <c r="H243" s="2"/>
    </row>
    <row r="244" spans="1:8" ht="13" x14ac:dyDescent="0.15">
      <c r="A244" s="2"/>
      <c r="B244" s="2"/>
      <c r="C244" s="11"/>
      <c r="D244" s="2"/>
      <c r="E244" s="2"/>
      <c r="F244" s="11"/>
      <c r="G244" s="2"/>
      <c r="H244" s="2"/>
    </row>
    <row r="245" spans="1:8" ht="13" x14ac:dyDescent="0.15">
      <c r="A245" s="2"/>
      <c r="B245" s="2"/>
      <c r="C245" s="11"/>
      <c r="D245" s="2"/>
      <c r="E245" s="2"/>
      <c r="F245" s="11"/>
      <c r="G245" s="2"/>
      <c r="H245" s="2"/>
    </row>
    <row r="246" spans="1:8" ht="13" x14ac:dyDescent="0.15">
      <c r="A246" s="2"/>
      <c r="B246" s="2"/>
      <c r="C246" s="11"/>
      <c r="D246" s="2"/>
      <c r="E246" s="2"/>
      <c r="F246" s="11"/>
      <c r="G246" s="2"/>
      <c r="H246" s="2"/>
    </row>
    <row r="247" spans="1:8" ht="13" x14ac:dyDescent="0.15">
      <c r="A247" s="2"/>
      <c r="B247" s="2"/>
      <c r="C247" s="11"/>
      <c r="D247" s="2"/>
      <c r="E247" s="2"/>
      <c r="F247" s="11"/>
      <c r="G247" s="2"/>
      <c r="H247" s="2"/>
    </row>
    <row r="248" spans="1:8" ht="13" x14ac:dyDescent="0.15">
      <c r="A248" s="2"/>
      <c r="B248" s="2"/>
      <c r="C248" s="11"/>
      <c r="D248" s="2"/>
      <c r="E248" s="2"/>
      <c r="F248" s="11"/>
      <c r="G248" s="2"/>
      <c r="H248" s="2"/>
    </row>
    <row r="249" spans="1:8" ht="13" x14ac:dyDescent="0.15">
      <c r="A249" s="2"/>
      <c r="B249" s="2"/>
      <c r="C249" s="11"/>
      <c r="D249" s="2"/>
      <c r="E249" s="2"/>
      <c r="F249" s="11"/>
      <c r="G249" s="2"/>
      <c r="H249" s="2"/>
    </row>
    <row r="250" spans="1:8" ht="13" x14ac:dyDescent="0.15">
      <c r="A250" s="2"/>
      <c r="B250" s="2"/>
      <c r="C250" s="11"/>
      <c r="D250" s="2"/>
      <c r="E250" s="2"/>
      <c r="F250" s="11"/>
      <c r="G250" s="2"/>
      <c r="H250" s="2"/>
    </row>
    <row r="251" spans="1:8" ht="13" x14ac:dyDescent="0.15">
      <c r="A251" s="2"/>
      <c r="B251" s="2"/>
      <c r="C251" s="11"/>
      <c r="D251" s="2"/>
      <c r="E251" s="2"/>
      <c r="F251" s="11"/>
      <c r="G251" s="2"/>
      <c r="H251" s="2"/>
    </row>
    <row r="252" spans="1:8" ht="13" x14ac:dyDescent="0.15">
      <c r="A252" s="2"/>
      <c r="B252" s="2"/>
      <c r="C252" s="11"/>
      <c r="D252" s="2"/>
      <c r="E252" s="2"/>
      <c r="F252" s="11"/>
      <c r="G252" s="2"/>
      <c r="H252" s="2"/>
    </row>
    <row r="253" spans="1:8" ht="13" x14ac:dyDescent="0.15">
      <c r="A253" s="2"/>
      <c r="B253" s="2"/>
      <c r="C253" s="11"/>
      <c r="D253" s="2"/>
      <c r="E253" s="2"/>
      <c r="F253" s="11"/>
      <c r="G253" s="2"/>
      <c r="H253" s="2"/>
    </row>
    <row r="254" spans="1:8" ht="13" x14ac:dyDescent="0.15">
      <c r="A254" s="2"/>
      <c r="B254" s="2"/>
      <c r="C254" s="11"/>
      <c r="D254" s="2"/>
      <c r="E254" s="2"/>
      <c r="F254" s="11"/>
      <c r="G254" s="2"/>
      <c r="H254" s="2"/>
    </row>
    <row r="255" spans="1:8" ht="13" x14ac:dyDescent="0.15">
      <c r="A255" s="2"/>
      <c r="B255" s="2"/>
      <c r="C255" s="11"/>
      <c r="D255" s="2"/>
      <c r="E255" s="2"/>
      <c r="F255" s="11"/>
      <c r="G255" s="2"/>
      <c r="H255" s="2"/>
    </row>
    <row r="256" spans="1:8" ht="13" x14ac:dyDescent="0.15">
      <c r="A256" s="2"/>
      <c r="B256" s="2"/>
      <c r="C256" s="11"/>
      <c r="D256" s="2"/>
      <c r="E256" s="2"/>
      <c r="F256" s="11"/>
      <c r="G256" s="2"/>
      <c r="H256" s="2"/>
    </row>
    <row r="257" spans="1:8" ht="13" x14ac:dyDescent="0.15">
      <c r="A257" s="2"/>
      <c r="B257" s="2"/>
      <c r="C257" s="11"/>
      <c r="D257" s="2"/>
      <c r="E257" s="2"/>
      <c r="F257" s="11"/>
      <c r="G257" s="2"/>
      <c r="H257" s="2"/>
    </row>
    <row r="258" spans="1:8" ht="13" x14ac:dyDescent="0.15">
      <c r="A258" s="2"/>
      <c r="B258" s="2"/>
      <c r="C258" s="11"/>
      <c r="D258" s="2"/>
      <c r="E258" s="2"/>
      <c r="F258" s="11"/>
      <c r="G258" s="2"/>
      <c r="H258" s="2"/>
    </row>
    <row r="259" spans="1:8" ht="13" x14ac:dyDescent="0.15">
      <c r="A259" s="2"/>
      <c r="B259" s="2"/>
      <c r="C259" s="11"/>
      <c r="D259" s="2"/>
      <c r="E259" s="2"/>
      <c r="F259" s="11"/>
      <c r="G259" s="2"/>
      <c r="H259" s="2"/>
    </row>
    <row r="260" spans="1:8" ht="13" x14ac:dyDescent="0.15">
      <c r="A260" s="2"/>
      <c r="B260" s="2"/>
      <c r="C260" s="11"/>
      <c r="D260" s="2"/>
      <c r="E260" s="2"/>
      <c r="F260" s="11"/>
      <c r="G260" s="2"/>
      <c r="H260" s="2"/>
    </row>
    <row r="261" spans="1:8" ht="13" x14ac:dyDescent="0.15">
      <c r="A261" s="2"/>
      <c r="B261" s="2"/>
      <c r="C261" s="11"/>
      <c r="D261" s="2"/>
      <c r="E261" s="2"/>
      <c r="F261" s="11"/>
      <c r="G261" s="2"/>
      <c r="H261" s="2"/>
    </row>
    <row r="262" spans="1:8" ht="13" x14ac:dyDescent="0.15">
      <c r="A262" s="2"/>
      <c r="B262" s="2"/>
      <c r="C262" s="11"/>
      <c r="D262" s="2"/>
      <c r="E262" s="2"/>
      <c r="F262" s="11"/>
      <c r="G262" s="2"/>
      <c r="H262" s="2"/>
    </row>
    <row r="263" spans="1:8" ht="13" x14ac:dyDescent="0.15">
      <c r="A263" s="2"/>
      <c r="B263" s="2"/>
      <c r="C263" s="11"/>
      <c r="D263" s="2"/>
      <c r="E263" s="2"/>
      <c r="F263" s="11"/>
      <c r="G263" s="2"/>
      <c r="H263" s="2"/>
    </row>
    <row r="264" spans="1:8" ht="13" x14ac:dyDescent="0.15">
      <c r="A264" s="2"/>
      <c r="B264" s="2"/>
      <c r="C264" s="11"/>
      <c r="D264" s="2"/>
      <c r="E264" s="2"/>
      <c r="F264" s="11"/>
      <c r="G264" s="2"/>
      <c r="H264" s="2"/>
    </row>
    <row r="265" spans="1:8" ht="13" x14ac:dyDescent="0.15">
      <c r="A265" s="2"/>
      <c r="B265" s="2"/>
      <c r="C265" s="11"/>
      <c r="D265" s="2"/>
      <c r="E265" s="2"/>
      <c r="F265" s="11"/>
      <c r="G265" s="2"/>
      <c r="H265" s="2"/>
    </row>
    <row r="266" spans="1:8" ht="13" x14ac:dyDescent="0.15">
      <c r="A266" s="2"/>
      <c r="B266" s="2"/>
      <c r="C266" s="11"/>
      <c r="D266" s="2"/>
      <c r="E266" s="2"/>
      <c r="F266" s="11"/>
      <c r="G266" s="2"/>
      <c r="H266" s="2"/>
    </row>
    <row r="267" spans="1:8" ht="13" x14ac:dyDescent="0.15">
      <c r="A267" s="2"/>
      <c r="B267" s="2"/>
      <c r="C267" s="11"/>
      <c r="D267" s="2"/>
      <c r="E267" s="2"/>
      <c r="F267" s="11"/>
      <c r="G267" s="2"/>
      <c r="H267" s="2"/>
    </row>
    <row r="268" spans="1:8" ht="13" x14ac:dyDescent="0.15">
      <c r="A268" s="2"/>
      <c r="B268" s="2"/>
      <c r="C268" s="11"/>
      <c r="D268" s="2"/>
      <c r="E268" s="2"/>
      <c r="F268" s="11"/>
      <c r="G268" s="2"/>
      <c r="H268" s="2"/>
    </row>
    <row r="269" spans="1:8" ht="13" x14ac:dyDescent="0.15">
      <c r="A269" s="2"/>
      <c r="B269" s="2"/>
      <c r="C269" s="11"/>
      <c r="D269" s="2"/>
      <c r="E269" s="2"/>
      <c r="F269" s="11"/>
      <c r="G269" s="2"/>
      <c r="H269" s="2"/>
    </row>
    <row r="270" spans="1:8" ht="13" x14ac:dyDescent="0.15">
      <c r="A270" s="2"/>
      <c r="B270" s="2"/>
      <c r="C270" s="11"/>
      <c r="D270" s="2"/>
      <c r="E270" s="2"/>
      <c r="F270" s="11"/>
      <c r="G270" s="2"/>
      <c r="H270" s="2"/>
    </row>
    <row r="271" spans="1:8" ht="13" x14ac:dyDescent="0.15">
      <c r="A271" s="2"/>
      <c r="B271" s="2"/>
      <c r="C271" s="11"/>
      <c r="D271" s="2"/>
      <c r="E271" s="2"/>
      <c r="F271" s="11"/>
      <c r="G271" s="2"/>
      <c r="H271" s="2"/>
    </row>
    <row r="272" spans="1:8" ht="13" x14ac:dyDescent="0.15">
      <c r="A272" s="2"/>
      <c r="B272" s="2"/>
      <c r="C272" s="11"/>
      <c r="D272" s="2"/>
      <c r="E272" s="2"/>
      <c r="F272" s="11"/>
      <c r="G272" s="2"/>
      <c r="H272" s="2"/>
    </row>
    <row r="273" spans="1:8" ht="13" x14ac:dyDescent="0.15">
      <c r="A273" s="2"/>
      <c r="B273" s="2"/>
      <c r="C273" s="11"/>
      <c r="D273" s="2"/>
      <c r="E273" s="2"/>
      <c r="F273" s="11"/>
      <c r="G273" s="2"/>
      <c r="H273" s="2"/>
    </row>
    <row r="274" spans="1:8" ht="13" x14ac:dyDescent="0.15">
      <c r="A274" s="2"/>
      <c r="B274" s="2"/>
      <c r="C274" s="11"/>
      <c r="D274" s="2"/>
      <c r="E274" s="2"/>
      <c r="F274" s="11"/>
      <c r="G274" s="2"/>
      <c r="H274" s="2"/>
    </row>
    <row r="275" spans="1:8" ht="13" x14ac:dyDescent="0.15">
      <c r="A275" s="2"/>
      <c r="B275" s="2"/>
      <c r="C275" s="11"/>
      <c r="D275" s="2"/>
      <c r="E275" s="2"/>
      <c r="F275" s="11"/>
      <c r="G275" s="2"/>
      <c r="H275" s="2"/>
    </row>
    <row r="276" spans="1:8" ht="13" x14ac:dyDescent="0.15">
      <c r="A276" s="2"/>
      <c r="B276" s="2"/>
      <c r="C276" s="11"/>
      <c r="D276" s="2"/>
      <c r="E276" s="2"/>
      <c r="F276" s="11"/>
      <c r="G276" s="2"/>
      <c r="H276" s="2"/>
    </row>
    <row r="277" spans="1:8" ht="13" x14ac:dyDescent="0.15">
      <c r="A277" s="2"/>
      <c r="B277" s="2"/>
      <c r="C277" s="11"/>
      <c r="D277" s="2"/>
      <c r="E277" s="2"/>
      <c r="F277" s="11"/>
      <c r="G277" s="2"/>
      <c r="H277" s="2"/>
    </row>
    <row r="278" spans="1:8" ht="13" x14ac:dyDescent="0.15">
      <c r="A278" s="2"/>
      <c r="B278" s="2"/>
      <c r="C278" s="11"/>
      <c r="D278" s="2"/>
      <c r="E278" s="2"/>
      <c r="F278" s="11"/>
      <c r="G278" s="2"/>
      <c r="H278" s="2"/>
    </row>
    <row r="279" spans="1:8" ht="13" x14ac:dyDescent="0.15">
      <c r="A279" s="2"/>
      <c r="B279" s="2"/>
      <c r="C279" s="11"/>
      <c r="D279" s="2"/>
      <c r="E279" s="2"/>
      <c r="F279" s="11"/>
      <c r="G279" s="2"/>
      <c r="H279" s="2"/>
    </row>
    <row r="280" spans="1:8" ht="13" x14ac:dyDescent="0.15">
      <c r="A280" s="2"/>
      <c r="B280" s="2"/>
      <c r="C280" s="11"/>
      <c r="D280" s="2"/>
      <c r="E280" s="2"/>
      <c r="F280" s="11"/>
      <c r="G280" s="2"/>
      <c r="H280" s="2"/>
    </row>
    <row r="281" spans="1:8" ht="13" x14ac:dyDescent="0.15">
      <c r="A281" s="2"/>
      <c r="B281" s="2"/>
      <c r="C281" s="11"/>
      <c r="D281" s="2"/>
      <c r="E281" s="2"/>
      <c r="F281" s="11"/>
      <c r="G281" s="2"/>
      <c r="H281" s="2"/>
    </row>
    <row r="282" spans="1:8" ht="13" x14ac:dyDescent="0.15">
      <c r="A282" s="2"/>
      <c r="B282" s="2"/>
      <c r="C282" s="11"/>
      <c r="D282" s="2"/>
      <c r="E282" s="2"/>
      <c r="F282" s="11"/>
      <c r="G282" s="2"/>
      <c r="H282" s="2"/>
    </row>
    <row r="283" spans="1:8" ht="13" x14ac:dyDescent="0.15">
      <c r="A283" s="2"/>
      <c r="B283" s="2"/>
      <c r="C283" s="11"/>
      <c r="D283" s="2"/>
      <c r="E283" s="2"/>
      <c r="F283" s="11"/>
      <c r="G283" s="2"/>
      <c r="H283" s="2"/>
    </row>
    <row r="284" spans="1:8" ht="13" x14ac:dyDescent="0.15">
      <c r="A284" s="2"/>
      <c r="B284" s="2"/>
      <c r="C284" s="11"/>
      <c r="D284" s="2"/>
      <c r="E284" s="2"/>
      <c r="F284" s="11"/>
      <c r="G284" s="2"/>
      <c r="H284" s="2"/>
    </row>
    <row r="285" spans="1:8" ht="13" x14ac:dyDescent="0.15">
      <c r="A285" s="2"/>
      <c r="B285" s="2"/>
      <c r="C285" s="11"/>
      <c r="D285" s="2"/>
      <c r="E285" s="2"/>
      <c r="F285" s="11"/>
      <c r="G285" s="2"/>
      <c r="H285" s="2"/>
    </row>
    <row r="286" spans="1:8" ht="13" x14ac:dyDescent="0.15">
      <c r="A286" s="2"/>
      <c r="B286" s="2"/>
      <c r="C286" s="11"/>
      <c r="D286" s="2"/>
      <c r="E286" s="2"/>
      <c r="F286" s="11"/>
      <c r="G286" s="2"/>
      <c r="H286" s="2"/>
    </row>
    <row r="287" spans="1:8" ht="13" x14ac:dyDescent="0.15">
      <c r="A287" s="2"/>
      <c r="B287" s="2"/>
      <c r="C287" s="11"/>
      <c r="D287" s="2"/>
      <c r="E287" s="2"/>
      <c r="F287" s="11"/>
      <c r="G287" s="2"/>
      <c r="H287" s="2"/>
    </row>
    <row r="288" spans="1:8" ht="13" x14ac:dyDescent="0.15">
      <c r="A288" s="2"/>
      <c r="B288" s="2"/>
      <c r="C288" s="11"/>
      <c r="D288" s="2"/>
      <c r="E288" s="2"/>
      <c r="F288" s="11"/>
      <c r="G288" s="2"/>
      <c r="H288" s="2"/>
    </row>
    <row r="289" spans="1:8" ht="13" x14ac:dyDescent="0.15">
      <c r="A289" s="2"/>
      <c r="B289" s="2"/>
      <c r="C289" s="11"/>
      <c r="D289" s="2"/>
      <c r="E289" s="2"/>
      <c r="F289" s="11"/>
      <c r="G289" s="2"/>
      <c r="H289" s="2"/>
    </row>
    <row r="290" spans="1:8" ht="13" x14ac:dyDescent="0.15">
      <c r="A290" s="2"/>
      <c r="B290" s="2"/>
      <c r="C290" s="11"/>
      <c r="D290" s="2"/>
      <c r="E290" s="2"/>
      <c r="F290" s="11"/>
      <c r="G290" s="2"/>
      <c r="H290" s="2"/>
    </row>
    <row r="291" spans="1:8" ht="13" x14ac:dyDescent="0.15">
      <c r="A291" s="2"/>
      <c r="B291" s="2"/>
      <c r="C291" s="11"/>
      <c r="D291" s="2"/>
      <c r="E291" s="2"/>
      <c r="F291" s="11"/>
      <c r="G291" s="2"/>
      <c r="H291" s="2"/>
    </row>
    <row r="292" spans="1:8" ht="13" x14ac:dyDescent="0.15">
      <c r="A292" s="2"/>
      <c r="B292" s="2"/>
      <c r="C292" s="11"/>
      <c r="D292" s="2"/>
      <c r="E292" s="2"/>
      <c r="F292" s="11"/>
      <c r="G292" s="2"/>
      <c r="H292" s="2"/>
    </row>
    <row r="293" spans="1:8" ht="13" x14ac:dyDescent="0.15">
      <c r="A293" s="2"/>
      <c r="B293" s="2"/>
      <c r="C293" s="11"/>
      <c r="D293" s="2"/>
      <c r="E293" s="2"/>
      <c r="F293" s="11"/>
      <c r="G293" s="2"/>
      <c r="H293" s="2"/>
    </row>
    <row r="294" spans="1:8" ht="13" x14ac:dyDescent="0.15">
      <c r="A294" s="2"/>
      <c r="B294" s="2"/>
      <c r="C294" s="11"/>
      <c r="D294" s="2"/>
      <c r="E294" s="2"/>
      <c r="F294" s="11"/>
      <c r="G294" s="2"/>
      <c r="H294" s="2"/>
    </row>
    <row r="295" spans="1:8" ht="13" x14ac:dyDescent="0.15">
      <c r="A295" s="2"/>
      <c r="B295" s="2"/>
      <c r="C295" s="11"/>
      <c r="D295" s="2"/>
      <c r="E295" s="2"/>
      <c r="F295" s="11"/>
      <c r="G295" s="2"/>
      <c r="H295" s="2"/>
    </row>
    <row r="296" spans="1:8" ht="13" x14ac:dyDescent="0.15">
      <c r="A296" s="2"/>
      <c r="B296" s="2"/>
      <c r="C296" s="11"/>
      <c r="D296" s="2"/>
      <c r="E296" s="2"/>
      <c r="F296" s="11"/>
      <c r="G296" s="2"/>
      <c r="H296" s="2"/>
    </row>
    <row r="297" spans="1:8" ht="13" x14ac:dyDescent="0.15">
      <c r="A297" s="2"/>
      <c r="B297" s="2"/>
      <c r="C297" s="11"/>
      <c r="D297" s="2"/>
      <c r="E297" s="2"/>
      <c r="F297" s="11"/>
      <c r="G297" s="2"/>
      <c r="H297" s="2"/>
    </row>
    <row r="298" spans="1:8" ht="13" x14ac:dyDescent="0.15">
      <c r="A298" s="2"/>
      <c r="B298" s="2"/>
      <c r="C298" s="11"/>
      <c r="D298" s="2"/>
      <c r="E298" s="2"/>
      <c r="F298" s="11"/>
      <c r="G298" s="2"/>
      <c r="H298" s="2"/>
    </row>
    <row r="299" spans="1:8" ht="13" x14ac:dyDescent="0.15">
      <c r="A299" s="2"/>
      <c r="B299" s="2"/>
      <c r="C299" s="11"/>
      <c r="D299" s="2"/>
      <c r="E299" s="2"/>
      <c r="F299" s="11"/>
      <c r="G299" s="2"/>
      <c r="H299" s="2"/>
    </row>
    <row r="300" spans="1:8" ht="13" x14ac:dyDescent="0.15">
      <c r="A300" s="2"/>
      <c r="B300" s="2"/>
      <c r="C300" s="11"/>
      <c r="D300" s="2"/>
      <c r="E300" s="2"/>
      <c r="F300" s="11"/>
      <c r="G300" s="2"/>
      <c r="H300" s="2"/>
    </row>
    <row r="301" spans="1:8" ht="13" x14ac:dyDescent="0.15">
      <c r="A301" s="2"/>
      <c r="B301" s="2"/>
      <c r="C301" s="11"/>
      <c r="D301" s="2"/>
      <c r="E301" s="2"/>
      <c r="F301" s="11"/>
      <c r="G301" s="2"/>
      <c r="H301" s="2"/>
    </row>
    <row r="302" spans="1:8" ht="13" x14ac:dyDescent="0.15">
      <c r="A302" s="2"/>
      <c r="B302" s="2"/>
      <c r="C302" s="11"/>
      <c r="D302" s="2"/>
      <c r="E302" s="2"/>
      <c r="F302" s="11"/>
      <c r="G302" s="2"/>
      <c r="H302" s="2"/>
    </row>
    <row r="303" spans="1:8" ht="13" x14ac:dyDescent="0.15">
      <c r="A303" s="2"/>
      <c r="B303" s="2"/>
      <c r="C303" s="11"/>
      <c r="D303" s="2"/>
      <c r="E303" s="2"/>
      <c r="F303" s="11"/>
      <c r="G303" s="2"/>
      <c r="H303" s="2"/>
    </row>
    <row r="304" spans="1:8" ht="13" x14ac:dyDescent="0.15">
      <c r="A304" s="2"/>
      <c r="B304" s="2"/>
      <c r="C304" s="11"/>
      <c r="D304" s="2"/>
      <c r="E304" s="2"/>
      <c r="F304" s="11"/>
      <c r="G304" s="2"/>
      <c r="H304" s="2"/>
    </row>
    <row r="305" spans="1:8" ht="13" x14ac:dyDescent="0.15">
      <c r="A305" s="2"/>
      <c r="B305" s="2"/>
      <c r="C305" s="11"/>
      <c r="D305" s="2"/>
      <c r="E305" s="2"/>
      <c r="F305" s="11"/>
      <c r="G305" s="2"/>
      <c r="H305" s="2"/>
    </row>
    <row r="306" spans="1:8" ht="13" x14ac:dyDescent="0.15">
      <c r="A306" s="2"/>
      <c r="B306" s="2"/>
      <c r="C306" s="11"/>
      <c r="D306" s="2"/>
      <c r="E306" s="2"/>
      <c r="F306" s="11"/>
      <c r="G306" s="2"/>
      <c r="H306" s="2"/>
    </row>
    <row r="307" spans="1:8" ht="13" x14ac:dyDescent="0.15">
      <c r="A307" s="2"/>
      <c r="B307" s="2"/>
      <c r="C307" s="11"/>
      <c r="D307" s="2"/>
      <c r="E307" s="2"/>
      <c r="F307" s="11"/>
      <c r="G307" s="2"/>
      <c r="H307" s="2"/>
    </row>
    <row r="308" spans="1:8" ht="13" x14ac:dyDescent="0.15">
      <c r="A308" s="2"/>
      <c r="B308" s="2"/>
      <c r="C308" s="11"/>
      <c r="D308" s="2"/>
      <c r="E308" s="2"/>
      <c r="F308" s="11"/>
      <c r="G308" s="2"/>
      <c r="H308" s="2"/>
    </row>
    <row r="309" spans="1:8" ht="13" x14ac:dyDescent="0.15">
      <c r="A309" s="2"/>
      <c r="B309" s="2"/>
      <c r="C309" s="11"/>
      <c r="D309" s="2"/>
      <c r="E309" s="2"/>
      <c r="F309" s="11"/>
      <c r="G309" s="2"/>
      <c r="H309" s="2"/>
    </row>
    <row r="310" spans="1:8" ht="13" x14ac:dyDescent="0.15">
      <c r="A310" s="2"/>
      <c r="B310" s="2"/>
      <c r="C310" s="11"/>
      <c r="D310" s="2"/>
      <c r="E310" s="2"/>
      <c r="F310" s="11"/>
      <c r="G310" s="2"/>
      <c r="H310" s="2"/>
    </row>
    <row r="311" spans="1:8" ht="13" x14ac:dyDescent="0.15">
      <c r="A311" s="2"/>
      <c r="B311" s="2"/>
      <c r="C311" s="11"/>
      <c r="D311" s="2"/>
      <c r="E311" s="2"/>
      <c r="F311" s="11"/>
      <c r="G311" s="2"/>
      <c r="H311" s="2"/>
    </row>
    <row r="312" spans="1:8" ht="13" x14ac:dyDescent="0.15">
      <c r="A312" s="2"/>
      <c r="B312" s="2"/>
      <c r="C312" s="11"/>
      <c r="D312" s="2"/>
      <c r="E312" s="2"/>
      <c r="F312" s="11"/>
      <c r="G312" s="2"/>
      <c r="H312" s="2"/>
    </row>
    <row r="313" spans="1:8" ht="13" x14ac:dyDescent="0.15">
      <c r="A313" s="2"/>
      <c r="B313" s="2"/>
      <c r="C313" s="11"/>
      <c r="D313" s="2"/>
      <c r="E313" s="2"/>
      <c r="F313" s="11"/>
      <c r="G313" s="2"/>
      <c r="H313" s="2"/>
    </row>
    <row r="314" spans="1:8" ht="13" x14ac:dyDescent="0.15">
      <c r="A314" s="2"/>
      <c r="B314" s="2"/>
      <c r="C314" s="11"/>
      <c r="D314" s="2"/>
      <c r="E314" s="2"/>
      <c r="F314" s="11"/>
      <c r="G314" s="2"/>
      <c r="H314" s="2"/>
    </row>
    <row r="315" spans="1:8" ht="13" x14ac:dyDescent="0.15">
      <c r="A315" s="2"/>
      <c r="B315" s="2"/>
      <c r="C315" s="11"/>
      <c r="D315" s="2"/>
      <c r="E315" s="2"/>
      <c r="F315" s="11"/>
      <c r="G315" s="2"/>
      <c r="H315" s="2"/>
    </row>
    <row r="316" spans="1:8" ht="13" x14ac:dyDescent="0.15">
      <c r="A316" s="2"/>
      <c r="B316" s="2"/>
      <c r="C316" s="11"/>
      <c r="D316" s="2"/>
      <c r="E316" s="2"/>
      <c r="F316" s="11"/>
      <c r="G316" s="2"/>
      <c r="H316" s="2"/>
    </row>
    <row r="317" spans="1:8" ht="13" x14ac:dyDescent="0.15">
      <c r="A317" s="2"/>
      <c r="B317" s="2"/>
      <c r="C317" s="11"/>
      <c r="D317" s="2"/>
      <c r="E317" s="2"/>
      <c r="F317" s="11"/>
      <c r="G317" s="2"/>
      <c r="H317" s="2"/>
    </row>
    <row r="318" spans="1:8" ht="13" x14ac:dyDescent="0.15">
      <c r="A318" s="2"/>
      <c r="B318" s="2"/>
      <c r="C318" s="11"/>
      <c r="D318" s="2"/>
      <c r="E318" s="2"/>
      <c r="F318" s="11"/>
      <c r="G318" s="2"/>
      <c r="H318" s="2"/>
    </row>
    <row r="319" spans="1:8" ht="13" x14ac:dyDescent="0.15">
      <c r="A319" s="2"/>
      <c r="B319" s="2"/>
      <c r="C319" s="11"/>
      <c r="D319" s="2"/>
      <c r="E319" s="2"/>
      <c r="F319" s="11"/>
      <c r="G319" s="2"/>
      <c r="H319" s="2"/>
    </row>
    <row r="320" spans="1:8" ht="13" x14ac:dyDescent="0.15">
      <c r="A320" s="2"/>
      <c r="B320" s="2"/>
      <c r="C320" s="11"/>
      <c r="D320" s="2"/>
      <c r="E320" s="2"/>
      <c r="F320" s="11"/>
      <c r="G320" s="2"/>
      <c r="H320" s="2"/>
    </row>
    <row r="321" spans="1:8" ht="13" x14ac:dyDescent="0.15">
      <c r="A321" s="2"/>
      <c r="B321" s="2"/>
      <c r="C321" s="11"/>
      <c r="D321" s="2"/>
      <c r="E321" s="2"/>
      <c r="F321" s="11"/>
      <c r="G321" s="2"/>
      <c r="H321" s="2"/>
    </row>
    <row r="322" spans="1:8" ht="13" x14ac:dyDescent="0.15">
      <c r="A322" s="2"/>
      <c r="B322" s="2"/>
      <c r="C322" s="11"/>
      <c r="D322" s="2"/>
      <c r="E322" s="2"/>
      <c r="F322" s="11"/>
      <c r="G322" s="2"/>
      <c r="H322" s="2"/>
    </row>
    <row r="323" spans="1:8" ht="13" x14ac:dyDescent="0.15">
      <c r="A323" s="2"/>
      <c r="B323" s="2"/>
      <c r="C323" s="11"/>
      <c r="D323" s="2"/>
      <c r="E323" s="2"/>
      <c r="F323" s="11"/>
      <c r="G323" s="2"/>
      <c r="H323" s="2"/>
    </row>
    <row r="324" spans="1:8" ht="13" x14ac:dyDescent="0.15">
      <c r="A324" s="2"/>
      <c r="B324" s="2"/>
      <c r="C324" s="11"/>
      <c r="D324" s="2"/>
      <c r="E324" s="2"/>
      <c r="F324" s="11"/>
      <c r="G324" s="2"/>
      <c r="H324" s="2"/>
    </row>
    <row r="325" spans="1:8" ht="13" x14ac:dyDescent="0.15">
      <c r="A325" s="2"/>
      <c r="B325" s="2"/>
      <c r="C325" s="11"/>
      <c r="D325" s="2"/>
      <c r="E325" s="2"/>
      <c r="F325" s="11"/>
      <c r="G325" s="2"/>
      <c r="H325" s="2"/>
    </row>
    <row r="326" spans="1:8" ht="13" x14ac:dyDescent="0.15">
      <c r="A326" s="2"/>
      <c r="B326" s="2"/>
      <c r="C326" s="11"/>
      <c r="D326" s="2"/>
      <c r="E326" s="2"/>
      <c r="F326" s="11"/>
      <c r="G326" s="2"/>
      <c r="H326" s="2"/>
    </row>
    <row r="327" spans="1:8" ht="13" x14ac:dyDescent="0.15">
      <c r="A327" s="2"/>
      <c r="B327" s="2"/>
      <c r="C327" s="11"/>
      <c r="D327" s="2"/>
      <c r="E327" s="2"/>
      <c r="F327" s="11"/>
      <c r="G327" s="2"/>
      <c r="H327" s="2"/>
    </row>
    <row r="328" spans="1:8" ht="13" x14ac:dyDescent="0.15">
      <c r="A328" s="2"/>
      <c r="B328" s="2"/>
      <c r="C328" s="11"/>
      <c r="D328" s="2"/>
      <c r="E328" s="2"/>
      <c r="F328" s="11"/>
      <c r="G328" s="2"/>
      <c r="H328" s="2"/>
    </row>
    <row r="329" spans="1:8" ht="13" x14ac:dyDescent="0.15">
      <c r="A329" s="2"/>
      <c r="B329" s="2"/>
      <c r="C329" s="11"/>
      <c r="D329" s="2"/>
      <c r="E329" s="2"/>
      <c r="F329" s="11"/>
      <c r="G329" s="2"/>
      <c r="H329" s="2"/>
    </row>
    <row r="330" spans="1:8" ht="13" x14ac:dyDescent="0.15">
      <c r="A330" s="2"/>
      <c r="B330" s="2"/>
      <c r="C330" s="11"/>
      <c r="D330" s="2"/>
      <c r="E330" s="2"/>
      <c r="F330" s="11"/>
      <c r="G330" s="2"/>
      <c r="H330" s="2"/>
    </row>
    <row r="331" spans="1:8" ht="13" x14ac:dyDescent="0.15">
      <c r="A331" s="2"/>
      <c r="B331" s="2"/>
      <c r="C331" s="11"/>
      <c r="D331" s="2"/>
      <c r="E331" s="2"/>
      <c r="F331" s="11"/>
      <c r="G331" s="2"/>
      <c r="H331" s="2"/>
    </row>
    <row r="332" spans="1:8" ht="13" x14ac:dyDescent="0.15">
      <c r="A332" s="2"/>
      <c r="B332" s="2"/>
      <c r="C332" s="11"/>
      <c r="D332" s="2"/>
      <c r="E332" s="2"/>
      <c r="F332" s="11"/>
      <c r="G332" s="2"/>
      <c r="H332" s="2"/>
    </row>
    <row r="333" spans="1:8" ht="13" x14ac:dyDescent="0.15">
      <c r="A333" s="2"/>
      <c r="B333" s="2"/>
      <c r="C333" s="11"/>
      <c r="D333" s="2"/>
      <c r="E333" s="2"/>
      <c r="F333" s="11"/>
      <c r="G333" s="2"/>
      <c r="H333" s="2"/>
    </row>
    <row r="334" spans="1:8" ht="13" x14ac:dyDescent="0.15">
      <c r="A334" s="2"/>
      <c r="B334" s="2"/>
      <c r="C334" s="11"/>
      <c r="D334" s="2"/>
      <c r="E334" s="2"/>
      <c r="F334" s="11"/>
      <c r="G334" s="2"/>
      <c r="H334" s="2"/>
    </row>
    <row r="335" spans="1:8" ht="13" x14ac:dyDescent="0.15">
      <c r="A335" s="2"/>
      <c r="B335" s="2"/>
      <c r="C335" s="11"/>
      <c r="D335" s="2"/>
      <c r="E335" s="2"/>
      <c r="F335" s="11"/>
      <c r="G335" s="2"/>
      <c r="H335" s="2"/>
    </row>
    <row r="336" spans="1:8" ht="13" x14ac:dyDescent="0.15">
      <c r="A336" s="2"/>
      <c r="B336" s="2"/>
      <c r="C336" s="11"/>
      <c r="D336" s="2"/>
      <c r="E336" s="2"/>
      <c r="F336" s="11"/>
      <c r="G336" s="2"/>
      <c r="H336" s="2"/>
    </row>
    <row r="337" spans="1:8" ht="13" x14ac:dyDescent="0.15">
      <c r="A337" s="2"/>
      <c r="B337" s="2"/>
      <c r="C337" s="11"/>
      <c r="D337" s="2"/>
      <c r="E337" s="2"/>
      <c r="F337" s="11"/>
      <c r="G337" s="2"/>
      <c r="H337" s="2"/>
    </row>
    <row r="338" spans="1:8" ht="13" x14ac:dyDescent="0.15">
      <c r="A338" s="2"/>
      <c r="B338" s="2"/>
      <c r="C338" s="11"/>
      <c r="D338" s="2"/>
      <c r="E338" s="2"/>
      <c r="F338" s="11"/>
      <c r="G338" s="2"/>
      <c r="H338" s="2"/>
    </row>
    <row r="339" spans="1:8" ht="13" x14ac:dyDescent="0.15">
      <c r="A339" s="2"/>
      <c r="B339" s="2"/>
      <c r="C339" s="11"/>
      <c r="D339" s="2"/>
      <c r="E339" s="2"/>
      <c r="F339" s="11"/>
      <c r="G339" s="2"/>
      <c r="H339" s="2"/>
    </row>
    <row r="340" spans="1:8" ht="13" x14ac:dyDescent="0.15">
      <c r="A340" s="2"/>
      <c r="B340" s="2"/>
      <c r="C340" s="11"/>
      <c r="D340" s="2"/>
      <c r="E340" s="2"/>
      <c r="F340" s="11"/>
      <c r="G340" s="2"/>
      <c r="H340" s="2"/>
    </row>
    <row r="341" spans="1:8" ht="13" x14ac:dyDescent="0.15">
      <c r="A341" s="2"/>
      <c r="B341" s="2"/>
      <c r="C341" s="11"/>
      <c r="D341" s="2"/>
      <c r="E341" s="2"/>
      <c r="F341" s="11"/>
      <c r="G341" s="2"/>
      <c r="H341" s="2"/>
    </row>
    <row r="342" spans="1:8" ht="13" x14ac:dyDescent="0.15">
      <c r="A342" s="2"/>
      <c r="B342" s="2"/>
      <c r="C342" s="11"/>
      <c r="D342" s="2"/>
      <c r="E342" s="2"/>
      <c r="F342" s="11"/>
      <c r="G342" s="2"/>
      <c r="H342" s="2"/>
    </row>
    <row r="343" spans="1:8" ht="13" x14ac:dyDescent="0.15">
      <c r="A343" s="2"/>
      <c r="B343" s="2"/>
      <c r="C343" s="11"/>
      <c r="D343" s="2"/>
      <c r="E343" s="2"/>
      <c r="F343" s="11"/>
      <c r="G343" s="2"/>
      <c r="H343" s="2"/>
    </row>
    <row r="344" spans="1:8" ht="13" x14ac:dyDescent="0.15">
      <c r="A344" s="2"/>
      <c r="B344" s="2"/>
      <c r="C344" s="11"/>
      <c r="D344" s="2"/>
      <c r="E344" s="2"/>
      <c r="F344" s="11"/>
      <c r="G344" s="2"/>
      <c r="H344" s="2"/>
    </row>
    <row r="345" spans="1:8" ht="13" x14ac:dyDescent="0.15">
      <c r="A345" s="2"/>
      <c r="B345" s="2"/>
      <c r="C345" s="11"/>
      <c r="D345" s="2"/>
      <c r="E345" s="2"/>
      <c r="F345" s="11"/>
      <c r="G345" s="2"/>
      <c r="H345" s="2"/>
    </row>
    <row r="346" spans="1:8" ht="13" x14ac:dyDescent="0.15">
      <c r="A346" s="2"/>
      <c r="B346" s="2"/>
      <c r="C346" s="11"/>
      <c r="D346" s="2"/>
      <c r="E346" s="2"/>
      <c r="F346" s="11"/>
      <c r="G346" s="2"/>
      <c r="H346" s="2"/>
    </row>
    <row r="347" spans="1:8" ht="13" x14ac:dyDescent="0.15">
      <c r="A347" s="2"/>
      <c r="B347" s="2"/>
      <c r="C347" s="11"/>
      <c r="D347" s="2"/>
      <c r="E347" s="2"/>
      <c r="F347" s="11"/>
      <c r="G347" s="2"/>
      <c r="H347" s="2"/>
    </row>
    <row r="348" spans="1:8" ht="13" x14ac:dyDescent="0.15">
      <c r="A348" s="2"/>
      <c r="B348" s="2"/>
      <c r="C348" s="11"/>
      <c r="D348" s="2"/>
      <c r="E348" s="2"/>
      <c r="F348" s="11"/>
      <c r="G348" s="2"/>
      <c r="H348" s="2"/>
    </row>
    <row r="349" spans="1:8" ht="13" x14ac:dyDescent="0.15">
      <c r="A349" s="2"/>
      <c r="B349" s="2"/>
      <c r="C349" s="11"/>
      <c r="D349" s="2"/>
      <c r="E349" s="2"/>
      <c r="F349" s="11"/>
      <c r="G349" s="2"/>
      <c r="H349" s="2"/>
    </row>
    <row r="350" spans="1:8" ht="13" x14ac:dyDescent="0.15">
      <c r="A350" s="2"/>
      <c r="B350" s="2"/>
      <c r="C350" s="11"/>
      <c r="D350" s="2"/>
      <c r="E350" s="2"/>
      <c r="F350" s="11"/>
      <c r="G350" s="2"/>
      <c r="H350" s="2"/>
    </row>
    <row r="351" spans="1:8" ht="13" x14ac:dyDescent="0.15">
      <c r="A351" s="2"/>
      <c r="B351" s="2"/>
      <c r="C351" s="11"/>
      <c r="D351" s="2"/>
      <c r="E351" s="2"/>
      <c r="F351" s="11"/>
      <c r="G351" s="2"/>
      <c r="H351" s="2"/>
    </row>
    <row r="352" spans="1:8" ht="13" x14ac:dyDescent="0.15">
      <c r="A352" s="2"/>
      <c r="B352" s="2"/>
      <c r="C352" s="11"/>
      <c r="D352" s="2"/>
      <c r="E352" s="2"/>
      <c r="F352" s="11"/>
      <c r="G352" s="2"/>
      <c r="H352" s="2"/>
    </row>
    <row r="353" spans="1:8" ht="13" x14ac:dyDescent="0.15">
      <c r="A353" s="2"/>
      <c r="B353" s="2"/>
      <c r="C353" s="11"/>
      <c r="D353" s="2"/>
      <c r="E353" s="2"/>
      <c r="F353" s="11"/>
      <c r="G353" s="2"/>
      <c r="H353" s="2"/>
    </row>
    <row r="354" spans="1:8" ht="13" x14ac:dyDescent="0.15">
      <c r="A354" s="2"/>
      <c r="B354" s="2"/>
      <c r="C354" s="11"/>
      <c r="D354" s="2"/>
      <c r="E354" s="2"/>
      <c r="F354" s="11"/>
      <c r="G354" s="2"/>
      <c r="H354" s="2"/>
    </row>
    <row r="355" spans="1:8" ht="13" x14ac:dyDescent="0.15">
      <c r="A355" s="2"/>
      <c r="B355" s="2"/>
      <c r="C355" s="11"/>
      <c r="D355" s="2"/>
      <c r="E355" s="2"/>
      <c r="F355" s="11"/>
      <c r="G355" s="2"/>
      <c r="H355" s="2"/>
    </row>
    <row r="356" spans="1:8" ht="13" x14ac:dyDescent="0.15">
      <c r="A356" s="2"/>
      <c r="B356" s="2"/>
      <c r="C356" s="11"/>
      <c r="D356" s="2"/>
      <c r="E356" s="2"/>
      <c r="F356" s="11"/>
      <c r="G356" s="2"/>
      <c r="H356" s="2"/>
    </row>
    <row r="357" spans="1:8" ht="13" x14ac:dyDescent="0.15">
      <c r="A357" s="2"/>
      <c r="B357" s="2"/>
      <c r="C357" s="11"/>
      <c r="D357" s="2"/>
      <c r="E357" s="2"/>
      <c r="F357" s="11"/>
      <c r="G357" s="2"/>
      <c r="H357" s="2"/>
    </row>
    <row r="358" spans="1:8" ht="13" x14ac:dyDescent="0.15">
      <c r="A358" s="2"/>
      <c r="B358" s="2"/>
      <c r="C358" s="11"/>
      <c r="D358" s="2"/>
      <c r="E358" s="2"/>
      <c r="F358" s="11"/>
      <c r="G358" s="2"/>
      <c r="H358" s="2"/>
    </row>
    <row r="359" spans="1:8" ht="13" x14ac:dyDescent="0.15">
      <c r="A359" s="2"/>
      <c r="B359" s="2"/>
      <c r="C359" s="11"/>
      <c r="D359" s="2"/>
      <c r="E359" s="2"/>
      <c r="F359" s="11"/>
      <c r="G359" s="2"/>
      <c r="H359" s="2"/>
    </row>
    <row r="360" spans="1:8" ht="13" x14ac:dyDescent="0.15">
      <c r="A360" s="2"/>
      <c r="B360" s="2"/>
      <c r="C360" s="11"/>
      <c r="D360" s="2"/>
      <c r="E360" s="2"/>
      <c r="F360" s="11"/>
      <c r="G360" s="2"/>
      <c r="H360" s="2"/>
    </row>
    <row r="361" spans="1:8" ht="13" x14ac:dyDescent="0.15">
      <c r="A361" s="2"/>
      <c r="B361" s="2"/>
      <c r="C361" s="11"/>
      <c r="D361" s="2"/>
      <c r="E361" s="2"/>
      <c r="F361" s="11"/>
      <c r="G361" s="2"/>
      <c r="H361" s="2"/>
    </row>
    <row r="362" spans="1:8" ht="13" x14ac:dyDescent="0.15">
      <c r="A362" s="2"/>
      <c r="B362" s="2"/>
      <c r="C362" s="11"/>
      <c r="D362" s="2"/>
      <c r="E362" s="2"/>
      <c r="F362" s="11"/>
      <c r="G362" s="2"/>
      <c r="H362" s="2"/>
    </row>
    <row r="363" spans="1:8" ht="13" x14ac:dyDescent="0.15">
      <c r="A363" s="2"/>
      <c r="B363" s="2"/>
      <c r="C363" s="11"/>
      <c r="D363" s="2"/>
      <c r="E363" s="2"/>
      <c r="F363" s="11"/>
      <c r="G363" s="2"/>
      <c r="H363" s="2"/>
    </row>
    <row r="364" spans="1:8" ht="13" x14ac:dyDescent="0.15">
      <c r="A364" s="2"/>
      <c r="B364" s="2"/>
      <c r="C364" s="11"/>
      <c r="D364" s="2"/>
      <c r="E364" s="2"/>
      <c r="F364" s="11"/>
      <c r="G364" s="2"/>
      <c r="H364" s="2"/>
    </row>
    <row r="365" spans="1:8" ht="13" x14ac:dyDescent="0.15">
      <c r="A365" s="2"/>
      <c r="B365" s="2"/>
      <c r="C365" s="11"/>
      <c r="D365" s="2"/>
      <c r="E365" s="2"/>
      <c r="F365" s="11"/>
      <c r="G365" s="2"/>
      <c r="H365" s="2"/>
    </row>
    <row r="366" spans="1:8" ht="13" x14ac:dyDescent="0.15">
      <c r="A366" s="2"/>
      <c r="B366" s="2"/>
      <c r="C366" s="11"/>
      <c r="D366" s="2"/>
      <c r="E366" s="2"/>
      <c r="F366" s="11"/>
      <c r="G366" s="2"/>
      <c r="H366" s="2"/>
    </row>
    <row r="367" spans="1:8" ht="13" x14ac:dyDescent="0.15">
      <c r="A367" s="2"/>
      <c r="B367" s="2"/>
      <c r="C367" s="11"/>
      <c r="D367" s="2"/>
      <c r="E367" s="2"/>
      <c r="F367" s="11"/>
      <c r="G367" s="2"/>
      <c r="H367" s="2"/>
    </row>
    <row r="368" spans="1:8" ht="13" x14ac:dyDescent="0.15">
      <c r="A368" s="2"/>
      <c r="B368" s="2"/>
      <c r="C368" s="11"/>
      <c r="D368" s="2"/>
      <c r="E368" s="2"/>
      <c r="F368" s="11"/>
      <c r="G368" s="2"/>
      <c r="H368" s="2"/>
    </row>
    <row r="369" spans="1:8" ht="13" x14ac:dyDescent="0.15">
      <c r="A369" s="2"/>
      <c r="B369" s="2"/>
      <c r="C369" s="11"/>
      <c r="D369" s="2"/>
      <c r="E369" s="2"/>
      <c r="F369" s="11"/>
      <c r="G369" s="2"/>
      <c r="H369" s="2"/>
    </row>
    <row r="370" spans="1:8" ht="13" x14ac:dyDescent="0.15">
      <c r="A370" s="2"/>
      <c r="B370" s="2"/>
      <c r="C370" s="11"/>
      <c r="D370" s="2"/>
      <c r="E370" s="2"/>
      <c r="F370" s="11"/>
      <c r="G370" s="2"/>
      <c r="H370" s="2"/>
    </row>
    <row r="371" spans="1:8" ht="13" x14ac:dyDescent="0.15">
      <c r="A371" s="2"/>
      <c r="B371" s="2"/>
      <c r="C371" s="11"/>
      <c r="D371" s="2"/>
      <c r="E371" s="2"/>
      <c r="F371" s="11"/>
      <c r="G371" s="2"/>
      <c r="H371" s="2"/>
    </row>
    <row r="372" spans="1:8" ht="13" x14ac:dyDescent="0.15">
      <c r="A372" s="2"/>
      <c r="B372" s="2"/>
      <c r="C372" s="11"/>
      <c r="D372" s="2"/>
      <c r="E372" s="2"/>
      <c r="F372" s="11"/>
      <c r="G372" s="2"/>
      <c r="H372" s="2"/>
    </row>
    <row r="373" spans="1:8" ht="13" x14ac:dyDescent="0.15">
      <c r="A373" s="2"/>
      <c r="B373" s="2"/>
      <c r="C373" s="11"/>
      <c r="D373" s="2"/>
      <c r="E373" s="2"/>
      <c r="F373" s="11"/>
      <c r="G373" s="2"/>
      <c r="H373" s="2"/>
    </row>
    <row r="374" spans="1:8" ht="13" x14ac:dyDescent="0.15">
      <c r="A374" s="2"/>
      <c r="B374" s="2"/>
      <c r="C374" s="11"/>
      <c r="D374" s="2"/>
      <c r="E374" s="2"/>
      <c r="F374" s="11"/>
      <c r="G374" s="2"/>
      <c r="H374" s="2"/>
    </row>
    <row r="375" spans="1:8" ht="13" x14ac:dyDescent="0.15">
      <c r="A375" s="2"/>
      <c r="B375" s="2"/>
      <c r="C375" s="11"/>
      <c r="D375" s="2"/>
      <c r="E375" s="2"/>
      <c r="F375" s="11"/>
      <c r="G375" s="2"/>
      <c r="H375" s="2"/>
    </row>
    <row r="376" spans="1:8" ht="13" x14ac:dyDescent="0.15">
      <c r="A376" s="2"/>
      <c r="B376" s="2"/>
      <c r="C376" s="11"/>
      <c r="D376" s="2"/>
      <c r="E376" s="2"/>
      <c r="F376" s="11"/>
      <c r="G376" s="2"/>
      <c r="H376" s="2"/>
    </row>
    <row r="377" spans="1:8" ht="13" x14ac:dyDescent="0.15">
      <c r="A377" s="2"/>
      <c r="B377" s="2"/>
      <c r="C377" s="11"/>
      <c r="D377" s="2"/>
      <c r="E377" s="2"/>
      <c r="F377" s="11"/>
      <c r="G377" s="2"/>
      <c r="H377" s="2"/>
    </row>
    <row r="378" spans="1:8" ht="13" x14ac:dyDescent="0.15">
      <c r="A378" s="2"/>
      <c r="B378" s="2"/>
      <c r="C378" s="11"/>
      <c r="D378" s="2"/>
      <c r="E378" s="2"/>
      <c r="F378" s="11"/>
      <c r="G378" s="2"/>
      <c r="H378" s="2"/>
    </row>
    <row r="379" spans="1:8" ht="13" x14ac:dyDescent="0.15">
      <c r="A379" s="2"/>
      <c r="B379" s="2"/>
      <c r="C379" s="11"/>
      <c r="D379" s="2"/>
      <c r="E379" s="2"/>
      <c r="F379" s="11"/>
      <c r="G379" s="2"/>
      <c r="H379" s="2"/>
    </row>
    <row r="380" spans="1:8" ht="13" x14ac:dyDescent="0.15">
      <c r="A380" s="2"/>
      <c r="B380" s="2"/>
      <c r="C380" s="11"/>
      <c r="D380" s="2"/>
      <c r="E380" s="2"/>
      <c r="F380" s="11"/>
      <c r="G380" s="2"/>
      <c r="H380" s="2"/>
    </row>
    <row r="381" spans="1:8" ht="13" x14ac:dyDescent="0.15">
      <c r="A381" s="2"/>
      <c r="B381" s="2"/>
      <c r="C381" s="11"/>
      <c r="D381" s="2"/>
      <c r="E381" s="2"/>
      <c r="F381" s="11"/>
      <c r="G381" s="2"/>
      <c r="H381" s="2"/>
    </row>
    <row r="382" spans="1:8" ht="13" x14ac:dyDescent="0.15">
      <c r="A382" s="2"/>
      <c r="B382" s="2"/>
      <c r="C382" s="11"/>
      <c r="D382" s="2"/>
      <c r="E382" s="2"/>
      <c r="F382" s="11"/>
      <c r="G382" s="2"/>
      <c r="H382" s="2"/>
    </row>
    <row r="383" spans="1:8" ht="13" x14ac:dyDescent="0.15">
      <c r="A383" s="2"/>
      <c r="B383" s="2"/>
      <c r="C383" s="11"/>
      <c r="D383" s="2"/>
      <c r="E383" s="2"/>
      <c r="F383" s="11"/>
      <c r="G383" s="2"/>
      <c r="H383" s="2"/>
    </row>
    <row r="384" spans="1:8" ht="13" x14ac:dyDescent="0.15">
      <c r="A384" s="2"/>
      <c r="B384" s="2"/>
      <c r="C384" s="11"/>
      <c r="D384" s="2"/>
      <c r="E384" s="2"/>
      <c r="F384" s="11"/>
      <c r="G384" s="2"/>
      <c r="H384" s="2"/>
    </row>
    <row r="385" spans="1:8" ht="13" x14ac:dyDescent="0.15">
      <c r="A385" s="2"/>
      <c r="B385" s="2"/>
      <c r="C385" s="11"/>
      <c r="D385" s="2"/>
      <c r="E385" s="2"/>
      <c r="F385" s="11"/>
      <c r="G385" s="2"/>
      <c r="H385" s="2"/>
    </row>
    <row r="386" spans="1:8" ht="13" x14ac:dyDescent="0.15">
      <c r="A386" s="2"/>
      <c r="B386" s="2"/>
      <c r="C386" s="11"/>
      <c r="D386" s="2"/>
      <c r="E386" s="2"/>
      <c r="F386" s="11"/>
      <c r="G386" s="2"/>
      <c r="H386" s="2"/>
    </row>
    <row r="387" spans="1:8" ht="13" x14ac:dyDescent="0.15">
      <c r="A387" s="2"/>
      <c r="B387" s="2"/>
      <c r="C387" s="11"/>
      <c r="D387" s="2"/>
      <c r="E387" s="2"/>
      <c r="F387" s="11"/>
      <c r="G387" s="2"/>
      <c r="H387" s="2"/>
    </row>
    <row r="388" spans="1:8" ht="13" x14ac:dyDescent="0.15">
      <c r="A388" s="2"/>
      <c r="B388" s="2"/>
      <c r="C388" s="11"/>
      <c r="D388" s="2"/>
      <c r="E388" s="2"/>
      <c r="F388" s="11"/>
      <c r="G388" s="2"/>
      <c r="H388" s="2"/>
    </row>
    <row r="389" spans="1:8" ht="13" x14ac:dyDescent="0.15">
      <c r="A389" s="2"/>
      <c r="B389" s="2"/>
      <c r="C389" s="11"/>
      <c r="D389" s="2"/>
      <c r="E389" s="2"/>
      <c r="F389" s="11"/>
      <c r="G389" s="2"/>
      <c r="H389" s="2"/>
    </row>
    <row r="390" spans="1:8" ht="13" x14ac:dyDescent="0.15">
      <c r="A390" s="2"/>
      <c r="B390" s="2"/>
      <c r="C390" s="11"/>
      <c r="D390" s="2"/>
      <c r="E390" s="2"/>
      <c r="F390" s="11"/>
      <c r="G390" s="2"/>
      <c r="H390" s="2"/>
    </row>
    <row r="391" spans="1:8" ht="13" x14ac:dyDescent="0.15">
      <c r="A391" s="2"/>
      <c r="B391" s="2"/>
      <c r="C391" s="11"/>
      <c r="D391" s="2"/>
      <c r="E391" s="2"/>
      <c r="F391" s="11"/>
      <c r="G391" s="2"/>
      <c r="H391" s="2"/>
    </row>
    <row r="392" spans="1:8" ht="13" x14ac:dyDescent="0.15">
      <c r="A392" s="2"/>
      <c r="B392" s="2"/>
      <c r="C392" s="11"/>
      <c r="D392" s="2"/>
      <c r="E392" s="2"/>
      <c r="F392" s="11"/>
      <c r="G392" s="2"/>
      <c r="H392" s="2"/>
    </row>
    <row r="393" spans="1:8" ht="13" x14ac:dyDescent="0.15">
      <c r="A393" s="2"/>
      <c r="B393" s="2"/>
      <c r="C393" s="11"/>
      <c r="D393" s="2"/>
      <c r="E393" s="2"/>
      <c r="F393" s="11"/>
      <c r="G393" s="2"/>
      <c r="H393" s="2"/>
    </row>
    <row r="394" spans="1:8" ht="13" x14ac:dyDescent="0.15">
      <c r="A394" s="2"/>
      <c r="B394" s="2"/>
      <c r="C394" s="11"/>
      <c r="D394" s="2"/>
      <c r="E394" s="2"/>
      <c r="F394" s="11"/>
      <c r="G394" s="2"/>
      <c r="H394" s="2"/>
    </row>
    <row r="395" spans="1:8" ht="13" x14ac:dyDescent="0.15">
      <c r="A395" s="2"/>
      <c r="B395" s="2"/>
      <c r="C395" s="11"/>
      <c r="D395" s="2"/>
      <c r="E395" s="2"/>
      <c r="F395" s="11"/>
      <c r="G395" s="2"/>
      <c r="H395" s="2"/>
    </row>
    <row r="396" spans="1:8" ht="13" x14ac:dyDescent="0.15">
      <c r="A396" s="2"/>
      <c r="B396" s="2"/>
      <c r="C396" s="11"/>
      <c r="D396" s="2"/>
      <c r="E396" s="2"/>
      <c r="F396" s="11"/>
      <c r="G396" s="2"/>
      <c r="H396" s="2"/>
    </row>
    <row r="397" spans="1:8" ht="13" x14ac:dyDescent="0.15">
      <c r="A397" s="2"/>
      <c r="B397" s="2"/>
      <c r="C397" s="11"/>
      <c r="D397" s="2"/>
      <c r="E397" s="2"/>
      <c r="F397" s="11"/>
      <c r="G397" s="2"/>
      <c r="H397" s="2"/>
    </row>
    <row r="398" spans="1:8" ht="13" x14ac:dyDescent="0.15">
      <c r="A398" s="2"/>
      <c r="B398" s="2"/>
      <c r="C398" s="11"/>
      <c r="D398" s="2"/>
      <c r="E398" s="2"/>
      <c r="F398" s="11"/>
      <c r="G398" s="2"/>
      <c r="H398" s="2"/>
    </row>
    <row r="399" spans="1:8" ht="13" x14ac:dyDescent="0.15">
      <c r="A399" s="2"/>
      <c r="B399" s="2"/>
      <c r="C399" s="11"/>
      <c r="D399" s="2"/>
      <c r="E399" s="2"/>
      <c r="F399" s="11"/>
      <c r="G399" s="2"/>
      <c r="H399" s="2"/>
    </row>
    <row r="400" spans="1:8" ht="13" x14ac:dyDescent="0.15">
      <c r="A400" s="2"/>
      <c r="B400" s="2"/>
      <c r="C400" s="11"/>
      <c r="D400" s="2"/>
      <c r="E400" s="2"/>
      <c r="F400" s="11"/>
      <c r="G400" s="2"/>
      <c r="H400" s="2"/>
    </row>
    <row r="401" spans="1:8" ht="13" x14ac:dyDescent="0.15">
      <c r="A401" s="2"/>
      <c r="B401" s="2"/>
      <c r="C401" s="11"/>
      <c r="D401" s="2"/>
      <c r="E401" s="2"/>
      <c r="F401" s="11"/>
      <c r="G401" s="2"/>
      <c r="H401" s="2"/>
    </row>
    <row r="402" spans="1:8" ht="13" x14ac:dyDescent="0.15">
      <c r="A402" s="2"/>
      <c r="B402" s="2"/>
      <c r="C402" s="11"/>
      <c r="D402" s="2"/>
      <c r="E402" s="2"/>
      <c r="F402" s="11"/>
      <c r="G402" s="2"/>
      <c r="H402" s="2"/>
    </row>
    <row r="403" spans="1:8" ht="13" x14ac:dyDescent="0.15">
      <c r="A403" s="2"/>
      <c r="B403" s="2"/>
      <c r="C403" s="11"/>
      <c r="D403" s="2"/>
      <c r="E403" s="2"/>
      <c r="F403" s="11"/>
      <c r="G403" s="2"/>
      <c r="H403" s="2"/>
    </row>
    <row r="404" spans="1:8" ht="13" x14ac:dyDescent="0.15">
      <c r="A404" s="2"/>
      <c r="B404" s="2"/>
      <c r="C404" s="11"/>
      <c r="D404" s="2"/>
      <c r="E404" s="2"/>
      <c r="F404" s="11"/>
      <c r="G404" s="2"/>
      <c r="H404" s="2"/>
    </row>
    <row r="405" spans="1:8" ht="13" x14ac:dyDescent="0.15">
      <c r="A405" s="2"/>
      <c r="B405" s="2"/>
      <c r="C405" s="11"/>
      <c r="D405" s="2"/>
      <c r="E405" s="2"/>
      <c r="F405" s="11"/>
      <c r="G405" s="2"/>
      <c r="H405" s="2"/>
    </row>
    <row r="406" spans="1:8" ht="13" x14ac:dyDescent="0.15">
      <c r="A406" s="2"/>
      <c r="B406" s="2"/>
      <c r="C406" s="11"/>
      <c r="D406" s="2"/>
      <c r="E406" s="2"/>
      <c r="F406" s="11"/>
      <c r="G406" s="2"/>
      <c r="H406" s="2"/>
    </row>
    <row r="407" spans="1:8" ht="13" x14ac:dyDescent="0.15">
      <c r="A407" s="2"/>
      <c r="B407" s="2"/>
      <c r="C407" s="11"/>
      <c r="D407" s="2"/>
      <c r="E407" s="2"/>
      <c r="F407" s="11"/>
      <c r="G407" s="2"/>
      <c r="H407" s="2"/>
    </row>
    <row r="408" spans="1:8" ht="13" x14ac:dyDescent="0.15">
      <c r="A408" s="2"/>
      <c r="B408" s="2"/>
      <c r="C408" s="11"/>
      <c r="D408" s="2"/>
      <c r="E408" s="2"/>
      <c r="F408" s="11"/>
      <c r="G408" s="2"/>
      <c r="H408" s="2"/>
    </row>
    <row r="409" spans="1:8" ht="13" x14ac:dyDescent="0.15">
      <c r="A409" s="2"/>
      <c r="B409" s="2"/>
      <c r="C409" s="11"/>
      <c r="D409" s="2"/>
      <c r="E409" s="2"/>
      <c r="F409" s="11"/>
      <c r="G409" s="2"/>
      <c r="H409" s="2"/>
    </row>
    <row r="410" spans="1:8" ht="13" x14ac:dyDescent="0.15">
      <c r="A410" s="2"/>
      <c r="B410" s="2"/>
      <c r="C410" s="11"/>
      <c r="D410" s="2"/>
      <c r="E410" s="2"/>
      <c r="F410" s="11"/>
      <c r="G410" s="2"/>
      <c r="H410" s="2"/>
    </row>
    <row r="411" spans="1:8" ht="13" x14ac:dyDescent="0.15">
      <c r="A411" s="2"/>
      <c r="B411" s="2"/>
      <c r="C411" s="11"/>
      <c r="D411" s="2"/>
      <c r="E411" s="2"/>
      <c r="F411" s="11"/>
      <c r="G411" s="2"/>
      <c r="H411" s="2"/>
    </row>
    <row r="412" spans="1:8" ht="13" x14ac:dyDescent="0.15">
      <c r="A412" s="2"/>
      <c r="B412" s="2"/>
      <c r="C412" s="11"/>
      <c r="D412" s="2"/>
      <c r="E412" s="2"/>
      <c r="F412" s="11"/>
      <c r="G412" s="2"/>
      <c r="H412" s="2"/>
    </row>
    <row r="413" spans="1:8" ht="13" x14ac:dyDescent="0.15">
      <c r="A413" s="2"/>
      <c r="B413" s="2"/>
      <c r="C413" s="11"/>
      <c r="D413" s="2"/>
      <c r="E413" s="2"/>
      <c r="F413" s="11"/>
      <c r="G413" s="2"/>
      <c r="H413" s="2"/>
    </row>
    <row r="414" spans="1:8" ht="13" x14ac:dyDescent="0.15">
      <c r="A414" s="2"/>
      <c r="B414" s="2"/>
      <c r="C414" s="11"/>
      <c r="D414" s="2"/>
      <c r="E414" s="2"/>
      <c r="F414" s="11"/>
      <c r="G414" s="2"/>
      <c r="H414" s="2"/>
    </row>
    <row r="415" spans="1:8" ht="13" x14ac:dyDescent="0.15">
      <c r="A415" s="2"/>
      <c r="B415" s="2"/>
      <c r="C415" s="11"/>
      <c r="D415" s="2"/>
      <c r="E415" s="2"/>
      <c r="F415" s="11"/>
      <c r="G415" s="2"/>
      <c r="H415" s="2"/>
    </row>
    <row r="416" spans="1:8" ht="13" x14ac:dyDescent="0.15">
      <c r="A416" s="2"/>
      <c r="B416" s="2"/>
      <c r="C416" s="11"/>
      <c r="D416" s="2"/>
      <c r="E416" s="2"/>
      <c r="F416" s="11"/>
      <c r="G416" s="2"/>
      <c r="H416" s="2"/>
    </row>
    <row r="417" spans="1:8" ht="13" x14ac:dyDescent="0.15">
      <c r="A417" s="2"/>
      <c r="B417" s="2"/>
      <c r="C417" s="11"/>
      <c r="D417" s="2"/>
      <c r="E417" s="2"/>
      <c r="F417" s="11"/>
      <c r="G417" s="2"/>
      <c r="H417" s="2"/>
    </row>
    <row r="418" spans="1:8" ht="13" x14ac:dyDescent="0.15">
      <c r="A418" s="2"/>
      <c r="B418" s="2"/>
      <c r="C418" s="11"/>
      <c r="D418" s="2"/>
      <c r="E418" s="2"/>
      <c r="F418" s="11"/>
      <c r="G418" s="2"/>
      <c r="H418" s="2"/>
    </row>
    <row r="419" spans="1:8" ht="13" x14ac:dyDescent="0.15">
      <c r="A419" s="2"/>
      <c r="B419" s="2"/>
      <c r="C419" s="11"/>
      <c r="D419" s="2"/>
      <c r="E419" s="2"/>
      <c r="F419" s="11"/>
      <c r="G419" s="2"/>
      <c r="H419" s="2"/>
    </row>
    <row r="420" spans="1:8" ht="13" x14ac:dyDescent="0.15">
      <c r="A420" s="2"/>
      <c r="B420" s="2"/>
      <c r="C420" s="11"/>
      <c r="D420" s="2"/>
      <c r="E420" s="2"/>
      <c r="F420" s="11"/>
      <c r="G420" s="2"/>
      <c r="H420" s="2"/>
    </row>
    <row r="421" spans="1:8" ht="13" x14ac:dyDescent="0.15">
      <c r="A421" s="2"/>
      <c r="B421" s="2"/>
      <c r="C421" s="11"/>
      <c r="D421" s="2"/>
      <c r="E421" s="2"/>
      <c r="F421" s="11"/>
      <c r="G421" s="2"/>
      <c r="H421" s="2"/>
    </row>
    <row r="422" spans="1:8" ht="13" x14ac:dyDescent="0.15">
      <c r="A422" s="2"/>
      <c r="B422" s="2"/>
      <c r="C422" s="11"/>
      <c r="D422" s="2"/>
      <c r="E422" s="2"/>
      <c r="F422" s="11"/>
      <c r="G422" s="2"/>
      <c r="H422" s="2"/>
    </row>
    <row r="423" spans="1:8" ht="13" x14ac:dyDescent="0.15">
      <c r="A423" s="2"/>
      <c r="B423" s="2"/>
      <c r="C423" s="11"/>
      <c r="D423" s="2"/>
      <c r="E423" s="2"/>
      <c r="F423" s="11"/>
      <c r="G423" s="2"/>
      <c r="H423" s="2"/>
    </row>
    <row r="424" spans="1:8" ht="13" x14ac:dyDescent="0.15">
      <c r="A424" s="2"/>
      <c r="B424" s="2"/>
      <c r="C424" s="11"/>
      <c r="D424" s="2"/>
      <c r="E424" s="2"/>
      <c r="F424" s="11"/>
      <c r="G424" s="2"/>
      <c r="H424" s="2"/>
    </row>
    <row r="425" spans="1:8" ht="13" x14ac:dyDescent="0.15">
      <c r="A425" s="2"/>
      <c r="B425" s="2"/>
      <c r="C425" s="11"/>
      <c r="D425" s="2"/>
      <c r="E425" s="2"/>
      <c r="F425" s="11"/>
      <c r="G425" s="2"/>
      <c r="H425" s="2"/>
    </row>
    <row r="426" spans="1:8" ht="13" x14ac:dyDescent="0.15">
      <c r="A426" s="2"/>
      <c r="B426" s="2"/>
      <c r="C426" s="11"/>
      <c r="D426" s="2"/>
      <c r="E426" s="2"/>
      <c r="F426" s="11"/>
      <c r="G426" s="2"/>
      <c r="H426" s="2"/>
    </row>
    <row r="427" spans="1:8" ht="13" x14ac:dyDescent="0.15">
      <c r="A427" s="2"/>
      <c r="B427" s="2"/>
      <c r="C427" s="11"/>
      <c r="D427" s="2"/>
      <c r="E427" s="2"/>
      <c r="F427" s="11"/>
      <c r="G427" s="2"/>
      <c r="H427" s="2"/>
    </row>
    <row r="428" spans="1:8" ht="13" x14ac:dyDescent="0.15">
      <c r="A428" s="2"/>
      <c r="B428" s="2"/>
      <c r="C428" s="11"/>
      <c r="D428" s="2"/>
      <c r="E428" s="2"/>
      <c r="F428" s="11"/>
      <c r="G428" s="2"/>
      <c r="H428" s="2"/>
    </row>
    <row r="429" spans="1:8" ht="13" x14ac:dyDescent="0.15">
      <c r="A429" s="2"/>
      <c r="B429" s="2"/>
      <c r="C429" s="11"/>
      <c r="D429" s="2"/>
      <c r="E429" s="2"/>
      <c r="F429" s="11"/>
      <c r="G429" s="2"/>
      <c r="H429" s="2"/>
    </row>
    <row r="430" spans="1:8" ht="13" x14ac:dyDescent="0.15">
      <c r="A430" s="2"/>
      <c r="B430" s="2"/>
      <c r="C430" s="11"/>
      <c r="D430" s="2"/>
      <c r="E430" s="2"/>
      <c r="F430" s="11"/>
      <c r="G430" s="2"/>
      <c r="H430" s="2"/>
    </row>
    <row r="431" spans="1:8" ht="13" x14ac:dyDescent="0.15">
      <c r="A431" s="2"/>
      <c r="B431" s="2"/>
      <c r="C431" s="11"/>
      <c r="D431" s="2"/>
      <c r="E431" s="2"/>
      <c r="F431" s="11"/>
      <c r="G431" s="2"/>
      <c r="H431" s="2"/>
    </row>
    <row r="432" spans="1:8" ht="13" x14ac:dyDescent="0.15">
      <c r="A432" s="2"/>
      <c r="B432" s="2"/>
      <c r="C432" s="11"/>
      <c r="D432" s="2"/>
      <c r="E432" s="2"/>
      <c r="F432" s="11"/>
      <c r="G432" s="2"/>
      <c r="H432" s="2"/>
    </row>
    <row r="433" spans="1:8" ht="13" x14ac:dyDescent="0.15">
      <c r="A433" s="2"/>
      <c r="B433" s="2"/>
      <c r="C433" s="11"/>
      <c r="D433" s="2"/>
      <c r="E433" s="2"/>
      <c r="F433" s="11"/>
      <c r="G433" s="2"/>
      <c r="H433" s="2"/>
    </row>
    <row r="434" spans="1:8" ht="13" x14ac:dyDescent="0.15">
      <c r="A434" s="2"/>
      <c r="B434" s="2"/>
      <c r="C434" s="11"/>
      <c r="D434" s="2"/>
      <c r="E434" s="2"/>
      <c r="F434" s="11"/>
      <c r="G434" s="2"/>
      <c r="H434" s="2"/>
    </row>
    <row r="435" spans="1:8" ht="13" x14ac:dyDescent="0.15">
      <c r="A435" s="2"/>
      <c r="B435" s="2"/>
      <c r="C435" s="11"/>
      <c r="D435" s="2"/>
      <c r="E435" s="2"/>
      <c r="F435" s="11"/>
      <c r="G435" s="2"/>
      <c r="H435" s="2"/>
    </row>
    <row r="436" spans="1:8" ht="13" x14ac:dyDescent="0.15">
      <c r="A436" s="2"/>
      <c r="B436" s="2"/>
      <c r="C436" s="11"/>
      <c r="D436" s="2"/>
      <c r="E436" s="2"/>
      <c r="F436" s="11"/>
      <c r="G436" s="2"/>
      <c r="H436" s="2"/>
    </row>
    <row r="437" spans="1:8" ht="13" x14ac:dyDescent="0.15">
      <c r="A437" s="2"/>
      <c r="B437" s="2"/>
      <c r="C437" s="11"/>
      <c r="D437" s="2"/>
      <c r="E437" s="2"/>
      <c r="F437" s="11"/>
      <c r="G437" s="2"/>
      <c r="H437" s="2"/>
    </row>
    <row r="438" spans="1:8" ht="13" x14ac:dyDescent="0.15">
      <c r="A438" s="2"/>
      <c r="B438" s="2"/>
      <c r="C438" s="11"/>
      <c r="D438" s="2"/>
      <c r="E438" s="2"/>
      <c r="F438" s="11"/>
      <c r="G438" s="2"/>
      <c r="H438" s="2"/>
    </row>
    <row r="439" spans="1:8" ht="13" x14ac:dyDescent="0.15">
      <c r="A439" s="2"/>
      <c r="B439" s="2"/>
      <c r="C439" s="11"/>
      <c r="D439" s="2"/>
      <c r="E439" s="2"/>
      <c r="F439" s="11"/>
      <c r="G439" s="2"/>
      <c r="H439" s="2"/>
    </row>
    <row r="440" spans="1:8" ht="13" x14ac:dyDescent="0.15">
      <c r="A440" s="2"/>
      <c r="B440" s="2"/>
      <c r="C440" s="11"/>
      <c r="D440" s="2"/>
      <c r="E440" s="2"/>
      <c r="F440" s="11"/>
      <c r="G440" s="2"/>
      <c r="H440" s="2"/>
    </row>
    <row r="441" spans="1:8" ht="13" x14ac:dyDescent="0.15">
      <c r="A441" s="2"/>
      <c r="B441" s="2"/>
      <c r="C441" s="11"/>
      <c r="D441" s="2"/>
      <c r="E441" s="2"/>
      <c r="F441" s="11"/>
      <c r="G441" s="2"/>
      <c r="H441" s="2"/>
    </row>
    <row r="442" spans="1:8" ht="13" x14ac:dyDescent="0.15">
      <c r="A442" s="2"/>
      <c r="B442" s="2"/>
      <c r="C442" s="11"/>
      <c r="D442" s="2"/>
      <c r="E442" s="2"/>
      <c r="F442" s="11"/>
      <c r="G442" s="2"/>
      <c r="H442" s="2"/>
    </row>
    <row r="443" spans="1:8" ht="13" x14ac:dyDescent="0.15">
      <c r="A443" s="2"/>
      <c r="B443" s="2"/>
      <c r="C443" s="11"/>
      <c r="D443" s="2"/>
      <c r="E443" s="2"/>
      <c r="F443" s="11"/>
      <c r="G443" s="2"/>
      <c r="H443" s="2"/>
    </row>
    <row r="444" spans="1:8" ht="13" x14ac:dyDescent="0.15">
      <c r="A444" s="2"/>
      <c r="B444" s="2"/>
      <c r="C444" s="11"/>
      <c r="D444" s="2"/>
      <c r="E444" s="2"/>
      <c r="F444" s="11"/>
      <c r="G444" s="2"/>
      <c r="H444" s="2"/>
    </row>
    <row r="445" spans="1:8" ht="13" x14ac:dyDescent="0.15">
      <c r="A445" s="2"/>
      <c r="B445" s="2"/>
      <c r="C445" s="11"/>
      <c r="D445" s="2"/>
      <c r="E445" s="2"/>
      <c r="F445" s="11"/>
      <c r="G445" s="2"/>
      <c r="H445" s="2"/>
    </row>
    <row r="446" spans="1:8" ht="13" x14ac:dyDescent="0.15">
      <c r="A446" s="2"/>
      <c r="B446" s="2"/>
      <c r="C446" s="11"/>
      <c r="D446" s="2"/>
      <c r="E446" s="2"/>
      <c r="F446" s="11"/>
      <c r="G446" s="2"/>
      <c r="H446" s="2"/>
    </row>
    <row r="447" spans="1:8" ht="13" x14ac:dyDescent="0.15">
      <c r="A447" s="2"/>
      <c r="B447" s="2"/>
      <c r="C447" s="11"/>
      <c r="D447" s="2"/>
      <c r="E447" s="2"/>
      <c r="F447" s="11"/>
      <c r="G447" s="2"/>
      <c r="H447" s="2"/>
    </row>
    <row r="448" spans="1:8" ht="13" x14ac:dyDescent="0.15">
      <c r="A448" s="2"/>
      <c r="B448" s="2"/>
      <c r="C448" s="11"/>
      <c r="D448" s="2"/>
      <c r="E448" s="2"/>
      <c r="F448" s="11"/>
      <c r="G448" s="2"/>
      <c r="H448" s="2"/>
    </row>
    <row r="449" spans="1:8" ht="13" x14ac:dyDescent="0.15">
      <c r="A449" s="2"/>
      <c r="B449" s="2"/>
      <c r="C449" s="11"/>
      <c r="D449" s="2"/>
      <c r="E449" s="2"/>
      <c r="F449" s="11"/>
      <c r="G449" s="2"/>
      <c r="H449" s="2"/>
    </row>
    <row r="450" spans="1:8" ht="13" x14ac:dyDescent="0.15">
      <c r="A450" s="2"/>
      <c r="B450" s="2"/>
      <c r="C450" s="11"/>
      <c r="D450" s="2"/>
      <c r="E450" s="2"/>
      <c r="F450" s="11"/>
      <c r="G450" s="2"/>
      <c r="H450" s="2"/>
    </row>
    <row r="451" spans="1:8" ht="13" x14ac:dyDescent="0.15">
      <c r="A451" s="2"/>
      <c r="B451" s="2"/>
      <c r="C451" s="11"/>
      <c r="D451" s="2"/>
      <c r="E451" s="2"/>
      <c r="F451" s="11"/>
      <c r="G451" s="2"/>
      <c r="H451" s="2"/>
    </row>
    <row r="452" spans="1:8" ht="13" x14ac:dyDescent="0.15">
      <c r="A452" s="2"/>
      <c r="B452" s="2"/>
      <c r="C452" s="11"/>
      <c r="D452" s="2"/>
      <c r="E452" s="2"/>
      <c r="F452" s="11"/>
      <c r="G452" s="2"/>
      <c r="H452" s="2"/>
    </row>
    <row r="453" spans="1:8" ht="13" x14ac:dyDescent="0.15">
      <c r="A453" s="2"/>
      <c r="B453" s="2"/>
      <c r="C453" s="11"/>
      <c r="D453" s="2"/>
      <c r="E453" s="2"/>
      <c r="F453" s="11"/>
      <c r="G453" s="2"/>
      <c r="H453" s="2"/>
    </row>
    <row r="454" spans="1:8" ht="13" x14ac:dyDescent="0.15">
      <c r="A454" s="2"/>
      <c r="B454" s="2"/>
      <c r="C454" s="11"/>
      <c r="D454" s="2"/>
      <c r="E454" s="2"/>
      <c r="F454" s="11"/>
      <c r="G454" s="2"/>
      <c r="H454" s="2"/>
    </row>
    <row r="455" spans="1:8" ht="13" x14ac:dyDescent="0.15">
      <c r="A455" s="2"/>
      <c r="B455" s="2"/>
      <c r="C455" s="11"/>
      <c r="D455" s="2"/>
      <c r="E455" s="2"/>
      <c r="F455" s="11"/>
      <c r="G455" s="2"/>
      <c r="H455" s="2"/>
    </row>
    <row r="456" spans="1:8" ht="13" x14ac:dyDescent="0.15">
      <c r="A456" s="2"/>
      <c r="B456" s="2"/>
      <c r="C456" s="11"/>
      <c r="D456" s="2"/>
      <c r="E456" s="2"/>
      <c r="F456" s="11"/>
      <c r="G456" s="2"/>
      <c r="H456" s="2"/>
    </row>
    <row r="457" spans="1:8" ht="13" x14ac:dyDescent="0.15">
      <c r="A457" s="2"/>
      <c r="B457" s="2"/>
      <c r="C457" s="11"/>
      <c r="D457" s="2"/>
      <c r="E457" s="2"/>
      <c r="F457" s="11"/>
      <c r="G457" s="2"/>
      <c r="H457" s="2"/>
    </row>
    <row r="458" spans="1:8" ht="13" x14ac:dyDescent="0.15">
      <c r="A458" s="2"/>
      <c r="B458" s="2"/>
      <c r="C458" s="11"/>
      <c r="D458" s="2"/>
      <c r="E458" s="2"/>
      <c r="F458" s="11"/>
      <c r="G458" s="2"/>
      <c r="H458" s="2"/>
    </row>
    <row r="459" spans="1:8" ht="13" x14ac:dyDescent="0.15">
      <c r="A459" s="2"/>
      <c r="B459" s="2"/>
      <c r="C459" s="11"/>
      <c r="D459" s="2"/>
      <c r="E459" s="2"/>
      <c r="F459" s="11"/>
      <c r="G459" s="2"/>
      <c r="H459" s="2"/>
    </row>
    <row r="460" spans="1:8" ht="13" x14ac:dyDescent="0.15">
      <c r="A460" s="2"/>
      <c r="B460" s="2"/>
      <c r="C460" s="11"/>
      <c r="D460" s="2"/>
      <c r="E460" s="2"/>
      <c r="F460" s="11"/>
      <c r="G460" s="2"/>
      <c r="H460" s="2"/>
    </row>
    <row r="461" spans="1:8" ht="13" x14ac:dyDescent="0.15">
      <c r="A461" s="2"/>
      <c r="B461" s="2"/>
      <c r="C461" s="11"/>
      <c r="D461" s="2"/>
      <c r="E461" s="2"/>
      <c r="F461" s="11"/>
      <c r="G461" s="2"/>
      <c r="H461" s="2"/>
    </row>
    <row r="462" spans="1:8" ht="13" x14ac:dyDescent="0.15">
      <c r="A462" s="2"/>
      <c r="B462" s="2"/>
      <c r="C462" s="11"/>
      <c r="D462" s="2"/>
      <c r="E462" s="2"/>
      <c r="F462" s="11"/>
      <c r="G462" s="2"/>
      <c r="H462" s="2"/>
    </row>
    <row r="463" spans="1:8" ht="13" x14ac:dyDescent="0.15">
      <c r="A463" s="2"/>
      <c r="B463" s="2"/>
      <c r="C463" s="11"/>
      <c r="D463" s="2"/>
      <c r="E463" s="2"/>
      <c r="F463" s="11"/>
      <c r="G463" s="2"/>
      <c r="H463" s="2"/>
    </row>
    <row r="464" spans="1:8" ht="13" x14ac:dyDescent="0.15">
      <c r="A464" s="2"/>
      <c r="B464" s="2"/>
      <c r="C464" s="11"/>
      <c r="D464" s="2"/>
      <c r="E464" s="2"/>
      <c r="F464" s="11"/>
      <c r="G464" s="2"/>
      <c r="H464" s="2"/>
    </row>
    <row r="465" spans="1:8" ht="13" x14ac:dyDescent="0.15">
      <c r="A465" s="2"/>
      <c r="B465" s="2"/>
      <c r="C465" s="11"/>
      <c r="D465" s="2"/>
      <c r="E465" s="2"/>
      <c r="F465" s="11"/>
      <c r="G465" s="2"/>
      <c r="H465" s="2"/>
    </row>
    <row r="466" spans="1:8" ht="13" x14ac:dyDescent="0.15">
      <c r="A466" s="2"/>
      <c r="B466" s="2"/>
      <c r="C466" s="11"/>
      <c r="D466" s="2"/>
      <c r="E466" s="2"/>
      <c r="F466" s="11"/>
      <c r="G466" s="2"/>
      <c r="H466" s="2"/>
    </row>
    <row r="467" spans="1:8" ht="13" x14ac:dyDescent="0.15">
      <c r="A467" s="2"/>
      <c r="B467" s="2"/>
      <c r="C467" s="11"/>
      <c r="D467" s="2"/>
      <c r="E467" s="2"/>
      <c r="F467" s="11"/>
      <c r="G467" s="2"/>
      <c r="H467" s="2"/>
    </row>
    <row r="468" spans="1:8" ht="13" x14ac:dyDescent="0.15">
      <c r="A468" s="2"/>
      <c r="B468" s="2"/>
      <c r="C468" s="11"/>
      <c r="D468" s="2"/>
      <c r="E468" s="2"/>
      <c r="F468" s="11"/>
      <c r="G468" s="2"/>
      <c r="H468" s="2"/>
    </row>
    <row r="469" spans="1:8" ht="13" x14ac:dyDescent="0.15">
      <c r="A469" s="2"/>
      <c r="B469" s="2"/>
      <c r="C469" s="11"/>
      <c r="D469" s="2"/>
      <c r="E469" s="2"/>
      <c r="F469" s="11"/>
      <c r="G469" s="2"/>
      <c r="H469" s="2"/>
    </row>
    <row r="470" spans="1:8" ht="13" x14ac:dyDescent="0.15">
      <c r="A470" s="2"/>
      <c r="B470" s="2"/>
      <c r="C470" s="11"/>
      <c r="D470" s="2"/>
      <c r="E470" s="2"/>
      <c r="F470" s="11"/>
      <c r="G470" s="2"/>
      <c r="H470" s="2"/>
    </row>
    <row r="471" spans="1:8" ht="13" x14ac:dyDescent="0.15">
      <c r="A471" s="2"/>
      <c r="B471" s="2"/>
      <c r="C471" s="11"/>
      <c r="D471" s="2"/>
      <c r="E471" s="2"/>
      <c r="F471" s="11"/>
      <c r="G471" s="2"/>
      <c r="H471" s="2"/>
    </row>
    <row r="472" spans="1:8" ht="13" x14ac:dyDescent="0.15">
      <c r="A472" s="2"/>
      <c r="B472" s="2"/>
      <c r="C472" s="11"/>
      <c r="D472" s="2"/>
      <c r="E472" s="2"/>
      <c r="F472" s="11"/>
      <c r="G472" s="2"/>
      <c r="H472" s="2"/>
    </row>
    <row r="473" spans="1:8" ht="13" x14ac:dyDescent="0.15">
      <c r="A473" s="2"/>
      <c r="B473" s="2"/>
      <c r="C473" s="11"/>
      <c r="D473" s="2"/>
      <c r="E473" s="2"/>
      <c r="F473" s="11"/>
      <c r="G473" s="2"/>
      <c r="H473" s="2"/>
    </row>
    <row r="474" spans="1:8" ht="13" x14ac:dyDescent="0.15">
      <c r="A474" s="2"/>
      <c r="B474" s="2"/>
      <c r="C474" s="11"/>
      <c r="D474" s="2"/>
      <c r="E474" s="2"/>
      <c r="F474" s="11"/>
      <c r="G474" s="2"/>
      <c r="H474" s="2"/>
    </row>
    <row r="475" spans="1:8" ht="13" x14ac:dyDescent="0.15">
      <c r="A475" s="2"/>
      <c r="B475" s="2"/>
      <c r="C475" s="11"/>
      <c r="D475" s="2"/>
      <c r="E475" s="2"/>
      <c r="F475" s="11"/>
      <c r="G475" s="2"/>
      <c r="H475" s="2"/>
    </row>
    <row r="476" spans="1:8" ht="13" x14ac:dyDescent="0.15">
      <c r="A476" s="2"/>
      <c r="B476" s="2"/>
      <c r="C476" s="11"/>
      <c r="D476" s="2"/>
      <c r="E476" s="2"/>
      <c r="F476" s="11"/>
      <c r="G476" s="2"/>
      <c r="H476" s="2"/>
    </row>
    <row r="477" spans="1:8" ht="13" x14ac:dyDescent="0.15">
      <c r="A477" s="2"/>
      <c r="B477" s="2"/>
      <c r="C477" s="11"/>
      <c r="D477" s="2"/>
      <c r="E477" s="2"/>
      <c r="F477" s="11"/>
      <c r="G477" s="2"/>
      <c r="H477" s="2"/>
    </row>
    <row r="478" spans="1:8" ht="13" x14ac:dyDescent="0.15">
      <c r="A478" s="2"/>
      <c r="B478" s="2"/>
      <c r="C478" s="11"/>
      <c r="D478" s="2"/>
      <c r="E478" s="2"/>
      <c r="F478" s="11"/>
      <c r="G478" s="2"/>
      <c r="H478" s="2"/>
    </row>
    <row r="479" spans="1:8" ht="13" x14ac:dyDescent="0.15">
      <c r="A479" s="2"/>
      <c r="B479" s="2"/>
      <c r="C479" s="11"/>
      <c r="D479" s="2"/>
      <c r="E479" s="2"/>
      <c r="F479" s="11"/>
      <c r="G479" s="2"/>
      <c r="H479" s="2"/>
    </row>
    <row r="480" spans="1:8" ht="13" x14ac:dyDescent="0.15">
      <c r="A480" s="2"/>
      <c r="B480" s="2"/>
      <c r="C480" s="11"/>
      <c r="D480" s="2"/>
      <c r="E480" s="2"/>
      <c r="F480" s="11"/>
      <c r="G480" s="2"/>
      <c r="H480" s="2"/>
    </row>
    <row r="481" spans="1:8" ht="13" x14ac:dyDescent="0.15">
      <c r="A481" s="2"/>
      <c r="B481" s="2"/>
      <c r="C481" s="11"/>
      <c r="D481" s="2"/>
      <c r="E481" s="2"/>
      <c r="F481" s="11"/>
      <c r="G481" s="2"/>
      <c r="H481" s="2"/>
    </row>
    <row r="482" spans="1:8" ht="13" x14ac:dyDescent="0.15">
      <c r="A482" s="2"/>
      <c r="B482" s="2"/>
      <c r="C482" s="11"/>
      <c r="D482" s="2"/>
      <c r="E482" s="2"/>
      <c r="F482" s="11"/>
      <c r="G482" s="2"/>
      <c r="H482" s="2"/>
    </row>
    <row r="483" spans="1:8" ht="13" x14ac:dyDescent="0.15">
      <c r="A483" s="2"/>
      <c r="B483" s="2"/>
      <c r="C483" s="11"/>
      <c r="D483" s="2"/>
      <c r="E483" s="2"/>
      <c r="F483" s="11"/>
      <c r="G483" s="2"/>
      <c r="H483" s="2"/>
    </row>
    <row r="484" spans="1:8" ht="13" x14ac:dyDescent="0.15">
      <c r="A484" s="2"/>
      <c r="B484" s="2"/>
      <c r="C484" s="11"/>
      <c r="D484" s="2"/>
      <c r="E484" s="2"/>
      <c r="F484" s="11"/>
      <c r="G484" s="2"/>
      <c r="H484" s="2"/>
    </row>
    <row r="485" spans="1:8" ht="13" x14ac:dyDescent="0.15">
      <c r="A485" s="2"/>
      <c r="B485" s="2"/>
      <c r="C485" s="11"/>
      <c r="D485" s="2"/>
      <c r="E485" s="2"/>
      <c r="F485" s="11"/>
      <c r="G485" s="2"/>
      <c r="H485" s="2"/>
    </row>
    <row r="486" spans="1:8" ht="13" x14ac:dyDescent="0.15">
      <c r="A486" s="2"/>
      <c r="B486" s="2"/>
      <c r="C486" s="11"/>
      <c r="D486" s="2"/>
      <c r="E486" s="2"/>
      <c r="F486" s="11"/>
      <c r="G486" s="2"/>
      <c r="H486" s="2"/>
    </row>
    <row r="487" spans="1:8" ht="13" x14ac:dyDescent="0.15">
      <c r="A487" s="2"/>
      <c r="B487" s="2"/>
      <c r="C487" s="11"/>
      <c r="D487" s="2"/>
      <c r="E487" s="2"/>
      <c r="F487" s="11"/>
      <c r="G487" s="2"/>
      <c r="H487" s="2"/>
    </row>
    <row r="488" spans="1:8" ht="13" x14ac:dyDescent="0.15">
      <c r="A488" s="2"/>
      <c r="B488" s="2"/>
      <c r="C488" s="11"/>
      <c r="D488" s="2"/>
      <c r="E488" s="2"/>
      <c r="F488" s="11"/>
      <c r="G488" s="2"/>
      <c r="H488" s="2"/>
    </row>
    <row r="489" spans="1:8" ht="13" x14ac:dyDescent="0.15">
      <c r="A489" s="2"/>
      <c r="B489" s="2"/>
      <c r="C489" s="11"/>
      <c r="D489" s="2"/>
      <c r="E489" s="2"/>
      <c r="F489" s="11"/>
      <c r="G489" s="2"/>
      <c r="H489" s="2"/>
    </row>
    <row r="490" spans="1:8" ht="13" x14ac:dyDescent="0.15">
      <c r="A490" s="2"/>
      <c r="B490" s="2"/>
      <c r="C490" s="11"/>
      <c r="D490" s="2"/>
      <c r="E490" s="2"/>
      <c r="F490" s="11"/>
      <c r="G490" s="2"/>
      <c r="H490" s="2"/>
    </row>
    <row r="491" spans="1:8" ht="13" x14ac:dyDescent="0.15">
      <c r="A491" s="2"/>
      <c r="B491" s="2"/>
      <c r="C491" s="11"/>
      <c r="D491" s="2"/>
      <c r="E491" s="2"/>
      <c r="F491" s="11"/>
      <c r="G491" s="2"/>
      <c r="H491" s="2"/>
    </row>
    <row r="492" spans="1:8" ht="13" x14ac:dyDescent="0.15">
      <c r="A492" s="2"/>
      <c r="B492" s="2"/>
      <c r="C492" s="11"/>
      <c r="D492" s="2"/>
      <c r="E492" s="2"/>
      <c r="F492" s="11"/>
      <c r="G492" s="2"/>
      <c r="H492" s="2"/>
    </row>
    <row r="493" spans="1:8" ht="13" x14ac:dyDescent="0.15">
      <c r="A493" s="2"/>
      <c r="B493" s="2"/>
      <c r="C493" s="11"/>
      <c r="D493" s="2"/>
      <c r="E493" s="2"/>
      <c r="F493" s="11"/>
      <c r="G493" s="2"/>
      <c r="H493" s="2"/>
    </row>
    <row r="494" spans="1:8" ht="13" x14ac:dyDescent="0.15">
      <c r="A494" s="2"/>
      <c r="B494" s="2"/>
      <c r="C494" s="11"/>
      <c r="D494" s="2"/>
      <c r="E494" s="2"/>
      <c r="F494" s="11"/>
      <c r="G494" s="2"/>
      <c r="H494" s="2"/>
    </row>
    <row r="495" spans="1:8" ht="13" x14ac:dyDescent="0.15">
      <c r="A495" s="2"/>
      <c r="B495" s="2"/>
      <c r="C495" s="11"/>
      <c r="D495" s="2"/>
      <c r="E495" s="2"/>
      <c r="F495" s="11"/>
      <c r="G495" s="2"/>
      <c r="H495" s="2"/>
    </row>
    <row r="496" spans="1:8" ht="13" x14ac:dyDescent="0.15">
      <c r="A496" s="2"/>
      <c r="B496" s="2"/>
      <c r="C496" s="11"/>
      <c r="D496" s="2"/>
      <c r="E496" s="2"/>
      <c r="F496" s="11"/>
      <c r="G496" s="2"/>
      <c r="H496" s="2"/>
    </row>
    <row r="497" spans="1:8" ht="13" x14ac:dyDescent="0.15">
      <c r="A497" s="2"/>
      <c r="B497" s="2"/>
      <c r="C497" s="11"/>
      <c r="D497" s="2"/>
      <c r="E497" s="2"/>
      <c r="F497" s="11"/>
      <c r="G497" s="2"/>
      <c r="H497" s="2"/>
    </row>
    <row r="498" spans="1:8" ht="13" x14ac:dyDescent="0.15">
      <c r="A498" s="2"/>
      <c r="B498" s="2"/>
      <c r="C498" s="11"/>
      <c r="D498" s="2"/>
      <c r="E498" s="2"/>
      <c r="F498" s="11"/>
      <c r="G498" s="2"/>
      <c r="H498" s="2"/>
    </row>
    <row r="499" spans="1:8" ht="13" x14ac:dyDescent="0.15">
      <c r="A499" s="2"/>
      <c r="B499" s="2"/>
      <c r="C499" s="11"/>
      <c r="D499" s="2"/>
      <c r="E499" s="2"/>
      <c r="F499" s="11"/>
      <c r="G499" s="2"/>
      <c r="H499" s="2"/>
    </row>
    <row r="500" spans="1:8" ht="13" x14ac:dyDescent="0.15">
      <c r="A500" s="2"/>
      <c r="B500" s="2"/>
      <c r="C500" s="11"/>
      <c r="D500" s="2"/>
      <c r="E500" s="2"/>
      <c r="F500" s="11"/>
      <c r="G500" s="2"/>
      <c r="H500" s="2"/>
    </row>
    <row r="501" spans="1:8" ht="13" x14ac:dyDescent="0.15">
      <c r="A501" s="2"/>
      <c r="B501" s="2"/>
      <c r="C501" s="11"/>
      <c r="D501" s="2"/>
      <c r="E501" s="2"/>
      <c r="F501" s="11"/>
      <c r="G501" s="2"/>
      <c r="H501" s="2"/>
    </row>
    <row r="502" spans="1:8" ht="13" x14ac:dyDescent="0.15">
      <c r="A502" s="2"/>
      <c r="B502" s="2"/>
      <c r="C502" s="11"/>
      <c r="D502" s="2"/>
      <c r="E502" s="2"/>
      <c r="F502" s="11"/>
      <c r="G502" s="2"/>
      <c r="H502" s="2"/>
    </row>
    <row r="503" spans="1:8" ht="13" x14ac:dyDescent="0.15">
      <c r="A503" s="2"/>
      <c r="B503" s="2"/>
      <c r="C503" s="11"/>
      <c r="D503" s="2"/>
      <c r="E503" s="2"/>
      <c r="F503" s="11"/>
      <c r="G503" s="2"/>
      <c r="H503" s="2"/>
    </row>
    <row r="504" spans="1:8" ht="13" x14ac:dyDescent="0.15">
      <c r="A504" s="2"/>
      <c r="B504" s="2"/>
      <c r="C504" s="11"/>
      <c r="D504" s="2"/>
      <c r="E504" s="2"/>
      <c r="F504" s="11"/>
      <c r="G504" s="2"/>
      <c r="H504" s="2"/>
    </row>
    <row r="505" spans="1:8" ht="13" x14ac:dyDescent="0.15">
      <c r="A505" s="2"/>
      <c r="B505" s="2"/>
      <c r="C505" s="11"/>
      <c r="D505" s="2"/>
      <c r="E505" s="2"/>
      <c r="F505" s="11"/>
      <c r="G505" s="2"/>
      <c r="H505" s="2"/>
    </row>
    <row r="506" spans="1:8" ht="13" x14ac:dyDescent="0.15">
      <c r="A506" s="2"/>
      <c r="B506" s="2"/>
      <c r="C506" s="11"/>
      <c r="D506" s="2"/>
      <c r="E506" s="2"/>
      <c r="F506" s="11"/>
      <c r="G506" s="2"/>
      <c r="H506" s="2"/>
    </row>
    <row r="507" spans="1:8" ht="13" x14ac:dyDescent="0.15">
      <c r="A507" s="2"/>
      <c r="B507" s="2"/>
      <c r="C507" s="11"/>
      <c r="D507" s="2"/>
      <c r="E507" s="2"/>
      <c r="F507" s="11"/>
      <c r="G507" s="2"/>
      <c r="H507" s="2"/>
    </row>
    <row r="508" spans="1:8" ht="13" x14ac:dyDescent="0.15">
      <c r="A508" s="2"/>
      <c r="B508" s="2"/>
      <c r="C508" s="11"/>
      <c r="D508" s="2"/>
      <c r="E508" s="2"/>
      <c r="F508" s="11"/>
      <c r="G508" s="2"/>
      <c r="H508" s="2"/>
    </row>
    <row r="509" spans="1:8" ht="13" x14ac:dyDescent="0.15">
      <c r="A509" s="2"/>
      <c r="B509" s="2"/>
      <c r="C509" s="11"/>
      <c r="D509" s="2"/>
      <c r="E509" s="2"/>
      <c r="F509" s="11"/>
      <c r="G509" s="2"/>
      <c r="H509" s="2"/>
    </row>
    <row r="510" spans="1:8" ht="13" x14ac:dyDescent="0.15">
      <c r="A510" s="2"/>
      <c r="B510" s="2"/>
      <c r="C510" s="11"/>
      <c r="D510" s="2"/>
      <c r="E510" s="2"/>
      <c r="F510" s="11"/>
      <c r="G510" s="2"/>
      <c r="H510" s="2"/>
    </row>
    <row r="511" spans="1:8" ht="13" x14ac:dyDescent="0.15">
      <c r="A511" s="2"/>
      <c r="B511" s="2"/>
      <c r="C511" s="11"/>
      <c r="D511" s="2"/>
      <c r="E511" s="2"/>
      <c r="F511" s="11"/>
      <c r="G511" s="2"/>
      <c r="H511" s="2"/>
    </row>
    <row r="512" spans="1:8" ht="13" x14ac:dyDescent="0.15">
      <c r="A512" s="2"/>
      <c r="B512" s="2"/>
      <c r="C512" s="11"/>
      <c r="D512" s="2"/>
      <c r="E512" s="2"/>
      <c r="F512" s="11"/>
      <c r="G512" s="2"/>
      <c r="H512" s="2"/>
    </row>
    <row r="513" spans="1:8" ht="13" x14ac:dyDescent="0.15">
      <c r="A513" s="2"/>
      <c r="B513" s="2"/>
      <c r="C513" s="11"/>
      <c r="D513" s="2"/>
      <c r="E513" s="2"/>
      <c r="F513" s="11"/>
      <c r="G513" s="2"/>
      <c r="H513" s="2"/>
    </row>
    <row r="514" spans="1:8" ht="13" x14ac:dyDescent="0.15">
      <c r="A514" s="2"/>
      <c r="B514" s="2"/>
      <c r="C514" s="11"/>
      <c r="D514" s="2"/>
      <c r="E514" s="2"/>
      <c r="F514" s="11"/>
      <c r="G514" s="2"/>
      <c r="H514" s="2"/>
    </row>
    <row r="515" spans="1:8" ht="13" x14ac:dyDescent="0.15">
      <c r="A515" s="2"/>
      <c r="B515" s="2"/>
      <c r="C515" s="11"/>
      <c r="D515" s="2"/>
      <c r="E515" s="2"/>
      <c r="F515" s="11"/>
      <c r="G515" s="2"/>
      <c r="H515" s="2"/>
    </row>
    <row r="516" spans="1:8" ht="13" x14ac:dyDescent="0.15">
      <c r="A516" s="2"/>
      <c r="B516" s="2"/>
      <c r="C516" s="11"/>
      <c r="D516" s="2"/>
      <c r="E516" s="2"/>
      <c r="F516" s="11"/>
      <c r="G516" s="2"/>
      <c r="H516" s="2"/>
    </row>
    <row r="517" spans="1:8" ht="13" x14ac:dyDescent="0.15">
      <c r="A517" s="2"/>
      <c r="B517" s="2"/>
      <c r="C517" s="11"/>
      <c r="D517" s="2"/>
      <c r="E517" s="2"/>
      <c r="F517" s="11"/>
      <c r="G517" s="2"/>
      <c r="H517" s="2"/>
    </row>
    <row r="518" spans="1:8" ht="13" x14ac:dyDescent="0.15">
      <c r="A518" s="2"/>
      <c r="B518" s="2"/>
      <c r="C518" s="11"/>
      <c r="D518" s="2"/>
      <c r="E518" s="2"/>
      <c r="F518" s="11"/>
      <c r="G518" s="2"/>
      <c r="H518" s="2"/>
    </row>
    <row r="519" spans="1:8" ht="13" x14ac:dyDescent="0.15">
      <c r="A519" s="2"/>
      <c r="B519" s="2"/>
      <c r="C519" s="11"/>
      <c r="D519" s="2"/>
      <c r="E519" s="2"/>
      <c r="F519" s="11"/>
      <c r="G519" s="2"/>
      <c r="H519" s="2"/>
    </row>
    <row r="520" spans="1:8" ht="13" x14ac:dyDescent="0.15">
      <c r="A520" s="2"/>
      <c r="B520" s="2"/>
      <c r="C520" s="11"/>
      <c r="D520" s="2"/>
      <c r="E520" s="2"/>
      <c r="F520" s="11"/>
      <c r="G520" s="2"/>
      <c r="H520" s="2"/>
    </row>
    <row r="521" spans="1:8" ht="13" x14ac:dyDescent="0.15">
      <c r="A521" s="2"/>
      <c r="B521" s="2"/>
      <c r="C521" s="11"/>
      <c r="D521" s="2"/>
      <c r="E521" s="2"/>
      <c r="F521" s="11"/>
      <c r="G521" s="2"/>
      <c r="H521" s="2"/>
    </row>
    <row r="522" spans="1:8" ht="13" x14ac:dyDescent="0.15">
      <c r="A522" s="2"/>
      <c r="B522" s="2"/>
      <c r="C522" s="11"/>
      <c r="D522" s="2"/>
      <c r="E522" s="2"/>
      <c r="F522" s="11"/>
      <c r="G522" s="2"/>
      <c r="H522" s="2"/>
    </row>
    <row r="523" spans="1:8" ht="13" x14ac:dyDescent="0.15">
      <c r="A523" s="2"/>
      <c r="B523" s="2"/>
      <c r="C523" s="11"/>
      <c r="D523" s="2"/>
      <c r="E523" s="2"/>
      <c r="F523" s="11"/>
      <c r="G523" s="2"/>
      <c r="H523" s="2"/>
    </row>
    <row r="524" spans="1:8" ht="13" x14ac:dyDescent="0.15">
      <c r="A524" s="2"/>
      <c r="B524" s="2"/>
      <c r="C524" s="11"/>
      <c r="D524" s="2"/>
      <c r="E524" s="2"/>
      <c r="F524" s="11"/>
      <c r="G524" s="2"/>
      <c r="H524" s="2"/>
    </row>
    <row r="525" spans="1:8" ht="13" x14ac:dyDescent="0.15">
      <c r="A525" s="2"/>
      <c r="B525" s="2"/>
      <c r="C525" s="11"/>
      <c r="D525" s="2"/>
      <c r="E525" s="2"/>
      <c r="F525" s="11"/>
      <c r="G525" s="2"/>
      <c r="H525" s="2"/>
    </row>
    <row r="526" spans="1:8" ht="13" x14ac:dyDescent="0.15">
      <c r="A526" s="2"/>
      <c r="B526" s="2"/>
      <c r="C526" s="11"/>
      <c r="D526" s="2"/>
      <c r="E526" s="2"/>
      <c r="F526" s="11"/>
      <c r="G526" s="2"/>
      <c r="H526" s="2"/>
    </row>
    <row r="527" spans="1:8" ht="13" x14ac:dyDescent="0.15">
      <c r="A527" s="2"/>
      <c r="B527" s="2"/>
      <c r="C527" s="11"/>
      <c r="D527" s="2"/>
      <c r="E527" s="2"/>
      <c r="F527" s="11"/>
      <c r="G527" s="2"/>
      <c r="H527" s="2"/>
    </row>
    <row r="528" spans="1:8" ht="13" x14ac:dyDescent="0.15">
      <c r="A528" s="2"/>
      <c r="B528" s="2"/>
      <c r="C528" s="11"/>
      <c r="D528" s="2"/>
      <c r="E528" s="2"/>
      <c r="F528" s="11"/>
      <c r="G528" s="2"/>
      <c r="H528" s="2"/>
    </row>
    <row r="529" spans="1:8" ht="13" x14ac:dyDescent="0.15">
      <c r="A529" s="2"/>
      <c r="B529" s="2"/>
      <c r="C529" s="11"/>
      <c r="D529" s="2"/>
      <c r="E529" s="2"/>
      <c r="F529" s="11"/>
      <c r="G529" s="2"/>
      <c r="H529" s="2"/>
    </row>
    <row r="530" spans="1:8" ht="13" x14ac:dyDescent="0.15">
      <c r="A530" s="2"/>
      <c r="B530" s="2"/>
      <c r="C530" s="11"/>
      <c r="D530" s="2"/>
      <c r="E530" s="2"/>
      <c r="F530" s="11"/>
      <c r="G530" s="2"/>
      <c r="H530" s="2"/>
    </row>
    <row r="531" spans="1:8" ht="13" x14ac:dyDescent="0.15">
      <c r="A531" s="2"/>
      <c r="B531" s="2"/>
      <c r="C531" s="11"/>
      <c r="D531" s="2"/>
      <c r="E531" s="2"/>
      <c r="F531" s="11"/>
      <c r="G531" s="2"/>
      <c r="H531" s="2"/>
    </row>
    <row r="532" spans="1:8" ht="13" x14ac:dyDescent="0.15">
      <c r="A532" s="2"/>
      <c r="B532" s="2"/>
      <c r="C532" s="11"/>
      <c r="D532" s="2"/>
      <c r="E532" s="2"/>
      <c r="F532" s="11"/>
      <c r="G532" s="2"/>
      <c r="H532" s="2"/>
    </row>
    <row r="533" spans="1:8" ht="13" x14ac:dyDescent="0.15">
      <c r="A533" s="2"/>
      <c r="B533" s="2"/>
      <c r="C533" s="11"/>
      <c r="D533" s="2"/>
      <c r="E533" s="2"/>
      <c r="F533" s="11"/>
      <c r="G533" s="2"/>
      <c r="H533" s="2"/>
    </row>
    <row r="534" spans="1:8" ht="13" x14ac:dyDescent="0.15">
      <c r="A534" s="2"/>
      <c r="B534" s="2"/>
      <c r="C534" s="11"/>
      <c r="D534" s="2"/>
      <c r="E534" s="2"/>
      <c r="F534" s="11"/>
      <c r="G534" s="2"/>
      <c r="H534" s="2"/>
    </row>
    <row r="535" spans="1:8" ht="13" x14ac:dyDescent="0.15">
      <c r="A535" s="2"/>
      <c r="B535" s="2"/>
      <c r="C535" s="11"/>
      <c r="D535" s="2"/>
      <c r="E535" s="2"/>
      <c r="F535" s="11"/>
      <c r="G535" s="2"/>
      <c r="H535" s="2"/>
    </row>
    <row r="536" spans="1:8" ht="13" x14ac:dyDescent="0.15">
      <c r="A536" s="2"/>
      <c r="B536" s="2"/>
      <c r="C536" s="11"/>
      <c r="D536" s="2"/>
      <c r="E536" s="2"/>
      <c r="F536" s="11"/>
      <c r="G536" s="2"/>
      <c r="H536" s="2"/>
    </row>
    <row r="537" spans="1:8" ht="13" x14ac:dyDescent="0.15">
      <c r="A537" s="2"/>
      <c r="B537" s="2"/>
      <c r="C537" s="11"/>
      <c r="D537" s="2"/>
      <c r="E537" s="2"/>
      <c r="F537" s="11"/>
      <c r="G537" s="2"/>
      <c r="H537" s="2"/>
    </row>
    <row r="538" spans="1:8" ht="13" x14ac:dyDescent="0.15">
      <c r="A538" s="2"/>
      <c r="B538" s="2"/>
      <c r="C538" s="11"/>
      <c r="D538" s="2"/>
      <c r="E538" s="2"/>
      <c r="F538" s="11"/>
      <c r="G538" s="2"/>
      <c r="H538" s="2"/>
    </row>
    <row r="539" spans="1:8" ht="13" x14ac:dyDescent="0.15">
      <c r="A539" s="2"/>
      <c r="B539" s="2"/>
      <c r="C539" s="11"/>
      <c r="D539" s="2"/>
      <c r="E539" s="2"/>
      <c r="F539" s="11"/>
      <c r="G539" s="2"/>
      <c r="H539" s="2"/>
    </row>
    <row r="540" spans="1:8" ht="13" x14ac:dyDescent="0.15">
      <c r="A540" s="2"/>
      <c r="B540" s="2"/>
      <c r="C540" s="11"/>
      <c r="D540" s="2"/>
      <c r="E540" s="2"/>
      <c r="F540" s="11"/>
      <c r="G540" s="2"/>
      <c r="H540" s="2"/>
    </row>
    <row r="541" spans="1:8" ht="13" x14ac:dyDescent="0.15">
      <c r="A541" s="2"/>
      <c r="B541" s="2"/>
      <c r="C541" s="11"/>
      <c r="D541" s="2"/>
      <c r="E541" s="2"/>
      <c r="F541" s="11"/>
      <c r="G541" s="2"/>
      <c r="H541" s="2"/>
    </row>
    <row r="542" spans="1:8" ht="13" x14ac:dyDescent="0.15">
      <c r="A542" s="2"/>
      <c r="B542" s="2"/>
      <c r="C542" s="11"/>
      <c r="D542" s="2"/>
      <c r="E542" s="2"/>
      <c r="F542" s="11"/>
      <c r="G542" s="2"/>
      <c r="H542" s="2"/>
    </row>
    <row r="543" spans="1:8" ht="13" x14ac:dyDescent="0.15">
      <c r="A543" s="2"/>
      <c r="B543" s="2"/>
      <c r="C543" s="11"/>
      <c r="D543" s="2"/>
      <c r="E543" s="2"/>
      <c r="F543" s="11"/>
      <c r="G543" s="2"/>
      <c r="H543" s="2"/>
    </row>
    <row r="544" spans="1:8" ht="13" x14ac:dyDescent="0.15">
      <c r="A544" s="2"/>
      <c r="B544" s="2"/>
      <c r="C544" s="11"/>
      <c r="D544" s="2"/>
      <c r="E544" s="2"/>
      <c r="F544" s="11"/>
      <c r="G544" s="2"/>
      <c r="H544" s="2"/>
    </row>
    <row r="545" spans="1:8" ht="13" x14ac:dyDescent="0.15">
      <c r="A545" s="2"/>
      <c r="B545" s="2"/>
      <c r="C545" s="11"/>
      <c r="D545" s="2"/>
      <c r="E545" s="2"/>
      <c r="F545" s="11"/>
      <c r="G545" s="2"/>
      <c r="H545" s="2"/>
    </row>
    <row r="546" spans="1:8" ht="13" x14ac:dyDescent="0.15">
      <c r="A546" s="2"/>
      <c r="B546" s="2"/>
      <c r="C546" s="11"/>
      <c r="D546" s="2"/>
      <c r="E546" s="2"/>
      <c r="F546" s="11"/>
      <c r="G546" s="2"/>
      <c r="H546" s="2"/>
    </row>
    <row r="547" spans="1:8" ht="13" x14ac:dyDescent="0.15">
      <c r="A547" s="2"/>
      <c r="B547" s="2"/>
      <c r="C547" s="11"/>
      <c r="D547" s="2"/>
      <c r="E547" s="2"/>
      <c r="F547" s="11"/>
      <c r="G547" s="2"/>
      <c r="H547" s="2"/>
    </row>
    <row r="548" spans="1:8" ht="13" x14ac:dyDescent="0.15">
      <c r="A548" s="2"/>
      <c r="B548" s="2"/>
      <c r="C548" s="11"/>
      <c r="D548" s="2"/>
      <c r="E548" s="2"/>
      <c r="F548" s="11"/>
      <c r="G548" s="2"/>
      <c r="H548" s="2"/>
    </row>
    <row r="549" spans="1:8" ht="13" x14ac:dyDescent="0.15">
      <c r="A549" s="2"/>
      <c r="B549" s="2"/>
      <c r="C549" s="11"/>
      <c r="D549" s="2"/>
      <c r="E549" s="2"/>
      <c r="F549" s="11"/>
      <c r="G549" s="2"/>
      <c r="H549" s="2"/>
    </row>
    <row r="550" spans="1:8" ht="13" x14ac:dyDescent="0.15">
      <c r="A550" s="2"/>
      <c r="B550" s="2"/>
      <c r="C550" s="11"/>
      <c r="D550" s="2"/>
      <c r="E550" s="2"/>
      <c r="F550" s="11"/>
      <c r="G550" s="2"/>
      <c r="H550" s="2"/>
    </row>
    <row r="551" spans="1:8" ht="13" x14ac:dyDescent="0.15">
      <c r="A551" s="2"/>
      <c r="B551" s="2"/>
      <c r="C551" s="11"/>
      <c r="D551" s="2"/>
      <c r="E551" s="2"/>
      <c r="F551" s="11"/>
      <c r="G551" s="2"/>
      <c r="H551" s="2"/>
    </row>
    <row r="552" spans="1:8" ht="13" x14ac:dyDescent="0.15">
      <c r="A552" s="2"/>
      <c r="B552" s="2"/>
      <c r="C552" s="11"/>
      <c r="D552" s="2"/>
      <c r="E552" s="2"/>
      <c r="F552" s="11"/>
      <c r="G552" s="2"/>
      <c r="H552" s="2"/>
    </row>
    <row r="553" spans="1:8" ht="13" x14ac:dyDescent="0.15">
      <c r="A553" s="2"/>
      <c r="B553" s="2"/>
      <c r="C553" s="11"/>
      <c r="D553" s="2"/>
      <c r="E553" s="2"/>
      <c r="F553" s="11"/>
      <c r="G553" s="2"/>
      <c r="H553" s="2"/>
    </row>
    <row r="554" spans="1:8" ht="13" x14ac:dyDescent="0.15">
      <c r="A554" s="2"/>
      <c r="B554" s="2"/>
      <c r="C554" s="11"/>
      <c r="D554" s="2"/>
      <c r="E554" s="2"/>
      <c r="F554" s="11"/>
      <c r="G554" s="2"/>
      <c r="H554" s="2"/>
    </row>
    <row r="555" spans="1:8" ht="13" x14ac:dyDescent="0.15">
      <c r="A555" s="2"/>
      <c r="B555" s="2"/>
      <c r="C555" s="11"/>
      <c r="D555" s="2"/>
      <c r="E555" s="2"/>
      <c r="F555" s="11"/>
      <c r="G555" s="2"/>
      <c r="H555" s="2"/>
    </row>
    <row r="556" spans="1:8" ht="13" x14ac:dyDescent="0.15">
      <c r="A556" s="2"/>
      <c r="B556" s="2"/>
      <c r="C556" s="11"/>
      <c r="D556" s="2"/>
      <c r="E556" s="2"/>
      <c r="F556" s="11"/>
      <c r="G556" s="2"/>
      <c r="H556" s="2"/>
    </row>
    <row r="557" spans="1:8" ht="13" x14ac:dyDescent="0.15">
      <c r="A557" s="2"/>
      <c r="B557" s="2"/>
      <c r="C557" s="11"/>
      <c r="D557" s="2"/>
      <c r="E557" s="2"/>
      <c r="F557" s="11"/>
      <c r="G557" s="2"/>
      <c r="H557" s="2"/>
    </row>
    <row r="558" spans="1:8" ht="13" x14ac:dyDescent="0.15">
      <c r="A558" s="2"/>
      <c r="B558" s="2"/>
      <c r="C558" s="11"/>
      <c r="D558" s="2"/>
      <c r="E558" s="2"/>
      <c r="F558" s="11"/>
      <c r="G558" s="2"/>
      <c r="H558" s="2"/>
    </row>
    <row r="559" spans="1:8" ht="13" x14ac:dyDescent="0.15">
      <c r="A559" s="2"/>
      <c r="B559" s="2"/>
      <c r="C559" s="11"/>
      <c r="D559" s="2"/>
      <c r="E559" s="2"/>
      <c r="F559" s="11"/>
      <c r="G559" s="2"/>
      <c r="H559" s="2"/>
    </row>
    <row r="560" spans="1:8" ht="13" x14ac:dyDescent="0.15">
      <c r="A560" s="2"/>
      <c r="B560" s="2"/>
      <c r="C560" s="11"/>
      <c r="D560" s="2"/>
      <c r="E560" s="2"/>
      <c r="F560" s="11"/>
      <c r="G560" s="2"/>
      <c r="H560" s="2"/>
    </row>
    <row r="561" spans="1:8" ht="13" x14ac:dyDescent="0.15">
      <c r="A561" s="2"/>
      <c r="B561" s="2"/>
      <c r="C561" s="11"/>
      <c r="D561" s="2"/>
      <c r="E561" s="2"/>
      <c r="F561" s="11"/>
      <c r="G561" s="2"/>
      <c r="H561" s="2"/>
    </row>
    <row r="562" spans="1:8" ht="13" x14ac:dyDescent="0.15">
      <c r="A562" s="2"/>
      <c r="B562" s="2"/>
      <c r="C562" s="11"/>
      <c r="D562" s="2"/>
      <c r="E562" s="2"/>
      <c r="F562" s="11"/>
      <c r="G562" s="2"/>
      <c r="H562" s="2"/>
    </row>
    <row r="563" spans="1:8" ht="13" x14ac:dyDescent="0.15">
      <c r="A563" s="2"/>
      <c r="B563" s="2"/>
      <c r="C563" s="11"/>
      <c r="D563" s="2"/>
      <c r="E563" s="2"/>
      <c r="F563" s="11"/>
      <c r="G563" s="2"/>
      <c r="H563" s="2"/>
    </row>
    <row r="564" spans="1:8" ht="13" x14ac:dyDescent="0.15">
      <c r="A564" s="2"/>
      <c r="B564" s="2"/>
      <c r="C564" s="11"/>
      <c r="D564" s="2"/>
      <c r="E564" s="2"/>
      <c r="F564" s="11"/>
      <c r="G564" s="2"/>
      <c r="H564" s="2"/>
    </row>
    <row r="565" spans="1:8" ht="13" x14ac:dyDescent="0.15">
      <c r="A565" s="2"/>
      <c r="B565" s="2"/>
      <c r="C565" s="11"/>
      <c r="D565" s="2"/>
      <c r="E565" s="2"/>
      <c r="F565" s="11"/>
      <c r="G565" s="2"/>
      <c r="H565" s="2"/>
    </row>
    <row r="566" spans="1:8" ht="13" x14ac:dyDescent="0.15">
      <c r="A566" s="2"/>
      <c r="B566" s="2"/>
      <c r="C566" s="11"/>
      <c r="D566" s="2"/>
      <c r="E566" s="2"/>
      <c r="F566" s="11"/>
      <c r="G566" s="2"/>
      <c r="H566" s="2"/>
    </row>
    <row r="567" spans="1:8" ht="13" x14ac:dyDescent="0.15">
      <c r="A567" s="2"/>
      <c r="B567" s="2"/>
      <c r="C567" s="11"/>
      <c r="D567" s="2"/>
      <c r="E567" s="2"/>
      <c r="F567" s="11"/>
      <c r="G567" s="2"/>
      <c r="H567" s="2"/>
    </row>
    <row r="568" spans="1:8" ht="13" x14ac:dyDescent="0.15">
      <c r="A568" s="2"/>
      <c r="B568" s="2"/>
      <c r="C568" s="11"/>
      <c r="D568" s="2"/>
      <c r="E568" s="2"/>
      <c r="F568" s="11"/>
      <c r="G568" s="2"/>
      <c r="H568" s="2"/>
    </row>
    <row r="569" spans="1:8" ht="13" x14ac:dyDescent="0.15">
      <c r="A569" s="2"/>
      <c r="B569" s="2"/>
      <c r="C569" s="11"/>
      <c r="D569" s="2"/>
      <c r="E569" s="2"/>
      <c r="F569" s="11"/>
      <c r="G569" s="2"/>
      <c r="H569" s="2"/>
    </row>
    <row r="570" spans="1:8" ht="13" x14ac:dyDescent="0.15">
      <c r="A570" s="2"/>
      <c r="B570" s="2"/>
      <c r="C570" s="11"/>
      <c r="D570" s="2"/>
      <c r="E570" s="2"/>
      <c r="F570" s="11"/>
      <c r="G570" s="2"/>
      <c r="H570" s="2"/>
    </row>
    <row r="571" spans="1:8" ht="13" x14ac:dyDescent="0.15">
      <c r="A571" s="2"/>
      <c r="B571" s="2"/>
      <c r="C571" s="11"/>
      <c r="D571" s="2"/>
      <c r="E571" s="2"/>
      <c r="F571" s="11"/>
      <c r="G571" s="2"/>
      <c r="H571" s="2"/>
    </row>
    <row r="572" spans="1:8" ht="13" x14ac:dyDescent="0.15">
      <c r="A572" s="2"/>
      <c r="B572" s="2"/>
      <c r="C572" s="11"/>
      <c r="D572" s="2"/>
      <c r="E572" s="2"/>
      <c r="F572" s="11"/>
      <c r="G572" s="2"/>
      <c r="H572" s="2"/>
    </row>
    <row r="573" spans="1:8" ht="13" x14ac:dyDescent="0.15">
      <c r="A573" s="2"/>
      <c r="B573" s="2"/>
      <c r="C573" s="11"/>
      <c r="D573" s="2"/>
      <c r="E573" s="2"/>
      <c r="F573" s="11"/>
      <c r="G573" s="2"/>
      <c r="H573" s="2"/>
    </row>
    <row r="574" spans="1:8" ht="13" x14ac:dyDescent="0.15">
      <c r="A574" s="2"/>
      <c r="B574" s="2"/>
      <c r="C574" s="11"/>
      <c r="D574" s="2"/>
      <c r="E574" s="2"/>
      <c r="F574" s="11"/>
      <c r="G574" s="2"/>
      <c r="H574" s="2"/>
    </row>
    <row r="575" spans="1:8" ht="13" x14ac:dyDescent="0.15">
      <c r="A575" s="2"/>
      <c r="B575" s="2"/>
      <c r="C575" s="11"/>
      <c r="D575" s="2"/>
      <c r="E575" s="2"/>
      <c r="F575" s="11"/>
      <c r="G575" s="2"/>
      <c r="H575" s="2"/>
    </row>
    <row r="576" spans="1:8" ht="13" x14ac:dyDescent="0.15">
      <c r="A576" s="2"/>
      <c r="B576" s="2"/>
      <c r="C576" s="11"/>
      <c r="D576" s="2"/>
      <c r="E576" s="2"/>
      <c r="F576" s="11"/>
      <c r="G576" s="2"/>
      <c r="H576" s="2"/>
    </row>
    <row r="577" spans="1:8" ht="13" x14ac:dyDescent="0.15">
      <c r="A577" s="2"/>
      <c r="B577" s="2"/>
      <c r="C577" s="11"/>
      <c r="D577" s="2"/>
      <c r="E577" s="2"/>
      <c r="F577" s="11"/>
      <c r="G577" s="2"/>
      <c r="H577" s="2"/>
    </row>
    <row r="578" spans="1:8" ht="13" x14ac:dyDescent="0.15">
      <c r="A578" s="2"/>
      <c r="B578" s="2"/>
      <c r="C578" s="11"/>
      <c r="D578" s="2"/>
      <c r="E578" s="2"/>
      <c r="F578" s="11"/>
      <c r="G578" s="2"/>
      <c r="H578" s="2"/>
    </row>
    <row r="579" spans="1:8" ht="13" x14ac:dyDescent="0.15">
      <c r="A579" s="2"/>
      <c r="B579" s="2"/>
      <c r="C579" s="11"/>
      <c r="D579" s="2"/>
      <c r="E579" s="2"/>
      <c r="F579" s="11"/>
      <c r="G579" s="2"/>
      <c r="H579" s="2"/>
    </row>
    <row r="580" spans="1:8" ht="13" x14ac:dyDescent="0.15">
      <c r="A580" s="2"/>
      <c r="B580" s="2"/>
      <c r="C580" s="11"/>
      <c r="D580" s="2"/>
      <c r="E580" s="2"/>
      <c r="F580" s="11"/>
      <c r="G580" s="2"/>
      <c r="H580" s="2"/>
    </row>
    <row r="581" spans="1:8" ht="13" x14ac:dyDescent="0.15">
      <c r="A581" s="2"/>
      <c r="B581" s="2"/>
      <c r="C581" s="11"/>
      <c r="D581" s="2"/>
      <c r="E581" s="2"/>
      <c r="F581" s="11"/>
      <c r="G581" s="2"/>
      <c r="H581" s="2"/>
    </row>
    <row r="582" spans="1:8" ht="13" x14ac:dyDescent="0.15">
      <c r="A582" s="2"/>
      <c r="B582" s="2"/>
      <c r="C582" s="11"/>
      <c r="D582" s="2"/>
      <c r="E582" s="2"/>
      <c r="F582" s="11"/>
      <c r="G582" s="2"/>
      <c r="H582" s="2"/>
    </row>
    <row r="583" spans="1:8" ht="13" x14ac:dyDescent="0.15">
      <c r="A583" s="2"/>
      <c r="B583" s="2"/>
      <c r="C583" s="11"/>
      <c r="D583" s="2"/>
      <c r="E583" s="2"/>
      <c r="F583" s="11"/>
      <c r="G583" s="2"/>
      <c r="H583" s="2"/>
    </row>
    <row r="584" spans="1:8" ht="13" x14ac:dyDescent="0.15">
      <c r="A584" s="2"/>
      <c r="B584" s="2"/>
      <c r="C584" s="11"/>
      <c r="D584" s="2"/>
      <c r="E584" s="2"/>
      <c r="F584" s="11"/>
      <c r="G584" s="2"/>
      <c r="H584" s="2"/>
    </row>
    <row r="585" spans="1:8" ht="13" x14ac:dyDescent="0.15">
      <c r="A585" s="2"/>
      <c r="B585" s="2"/>
      <c r="C585" s="11"/>
      <c r="D585" s="2"/>
      <c r="E585" s="2"/>
      <c r="F585" s="11"/>
      <c r="G585" s="2"/>
      <c r="H585" s="2"/>
    </row>
    <row r="586" spans="1:8" ht="13" x14ac:dyDescent="0.15">
      <c r="A586" s="2"/>
      <c r="B586" s="2"/>
      <c r="C586" s="11"/>
      <c r="D586" s="2"/>
      <c r="E586" s="2"/>
      <c r="F586" s="11"/>
      <c r="G586" s="2"/>
      <c r="H586" s="2"/>
    </row>
    <row r="587" spans="1:8" ht="13" x14ac:dyDescent="0.15">
      <c r="A587" s="2"/>
      <c r="B587" s="2"/>
      <c r="C587" s="11"/>
      <c r="D587" s="2"/>
      <c r="E587" s="2"/>
      <c r="F587" s="11"/>
      <c r="G587" s="2"/>
      <c r="H587" s="2"/>
    </row>
    <row r="588" spans="1:8" ht="13" x14ac:dyDescent="0.15">
      <c r="A588" s="2"/>
      <c r="B588" s="2"/>
      <c r="C588" s="11"/>
      <c r="D588" s="2"/>
      <c r="E588" s="2"/>
      <c r="F588" s="11"/>
      <c r="G588" s="2"/>
      <c r="H588" s="2"/>
    </row>
    <row r="589" spans="1:8" ht="13" x14ac:dyDescent="0.15">
      <c r="A589" s="2"/>
      <c r="B589" s="2"/>
      <c r="C589" s="11"/>
      <c r="D589" s="2"/>
      <c r="E589" s="2"/>
      <c r="F589" s="11"/>
      <c r="G589" s="2"/>
      <c r="H589" s="2"/>
    </row>
    <row r="590" spans="1:8" ht="13" x14ac:dyDescent="0.15">
      <c r="A590" s="2"/>
      <c r="B590" s="2"/>
      <c r="C590" s="11"/>
      <c r="D590" s="2"/>
      <c r="E590" s="2"/>
      <c r="F590" s="11"/>
      <c r="G590" s="2"/>
      <c r="H590" s="2"/>
    </row>
    <row r="591" spans="1:8" ht="13" x14ac:dyDescent="0.15">
      <c r="A591" s="2"/>
      <c r="B591" s="2"/>
      <c r="C591" s="11"/>
      <c r="D591" s="2"/>
      <c r="E591" s="2"/>
      <c r="F591" s="11"/>
      <c r="G591" s="2"/>
      <c r="H591" s="2"/>
    </row>
    <row r="592" spans="1:8" ht="13" x14ac:dyDescent="0.15">
      <c r="A592" s="2"/>
      <c r="B592" s="2"/>
      <c r="C592" s="11"/>
      <c r="D592" s="2"/>
      <c r="E592" s="2"/>
      <c r="F592" s="11"/>
      <c r="G592" s="2"/>
      <c r="H592" s="2"/>
    </row>
    <row r="593" spans="1:8" ht="13" x14ac:dyDescent="0.15">
      <c r="A593" s="2"/>
      <c r="B593" s="2"/>
      <c r="C593" s="11"/>
      <c r="D593" s="2"/>
      <c r="E593" s="2"/>
      <c r="F593" s="11"/>
      <c r="G593" s="2"/>
      <c r="H593" s="2"/>
    </row>
    <row r="594" spans="1:8" ht="13" x14ac:dyDescent="0.15">
      <c r="A594" s="2"/>
      <c r="B594" s="2"/>
      <c r="C594" s="11"/>
      <c r="D594" s="2"/>
      <c r="E594" s="2"/>
      <c r="F594" s="11"/>
      <c r="G594" s="2"/>
      <c r="H594" s="2"/>
    </row>
    <row r="595" spans="1:8" ht="13" x14ac:dyDescent="0.15">
      <c r="A595" s="2"/>
      <c r="B595" s="2"/>
      <c r="C595" s="11"/>
      <c r="D595" s="2"/>
      <c r="E595" s="2"/>
      <c r="F595" s="11"/>
      <c r="G595" s="2"/>
      <c r="H595" s="2"/>
    </row>
    <row r="596" spans="1:8" ht="13" x14ac:dyDescent="0.15">
      <c r="A596" s="2"/>
      <c r="B596" s="2"/>
      <c r="C596" s="11"/>
      <c r="D596" s="2"/>
      <c r="E596" s="2"/>
      <c r="F596" s="11"/>
      <c r="G596" s="2"/>
      <c r="H596" s="2"/>
    </row>
    <row r="597" spans="1:8" ht="13" x14ac:dyDescent="0.15">
      <c r="A597" s="2"/>
      <c r="B597" s="2"/>
      <c r="C597" s="11"/>
      <c r="D597" s="2"/>
      <c r="E597" s="2"/>
      <c r="F597" s="11"/>
      <c r="G597" s="2"/>
      <c r="H597" s="2"/>
    </row>
    <row r="598" spans="1:8" ht="13" x14ac:dyDescent="0.15">
      <c r="A598" s="2"/>
      <c r="B598" s="2"/>
      <c r="C598" s="11"/>
      <c r="D598" s="2"/>
      <c r="E598" s="2"/>
      <c r="F598" s="11"/>
      <c r="G598" s="2"/>
      <c r="H598" s="2"/>
    </row>
    <row r="599" spans="1:8" ht="13" x14ac:dyDescent="0.15">
      <c r="A599" s="2"/>
      <c r="B599" s="2"/>
      <c r="C599" s="11"/>
      <c r="D599" s="2"/>
      <c r="E599" s="2"/>
      <c r="F599" s="11"/>
      <c r="G599" s="2"/>
      <c r="H599" s="2"/>
    </row>
    <row r="600" spans="1:8" ht="13" x14ac:dyDescent="0.15">
      <c r="A600" s="2"/>
      <c r="B600" s="2"/>
      <c r="C600" s="11"/>
      <c r="D600" s="2"/>
      <c r="E600" s="2"/>
      <c r="F600" s="11"/>
      <c r="G600" s="2"/>
      <c r="H600" s="2"/>
    </row>
    <row r="601" spans="1:8" ht="13" x14ac:dyDescent="0.15">
      <c r="A601" s="2"/>
      <c r="B601" s="2"/>
      <c r="C601" s="11"/>
      <c r="D601" s="2"/>
      <c r="E601" s="2"/>
      <c r="F601" s="11"/>
      <c r="G601" s="2"/>
      <c r="H601" s="2"/>
    </row>
    <row r="602" spans="1:8" ht="13" x14ac:dyDescent="0.15">
      <c r="A602" s="2"/>
      <c r="B602" s="2"/>
      <c r="C602" s="11"/>
      <c r="D602" s="2"/>
      <c r="E602" s="2"/>
      <c r="F602" s="11"/>
      <c r="G602" s="2"/>
      <c r="H602" s="2"/>
    </row>
    <row r="603" spans="1:8" ht="13" x14ac:dyDescent="0.15">
      <c r="A603" s="2"/>
      <c r="B603" s="2"/>
      <c r="C603" s="11"/>
      <c r="D603" s="2"/>
      <c r="E603" s="2"/>
      <c r="F603" s="11"/>
      <c r="G603" s="2"/>
      <c r="H603" s="2"/>
    </row>
    <row r="604" spans="1:8" ht="13" x14ac:dyDescent="0.15">
      <c r="A604" s="2"/>
      <c r="B604" s="2"/>
      <c r="C604" s="11"/>
      <c r="D604" s="2"/>
      <c r="E604" s="2"/>
      <c r="F604" s="11"/>
      <c r="G604" s="2"/>
      <c r="H604" s="2"/>
    </row>
    <row r="605" spans="1:8" ht="13" x14ac:dyDescent="0.15">
      <c r="A605" s="2"/>
      <c r="B605" s="2"/>
      <c r="C605" s="11"/>
      <c r="D605" s="2"/>
      <c r="E605" s="2"/>
      <c r="F605" s="11"/>
      <c r="G605" s="2"/>
      <c r="H605" s="2"/>
    </row>
    <row r="606" spans="1:8" ht="13" x14ac:dyDescent="0.15">
      <c r="A606" s="2"/>
      <c r="B606" s="2"/>
      <c r="C606" s="11"/>
      <c r="D606" s="2"/>
      <c r="E606" s="2"/>
      <c r="F606" s="11"/>
      <c r="G606" s="2"/>
      <c r="H606" s="2"/>
    </row>
    <row r="607" spans="1:8" ht="13" x14ac:dyDescent="0.15">
      <c r="A607" s="2"/>
      <c r="B607" s="2"/>
      <c r="C607" s="11"/>
      <c r="D607" s="2"/>
      <c r="E607" s="2"/>
      <c r="F607" s="11"/>
      <c r="G607" s="2"/>
      <c r="H607" s="2"/>
    </row>
    <row r="608" spans="1:8" ht="13" x14ac:dyDescent="0.15">
      <c r="A608" s="2"/>
      <c r="B608" s="2"/>
      <c r="C608" s="11"/>
      <c r="D608" s="2"/>
      <c r="E608" s="2"/>
      <c r="F608" s="11"/>
      <c r="G608" s="2"/>
      <c r="H608" s="2"/>
    </row>
    <row r="609" spans="1:8" ht="13" x14ac:dyDescent="0.15">
      <c r="A609" s="2"/>
      <c r="B609" s="2"/>
      <c r="C609" s="11"/>
      <c r="D609" s="2"/>
      <c r="E609" s="2"/>
      <c r="F609" s="11"/>
      <c r="G609" s="2"/>
      <c r="H609" s="2"/>
    </row>
    <row r="610" spans="1:8" ht="13" x14ac:dyDescent="0.15">
      <c r="A610" s="2"/>
      <c r="B610" s="2"/>
      <c r="C610" s="11"/>
      <c r="D610" s="2"/>
      <c r="E610" s="2"/>
      <c r="F610" s="11"/>
      <c r="G610" s="2"/>
      <c r="H610" s="2"/>
    </row>
    <row r="611" spans="1:8" ht="13" x14ac:dyDescent="0.15">
      <c r="A611" s="2"/>
      <c r="B611" s="2"/>
      <c r="C611" s="11"/>
      <c r="D611" s="2"/>
      <c r="E611" s="2"/>
      <c r="F611" s="11"/>
      <c r="G611" s="2"/>
      <c r="H611" s="2"/>
    </row>
    <row r="612" spans="1:8" ht="13" x14ac:dyDescent="0.15">
      <c r="A612" s="2"/>
      <c r="B612" s="2"/>
      <c r="C612" s="11"/>
      <c r="D612" s="2"/>
      <c r="E612" s="2"/>
      <c r="F612" s="11"/>
      <c r="G612" s="2"/>
      <c r="H612" s="2"/>
    </row>
    <row r="613" spans="1:8" ht="13" x14ac:dyDescent="0.15">
      <c r="A613" s="2"/>
      <c r="B613" s="2"/>
      <c r="C613" s="11"/>
      <c r="D613" s="2"/>
      <c r="E613" s="2"/>
      <c r="F613" s="11"/>
      <c r="G613" s="2"/>
      <c r="H613" s="2"/>
    </row>
    <row r="614" spans="1:8" ht="13" x14ac:dyDescent="0.15">
      <c r="A614" s="2"/>
      <c r="B614" s="2"/>
      <c r="C614" s="11"/>
      <c r="D614" s="2"/>
      <c r="E614" s="2"/>
      <c r="F614" s="11"/>
      <c r="G614" s="2"/>
      <c r="H614" s="2"/>
    </row>
    <row r="615" spans="1:8" ht="13" x14ac:dyDescent="0.15">
      <c r="A615" s="2"/>
      <c r="B615" s="2"/>
      <c r="C615" s="11"/>
      <c r="D615" s="2"/>
      <c r="E615" s="2"/>
      <c r="F615" s="11"/>
      <c r="G615" s="2"/>
      <c r="H615" s="2"/>
    </row>
    <row r="616" spans="1:8" ht="13" x14ac:dyDescent="0.15">
      <c r="A616" s="2"/>
      <c r="B616" s="2"/>
      <c r="C616" s="11"/>
      <c r="D616" s="2"/>
      <c r="E616" s="2"/>
      <c r="F616" s="11"/>
      <c r="G616" s="2"/>
      <c r="H616" s="2"/>
    </row>
    <row r="617" spans="1:8" ht="13" x14ac:dyDescent="0.15">
      <c r="A617" s="2"/>
      <c r="B617" s="2"/>
      <c r="C617" s="11"/>
      <c r="D617" s="2"/>
      <c r="E617" s="2"/>
      <c r="F617" s="11"/>
      <c r="G617" s="2"/>
      <c r="H617" s="2"/>
    </row>
    <row r="618" spans="1:8" ht="13" x14ac:dyDescent="0.15">
      <c r="A618" s="2"/>
      <c r="B618" s="2"/>
      <c r="C618" s="11"/>
      <c r="D618" s="2"/>
      <c r="E618" s="2"/>
      <c r="F618" s="11"/>
      <c r="G618" s="2"/>
      <c r="H618" s="2"/>
    </row>
    <row r="619" spans="1:8" ht="13" x14ac:dyDescent="0.15">
      <c r="A619" s="2"/>
      <c r="B619" s="2"/>
      <c r="C619" s="11"/>
      <c r="D619" s="2"/>
      <c r="E619" s="2"/>
      <c r="F619" s="11"/>
      <c r="G619" s="2"/>
      <c r="H619" s="2"/>
    </row>
    <row r="620" spans="1:8" ht="13" x14ac:dyDescent="0.15">
      <c r="A620" s="2"/>
      <c r="B620" s="2"/>
      <c r="C620" s="11"/>
      <c r="D620" s="2"/>
      <c r="E620" s="2"/>
      <c r="F620" s="11"/>
      <c r="G620" s="2"/>
      <c r="H620" s="2"/>
    </row>
    <row r="621" spans="1:8" ht="13" x14ac:dyDescent="0.15">
      <c r="A621" s="2"/>
      <c r="B621" s="2"/>
      <c r="C621" s="11"/>
      <c r="D621" s="2"/>
      <c r="E621" s="2"/>
      <c r="F621" s="11"/>
      <c r="G621" s="2"/>
      <c r="H621" s="2"/>
    </row>
    <row r="622" spans="1:8" ht="13" x14ac:dyDescent="0.15">
      <c r="A622" s="2"/>
      <c r="B622" s="2"/>
      <c r="C622" s="11"/>
      <c r="D622" s="2"/>
      <c r="E622" s="2"/>
      <c r="F622" s="11"/>
      <c r="G622" s="2"/>
      <c r="H622" s="2"/>
    </row>
    <row r="623" spans="1:8" ht="13" x14ac:dyDescent="0.15">
      <c r="A623" s="2"/>
      <c r="B623" s="2"/>
      <c r="C623" s="11"/>
      <c r="D623" s="2"/>
      <c r="E623" s="2"/>
      <c r="F623" s="11"/>
      <c r="G623" s="2"/>
      <c r="H623" s="2"/>
    </row>
    <row r="624" spans="1:8" ht="13" x14ac:dyDescent="0.15">
      <c r="A624" s="2"/>
      <c r="B624" s="2"/>
      <c r="C624" s="11"/>
      <c r="D624" s="2"/>
      <c r="E624" s="2"/>
      <c r="F624" s="11"/>
      <c r="G624" s="2"/>
      <c r="H624" s="2"/>
    </row>
    <row r="625" spans="1:8" ht="13" x14ac:dyDescent="0.15">
      <c r="A625" s="2"/>
      <c r="B625" s="2"/>
      <c r="C625" s="11"/>
      <c r="D625" s="2"/>
      <c r="E625" s="2"/>
      <c r="F625" s="11"/>
      <c r="G625" s="2"/>
      <c r="H625" s="2"/>
    </row>
    <row r="626" spans="1:8" ht="13" x14ac:dyDescent="0.15">
      <c r="A626" s="2"/>
      <c r="B626" s="2"/>
      <c r="C626" s="11"/>
      <c r="D626" s="2"/>
      <c r="E626" s="2"/>
      <c r="F626" s="11"/>
      <c r="G626" s="2"/>
      <c r="H626" s="2"/>
    </row>
    <row r="627" spans="1:8" ht="13" x14ac:dyDescent="0.15">
      <c r="A627" s="2"/>
      <c r="B627" s="2"/>
      <c r="C627" s="11"/>
      <c r="D627" s="2"/>
      <c r="E627" s="2"/>
      <c r="F627" s="11"/>
      <c r="G627" s="2"/>
      <c r="H627" s="2"/>
    </row>
    <row r="628" spans="1:8" ht="13" x14ac:dyDescent="0.15">
      <c r="A628" s="2"/>
      <c r="B628" s="2"/>
      <c r="C628" s="11"/>
      <c r="D628" s="2"/>
      <c r="E628" s="2"/>
      <c r="F628" s="11"/>
      <c r="G628" s="2"/>
      <c r="H628" s="2"/>
    </row>
    <row r="629" spans="1:8" ht="13" x14ac:dyDescent="0.15">
      <c r="A629" s="2"/>
      <c r="B629" s="2"/>
      <c r="C629" s="11"/>
      <c r="D629" s="2"/>
      <c r="E629" s="2"/>
      <c r="F629" s="11"/>
      <c r="G629" s="2"/>
      <c r="H629" s="2"/>
    </row>
    <row r="630" spans="1:8" ht="13" x14ac:dyDescent="0.15">
      <c r="A630" s="2"/>
      <c r="B630" s="2"/>
      <c r="C630" s="11"/>
      <c r="D630" s="2"/>
      <c r="E630" s="2"/>
      <c r="F630" s="11"/>
      <c r="G630" s="2"/>
      <c r="H630" s="2"/>
    </row>
    <row r="631" spans="1:8" ht="13" x14ac:dyDescent="0.15">
      <c r="A631" s="2"/>
      <c r="B631" s="2"/>
      <c r="C631" s="11"/>
      <c r="D631" s="2"/>
      <c r="E631" s="2"/>
      <c r="F631" s="11"/>
      <c r="G631" s="2"/>
      <c r="H631" s="2"/>
    </row>
    <row r="632" spans="1:8" ht="13" x14ac:dyDescent="0.15">
      <c r="A632" s="2"/>
      <c r="B632" s="2"/>
      <c r="C632" s="11"/>
      <c r="D632" s="2"/>
      <c r="E632" s="2"/>
      <c r="F632" s="11"/>
      <c r="G632" s="2"/>
      <c r="H632" s="2"/>
    </row>
    <row r="633" spans="1:8" ht="13" x14ac:dyDescent="0.15">
      <c r="A633" s="2"/>
      <c r="B633" s="2"/>
      <c r="C633" s="11"/>
      <c r="D633" s="2"/>
      <c r="E633" s="2"/>
      <c r="F633" s="11"/>
      <c r="G633" s="2"/>
      <c r="H633" s="2"/>
    </row>
    <row r="634" spans="1:8" ht="13" x14ac:dyDescent="0.15">
      <c r="A634" s="2"/>
      <c r="B634" s="2"/>
      <c r="C634" s="11"/>
      <c r="D634" s="2"/>
      <c r="E634" s="2"/>
      <c r="F634" s="11"/>
      <c r="G634" s="2"/>
      <c r="H634" s="2"/>
    </row>
    <row r="635" spans="1:8" ht="13" x14ac:dyDescent="0.15">
      <c r="A635" s="2"/>
      <c r="B635" s="2"/>
      <c r="C635" s="11"/>
      <c r="D635" s="2"/>
      <c r="E635" s="2"/>
      <c r="F635" s="11"/>
      <c r="G635" s="2"/>
      <c r="H635" s="2"/>
    </row>
    <row r="636" spans="1:8" ht="13" x14ac:dyDescent="0.15">
      <c r="A636" s="2"/>
      <c r="B636" s="2"/>
      <c r="C636" s="11"/>
      <c r="D636" s="2"/>
      <c r="E636" s="2"/>
      <c r="F636" s="11"/>
      <c r="G636" s="2"/>
      <c r="H636" s="2"/>
    </row>
    <row r="637" spans="1:8" ht="13" x14ac:dyDescent="0.15">
      <c r="A637" s="2"/>
      <c r="B637" s="2"/>
      <c r="C637" s="11"/>
      <c r="D637" s="2"/>
      <c r="E637" s="2"/>
      <c r="F637" s="11"/>
      <c r="G637" s="2"/>
      <c r="H637" s="2"/>
    </row>
    <row r="638" spans="1:8" ht="13" x14ac:dyDescent="0.15">
      <c r="A638" s="2"/>
      <c r="B638" s="2"/>
      <c r="C638" s="11"/>
      <c r="D638" s="2"/>
      <c r="E638" s="2"/>
      <c r="F638" s="11"/>
      <c r="G638" s="2"/>
      <c r="H638" s="2"/>
    </row>
    <row r="639" spans="1:8" ht="13" x14ac:dyDescent="0.15">
      <c r="A639" s="2"/>
      <c r="B639" s="2"/>
      <c r="C639" s="11"/>
      <c r="D639" s="2"/>
      <c r="E639" s="2"/>
      <c r="F639" s="11"/>
      <c r="G639" s="2"/>
      <c r="H639" s="2"/>
    </row>
    <row r="640" spans="1:8" ht="13" x14ac:dyDescent="0.15">
      <c r="A640" s="2"/>
      <c r="B640" s="2"/>
      <c r="C640" s="11"/>
      <c r="D640" s="2"/>
      <c r="E640" s="2"/>
      <c r="F640" s="11"/>
      <c r="G640" s="2"/>
      <c r="H640" s="2"/>
    </row>
    <row r="641" spans="1:8" ht="13" x14ac:dyDescent="0.15">
      <c r="A641" s="2"/>
      <c r="B641" s="2"/>
      <c r="C641" s="11"/>
      <c r="D641" s="2"/>
      <c r="E641" s="2"/>
      <c r="F641" s="11"/>
      <c r="G641" s="2"/>
      <c r="H641" s="2"/>
    </row>
    <row r="642" spans="1:8" ht="13" x14ac:dyDescent="0.15">
      <c r="A642" s="2"/>
      <c r="B642" s="2"/>
      <c r="C642" s="11"/>
      <c r="D642" s="2"/>
      <c r="E642" s="2"/>
      <c r="F642" s="11"/>
      <c r="G642" s="2"/>
      <c r="H642" s="2"/>
    </row>
    <row r="643" spans="1:8" ht="13" x14ac:dyDescent="0.15">
      <c r="A643" s="2"/>
      <c r="B643" s="2"/>
      <c r="C643" s="11"/>
      <c r="D643" s="2"/>
      <c r="E643" s="2"/>
      <c r="F643" s="11"/>
      <c r="G643" s="2"/>
      <c r="H643" s="2"/>
    </row>
    <row r="644" spans="1:8" ht="13" x14ac:dyDescent="0.15">
      <c r="A644" s="2"/>
      <c r="B644" s="2"/>
      <c r="C644" s="11"/>
      <c r="D644" s="2"/>
      <c r="E644" s="2"/>
      <c r="F644" s="11"/>
      <c r="G644" s="2"/>
      <c r="H644" s="2"/>
    </row>
    <row r="645" spans="1:8" ht="13" x14ac:dyDescent="0.15">
      <c r="A645" s="2"/>
      <c r="B645" s="2"/>
      <c r="C645" s="11"/>
      <c r="D645" s="2"/>
      <c r="E645" s="2"/>
      <c r="F645" s="11"/>
      <c r="G645" s="2"/>
      <c r="H645" s="2"/>
    </row>
    <row r="646" spans="1:8" ht="13" x14ac:dyDescent="0.15">
      <c r="A646" s="2"/>
      <c r="B646" s="2"/>
      <c r="C646" s="11"/>
      <c r="D646" s="2"/>
      <c r="E646" s="2"/>
      <c r="F646" s="11"/>
      <c r="G646" s="2"/>
      <c r="H646" s="2"/>
    </row>
    <row r="647" spans="1:8" ht="13" x14ac:dyDescent="0.15">
      <c r="A647" s="2"/>
      <c r="B647" s="2"/>
      <c r="C647" s="11"/>
      <c r="D647" s="2"/>
      <c r="E647" s="2"/>
      <c r="F647" s="11"/>
      <c r="G647" s="2"/>
      <c r="H647" s="2"/>
    </row>
    <row r="648" spans="1:8" ht="13" x14ac:dyDescent="0.15">
      <c r="A648" s="2"/>
      <c r="B648" s="2"/>
      <c r="C648" s="11"/>
      <c r="D648" s="2"/>
      <c r="E648" s="2"/>
      <c r="F648" s="11"/>
      <c r="G648" s="2"/>
      <c r="H648" s="2"/>
    </row>
    <row r="649" spans="1:8" ht="13" x14ac:dyDescent="0.15">
      <c r="A649" s="2"/>
      <c r="B649" s="2"/>
      <c r="C649" s="11"/>
      <c r="D649" s="2"/>
      <c r="E649" s="2"/>
      <c r="F649" s="11"/>
      <c r="G649" s="2"/>
      <c r="H649" s="2"/>
    </row>
    <row r="650" spans="1:8" ht="13" x14ac:dyDescent="0.15">
      <c r="A650" s="2"/>
      <c r="B650" s="2"/>
      <c r="C650" s="11"/>
      <c r="D650" s="2"/>
      <c r="E650" s="2"/>
      <c r="F650" s="11"/>
      <c r="G650" s="2"/>
      <c r="H650" s="2"/>
    </row>
    <row r="651" spans="1:8" ht="13" x14ac:dyDescent="0.15">
      <c r="A651" s="2"/>
      <c r="B651" s="2"/>
      <c r="C651" s="11"/>
      <c r="D651" s="2"/>
      <c r="E651" s="2"/>
      <c r="F651" s="11"/>
      <c r="G651" s="2"/>
      <c r="H651" s="2"/>
    </row>
    <row r="652" spans="1:8" ht="13" x14ac:dyDescent="0.15">
      <c r="A652" s="2"/>
      <c r="B652" s="2"/>
      <c r="C652" s="11"/>
      <c r="D652" s="2"/>
      <c r="E652" s="2"/>
      <c r="F652" s="11"/>
      <c r="G652" s="2"/>
      <c r="H652" s="2"/>
    </row>
    <row r="653" spans="1:8" ht="13" x14ac:dyDescent="0.15">
      <c r="A653" s="2"/>
      <c r="B653" s="2"/>
      <c r="C653" s="11"/>
      <c r="D653" s="2"/>
      <c r="E653" s="2"/>
      <c r="F653" s="11"/>
      <c r="G653" s="2"/>
      <c r="H653" s="2"/>
    </row>
    <row r="654" spans="1:8" ht="13" x14ac:dyDescent="0.15">
      <c r="A654" s="2"/>
      <c r="B654" s="2"/>
      <c r="C654" s="11"/>
      <c r="D654" s="2"/>
      <c r="E654" s="2"/>
      <c r="F654" s="11"/>
      <c r="G654" s="2"/>
      <c r="H654" s="2"/>
    </row>
    <row r="655" spans="1:8" ht="13" x14ac:dyDescent="0.15">
      <c r="A655" s="2"/>
      <c r="B655" s="2"/>
      <c r="C655" s="11"/>
      <c r="D655" s="2"/>
      <c r="E655" s="2"/>
      <c r="F655" s="11"/>
      <c r="G655" s="2"/>
      <c r="H655" s="2"/>
    </row>
    <row r="656" spans="1:8" ht="13" x14ac:dyDescent="0.15">
      <c r="A656" s="2"/>
      <c r="B656" s="2"/>
      <c r="C656" s="11"/>
      <c r="D656" s="2"/>
      <c r="E656" s="2"/>
      <c r="F656" s="11"/>
      <c r="G656" s="2"/>
      <c r="H656" s="2"/>
    </row>
    <row r="657" spans="1:8" ht="13" x14ac:dyDescent="0.15">
      <c r="A657" s="2"/>
      <c r="B657" s="2"/>
      <c r="C657" s="11"/>
      <c r="D657" s="2"/>
      <c r="E657" s="2"/>
      <c r="F657" s="11"/>
      <c r="G657" s="2"/>
      <c r="H657" s="2"/>
    </row>
    <row r="658" spans="1:8" ht="13" x14ac:dyDescent="0.15">
      <c r="A658" s="2"/>
      <c r="B658" s="2"/>
      <c r="C658" s="11"/>
      <c r="D658" s="2"/>
      <c r="E658" s="2"/>
      <c r="F658" s="11"/>
      <c r="G658" s="2"/>
      <c r="H658" s="2"/>
    </row>
    <row r="659" spans="1:8" ht="13" x14ac:dyDescent="0.15">
      <c r="A659" s="2"/>
      <c r="B659" s="2"/>
      <c r="C659" s="11"/>
      <c r="D659" s="2"/>
      <c r="E659" s="2"/>
      <c r="F659" s="11"/>
      <c r="G659" s="2"/>
      <c r="H659" s="2"/>
    </row>
    <row r="660" spans="1:8" ht="13" x14ac:dyDescent="0.15">
      <c r="A660" s="2"/>
      <c r="B660" s="2"/>
      <c r="C660" s="11"/>
      <c r="D660" s="2"/>
      <c r="E660" s="2"/>
      <c r="F660" s="11"/>
      <c r="G660" s="2"/>
      <c r="H660" s="2"/>
    </row>
    <row r="661" spans="1:8" ht="13" x14ac:dyDescent="0.15">
      <c r="A661" s="2"/>
      <c r="B661" s="2"/>
      <c r="C661" s="11"/>
      <c r="D661" s="2"/>
      <c r="E661" s="2"/>
      <c r="F661" s="11"/>
      <c r="G661" s="2"/>
      <c r="H661" s="2"/>
    </row>
    <row r="662" spans="1:8" ht="13" x14ac:dyDescent="0.15">
      <c r="A662" s="2"/>
      <c r="B662" s="2"/>
      <c r="C662" s="11"/>
      <c r="D662" s="2"/>
      <c r="E662" s="2"/>
      <c r="F662" s="11"/>
      <c r="G662" s="2"/>
      <c r="H662" s="2"/>
    </row>
    <row r="663" spans="1:8" ht="13" x14ac:dyDescent="0.15">
      <c r="A663" s="2"/>
      <c r="B663" s="2"/>
      <c r="C663" s="11"/>
      <c r="D663" s="2"/>
      <c r="E663" s="2"/>
      <c r="F663" s="11"/>
      <c r="G663" s="2"/>
      <c r="H663" s="2"/>
    </row>
    <row r="664" spans="1:8" ht="13" x14ac:dyDescent="0.15">
      <c r="A664" s="2"/>
      <c r="B664" s="2"/>
      <c r="C664" s="11"/>
      <c r="D664" s="2"/>
      <c r="E664" s="2"/>
      <c r="F664" s="11"/>
      <c r="G664" s="2"/>
      <c r="H664" s="2"/>
    </row>
    <row r="665" spans="1:8" ht="13" x14ac:dyDescent="0.15">
      <c r="A665" s="2"/>
      <c r="B665" s="2"/>
      <c r="C665" s="11"/>
      <c r="D665" s="2"/>
      <c r="E665" s="2"/>
      <c r="F665" s="11"/>
      <c r="G665" s="2"/>
      <c r="H665" s="2"/>
    </row>
    <row r="666" spans="1:8" ht="13" x14ac:dyDescent="0.15">
      <c r="A666" s="2"/>
      <c r="B666" s="2"/>
      <c r="C666" s="11"/>
      <c r="D666" s="2"/>
      <c r="E666" s="2"/>
      <c r="F666" s="11"/>
      <c r="G666" s="2"/>
      <c r="H666" s="2"/>
    </row>
    <row r="667" spans="1:8" ht="13" x14ac:dyDescent="0.15">
      <c r="A667" s="2"/>
      <c r="B667" s="2"/>
      <c r="C667" s="11"/>
      <c r="D667" s="2"/>
      <c r="E667" s="2"/>
      <c r="F667" s="11"/>
      <c r="G667" s="2"/>
      <c r="H667" s="2"/>
    </row>
    <row r="668" spans="1:8" ht="13" x14ac:dyDescent="0.15">
      <c r="A668" s="2"/>
      <c r="B668" s="2"/>
      <c r="C668" s="11"/>
      <c r="D668" s="2"/>
      <c r="E668" s="2"/>
      <c r="F668" s="11"/>
      <c r="G668" s="2"/>
      <c r="H668" s="2"/>
    </row>
    <row r="669" spans="1:8" ht="13" x14ac:dyDescent="0.15">
      <c r="A669" s="2"/>
      <c r="B669" s="2"/>
      <c r="C669" s="11"/>
      <c r="D669" s="2"/>
      <c r="E669" s="2"/>
      <c r="F669" s="11"/>
      <c r="G669" s="2"/>
      <c r="H669" s="2"/>
    </row>
    <row r="670" spans="1:8" ht="13" x14ac:dyDescent="0.15">
      <c r="A670" s="2"/>
      <c r="B670" s="2"/>
      <c r="C670" s="11"/>
      <c r="D670" s="2"/>
      <c r="E670" s="2"/>
      <c r="F670" s="11"/>
      <c r="G670" s="2"/>
      <c r="H670" s="2"/>
    </row>
    <row r="671" spans="1:8" ht="13" x14ac:dyDescent="0.15">
      <c r="A671" s="2"/>
      <c r="B671" s="2"/>
      <c r="C671" s="11"/>
      <c r="D671" s="2"/>
      <c r="E671" s="2"/>
      <c r="F671" s="11"/>
      <c r="G671" s="2"/>
      <c r="H671" s="2"/>
    </row>
    <row r="672" spans="1:8" ht="13" x14ac:dyDescent="0.15">
      <c r="A672" s="2"/>
      <c r="B672" s="2"/>
      <c r="C672" s="11"/>
      <c r="D672" s="2"/>
      <c r="E672" s="2"/>
      <c r="F672" s="11"/>
      <c r="G672" s="2"/>
      <c r="H672" s="2"/>
    </row>
    <row r="673" spans="1:8" ht="13" x14ac:dyDescent="0.15">
      <c r="A673" s="2"/>
      <c r="B673" s="2"/>
      <c r="C673" s="11"/>
      <c r="D673" s="2"/>
      <c r="E673" s="2"/>
      <c r="F673" s="11"/>
      <c r="G673" s="2"/>
      <c r="H673" s="2"/>
    </row>
    <row r="674" spans="1:8" ht="13" x14ac:dyDescent="0.15">
      <c r="A674" s="2"/>
      <c r="B674" s="2"/>
      <c r="C674" s="11"/>
      <c r="D674" s="2"/>
      <c r="E674" s="2"/>
      <c r="F674" s="11"/>
      <c r="G674" s="2"/>
      <c r="H674" s="2"/>
    </row>
    <row r="675" spans="1:8" ht="13" x14ac:dyDescent="0.15">
      <c r="A675" s="2"/>
      <c r="B675" s="2"/>
      <c r="C675" s="11"/>
      <c r="D675" s="2"/>
      <c r="E675" s="2"/>
      <c r="F675" s="11"/>
      <c r="G675" s="2"/>
      <c r="H675" s="2"/>
    </row>
    <row r="676" spans="1:8" ht="13" x14ac:dyDescent="0.15">
      <c r="A676" s="2"/>
      <c r="B676" s="2"/>
      <c r="C676" s="11"/>
      <c r="D676" s="2"/>
      <c r="E676" s="2"/>
      <c r="F676" s="11"/>
      <c r="G676" s="2"/>
      <c r="H676" s="2"/>
    </row>
    <row r="677" spans="1:8" ht="13" x14ac:dyDescent="0.15">
      <c r="A677" s="2"/>
      <c r="B677" s="2"/>
      <c r="C677" s="11"/>
      <c r="D677" s="2"/>
      <c r="E677" s="2"/>
      <c r="F677" s="11"/>
      <c r="G677" s="2"/>
      <c r="H677" s="2"/>
    </row>
    <row r="678" spans="1:8" ht="13" x14ac:dyDescent="0.15">
      <c r="A678" s="2"/>
      <c r="B678" s="2"/>
      <c r="C678" s="11"/>
      <c r="D678" s="2"/>
      <c r="E678" s="2"/>
      <c r="F678" s="11"/>
      <c r="G678" s="2"/>
      <c r="H678" s="2"/>
    </row>
    <row r="679" spans="1:8" ht="13" x14ac:dyDescent="0.15">
      <c r="A679" s="2"/>
      <c r="B679" s="2"/>
      <c r="C679" s="11"/>
      <c r="D679" s="2"/>
      <c r="E679" s="2"/>
      <c r="F679" s="11"/>
      <c r="G679" s="2"/>
      <c r="H679" s="2"/>
    </row>
    <row r="680" spans="1:8" ht="13" x14ac:dyDescent="0.15">
      <c r="A680" s="2"/>
      <c r="B680" s="2"/>
      <c r="C680" s="11"/>
      <c r="D680" s="2"/>
      <c r="E680" s="2"/>
      <c r="F680" s="11"/>
      <c r="G680" s="2"/>
      <c r="H680" s="2"/>
    </row>
    <row r="681" spans="1:8" ht="13" x14ac:dyDescent="0.15">
      <c r="A681" s="2"/>
      <c r="B681" s="2"/>
      <c r="C681" s="11"/>
      <c r="D681" s="2"/>
      <c r="E681" s="2"/>
      <c r="F681" s="11"/>
      <c r="G681" s="2"/>
      <c r="H681" s="2"/>
    </row>
    <row r="682" spans="1:8" ht="13" x14ac:dyDescent="0.15">
      <c r="A682" s="2"/>
      <c r="B682" s="2"/>
      <c r="C682" s="11"/>
      <c r="D682" s="2"/>
      <c r="E682" s="2"/>
      <c r="F682" s="11"/>
      <c r="G682" s="2"/>
      <c r="H682" s="2"/>
    </row>
    <row r="683" spans="1:8" ht="13" x14ac:dyDescent="0.15">
      <c r="A683" s="2"/>
      <c r="B683" s="2"/>
      <c r="C683" s="11"/>
      <c r="D683" s="2"/>
      <c r="E683" s="2"/>
      <c r="F683" s="11"/>
      <c r="G683" s="2"/>
      <c r="H683" s="2"/>
    </row>
    <row r="684" spans="1:8" ht="13" x14ac:dyDescent="0.15">
      <c r="A684" s="2"/>
      <c r="B684" s="2"/>
      <c r="C684" s="11"/>
      <c r="D684" s="2"/>
      <c r="E684" s="2"/>
      <c r="F684" s="11"/>
      <c r="G684" s="2"/>
      <c r="H684" s="2"/>
    </row>
    <row r="685" spans="1:8" ht="13" x14ac:dyDescent="0.15">
      <c r="A685" s="2"/>
      <c r="B685" s="2"/>
      <c r="C685" s="11"/>
      <c r="D685" s="2"/>
      <c r="E685" s="2"/>
      <c r="F685" s="11"/>
      <c r="G685" s="2"/>
      <c r="H685" s="2"/>
    </row>
    <row r="686" spans="1:8" ht="13" x14ac:dyDescent="0.15">
      <c r="A686" s="2"/>
      <c r="B686" s="2"/>
      <c r="C686" s="11"/>
      <c r="D686" s="2"/>
      <c r="E686" s="2"/>
      <c r="F686" s="11"/>
      <c r="G686" s="2"/>
      <c r="H686" s="2"/>
    </row>
    <row r="687" spans="1:8" ht="13" x14ac:dyDescent="0.15">
      <c r="A687" s="2"/>
      <c r="B687" s="2"/>
      <c r="C687" s="11"/>
      <c r="D687" s="2"/>
      <c r="E687" s="2"/>
      <c r="F687" s="11"/>
      <c r="G687" s="2"/>
      <c r="H687" s="2"/>
    </row>
    <row r="688" spans="1:8" ht="13" x14ac:dyDescent="0.15">
      <c r="A688" s="2"/>
      <c r="B688" s="2"/>
      <c r="C688" s="11"/>
      <c r="D688" s="2"/>
      <c r="E688" s="2"/>
      <c r="F688" s="11"/>
      <c r="G688" s="2"/>
      <c r="H688" s="2"/>
    </row>
    <row r="689" spans="1:8" ht="13" x14ac:dyDescent="0.15">
      <c r="A689" s="2"/>
      <c r="B689" s="2"/>
      <c r="C689" s="11"/>
      <c r="D689" s="2"/>
      <c r="E689" s="2"/>
      <c r="F689" s="11"/>
      <c r="G689" s="2"/>
      <c r="H689" s="2"/>
    </row>
    <row r="690" spans="1:8" ht="13" x14ac:dyDescent="0.15">
      <c r="A690" s="2"/>
      <c r="B690" s="2"/>
      <c r="C690" s="11"/>
      <c r="D690" s="2"/>
      <c r="E690" s="2"/>
      <c r="F690" s="11"/>
      <c r="G690" s="2"/>
      <c r="H690" s="2"/>
    </row>
    <row r="691" spans="1:8" ht="13" x14ac:dyDescent="0.15">
      <c r="A691" s="2"/>
      <c r="B691" s="2"/>
      <c r="C691" s="11"/>
      <c r="D691" s="2"/>
      <c r="E691" s="2"/>
      <c r="F691" s="11"/>
      <c r="G691" s="2"/>
      <c r="H691" s="2"/>
    </row>
    <row r="692" spans="1:8" ht="13" x14ac:dyDescent="0.15">
      <c r="A692" s="2"/>
      <c r="B692" s="2"/>
      <c r="C692" s="11"/>
      <c r="D692" s="2"/>
      <c r="E692" s="2"/>
      <c r="F692" s="11"/>
      <c r="G692" s="2"/>
      <c r="H692" s="2"/>
    </row>
    <row r="693" spans="1:8" ht="13" x14ac:dyDescent="0.15">
      <c r="A693" s="2"/>
      <c r="B693" s="2"/>
      <c r="C693" s="11"/>
      <c r="D693" s="2"/>
      <c r="E693" s="2"/>
      <c r="F693" s="11"/>
      <c r="G693" s="2"/>
      <c r="H693" s="2"/>
    </row>
    <row r="694" spans="1:8" ht="13" x14ac:dyDescent="0.15">
      <c r="A694" s="2"/>
      <c r="B694" s="2"/>
      <c r="C694" s="11"/>
      <c r="D694" s="2"/>
      <c r="E694" s="2"/>
      <c r="F694" s="11"/>
      <c r="G694" s="2"/>
      <c r="H694" s="2"/>
    </row>
    <row r="695" spans="1:8" ht="13" x14ac:dyDescent="0.15">
      <c r="A695" s="2"/>
      <c r="B695" s="2"/>
      <c r="C695" s="11"/>
      <c r="D695" s="2"/>
      <c r="E695" s="2"/>
      <c r="F695" s="11"/>
      <c r="G695" s="2"/>
      <c r="H695" s="2"/>
    </row>
    <row r="696" spans="1:8" ht="13" x14ac:dyDescent="0.15">
      <c r="A696" s="2"/>
      <c r="B696" s="2"/>
      <c r="C696" s="11"/>
      <c r="D696" s="2"/>
      <c r="E696" s="2"/>
      <c r="F696" s="11"/>
      <c r="G696" s="2"/>
      <c r="H696" s="2"/>
    </row>
    <row r="697" spans="1:8" ht="13" x14ac:dyDescent="0.15">
      <c r="A697" s="2"/>
      <c r="B697" s="2"/>
      <c r="C697" s="11"/>
      <c r="D697" s="2"/>
      <c r="E697" s="2"/>
      <c r="F697" s="11"/>
      <c r="G697" s="2"/>
      <c r="H697" s="2"/>
    </row>
    <row r="698" spans="1:8" ht="13" x14ac:dyDescent="0.15">
      <c r="A698" s="2"/>
      <c r="B698" s="2"/>
      <c r="C698" s="11"/>
      <c r="D698" s="2"/>
      <c r="E698" s="2"/>
      <c r="F698" s="11"/>
      <c r="G698" s="2"/>
      <c r="H698" s="2"/>
    </row>
    <row r="699" spans="1:8" ht="13" x14ac:dyDescent="0.15">
      <c r="A699" s="2"/>
      <c r="B699" s="2"/>
      <c r="C699" s="11"/>
      <c r="D699" s="2"/>
      <c r="E699" s="2"/>
      <c r="F699" s="11"/>
      <c r="G699" s="2"/>
      <c r="H699" s="2"/>
    </row>
    <row r="700" spans="1:8" ht="13" x14ac:dyDescent="0.15">
      <c r="A700" s="2"/>
      <c r="B700" s="2"/>
      <c r="C700" s="11"/>
      <c r="D700" s="2"/>
      <c r="E700" s="2"/>
      <c r="F700" s="11"/>
      <c r="G700" s="2"/>
      <c r="H700" s="2"/>
    </row>
    <row r="701" spans="1:8" ht="13" x14ac:dyDescent="0.15">
      <c r="A701" s="2"/>
      <c r="B701" s="2"/>
      <c r="C701" s="11"/>
      <c r="D701" s="2"/>
      <c r="E701" s="2"/>
      <c r="F701" s="11"/>
      <c r="G701" s="2"/>
      <c r="H701" s="2"/>
    </row>
    <row r="702" spans="1:8" ht="13" x14ac:dyDescent="0.15">
      <c r="A702" s="2"/>
      <c r="B702" s="2"/>
      <c r="C702" s="11"/>
      <c r="D702" s="2"/>
      <c r="E702" s="2"/>
      <c r="F702" s="11"/>
      <c r="G702" s="2"/>
      <c r="H702" s="2"/>
    </row>
    <row r="703" spans="1:8" ht="13" x14ac:dyDescent="0.15">
      <c r="A703" s="2"/>
      <c r="B703" s="2"/>
      <c r="C703" s="11"/>
      <c r="D703" s="2"/>
      <c r="E703" s="2"/>
      <c r="F703" s="11"/>
      <c r="G703" s="2"/>
      <c r="H703" s="2"/>
    </row>
    <row r="704" spans="1:8" ht="13" x14ac:dyDescent="0.15">
      <c r="A704" s="2"/>
      <c r="B704" s="2"/>
      <c r="C704" s="11"/>
      <c r="D704" s="2"/>
      <c r="E704" s="2"/>
      <c r="F704" s="11"/>
      <c r="G704" s="2"/>
      <c r="H704" s="2"/>
    </row>
    <row r="705" spans="1:8" ht="13" x14ac:dyDescent="0.15">
      <c r="A705" s="2"/>
      <c r="B705" s="2"/>
      <c r="C705" s="11"/>
      <c r="D705" s="2"/>
      <c r="E705" s="2"/>
      <c r="F705" s="11"/>
      <c r="G705" s="2"/>
      <c r="H705" s="2"/>
    </row>
    <row r="706" spans="1:8" ht="13" x14ac:dyDescent="0.15">
      <c r="A706" s="2"/>
      <c r="B706" s="2"/>
      <c r="C706" s="11"/>
      <c r="D706" s="2"/>
      <c r="E706" s="2"/>
      <c r="F706" s="11"/>
      <c r="G706" s="2"/>
      <c r="H706" s="2"/>
    </row>
    <row r="707" spans="1:8" ht="13" x14ac:dyDescent="0.15">
      <c r="A707" s="2"/>
      <c r="B707" s="2"/>
      <c r="C707" s="11"/>
      <c r="D707" s="2"/>
      <c r="E707" s="2"/>
      <c r="F707" s="11"/>
      <c r="G707" s="2"/>
      <c r="H707" s="2"/>
    </row>
    <row r="708" spans="1:8" ht="13" x14ac:dyDescent="0.15">
      <c r="A708" s="2"/>
      <c r="B708" s="2"/>
      <c r="C708" s="11"/>
      <c r="D708" s="2"/>
      <c r="E708" s="2"/>
      <c r="F708" s="11"/>
      <c r="G708" s="2"/>
      <c r="H708" s="2"/>
    </row>
    <row r="709" spans="1:8" ht="13" x14ac:dyDescent="0.15">
      <c r="A709" s="2"/>
      <c r="B709" s="2"/>
      <c r="C709" s="11"/>
      <c r="D709" s="2"/>
      <c r="E709" s="2"/>
      <c r="F709" s="11"/>
      <c r="G709" s="2"/>
      <c r="H709" s="2"/>
    </row>
    <row r="710" spans="1:8" ht="13" x14ac:dyDescent="0.15">
      <c r="A710" s="2"/>
      <c r="B710" s="2"/>
      <c r="C710" s="11"/>
      <c r="D710" s="2"/>
      <c r="E710" s="2"/>
      <c r="F710" s="11"/>
      <c r="G710" s="2"/>
      <c r="H710" s="2"/>
    </row>
    <row r="711" spans="1:8" ht="13" x14ac:dyDescent="0.15">
      <c r="A711" s="2"/>
      <c r="B711" s="2"/>
      <c r="C711" s="11"/>
      <c r="D711" s="2"/>
      <c r="E711" s="2"/>
      <c r="F711" s="11"/>
      <c r="G711" s="2"/>
      <c r="H711" s="2"/>
    </row>
    <row r="712" spans="1:8" ht="13" x14ac:dyDescent="0.15">
      <c r="A712" s="2"/>
      <c r="B712" s="2"/>
      <c r="C712" s="11"/>
      <c r="D712" s="2"/>
      <c r="E712" s="2"/>
      <c r="F712" s="11"/>
      <c r="G712" s="2"/>
      <c r="H712" s="2"/>
    </row>
    <row r="713" spans="1:8" ht="13" x14ac:dyDescent="0.15">
      <c r="A713" s="2"/>
      <c r="B713" s="2"/>
      <c r="C713" s="11"/>
      <c r="D713" s="2"/>
      <c r="E713" s="2"/>
      <c r="F713" s="11"/>
      <c r="G713" s="2"/>
      <c r="H713" s="2"/>
    </row>
    <row r="714" spans="1:8" ht="13" x14ac:dyDescent="0.15">
      <c r="A714" s="2"/>
      <c r="B714" s="2"/>
      <c r="C714" s="11"/>
      <c r="D714" s="2"/>
      <c r="E714" s="2"/>
      <c r="F714" s="11"/>
      <c r="G714" s="2"/>
      <c r="H714" s="2"/>
    </row>
    <row r="715" spans="1:8" ht="13" x14ac:dyDescent="0.15">
      <c r="A715" s="2"/>
      <c r="B715" s="2"/>
      <c r="C715" s="11"/>
      <c r="D715" s="2"/>
      <c r="E715" s="2"/>
      <c r="F715" s="11"/>
      <c r="G715" s="2"/>
      <c r="H715" s="2"/>
    </row>
    <row r="716" spans="1:8" ht="13" x14ac:dyDescent="0.15">
      <c r="A716" s="2"/>
      <c r="B716" s="2"/>
      <c r="C716" s="11"/>
      <c r="D716" s="2"/>
      <c r="E716" s="2"/>
      <c r="F716" s="11"/>
      <c r="G716" s="2"/>
      <c r="H716" s="2"/>
    </row>
    <row r="717" spans="1:8" ht="13" x14ac:dyDescent="0.15">
      <c r="A717" s="2"/>
      <c r="B717" s="2"/>
      <c r="C717" s="11"/>
      <c r="D717" s="2"/>
      <c r="E717" s="2"/>
      <c r="F717" s="11"/>
      <c r="G717" s="2"/>
      <c r="H717" s="2"/>
    </row>
    <row r="718" spans="1:8" ht="13" x14ac:dyDescent="0.15">
      <c r="A718" s="2"/>
      <c r="B718" s="2"/>
      <c r="C718" s="11"/>
      <c r="D718" s="2"/>
      <c r="E718" s="2"/>
      <c r="F718" s="11"/>
      <c r="G718" s="2"/>
      <c r="H718" s="2"/>
    </row>
    <row r="719" spans="1:8" ht="13" x14ac:dyDescent="0.15">
      <c r="A719" s="2"/>
      <c r="B719" s="2"/>
      <c r="C719" s="11"/>
      <c r="D719" s="2"/>
      <c r="E719" s="2"/>
      <c r="F719" s="11"/>
      <c r="G719" s="2"/>
      <c r="H719" s="2"/>
    </row>
    <row r="720" spans="1:8" ht="13" x14ac:dyDescent="0.15">
      <c r="A720" s="2"/>
      <c r="B720" s="2"/>
      <c r="C720" s="11"/>
      <c r="D720" s="2"/>
      <c r="E720" s="2"/>
      <c r="F720" s="11"/>
      <c r="G720" s="2"/>
      <c r="H720" s="2"/>
    </row>
    <row r="721" spans="1:8" ht="13" x14ac:dyDescent="0.15">
      <c r="A721" s="2"/>
      <c r="B721" s="2"/>
      <c r="C721" s="11"/>
      <c r="D721" s="2"/>
      <c r="E721" s="2"/>
      <c r="F721" s="11"/>
      <c r="G721" s="2"/>
      <c r="H721" s="2"/>
    </row>
    <row r="722" spans="1:8" ht="13" x14ac:dyDescent="0.15">
      <c r="A722" s="2"/>
      <c r="B722" s="2"/>
      <c r="C722" s="11"/>
      <c r="D722" s="2"/>
      <c r="E722" s="2"/>
      <c r="F722" s="11"/>
      <c r="G722" s="2"/>
      <c r="H722" s="2"/>
    </row>
    <row r="723" spans="1:8" ht="13" x14ac:dyDescent="0.15">
      <c r="A723" s="2"/>
      <c r="B723" s="2"/>
      <c r="C723" s="11"/>
      <c r="D723" s="2"/>
      <c r="E723" s="2"/>
      <c r="F723" s="11"/>
      <c r="G723" s="2"/>
      <c r="H723" s="2"/>
    </row>
    <row r="724" spans="1:8" ht="13" x14ac:dyDescent="0.15">
      <c r="A724" s="2"/>
      <c r="B724" s="2"/>
      <c r="C724" s="11"/>
      <c r="D724" s="2"/>
      <c r="E724" s="2"/>
      <c r="F724" s="11"/>
      <c r="G724" s="2"/>
      <c r="H724" s="2"/>
    </row>
    <row r="725" spans="1:8" ht="13" x14ac:dyDescent="0.15">
      <c r="A725" s="2"/>
      <c r="B725" s="2"/>
      <c r="C725" s="11"/>
      <c r="D725" s="2"/>
      <c r="E725" s="2"/>
      <c r="F725" s="11"/>
      <c r="G725" s="2"/>
      <c r="H725" s="2"/>
    </row>
    <row r="726" spans="1:8" ht="13" x14ac:dyDescent="0.15">
      <c r="A726" s="2"/>
      <c r="B726" s="2"/>
      <c r="C726" s="11"/>
      <c r="D726" s="2"/>
      <c r="E726" s="2"/>
      <c r="F726" s="11"/>
      <c r="G726" s="2"/>
      <c r="H726" s="2"/>
    </row>
    <row r="727" spans="1:8" ht="13" x14ac:dyDescent="0.15">
      <c r="A727" s="2"/>
      <c r="B727" s="2"/>
      <c r="C727" s="11"/>
      <c r="D727" s="2"/>
      <c r="E727" s="2"/>
      <c r="F727" s="11"/>
      <c r="G727" s="2"/>
      <c r="H727" s="2"/>
    </row>
    <row r="728" spans="1:8" ht="13" x14ac:dyDescent="0.15">
      <c r="A728" s="2"/>
      <c r="B728" s="2"/>
      <c r="C728" s="11"/>
      <c r="D728" s="2"/>
      <c r="E728" s="2"/>
      <c r="F728" s="11"/>
      <c r="G728" s="2"/>
      <c r="H728" s="2"/>
    </row>
    <row r="729" spans="1:8" ht="13" x14ac:dyDescent="0.15">
      <c r="A729" s="2"/>
      <c r="B729" s="2"/>
      <c r="C729" s="11"/>
      <c r="D729" s="2"/>
      <c r="E729" s="2"/>
      <c r="F729" s="11"/>
      <c r="G729" s="2"/>
      <c r="H729" s="2"/>
    </row>
    <row r="730" spans="1:8" ht="13" x14ac:dyDescent="0.15">
      <c r="A730" s="2"/>
      <c r="B730" s="2"/>
      <c r="C730" s="11"/>
      <c r="D730" s="2"/>
      <c r="E730" s="2"/>
      <c r="F730" s="11"/>
      <c r="G730" s="2"/>
      <c r="H730" s="2"/>
    </row>
    <row r="731" spans="1:8" ht="13" x14ac:dyDescent="0.15">
      <c r="A731" s="2"/>
      <c r="B731" s="2"/>
      <c r="C731" s="11"/>
      <c r="D731" s="2"/>
      <c r="E731" s="2"/>
      <c r="F731" s="11"/>
      <c r="G731" s="2"/>
      <c r="H731" s="2"/>
    </row>
    <row r="732" spans="1:8" ht="13" x14ac:dyDescent="0.15">
      <c r="A732" s="2"/>
      <c r="B732" s="2"/>
      <c r="C732" s="11"/>
      <c r="D732" s="2"/>
      <c r="E732" s="2"/>
      <c r="F732" s="11"/>
      <c r="G732" s="2"/>
      <c r="H732" s="2"/>
    </row>
    <row r="733" spans="1:8" ht="13" x14ac:dyDescent="0.15">
      <c r="A733" s="2"/>
      <c r="B733" s="2"/>
      <c r="C733" s="11"/>
      <c r="D733" s="2"/>
      <c r="E733" s="2"/>
      <c r="F733" s="11"/>
      <c r="G733" s="2"/>
      <c r="H733" s="2"/>
    </row>
    <row r="734" spans="1:8" ht="13" x14ac:dyDescent="0.15">
      <c r="A734" s="2"/>
      <c r="B734" s="2"/>
      <c r="C734" s="11"/>
      <c r="D734" s="2"/>
      <c r="E734" s="2"/>
      <c r="F734" s="11"/>
      <c r="G734" s="2"/>
      <c r="H734" s="2"/>
    </row>
    <row r="735" spans="1:8" ht="13" x14ac:dyDescent="0.15">
      <c r="A735" s="2"/>
      <c r="B735" s="2"/>
      <c r="C735" s="11"/>
      <c r="D735" s="2"/>
      <c r="E735" s="2"/>
      <c r="F735" s="11"/>
      <c r="G735" s="2"/>
      <c r="H735" s="2"/>
    </row>
    <row r="736" spans="1:8" ht="13" x14ac:dyDescent="0.15">
      <c r="A736" s="2"/>
      <c r="B736" s="2"/>
      <c r="C736" s="11"/>
      <c r="D736" s="2"/>
      <c r="E736" s="2"/>
      <c r="F736" s="11"/>
      <c r="G736" s="2"/>
      <c r="H736" s="2"/>
    </row>
    <row r="737" spans="1:8" ht="13" x14ac:dyDescent="0.15">
      <c r="A737" s="2"/>
      <c r="B737" s="2"/>
      <c r="C737" s="11"/>
      <c r="D737" s="2"/>
      <c r="E737" s="2"/>
      <c r="F737" s="11"/>
      <c r="G737" s="2"/>
      <c r="H737" s="2"/>
    </row>
    <row r="738" spans="1:8" ht="13" x14ac:dyDescent="0.15">
      <c r="A738" s="2"/>
      <c r="B738" s="2"/>
      <c r="C738" s="11"/>
      <c r="D738" s="2"/>
      <c r="E738" s="2"/>
      <c r="F738" s="11"/>
      <c r="G738" s="2"/>
      <c r="H738" s="2"/>
    </row>
    <row r="739" spans="1:8" ht="13" x14ac:dyDescent="0.15">
      <c r="A739" s="2"/>
      <c r="B739" s="2"/>
      <c r="C739" s="11"/>
      <c r="D739" s="2"/>
      <c r="E739" s="2"/>
      <c r="F739" s="11"/>
      <c r="G739" s="2"/>
      <c r="H739" s="2"/>
    </row>
    <row r="740" spans="1:8" ht="13" x14ac:dyDescent="0.15">
      <c r="A740" s="2"/>
      <c r="B740" s="2"/>
      <c r="C740" s="11"/>
      <c r="D740" s="2"/>
      <c r="E740" s="2"/>
      <c r="F740" s="11"/>
      <c r="G740" s="2"/>
      <c r="H740" s="2"/>
    </row>
    <row r="741" spans="1:8" ht="13" x14ac:dyDescent="0.15">
      <c r="A741" s="2"/>
      <c r="B741" s="2"/>
      <c r="C741" s="11"/>
      <c r="D741" s="2"/>
      <c r="E741" s="2"/>
      <c r="F741" s="11"/>
      <c r="G741" s="2"/>
      <c r="H741" s="2"/>
    </row>
    <row r="742" spans="1:8" ht="13" x14ac:dyDescent="0.15">
      <c r="A742" s="2"/>
      <c r="B742" s="2"/>
      <c r="C742" s="11"/>
      <c r="D742" s="2"/>
      <c r="E742" s="2"/>
      <c r="F742" s="11"/>
      <c r="G742" s="2"/>
      <c r="H742" s="2"/>
    </row>
    <row r="743" spans="1:8" ht="13" x14ac:dyDescent="0.15">
      <c r="A743" s="2"/>
      <c r="B743" s="2"/>
      <c r="C743" s="11"/>
      <c r="D743" s="2"/>
      <c r="E743" s="2"/>
      <c r="F743" s="11"/>
      <c r="G743" s="2"/>
      <c r="H743" s="2"/>
    </row>
    <row r="744" spans="1:8" ht="13" x14ac:dyDescent="0.15">
      <c r="A744" s="2"/>
      <c r="B744" s="2"/>
      <c r="C744" s="11"/>
      <c r="D744" s="2"/>
      <c r="E744" s="2"/>
      <c r="F744" s="11"/>
      <c r="G744" s="2"/>
      <c r="H744" s="2"/>
    </row>
    <row r="745" spans="1:8" ht="13" x14ac:dyDescent="0.15">
      <c r="A745" s="2"/>
      <c r="B745" s="2"/>
      <c r="C745" s="11"/>
      <c r="D745" s="2"/>
      <c r="E745" s="2"/>
      <c r="F745" s="11"/>
      <c r="G745" s="2"/>
      <c r="H745" s="2"/>
    </row>
    <row r="746" spans="1:8" ht="13" x14ac:dyDescent="0.15">
      <c r="A746" s="2"/>
      <c r="B746" s="2"/>
      <c r="C746" s="11"/>
      <c r="D746" s="2"/>
      <c r="E746" s="2"/>
      <c r="F746" s="11"/>
      <c r="G746" s="2"/>
      <c r="H746" s="2"/>
    </row>
    <row r="747" spans="1:8" ht="13" x14ac:dyDescent="0.15">
      <c r="A747" s="2"/>
      <c r="B747" s="2"/>
      <c r="C747" s="11"/>
      <c r="D747" s="2"/>
      <c r="E747" s="2"/>
      <c r="F747" s="11"/>
      <c r="G747" s="2"/>
      <c r="H747" s="2"/>
    </row>
    <row r="748" spans="1:8" ht="13" x14ac:dyDescent="0.15">
      <c r="A748" s="2"/>
      <c r="B748" s="2"/>
      <c r="C748" s="11"/>
      <c r="D748" s="2"/>
      <c r="E748" s="2"/>
      <c r="F748" s="11"/>
      <c r="G748" s="2"/>
      <c r="H748" s="2"/>
    </row>
    <row r="749" spans="1:8" ht="13" x14ac:dyDescent="0.15">
      <c r="A749" s="2"/>
      <c r="B749" s="2"/>
      <c r="C749" s="11"/>
      <c r="D749" s="2"/>
      <c r="E749" s="2"/>
      <c r="F749" s="11"/>
      <c r="G749" s="2"/>
      <c r="H749" s="2"/>
    </row>
    <row r="750" spans="1:8" ht="13" x14ac:dyDescent="0.15">
      <c r="A750" s="2"/>
      <c r="B750" s="2"/>
      <c r="C750" s="11"/>
      <c r="D750" s="2"/>
      <c r="E750" s="2"/>
      <c r="F750" s="11"/>
      <c r="G750" s="2"/>
      <c r="H750" s="2"/>
    </row>
    <row r="751" spans="1:8" ht="13" x14ac:dyDescent="0.15">
      <c r="A751" s="2"/>
      <c r="B751" s="2"/>
      <c r="C751" s="11"/>
      <c r="D751" s="2"/>
      <c r="E751" s="2"/>
      <c r="F751" s="11"/>
      <c r="G751" s="2"/>
      <c r="H751" s="2"/>
    </row>
    <row r="752" spans="1:8" ht="13" x14ac:dyDescent="0.15">
      <c r="A752" s="2"/>
      <c r="B752" s="2"/>
      <c r="C752" s="11"/>
      <c r="D752" s="2"/>
      <c r="E752" s="2"/>
      <c r="F752" s="11"/>
      <c r="G752" s="2"/>
      <c r="H752" s="2"/>
    </row>
    <row r="753" spans="1:8" ht="13" x14ac:dyDescent="0.15">
      <c r="A753" s="2"/>
      <c r="B753" s="2"/>
      <c r="C753" s="11"/>
      <c r="D753" s="2"/>
      <c r="E753" s="2"/>
      <c r="F753" s="11"/>
      <c r="G753" s="2"/>
      <c r="H753" s="2"/>
    </row>
    <row r="754" spans="1:8" ht="13" x14ac:dyDescent="0.15">
      <c r="A754" s="2"/>
      <c r="B754" s="2"/>
      <c r="C754" s="11"/>
      <c r="D754" s="2"/>
      <c r="E754" s="2"/>
      <c r="F754" s="11"/>
      <c r="G754" s="2"/>
      <c r="H754" s="2"/>
    </row>
    <row r="755" spans="1:8" ht="13" x14ac:dyDescent="0.15">
      <c r="A755" s="2"/>
      <c r="B755" s="2"/>
      <c r="C755" s="11"/>
      <c r="D755" s="2"/>
      <c r="E755" s="2"/>
      <c r="F755" s="11"/>
      <c r="G755" s="2"/>
      <c r="H755" s="2"/>
    </row>
    <row r="756" spans="1:8" ht="13" x14ac:dyDescent="0.15">
      <c r="A756" s="2"/>
      <c r="B756" s="2"/>
      <c r="C756" s="11"/>
      <c r="D756" s="2"/>
      <c r="E756" s="2"/>
      <c r="F756" s="11"/>
      <c r="G756" s="2"/>
      <c r="H756" s="2"/>
    </row>
    <row r="757" spans="1:8" ht="13" x14ac:dyDescent="0.15">
      <c r="A757" s="2"/>
      <c r="B757" s="2"/>
      <c r="C757" s="11"/>
      <c r="D757" s="2"/>
      <c r="E757" s="2"/>
      <c r="F757" s="11"/>
      <c r="G757" s="2"/>
      <c r="H757" s="2"/>
    </row>
    <row r="758" spans="1:8" ht="13" x14ac:dyDescent="0.15">
      <c r="A758" s="2"/>
      <c r="B758" s="2"/>
      <c r="C758" s="11"/>
      <c r="D758" s="2"/>
      <c r="E758" s="2"/>
      <c r="F758" s="11"/>
      <c r="G758" s="2"/>
      <c r="H758" s="2"/>
    </row>
    <row r="759" spans="1:8" ht="13" x14ac:dyDescent="0.15">
      <c r="A759" s="2"/>
      <c r="B759" s="2"/>
      <c r="C759" s="11"/>
      <c r="D759" s="2"/>
      <c r="E759" s="2"/>
      <c r="F759" s="11"/>
      <c r="G759" s="2"/>
      <c r="H759" s="2"/>
    </row>
    <row r="760" spans="1:8" ht="13" x14ac:dyDescent="0.15">
      <c r="A760" s="2"/>
      <c r="B760" s="2"/>
      <c r="C760" s="11"/>
      <c r="D760" s="2"/>
      <c r="E760" s="2"/>
      <c r="F760" s="11"/>
      <c r="G760" s="2"/>
      <c r="H760" s="2"/>
    </row>
    <row r="761" spans="1:8" ht="13" x14ac:dyDescent="0.15">
      <c r="A761" s="2"/>
      <c r="B761" s="2"/>
      <c r="C761" s="11"/>
      <c r="D761" s="2"/>
      <c r="E761" s="2"/>
      <c r="F761" s="11"/>
      <c r="G761" s="2"/>
      <c r="H761" s="2"/>
    </row>
    <row r="762" spans="1:8" ht="13" x14ac:dyDescent="0.15">
      <c r="A762" s="2"/>
      <c r="B762" s="2"/>
      <c r="C762" s="11"/>
      <c r="D762" s="2"/>
      <c r="E762" s="2"/>
      <c r="F762" s="11"/>
      <c r="G762" s="2"/>
      <c r="H762" s="2"/>
    </row>
    <row r="763" spans="1:8" ht="13" x14ac:dyDescent="0.15">
      <c r="A763" s="2"/>
      <c r="B763" s="2"/>
      <c r="C763" s="11"/>
      <c r="D763" s="2"/>
      <c r="E763" s="2"/>
      <c r="F763" s="11"/>
      <c r="G763" s="2"/>
      <c r="H763" s="2"/>
    </row>
    <row r="764" spans="1:8" ht="13" x14ac:dyDescent="0.15">
      <c r="A764" s="2"/>
      <c r="B764" s="2"/>
      <c r="C764" s="11"/>
      <c r="D764" s="2"/>
      <c r="E764" s="2"/>
      <c r="F764" s="11"/>
      <c r="G764" s="2"/>
      <c r="H764" s="2"/>
    </row>
    <row r="765" spans="1:8" ht="13" x14ac:dyDescent="0.15">
      <c r="A765" s="2"/>
      <c r="B765" s="2"/>
      <c r="C765" s="11"/>
      <c r="D765" s="2"/>
      <c r="E765" s="2"/>
      <c r="F765" s="11"/>
      <c r="G765" s="2"/>
      <c r="H765" s="2"/>
    </row>
    <row r="766" spans="1:8" ht="13" x14ac:dyDescent="0.15">
      <c r="A766" s="2"/>
      <c r="B766" s="2"/>
      <c r="C766" s="11"/>
      <c r="D766" s="2"/>
      <c r="E766" s="2"/>
      <c r="F766" s="11"/>
      <c r="G766" s="2"/>
      <c r="H766" s="2"/>
    </row>
    <row r="767" spans="1:8" ht="13" x14ac:dyDescent="0.15">
      <c r="A767" s="2"/>
      <c r="B767" s="2"/>
      <c r="C767" s="11"/>
      <c r="D767" s="2"/>
      <c r="E767" s="2"/>
      <c r="F767" s="11"/>
      <c r="G767" s="2"/>
      <c r="H767" s="2"/>
    </row>
    <row r="768" spans="1:8" ht="13" x14ac:dyDescent="0.15">
      <c r="A768" s="2"/>
      <c r="B768" s="2"/>
      <c r="C768" s="11"/>
      <c r="D768" s="2"/>
      <c r="E768" s="2"/>
      <c r="F768" s="11"/>
      <c r="G768" s="2"/>
      <c r="H768" s="2"/>
    </row>
    <row r="769" spans="1:8" ht="13" x14ac:dyDescent="0.15">
      <c r="A769" s="2"/>
      <c r="B769" s="2"/>
      <c r="C769" s="11"/>
      <c r="D769" s="2"/>
      <c r="E769" s="2"/>
      <c r="F769" s="11"/>
      <c r="G769" s="2"/>
      <c r="H769" s="2"/>
    </row>
    <row r="770" spans="1:8" ht="13" x14ac:dyDescent="0.15">
      <c r="A770" s="2"/>
      <c r="B770" s="2"/>
      <c r="C770" s="11"/>
      <c r="D770" s="2"/>
      <c r="E770" s="2"/>
      <c r="F770" s="11"/>
      <c r="G770" s="2"/>
      <c r="H770" s="2"/>
    </row>
    <row r="771" spans="1:8" ht="13" x14ac:dyDescent="0.15">
      <c r="A771" s="2"/>
      <c r="B771" s="2"/>
      <c r="C771" s="11"/>
      <c r="D771" s="2"/>
      <c r="E771" s="2"/>
      <c r="F771" s="11"/>
      <c r="G771" s="2"/>
      <c r="H771" s="2"/>
    </row>
    <row r="772" spans="1:8" ht="13" x14ac:dyDescent="0.15">
      <c r="A772" s="2"/>
      <c r="B772" s="2"/>
      <c r="C772" s="11"/>
      <c r="D772" s="2"/>
      <c r="E772" s="2"/>
      <c r="F772" s="11"/>
      <c r="G772" s="2"/>
      <c r="H772" s="2"/>
    </row>
    <row r="773" spans="1:8" ht="13" x14ac:dyDescent="0.15">
      <c r="A773" s="2"/>
      <c r="B773" s="2"/>
      <c r="C773" s="11"/>
      <c r="D773" s="2"/>
      <c r="E773" s="2"/>
      <c r="F773" s="11"/>
      <c r="G773" s="2"/>
      <c r="H773" s="2"/>
    </row>
    <row r="774" spans="1:8" ht="13" x14ac:dyDescent="0.15">
      <c r="A774" s="2"/>
      <c r="B774" s="2"/>
      <c r="C774" s="11"/>
      <c r="D774" s="2"/>
      <c r="E774" s="2"/>
      <c r="F774" s="11"/>
      <c r="G774" s="2"/>
      <c r="H774" s="2"/>
    </row>
    <row r="775" spans="1:8" ht="13" x14ac:dyDescent="0.15">
      <c r="A775" s="2"/>
      <c r="B775" s="2"/>
      <c r="C775" s="11"/>
      <c r="D775" s="2"/>
      <c r="E775" s="2"/>
      <c r="F775" s="11"/>
      <c r="G775" s="2"/>
      <c r="H775" s="2"/>
    </row>
    <row r="776" spans="1:8" ht="13" x14ac:dyDescent="0.15">
      <c r="A776" s="2"/>
      <c r="B776" s="2"/>
      <c r="C776" s="11"/>
      <c r="D776" s="2"/>
      <c r="E776" s="2"/>
      <c r="F776" s="11"/>
      <c r="G776" s="2"/>
      <c r="H776" s="2"/>
    </row>
    <row r="777" spans="1:8" ht="13" x14ac:dyDescent="0.15">
      <c r="A777" s="2"/>
      <c r="B777" s="2"/>
      <c r="C777" s="11"/>
      <c r="D777" s="2"/>
      <c r="E777" s="2"/>
      <c r="F777" s="11"/>
      <c r="G777" s="2"/>
      <c r="H777" s="2"/>
    </row>
    <row r="778" spans="1:8" ht="13" x14ac:dyDescent="0.15">
      <c r="A778" s="2"/>
      <c r="B778" s="2"/>
      <c r="C778" s="11"/>
      <c r="D778" s="2"/>
      <c r="E778" s="2"/>
      <c r="F778" s="11"/>
      <c r="G778" s="2"/>
      <c r="H778" s="2"/>
    </row>
    <row r="779" spans="1:8" ht="13" x14ac:dyDescent="0.15">
      <c r="A779" s="2"/>
      <c r="B779" s="2"/>
      <c r="C779" s="11"/>
      <c r="D779" s="2"/>
      <c r="E779" s="2"/>
      <c r="F779" s="11"/>
      <c r="G779" s="2"/>
      <c r="H779" s="2"/>
    </row>
    <row r="780" spans="1:8" ht="13" x14ac:dyDescent="0.15">
      <c r="A780" s="2"/>
      <c r="B780" s="2"/>
      <c r="C780" s="11"/>
      <c r="D780" s="2"/>
      <c r="E780" s="2"/>
      <c r="F780" s="11"/>
      <c r="G780" s="2"/>
      <c r="H780" s="2"/>
    </row>
    <row r="781" spans="1:8" ht="13" x14ac:dyDescent="0.15">
      <c r="A781" s="2"/>
      <c r="B781" s="2"/>
      <c r="C781" s="11"/>
      <c r="D781" s="2"/>
      <c r="E781" s="2"/>
      <c r="F781" s="11"/>
      <c r="G781" s="2"/>
      <c r="H781" s="2"/>
    </row>
    <row r="782" spans="1:8" ht="13" x14ac:dyDescent="0.15">
      <c r="A782" s="2"/>
      <c r="B782" s="2"/>
      <c r="C782" s="11"/>
      <c r="D782" s="2"/>
      <c r="E782" s="2"/>
      <c r="F782" s="11"/>
      <c r="G782" s="2"/>
      <c r="H782" s="2"/>
    </row>
    <row r="783" spans="1:8" ht="13" x14ac:dyDescent="0.15">
      <c r="A783" s="2"/>
      <c r="B783" s="2"/>
      <c r="C783" s="11"/>
      <c r="D783" s="2"/>
      <c r="E783" s="2"/>
      <c r="F783" s="11"/>
      <c r="G783" s="2"/>
      <c r="H783" s="2"/>
    </row>
    <row r="784" spans="1:8" ht="13" x14ac:dyDescent="0.15">
      <c r="A784" s="2"/>
      <c r="B784" s="2"/>
      <c r="C784" s="11"/>
      <c r="D784" s="2"/>
      <c r="E784" s="2"/>
      <c r="F784" s="11"/>
      <c r="G784" s="2"/>
      <c r="H784" s="2"/>
    </row>
    <row r="785" spans="1:8" ht="13" x14ac:dyDescent="0.15">
      <c r="A785" s="2"/>
      <c r="B785" s="2"/>
      <c r="C785" s="11"/>
      <c r="D785" s="2"/>
      <c r="E785" s="2"/>
      <c r="F785" s="11"/>
      <c r="G785" s="2"/>
      <c r="H785" s="2"/>
    </row>
    <row r="786" spans="1:8" ht="13" x14ac:dyDescent="0.15">
      <c r="A786" s="2"/>
      <c r="B786" s="2"/>
      <c r="C786" s="11"/>
      <c r="D786" s="2"/>
      <c r="E786" s="2"/>
      <c r="F786" s="11"/>
      <c r="G786" s="2"/>
      <c r="H786" s="2"/>
    </row>
    <row r="787" spans="1:8" ht="13" x14ac:dyDescent="0.15">
      <c r="A787" s="2"/>
      <c r="B787" s="2"/>
      <c r="C787" s="11"/>
      <c r="D787" s="2"/>
      <c r="E787" s="2"/>
      <c r="F787" s="11"/>
      <c r="G787" s="2"/>
      <c r="H787" s="2"/>
    </row>
    <row r="788" spans="1:8" ht="13" x14ac:dyDescent="0.15">
      <c r="A788" s="2"/>
      <c r="B788" s="2"/>
      <c r="C788" s="11"/>
      <c r="D788" s="2"/>
      <c r="E788" s="2"/>
      <c r="F788" s="11"/>
      <c r="G788" s="2"/>
      <c r="H788" s="2"/>
    </row>
    <row r="789" spans="1:8" ht="13" x14ac:dyDescent="0.15">
      <c r="A789" s="2"/>
      <c r="B789" s="2"/>
      <c r="C789" s="11"/>
      <c r="D789" s="2"/>
      <c r="E789" s="2"/>
      <c r="F789" s="11"/>
      <c r="G789" s="2"/>
      <c r="H789" s="2"/>
    </row>
    <row r="790" spans="1:8" ht="13" x14ac:dyDescent="0.15">
      <c r="A790" s="2"/>
      <c r="B790" s="2"/>
      <c r="C790" s="11"/>
      <c r="D790" s="2"/>
      <c r="E790" s="2"/>
      <c r="F790" s="11"/>
      <c r="G790" s="2"/>
      <c r="H790" s="2"/>
    </row>
    <row r="791" spans="1:8" ht="13" x14ac:dyDescent="0.15">
      <c r="A791" s="2"/>
      <c r="B791" s="2"/>
      <c r="C791" s="11"/>
      <c r="D791" s="2"/>
      <c r="E791" s="2"/>
      <c r="F791" s="11"/>
      <c r="G791" s="2"/>
      <c r="H791" s="2"/>
    </row>
    <row r="792" spans="1:8" ht="13" x14ac:dyDescent="0.15">
      <c r="A792" s="2"/>
      <c r="B792" s="2"/>
      <c r="C792" s="11"/>
      <c r="D792" s="2"/>
      <c r="E792" s="2"/>
      <c r="F792" s="11"/>
      <c r="G792" s="2"/>
      <c r="H792" s="2"/>
    </row>
    <row r="793" spans="1:8" ht="13" x14ac:dyDescent="0.15">
      <c r="A793" s="2"/>
      <c r="B793" s="2"/>
      <c r="C793" s="11"/>
      <c r="D793" s="2"/>
      <c r="E793" s="2"/>
      <c r="F793" s="11"/>
      <c r="G793" s="2"/>
      <c r="H793" s="2"/>
    </row>
    <row r="794" spans="1:8" ht="13" x14ac:dyDescent="0.15">
      <c r="A794" s="2"/>
      <c r="B794" s="2"/>
      <c r="C794" s="11"/>
      <c r="D794" s="2"/>
      <c r="E794" s="2"/>
      <c r="F794" s="11"/>
      <c r="G794" s="2"/>
      <c r="H794" s="2"/>
    </row>
    <row r="795" spans="1:8" ht="13" x14ac:dyDescent="0.15">
      <c r="A795" s="2"/>
      <c r="B795" s="2"/>
      <c r="C795" s="11"/>
      <c r="D795" s="2"/>
      <c r="E795" s="2"/>
      <c r="F795" s="11"/>
      <c r="G795" s="2"/>
      <c r="H795" s="2"/>
    </row>
    <row r="796" spans="1:8" ht="13" x14ac:dyDescent="0.15">
      <c r="A796" s="2"/>
      <c r="B796" s="2"/>
      <c r="C796" s="11"/>
      <c r="D796" s="2"/>
      <c r="E796" s="2"/>
      <c r="F796" s="11"/>
      <c r="G796" s="2"/>
      <c r="H796" s="2"/>
    </row>
    <row r="797" spans="1:8" ht="13" x14ac:dyDescent="0.15">
      <c r="A797" s="2"/>
      <c r="B797" s="2"/>
      <c r="C797" s="11"/>
      <c r="D797" s="2"/>
      <c r="E797" s="2"/>
      <c r="F797" s="11"/>
      <c r="G797" s="2"/>
      <c r="H797" s="2"/>
    </row>
    <row r="798" spans="1:8" ht="13" x14ac:dyDescent="0.15">
      <c r="A798" s="2"/>
      <c r="B798" s="2"/>
      <c r="C798" s="11"/>
      <c r="D798" s="2"/>
      <c r="E798" s="2"/>
      <c r="F798" s="11"/>
      <c r="G798" s="2"/>
      <c r="H798" s="2"/>
    </row>
    <row r="799" spans="1:8" ht="13" x14ac:dyDescent="0.15">
      <c r="A799" s="2"/>
      <c r="B799" s="2"/>
      <c r="C799" s="11"/>
      <c r="D799" s="2"/>
      <c r="E799" s="2"/>
      <c r="F799" s="11"/>
      <c r="G799" s="2"/>
      <c r="H799" s="2"/>
    </row>
    <row r="800" spans="1:8" ht="13" x14ac:dyDescent="0.15">
      <c r="A800" s="2"/>
      <c r="B800" s="2"/>
      <c r="C800" s="11"/>
      <c r="D800" s="2"/>
      <c r="E800" s="2"/>
      <c r="F800" s="11"/>
      <c r="G800" s="2"/>
      <c r="H800" s="2"/>
    </row>
    <row r="801" spans="1:8" ht="13" x14ac:dyDescent="0.15">
      <c r="A801" s="2"/>
      <c r="B801" s="2"/>
      <c r="C801" s="11"/>
      <c r="D801" s="2"/>
      <c r="E801" s="2"/>
      <c r="F801" s="11"/>
      <c r="G801" s="2"/>
      <c r="H801" s="2"/>
    </row>
    <row r="802" spans="1:8" ht="13" x14ac:dyDescent="0.15">
      <c r="A802" s="2"/>
      <c r="B802" s="2"/>
      <c r="C802" s="11"/>
      <c r="D802" s="2"/>
      <c r="E802" s="2"/>
      <c r="F802" s="11"/>
      <c r="G802" s="2"/>
      <c r="H802" s="2"/>
    </row>
    <row r="803" spans="1:8" ht="13" x14ac:dyDescent="0.15">
      <c r="A803" s="2"/>
      <c r="B803" s="2"/>
      <c r="C803" s="11"/>
      <c r="D803" s="2"/>
      <c r="E803" s="2"/>
      <c r="F803" s="11"/>
      <c r="G803" s="2"/>
      <c r="H803" s="2"/>
    </row>
    <row r="804" spans="1:8" ht="13" x14ac:dyDescent="0.15">
      <c r="A804" s="2"/>
      <c r="B804" s="2"/>
      <c r="C804" s="11"/>
      <c r="D804" s="2"/>
      <c r="E804" s="2"/>
      <c r="F804" s="11"/>
      <c r="G804" s="2"/>
      <c r="H804" s="2"/>
    </row>
    <row r="805" spans="1:8" ht="13" x14ac:dyDescent="0.15">
      <c r="A805" s="2"/>
      <c r="B805" s="2"/>
      <c r="C805" s="11"/>
      <c r="D805" s="2"/>
      <c r="E805" s="2"/>
      <c r="F805" s="11"/>
      <c r="G805" s="2"/>
      <c r="H805" s="2"/>
    </row>
    <row r="806" spans="1:8" ht="13" x14ac:dyDescent="0.15">
      <c r="A806" s="2"/>
      <c r="B806" s="2"/>
      <c r="C806" s="11"/>
      <c r="D806" s="2"/>
      <c r="E806" s="2"/>
      <c r="F806" s="11"/>
      <c r="G806" s="2"/>
      <c r="H806" s="2"/>
    </row>
    <row r="807" spans="1:8" ht="13" x14ac:dyDescent="0.15">
      <c r="A807" s="2"/>
      <c r="B807" s="2"/>
      <c r="C807" s="11"/>
      <c r="D807" s="2"/>
      <c r="E807" s="2"/>
      <c r="F807" s="11"/>
      <c r="G807" s="2"/>
      <c r="H807" s="2"/>
    </row>
    <row r="808" spans="1:8" ht="13" x14ac:dyDescent="0.15">
      <c r="A808" s="2"/>
      <c r="B808" s="2"/>
      <c r="C808" s="11"/>
      <c r="D808" s="2"/>
      <c r="E808" s="2"/>
      <c r="F808" s="11"/>
      <c r="G808" s="2"/>
      <c r="H808" s="2"/>
    </row>
    <row r="809" spans="1:8" ht="13" x14ac:dyDescent="0.15">
      <c r="A809" s="2"/>
      <c r="B809" s="2"/>
      <c r="C809" s="11"/>
      <c r="D809" s="2"/>
      <c r="E809" s="2"/>
      <c r="F809" s="11"/>
      <c r="G809" s="2"/>
      <c r="H809" s="2"/>
    </row>
    <row r="810" spans="1:8" ht="13" x14ac:dyDescent="0.15">
      <c r="A810" s="2"/>
      <c r="B810" s="2"/>
      <c r="C810" s="11"/>
      <c r="D810" s="2"/>
      <c r="E810" s="2"/>
      <c r="F810" s="11"/>
      <c r="G810" s="2"/>
      <c r="H810" s="2"/>
    </row>
    <row r="811" spans="1:8" ht="13" x14ac:dyDescent="0.15">
      <c r="A811" s="2"/>
      <c r="B811" s="2"/>
      <c r="C811" s="11"/>
      <c r="D811" s="2"/>
      <c r="E811" s="2"/>
      <c r="F811" s="11"/>
      <c r="G811" s="2"/>
      <c r="H811" s="2"/>
    </row>
    <row r="812" spans="1:8" ht="13" x14ac:dyDescent="0.15">
      <c r="A812" s="2"/>
      <c r="B812" s="2"/>
      <c r="C812" s="11"/>
      <c r="D812" s="2"/>
      <c r="E812" s="2"/>
      <c r="F812" s="11"/>
      <c r="G812" s="2"/>
      <c r="H812" s="2"/>
    </row>
    <row r="813" spans="1:8" ht="13" x14ac:dyDescent="0.15">
      <c r="A813" s="2"/>
      <c r="B813" s="2"/>
      <c r="C813" s="11"/>
      <c r="D813" s="2"/>
      <c r="E813" s="2"/>
      <c r="F813" s="11"/>
      <c r="G813" s="2"/>
      <c r="H813" s="2"/>
    </row>
    <row r="814" spans="1:8" ht="13" x14ac:dyDescent="0.15">
      <c r="A814" s="2"/>
      <c r="B814" s="2"/>
      <c r="C814" s="11"/>
      <c r="D814" s="2"/>
      <c r="E814" s="2"/>
      <c r="F814" s="11"/>
      <c r="G814" s="2"/>
      <c r="H814" s="2"/>
    </row>
    <row r="815" spans="1:8" ht="13" x14ac:dyDescent="0.15">
      <c r="A815" s="2"/>
      <c r="B815" s="2"/>
      <c r="C815" s="11"/>
      <c r="D815" s="2"/>
      <c r="E815" s="2"/>
      <c r="F815" s="11"/>
      <c r="G815" s="2"/>
      <c r="H815" s="2"/>
    </row>
    <row r="816" spans="1:8" ht="13" x14ac:dyDescent="0.15">
      <c r="A816" s="2"/>
      <c r="B816" s="2"/>
      <c r="C816" s="11"/>
      <c r="D816" s="2"/>
      <c r="E816" s="2"/>
      <c r="F816" s="11"/>
      <c r="G816" s="2"/>
      <c r="H816" s="2"/>
    </row>
    <row r="817" spans="1:8" ht="13" x14ac:dyDescent="0.15">
      <c r="A817" s="2"/>
      <c r="B817" s="2"/>
      <c r="C817" s="11"/>
      <c r="D817" s="2"/>
      <c r="E817" s="2"/>
      <c r="F817" s="11"/>
      <c r="G817" s="2"/>
      <c r="H817" s="2"/>
    </row>
    <row r="818" spans="1:8" ht="13" x14ac:dyDescent="0.15">
      <c r="A818" s="2"/>
      <c r="B818" s="2"/>
      <c r="C818" s="11"/>
      <c r="D818" s="2"/>
      <c r="E818" s="2"/>
      <c r="F818" s="11"/>
      <c r="G818" s="2"/>
      <c r="H818" s="2"/>
    </row>
    <row r="819" spans="1:8" ht="13" x14ac:dyDescent="0.15">
      <c r="A819" s="2"/>
      <c r="B819" s="2"/>
      <c r="C819" s="11"/>
      <c r="D819" s="2"/>
      <c r="E819" s="2"/>
      <c r="F819" s="11"/>
      <c r="G819" s="2"/>
      <c r="H819" s="2"/>
    </row>
    <row r="820" spans="1:8" ht="13" x14ac:dyDescent="0.15">
      <c r="A820" s="2"/>
      <c r="B820" s="2"/>
      <c r="C820" s="11"/>
      <c r="D820" s="2"/>
      <c r="E820" s="2"/>
      <c r="F820" s="11"/>
      <c r="G820" s="2"/>
      <c r="H820" s="2"/>
    </row>
    <row r="821" spans="1:8" ht="13" x14ac:dyDescent="0.15">
      <c r="A821" s="2"/>
      <c r="B821" s="2"/>
      <c r="C821" s="11"/>
      <c r="D821" s="2"/>
      <c r="E821" s="2"/>
      <c r="F821" s="11"/>
      <c r="G821" s="2"/>
      <c r="H821" s="2"/>
    </row>
    <row r="822" spans="1:8" ht="13" x14ac:dyDescent="0.15">
      <c r="A822" s="2"/>
      <c r="B822" s="2"/>
      <c r="C822" s="11"/>
      <c r="D822" s="2"/>
      <c r="E822" s="2"/>
      <c r="F822" s="11"/>
      <c r="G822" s="2"/>
      <c r="H822" s="2"/>
    </row>
    <row r="823" spans="1:8" ht="13" x14ac:dyDescent="0.15">
      <c r="A823" s="2"/>
      <c r="B823" s="2"/>
      <c r="C823" s="11"/>
      <c r="D823" s="2"/>
      <c r="E823" s="2"/>
      <c r="F823" s="11"/>
      <c r="G823" s="2"/>
      <c r="H823" s="2"/>
    </row>
    <row r="824" spans="1:8" ht="13" x14ac:dyDescent="0.15">
      <c r="A824" s="2"/>
      <c r="B824" s="2"/>
      <c r="C824" s="11"/>
      <c r="D824" s="2"/>
      <c r="E824" s="2"/>
      <c r="F824" s="11"/>
      <c r="G824" s="2"/>
      <c r="H824" s="2"/>
    </row>
    <row r="825" spans="1:8" ht="13" x14ac:dyDescent="0.15">
      <c r="A825" s="2"/>
      <c r="B825" s="2"/>
      <c r="C825" s="11"/>
      <c r="D825" s="2"/>
      <c r="E825" s="2"/>
      <c r="F825" s="11"/>
      <c r="G825" s="2"/>
      <c r="H825" s="2"/>
    </row>
    <row r="826" spans="1:8" ht="13" x14ac:dyDescent="0.15">
      <c r="A826" s="2"/>
      <c r="B826" s="2"/>
      <c r="C826" s="11"/>
      <c r="D826" s="2"/>
      <c r="E826" s="2"/>
      <c r="F826" s="11"/>
      <c r="G826" s="2"/>
      <c r="H826" s="2"/>
    </row>
    <row r="827" spans="1:8" ht="13" x14ac:dyDescent="0.15">
      <c r="A827" s="2"/>
      <c r="B827" s="2"/>
      <c r="C827" s="11"/>
      <c r="D827" s="2"/>
      <c r="E827" s="2"/>
      <c r="F827" s="11"/>
      <c r="G827" s="2"/>
      <c r="H827" s="2"/>
    </row>
    <row r="828" spans="1:8" ht="13" x14ac:dyDescent="0.15">
      <c r="A828" s="2"/>
      <c r="B828" s="2"/>
      <c r="C828" s="11"/>
      <c r="D828" s="2"/>
      <c r="E828" s="2"/>
      <c r="F828" s="11"/>
      <c r="G828" s="2"/>
      <c r="H828" s="2"/>
    </row>
    <row r="829" spans="1:8" ht="13" x14ac:dyDescent="0.15">
      <c r="A829" s="2"/>
      <c r="B829" s="2"/>
      <c r="C829" s="11"/>
      <c r="D829" s="2"/>
      <c r="E829" s="2"/>
      <c r="F829" s="11"/>
      <c r="G829" s="2"/>
      <c r="H829" s="2"/>
    </row>
    <row r="830" spans="1:8" ht="13" x14ac:dyDescent="0.15">
      <c r="A830" s="2"/>
      <c r="B830" s="2"/>
      <c r="C830" s="11"/>
      <c r="D830" s="2"/>
      <c r="E830" s="2"/>
      <c r="F830" s="11"/>
      <c r="G830" s="2"/>
      <c r="H830" s="2"/>
    </row>
    <row r="831" spans="1:8" ht="13" x14ac:dyDescent="0.15">
      <c r="A831" s="2"/>
      <c r="B831" s="2"/>
      <c r="C831" s="11"/>
      <c r="D831" s="2"/>
      <c r="E831" s="2"/>
      <c r="F831" s="11"/>
      <c r="G831" s="2"/>
      <c r="H831" s="2"/>
    </row>
    <row r="832" spans="1:8" ht="13" x14ac:dyDescent="0.15">
      <c r="A832" s="2"/>
      <c r="B832" s="2"/>
      <c r="C832" s="11"/>
      <c r="D832" s="2"/>
      <c r="E832" s="2"/>
      <c r="F832" s="11"/>
      <c r="G832" s="2"/>
      <c r="H832" s="2"/>
    </row>
    <row r="833" spans="1:8" ht="13" x14ac:dyDescent="0.15">
      <c r="A833" s="2"/>
      <c r="B833" s="2"/>
      <c r="C833" s="11"/>
      <c r="D833" s="2"/>
      <c r="E833" s="2"/>
      <c r="F833" s="11"/>
      <c r="G833" s="2"/>
      <c r="H833" s="2"/>
    </row>
    <row r="834" spans="1:8" ht="13" x14ac:dyDescent="0.15">
      <c r="A834" s="2"/>
      <c r="B834" s="2"/>
      <c r="C834" s="11"/>
      <c r="D834" s="2"/>
      <c r="E834" s="2"/>
      <c r="F834" s="11"/>
      <c r="G834" s="2"/>
      <c r="H834" s="2"/>
    </row>
    <row r="835" spans="1:8" ht="13" x14ac:dyDescent="0.15">
      <c r="A835" s="2"/>
      <c r="B835" s="2"/>
      <c r="C835" s="11"/>
      <c r="D835" s="2"/>
      <c r="E835" s="2"/>
      <c r="F835" s="11"/>
      <c r="G835" s="2"/>
      <c r="H835" s="2"/>
    </row>
    <row r="836" spans="1:8" ht="13" x14ac:dyDescent="0.15">
      <c r="A836" s="2"/>
      <c r="B836" s="2"/>
      <c r="C836" s="11"/>
      <c r="D836" s="2"/>
      <c r="E836" s="2"/>
      <c r="F836" s="11"/>
      <c r="G836" s="2"/>
      <c r="H836" s="2"/>
    </row>
    <row r="837" spans="1:8" ht="13" x14ac:dyDescent="0.15">
      <c r="A837" s="2"/>
      <c r="B837" s="2"/>
      <c r="C837" s="11"/>
      <c r="D837" s="2"/>
      <c r="E837" s="2"/>
      <c r="F837" s="11"/>
      <c r="G837" s="2"/>
      <c r="H837" s="2"/>
    </row>
    <row r="838" spans="1:8" ht="13" x14ac:dyDescent="0.15">
      <c r="A838" s="2"/>
      <c r="B838" s="2"/>
      <c r="C838" s="11"/>
      <c r="D838" s="2"/>
      <c r="E838" s="2"/>
      <c r="F838" s="11"/>
      <c r="G838" s="2"/>
      <c r="H838" s="2"/>
    </row>
    <row r="839" spans="1:8" ht="13" x14ac:dyDescent="0.15">
      <c r="A839" s="2"/>
      <c r="B839" s="2"/>
      <c r="C839" s="11"/>
      <c r="D839" s="2"/>
      <c r="E839" s="2"/>
      <c r="F839" s="11"/>
      <c r="G839" s="2"/>
      <c r="H839" s="2"/>
    </row>
    <row r="840" spans="1:8" ht="13" x14ac:dyDescent="0.15">
      <c r="A840" s="2"/>
      <c r="B840" s="2"/>
      <c r="C840" s="11"/>
      <c r="D840" s="2"/>
      <c r="E840" s="2"/>
      <c r="F840" s="11"/>
      <c r="G840" s="2"/>
      <c r="H840" s="2"/>
    </row>
    <row r="841" spans="1:8" ht="13" x14ac:dyDescent="0.15">
      <c r="A841" s="2"/>
      <c r="B841" s="2"/>
      <c r="C841" s="11"/>
      <c r="D841" s="2"/>
      <c r="E841" s="2"/>
      <c r="F841" s="11"/>
      <c r="G841" s="2"/>
      <c r="H841" s="2"/>
    </row>
    <row r="842" spans="1:8" ht="13" x14ac:dyDescent="0.15">
      <c r="A842" s="2"/>
      <c r="B842" s="2"/>
      <c r="C842" s="11"/>
      <c r="D842" s="2"/>
      <c r="E842" s="2"/>
      <c r="F842" s="11"/>
      <c r="G842" s="2"/>
      <c r="H842" s="2"/>
    </row>
    <row r="843" spans="1:8" ht="13" x14ac:dyDescent="0.15">
      <c r="A843" s="2"/>
      <c r="B843" s="2"/>
      <c r="C843" s="11"/>
      <c r="D843" s="2"/>
      <c r="E843" s="2"/>
      <c r="F843" s="11"/>
      <c r="G843" s="2"/>
      <c r="H843" s="2"/>
    </row>
    <row r="844" spans="1:8" ht="13" x14ac:dyDescent="0.15">
      <c r="A844" s="2"/>
      <c r="B844" s="2"/>
      <c r="C844" s="11"/>
      <c r="D844" s="2"/>
      <c r="E844" s="2"/>
      <c r="F844" s="11"/>
      <c r="G844" s="2"/>
      <c r="H844" s="2"/>
    </row>
    <row r="845" spans="1:8" ht="13" x14ac:dyDescent="0.15">
      <c r="A845" s="2"/>
      <c r="B845" s="2"/>
      <c r="C845" s="11"/>
      <c r="D845" s="2"/>
      <c r="E845" s="2"/>
      <c r="F845" s="11"/>
      <c r="G845" s="2"/>
      <c r="H845" s="2"/>
    </row>
    <row r="846" spans="1:8" ht="13" x14ac:dyDescent="0.15">
      <c r="A846" s="2"/>
      <c r="B846" s="2"/>
      <c r="C846" s="11"/>
      <c r="D846" s="2"/>
      <c r="E846" s="2"/>
      <c r="F846" s="11"/>
      <c r="G846" s="2"/>
      <c r="H846" s="2"/>
    </row>
    <row r="847" spans="1:8" ht="13" x14ac:dyDescent="0.15">
      <c r="A847" s="2"/>
      <c r="B847" s="2"/>
      <c r="C847" s="11"/>
      <c r="D847" s="2"/>
      <c r="E847" s="2"/>
      <c r="F847" s="11"/>
      <c r="G847" s="2"/>
      <c r="H847" s="2"/>
    </row>
    <row r="848" spans="1:8" ht="13" x14ac:dyDescent="0.15">
      <c r="A848" s="2"/>
      <c r="B848" s="2"/>
      <c r="C848" s="11"/>
      <c r="D848" s="2"/>
      <c r="E848" s="2"/>
      <c r="F848" s="11"/>
      <c r="G848" s="2"/>
      <c r="H848" s="2"/>
    </row>
    <row r="849" spans="1:8" ht="13" x14ac:dyDescent="0.15">
      <c r="A849" s="2"/>
      <c r="B849" s="2"/>
      <c r="C849" s="11"/>
      <c r="D849" s="2"/>
      <c r="E849" s="2"/>
      <c r="F849" s="11"/>
      <c r="G849" s="2"/>
      <c r="H849" s="2"/>
    </row>
    <row r="850" spans="1:8" ht="13" x14ac:dyDescent="0.15">
      <c r="A850" s="2"/>
      <c r="B850" s="2"/>
      <c r="C850" s="11"/>
      <c r="D850" s="2"/>
      <c r="E850" s="2"/>
      <c r="F850" s="11"/>
      <c r="G850" s="2"/>
      <c r="H850" s="2"/>
    </row>
    <row r="851" spans="1:8" ht="13" x14ac:dyDescent="0.15">
      <c r="A851" s="2"/>
      <c r="B851" s="2"/>
      <c r="C851" s="11"/>
      <c r="D851" s="2"/>
      <c r="E851" s="2"/>
      <c r="F851" s="11"/>
      <c r="G851" s="2"/>
      <c r="H851" s="2"/>
    </row>
    <row r="852" spans="1:8" ht="13" x14ac:dyDescent="0.15">
      <c r="A852" s="2"/>
      <c r="B852" s="2"/>
      <c r="C852" s="11"/>
      <c r="D852" s="2"/>
      <c r="E852" s="2"/>
      <c r="F852" s="11"/>
      <c r="G852" s="2"/>
      <c r="H852" s="2"/>
    </row>
    <row r="853" spans="1:8" ht="13" x14ac:dyDescent="0.15">
      <c r="A853" s="2"/>
      <c r="B853" s="2"/>
      <c r="C853" s="11"/>
      <c r="D853" s="2"/>
      <c r="E853" s="2"/>
      <c r="F853" s="11"/>
      <c r="G853" s="2"/>
      <c r="H853" s="2"/>
    </row>
    <row r="854" spans="1:8" ht="13" x14ac:dyDescent="0.15">
      <c r="A854" s="2"/>
      <c r="B854" s="2"/>
      <c r="C854" s="11"/>
      <c r="D854" s="2"/>
      <c r="E854" s="2"/>
      <c r="F854" s="11"/>
      <c r="G854" s="2"/>
      <c r="H854" s="2"/>
    </row>
    <row r="855" spans="1:8" ht="13" x14ac:dyDescent="0.15">
      <c r="A855" s="2"/>
      <c r="B855" s="2"/>
      <c r="C855" s="11"/>
      <c r="D855" s="2"/>
      <c r="E855" s="2"/>
      <c r="F855" s="11"/>
      <c r="G855" s="2"/>
      <c r="H855" s="2"/>
    </row>
    <row r="856" spans="1:8" ht="13" x14ac:dyDescent="0.15">
      <c r="A856" s="2"/>
      <c r="B856" s="2"/>
      <c r="C856" s="11"/>
      <c r="D856" s="2"/>
      <c r="E856" s="2"/>
      <c r="F856" s="11"/>
      <c r="G856" s="2"/>
      <c r="H856" s="2"/>
    </row>
    <row r="857" spans="1:8" ht="13" x14ac:dyDescent="0.15">
      <c r="A857" s="2"/>
      <c r="B857" s="2"/>
      <c r="C857" s="11"/>
      <c r="D857" s="2"/>
      <c r="E857" s="2"/>
      <c r="F857" s="11"/>
      <c r="G857" s="2"/>
      <c r="H857" s="2"/>
    </row>
    <row r="858" spans="1:8" ht="13" x14ac:dyDescent="0.15">
      <c r="A858" s="2"/>
      <c r="B858" s="2"/>
      <c r="C858" s="11"/>
      <c r="D858" s="2"/>
      <c r="E858" s="2"/>
      <c r="F858" s="11"/>
      <c r="G858" s="2"/>
      <c r="H858" s="2"/>
    </row>
    <row r="859" spans="1:8" ht="13" x14ac:dyDescent="0.15">
      <c r="A859" s="2"/>
      <c r="B859" s="2"/>
      <c r="C859" s="11"/>
      <c r="D859" s="2"/>
      <c r="E859" s="2"/>
      <c r="F859" s="11"/>
      <c r="G859" s="2"/>
      <c r="H859" s="2"/>
    </row>
    <row r="860" spans="1:8" ht="13" x14ac:dyDescent="0.15">
      <c r="A860" s="2"/>
      <c r="B860" s="2"/>
      <c r="C860" s="11"/>
      <c r="D860" s="2"/>
      <c r="E860" s="2"/>
      <c r="F860" s="11"/>
      <c r="G860" s="2"/>
      <c r="H860" s="2"/>
    </row>
    <row r="861" spans="1:8" ht="13" x14ac:dyDescent="0.15">
      <c r="A861" s="2"/>
      <c r="B861" s="2"/>
      <c r="C861" s="11"/>
      <c r="D861" s="2"/>
      <c r="E861" s="2"/>
      <c r="F861" s="11"/>
      <c r="G861" s="2"/>
      <c r="H861" s="2"/>
    </row>
    <row r="862" spans="1:8" ht="13" x14ac:dyDescent="0.15">
      <c r="A862" s="2"/>
      <c r="B862" s="2"/>
      <c r="C862" s="11"/>
      <c r="D862" s="2"/>
      <c r="E862" s="2"/>
      <c r="F862" s="11"/>
      <c r="G862" s="2"/>
      <c r="H862" s="2"/>
    </row>
    <row r="863" spans="1:8" ht="13" x14ac:dyDescent="0.15">
      <c r="A863" s="2"/>
      <c r="B863" s="2"/>
      <c r="C863" s="11"/>
      <c r="D863" s="2"/>
      <c r="E863" s="2"/>
      <c r="F863" s="11"/>
      <c r="G863" s="2"/>
      <c r="H863" s="2"/>
    </row>
    <row r="864" spans="1:8" ht="13" x14ac:dyDescent="0.15">
      <c r="A864" s="2"/>
      <c r="B864" s="2"/>
      <c r="C864" s="11"/>
      <c r="D864" s="2"/>
      <c r="E864" s="2"/>
      <c r="F864" s="11"/>
      <c r="G864" s="2"/>
      <c r="H864" s="2"/>
    </row>
    <row r="865" spans="1:8" ht="13" x14ac:dyDescent="0.15">
      <c r="A865" s="2"/>
      <c r="B865" s="2"/>
      <c r="C865" s="11"/>
      <c r="D865" s="2"/>
      <c r="E865" s="2"/>
      <c r="F865" s="11"/>
      <c r="G865" s="2"/>
      <c r="H865" s="2"/>
    </row>
    <row r="866" spans="1:8" ht="13" x14ac:dyDescent="0.15">
      <c r="A866" s="2"/>
      <c r="B866" s="2"/>
      <c r="C866" s="11"/>
      <c r="D866" s="2"/>
      <c r="E866" s="2"/>
      <c r="F866" s="11"/>
      <c r="G866" s="2"/>
      <c r="H866" s="2"/>
    </row>
    <row r="867" spans="1:8" ht="13" x14ac:dyDescent="0.15">
      <c r="A867" s="2"/>
      <c r="B867" s="2"/>
      <c r="C867" s="11"/>
      <c r="D867" s="2"/>
      <c r="E867" s="2"/>
      <c r="F867" s="11"/>
      <c r="G867" s="2"/>
      <c r="H867" s="2"/>
    </row>
    <row r="868" spans="1:8" ht="13" x14ac:dyDescent="0.15">
      <c r="A868" s="2"/>
      <c r="B868" s="2"/>
      <c r="C868" s="11"/>
      <c r="D868" s="2"/>
      <c r="E868" s="2"/>
      <c r="F868" s="11"/>
      <c r="G868" s="2"/>
      <c r="H868" s="2"/>
    </row>
    <row r="869" spans="1:8" ht="13" x14ac:dyDescent="0.15">
      <c r="A869" s="2"/>
      <c r="B869" s="2"/>
      <c r="C869" s="11"/>
      <c r="D869" s="2"/>
      <c r="E869" s="2"/>
      <c r="F869" s="11"/>
      <c r="G869" s="2"/>
      <c r="H869" s="2"/>
    </row>
    <row r="870" spans="1:8" ht="13" x14ac:dyDescent="0.15">
      <c r="A870" s="2"/>
      <c r="B870" s="2"/>
      <c r="C870" s="11"/>
      <c r="D870" s="2"/>
      <c r="E870" s="2"/>
      <c r="F870" s="11"/>
      <c r="G870" s="2"/>
      <c r="H870" s="2"/>
    </row>
    <row r="871" spans="1:8" ht="13" x14ac:dyDescent="0.15">
      <c r="A871" s="2"/>
      <c r="B871" s="2"/>
      <c r="C871" s="11"/>
      <c r="D871" s="2"/>
      <c r="E871" s="2"/>
      <c r="F871" s="11"/>
      <c r="G871" s="2"/>
      <c r="H871" s="2"/>
    </row>
    <row r="872" spans="1:8" ht="13" x14ac:dyDescent="0.15">
      <c r="A872" s="2"/>
      <c r="B872" s="2"/>
      <c r="C872" s="11"/>
      <c r="D872" s="2"/>
      <c r="E872" s="2"/>
      <c r="F872" s="11"/>
      <c r="G872" s="2"/>
      <c r="H872" s="2"/>
    </row>
    <row r="873" spans="1:8" ht="13" x14ac:dyDescent="0.15">
      <c r="A873" s="2"/>
      <c r="B873" s="2"/>
      <c r="C873" s="11"/>
      <c r="D873" s="2"/>
      <c r="E873" s="2"/>
      <c r="F873" s="11"/>
      <c r="G873" s="2"/>
      <c r="H873" s="2"/>
    </row>
    <row r="874" spans="1:8" ht="13" x14ac:dyDescent="0.15">
      <c r="A874" s="2"/>
      <c r="B874" s="2"/>
      <c r="C874" s="11"/>
      <c r="D874" s="2"/>
      <c r="E874" s="2"/>
      <c r="F874" s="11"/>
      <c r="G874" s="2"/>
      <c r="H874" s="2"/>
    </row>
    <row r="875" spans="1:8" ht="13" x14ac:dyDescent="0.15">
      <c r="A875" s="2"/>
      <c r="B875" s="2"/>
      <c r="C875" s="11"/>
      <c r="D875" s="2"/>
      <c r="E875" s="2"/>
      <c r="F875" s="11"/>
      <c r="G875" s="2"/>
      <c r="H875" s="2"/>
    </row>
    <row r="876" spans="1:8" ht="13" x14ac:dyDescent="0.15">
      <c r="A876" s="2"/>
      <c r="B876" s="2"/>
      <c r="C876" s="11"/>
      <c r="D876" s="2"/>
      <c r="E876" s="2"/>
      <c r="F876" s="11"/>
      <c r="G876" s="2"/>
      <c r="H876" s="2"/>
    </row>
    <row r="877" spans="1:8" ht="13" x14ac:dyDescent="0.15">
      <c r="A877" s="2"/>
      <c r="B877" s="2"/>
      <c r="C877" s="11"/>
      <c r="D877" s="2"/>
      <c r="E877" s="2"/>
      <c r="F877" s="11"/>
      <c r="G877" s="2"/>
      <c r="H877" s="2"/>
    </row>
    <row r="878" spans="1:8" ht="13" x14ac:dyDescent="0.15">
      <c r="A878" s="2"/>
      <c r="B878" s="2"/>
      <c r="C878" s="11"/>
      <c r="D878" s="2"/>
      <c r="E878" s="2"/>
      <c r="F878" s="11"/>
      <c r="G878" s="2"/>
      <c r="H878" s="2"/>
    </row>
    <row r="879" spans="1:8" ht="13" x14ac:dyDescent="0.15">
      <c r="A879" s="2"/>
      <c r="B879" s="2"/>
      <c r="C879" s="11"/>
      <c r="D879" s="2"/>
      <c r="E879" s="2"/>
      <c r="F879" s="11"/>
      <c r="G879" s="2"/>
      <c r="H879" s="2"/>
    </row>
    <row r="880" spans="1:8" ht="13" x14ac:dyDescent="0.15">
      <c r="A880" s="2"/>
      <c r="B880" s="2"/>
      <c r="C880" s="11"/>
      <c r="D880" s="2"/>
      <c r="E880" s="2"/>
      <c r="F880" s="11"/>
      <c r="G880" s="2"/>
      <c r="H880" s="2"/>
    </row>
    <row r="881" spans="1:8" ht="13" x14ac:dyDescent="0.15">
      <c r="A881" s="2"/>
      <c r="B881" s="2"/>
      <c r="C881" s="11"/>
      <c r="D881" s="2"/>
      <c r="E881" s="2"/>
      <c r="F881" s="11"/>
      <c r="G881" s="2"/>
      <c r="H881" s="2"/>
    </row>
    <row r="882" spans="1:8" ht="13" x14ac:dyDescent="0.15">
      <c r="A882" s="2"/>
      <c r="B882" s="2"/>
      <c r="C882" s="11"/>
      <c r="D882" s="2"/>
      <c r="E882" s="2"/>
      <c r="F882" s="11"/>
      <c r="G882" s="2"/>
      <c r="H882" s="2"/>
    </row>
    <row r="883" spans="1:8" ht="13" x14ac:dyDescent="0.15">
      <c r="A883" s="2"/>
      <c r="B883" s="2"/>
      <c r="C883" s="11"/>
      <c r="D883" s="2"/>
      <c r="E883" s="2"/>
      <c r="F883" s="11"/>
      <c r="G883" s="2"/>
      <c r="H883" s="2"/>
    </row>
    <row r="884" spans="1:8" ht="13" x14ac:dyDescent="0.15">
      <c r="A884" s="2"/>
      <c r="B884" s="2"/>
      <c r="C884" s="11"/>
      <c r="D884" s="2"/>
      <c r="E884" s="2"/>
      <c r="F884" s="11"/>
      <c r="G884" s="2"/>
      <c r="H884" s="2"/>
    </row>
    <row r="885" spans="1:8" ht="13" x14ac:dyDescent="0.15">
      <c r="A885" s="2"/>
      <c r="B885" s="2"/>
      <c r="C885" s="11"/>
      <c r="D885" s="2"/>
      <c r="E885" s="2"/>
      <c r="F885" s="11"/>
      <c r="G885" s="2"/>
      <c r="H885" s="2"/>
    </row>
    <row r="886" spans="1:8" ht="13" x14ac:dyDescent="0.15">
      <c r="A886" s="2"/>
      <c r="B886" s="2"/>
      <c r="C886" s="11"/>
      <c r="D886" s="2"/>
      <c r="E886" s="2"/>
      <c r="F886" s="11"/>
      <c r="G886" s="2"/>
      <c r="H886" s="2"/>
    </row>
    <row r="887" spans="1:8" ht="13" x14ac:dyDescent="0.15">
      <c r="A887" s="2"/>
      <c r="B887" s="2"/>
      <c r="C887" s="11"/>
      <c r="D887" s="2"/>
      <c r="E887" s="2"/>
      <c r="F887" s="11"/>
      <c r="G887" s="2"/>
      <c r="H887" s="2"/>
    </row>
    <row r="888" spans="1:8" ht="13" x14ac:dyDescent="0.15">
      <c r="A888" s="2"/>
      <c r="B888" s="2"/>
      <c r="C888" s="11"/>
      <c r="D888" s="2"/>
      <c r="E888" s="2"/>
      <c r="F888" s="11"/>
      <c r="G888" s="2"/>
      <c r="H888" s="2"/>
    </row>
    <row r="889" spans="1:8" ht="13" x14ac:dyDescent="0.15">
      <c r="A889" s="2"/>
      <c r="B889" s="2"/>
      <c r="C889" s="11"/>
      <c r="D889" s="2"/>
      <c r="E889" s="2"/>
      <c r="F889" s="11"/>
      <c r="G889" s="2"/>
      <c r="H889" s="2"/>
    </row>
    <row r="890" spans="1:8" ht="13" x14ac:dyDescent="0.15">
      <c r="A890" s="2"/>
      <c r="B890" s="2"/>
      <c r="C890" s="11"/>
      <c r="D890" s="2"/>
      <c r="E890" s="2"/>
      <c r="F890" s="11"/>
      <c r="G890" s="2"/>
      <c r="H890" s="2"/>
    </row>
    <row r="891" spans="1:8" ht="13" x14ac:dyDescent="0.15">
      <c r="A891" s="2"/>
      <c r="B891" s="2"/>
      <c r="C891" s="11"/>
      <c r="D891" s="2"/>
      <c r="E891" s="2"/>
      <c r="F891" s="11"/>
      <c r="G891" s="2"/>
      <c r="H891" s="2"/>
    </row>
    <row r="892" spans="1:8" ht="13" x14ac:dyDescent="0.15">
      <c r="A892" s="2"/>
      <c r="B892" s="2"/>
      <c r="C892" s="11"/>
      <c r="D892" s="2"/>
      <c r="E892" s="2"/>
      <c r="F892" s="11"/>
      <c r="G892" s="2"/>
      <c r="H892" s="2"/>
    </row>
    <row r="893" spans="1:8" ht="13" x14ac:dyDescent="0.15">
      <c r="A893" s="2"/>
      <c r="B893" s="2"/>
      <c r="C893" s="11"/>
      <c r="D893" s="2"/>
      <c r="E893" s="2"/>
      <c r="F893" s="11"/>
      <c r="G893" s="2"/>
      <c r="H893" s="2"/>
    </row>
    <row r="894" spans="1:8" ht="13" x14ac:dyDescent="0.15">
      <c r="A894" s="2"/>
      <c r="B894" s="2"/>
      <c r="C894" s="11"/>
      <c r="D894" s="2"/>
      <c r="E894" s="2"/>
      <c r="F894" s="11"/>
      <c r="G894" s="2"/>
      <c r="H894" s="2"/>
    </row>
    <row r="895" spans="1:8" ht="13" x14ac:dyDescent="0.15">
      <c r="A895" s="2"/>
      <c r="B895" s="2"/>
      <c r="C895" s="11"/>
      <c r="D895" s="2"/>
      <c r="E895" s="2"/>
      <c r="F895" s="11"/>
      <c r="G895" s="2"/>
      <c r="H895" s="2"/>
    </row>
    <row r="896" spans="1:8" ht="13" x14ac:dyDescent="0.15">
      <c r="A896" s="2"/>
      <c r="B896" s="2"/>
      <c r="C896" s="11"/>
      <c r="D896" s="2"/>
      <c r="E896" s="2"/>
      <c r="F896" s="11"/>
      <c r="G896" s="2"/>
      <c r="H896" s="2"/>
    </row>
    <row r="897" spans="1:8" ht="13" x14ac:dyDescent="0.15">
      <c r="A897" s="2"/>
      <c r="B897" s="2"/>
      <c r="C897" s="11"/>
      <c r="D897" s="2"/>
      <c r="E897" s="2"/>
      <c r="F897" s="11"/>
      <c r="G897" s="2"/>
      <c r="H897" s="2"/>
    </row>
    <row r="898" spans="1:8" ht="13" x14ac:dyDescent="0.15">
      <c r="A898" s="2"/>
      <c r="B898" s="2"/>
      <c r="C898" s="11"/>
      <c r="D898" s="2"/>
      <c r="E898" s="2"/>
      <c r="F898" s="11"/>
      <c r="G898" s="2"/>
      <c r="H898" s="2"/>
    </row>
    <row r="899" spans="1:8" ht="13" x14ac:dyDescent="0.15">
      <c r="A899" s="2"/>
      <c r="B899" s="2"/>
      <c r="C899" s="11"/>
      <c r="D899" s="2"/>
      <c r="E899" s="2"/>
      <c r="F899" s="11"/>
      <c r="G899" s="2"/>
      <c r="H899" s="2"/>
    </row>
    <row r="900" spans="1:8" ht="13" x14ac:dyDescent="0.15">
      <c r="A900" s="2"/>
      <c r="B900" s="2"/>
      <c r="C900" s="11"/>
      <c r="D900" s="2"/>
      <c r="E900" s="2"/>
      <c r="F900" s="11"/>
      <c r="G900" s="2"/>
      <c r="H900" s="2"/>
    </row>
    <row r="901" spans="1:8" ht="13" x14ac:dyDescent="0.15">
      <c r="A901" s="2"/>
      <c r="B901" s="2"/>
      <c r="C901" s="11"/>
      <c r="D901" s="2"/>
      <c r="E901" s="2"/>
      <c r="F901" s="11"/>
      <c r="G901" s="2"/>
      <c r="H901" s="2"/>
    </row>
    <row r="902" spans="1:8" ht="13" x14ac:dyDescent="0.15">
      <c r="A902" s="2"/>
      <c r="B902" s="2"/>
      <c r="C902" s="11"/>
      <c r="D902" s="2"/>
      <c r="E902" s="2"/>
      <c r="F902" s="11"/>
      <c r="G902" s="2"/>
      <c r="H902" s="2"/>
    </row>
    <row r="903" spans="1:8" ht="13" x14ac:dyDescent="0.15">
      <c r="A903" s="2"/>
      <c r="B903" s="2"/>
      <c r="C903" s="11"/>
      <c r="D903" s="2"/>
      <c r="E903" s="2"/>
      <c r="F903" s="11"/>
      <c r="G903" s="2"/>
      <c r="H903" s="2"/>
    </row>
    <row r="904" spans="1:8" ht="13" x14ac:dyDescent="0.15">
      <c r="A904" s="2"/>
      <c r="B904" s="2"/>
      <c r="C904" s="11"/>
      <c r="D904" s="2"/>
      <c r="E904" s="2"/>
      <c r="F904" s="11"/>
      <c r="G904" s="2"/>
      <c r="H904" s="2"/>
    </row>
    <row r="905" spans="1:8" ht="13" x14ac:dyDescent="0.15">
      <c r="A905" s="2"/>
      <c r="B905" s="2"/>
      <c r="C905" s="11"/>
      <c r="D905" s="2"/>
      <c r="E905" s="2"/>
      <c r="F905" s="11"/>
      <c r="G905" s="2"/>
      <c r="H905" s="2"/>
    </row>
    <row r="906" spans="1:8" ht="13" x14ac:dyDescent="0.15">
      <c r="A906" s="2"/>
      <c r="B906" s="2"/>
      <c r="C906" s="11"/>
      <c r="D906" s="2"/>
      <c r="E906" s="2"/>
      <c r="F906" s="11"/>
      <c r="G906" s="2"/>
      <c r="H906" s="2"/>
    </row>
    <row r="907" spans="1:8" ht="13" x14ac:dyDescent="0.15">
      <c r="A907" s="2"/>
      <c r="B907" s="2"/>
      <c r="C907" s="11"/>
      <c r="D907" s="2"/>
      <c r="E907" s="2"/>
      <c r="F907" s="11"/>
      <c r="G907" s="2"/>
      <c r="H907" s="2"/>
    </row>
    <row r="908" spans="1:8" ht="13" x14ac:dyDescent="0.15">
      <c r="A908" s="2"/>
      <c r="B908" s="2"/>
      <c r="C908" s="11"/>
      <c r="D908" s="2"/>
      <c r="E908" s="2"/>
      <c r="F908" s="11"/>
      <c r="G908" s="2"/>
      <c r="H908" s="2"/>
    </row>
    <row r="909" spans="1:8" ht="13" x14ac:dyDescent="0.15">
      <c r="A909" s="2"/>
      <c r="B909" s="2"/>
      <c r="C909" s="11"/>
      <c r="D909" s="2"/>
      <c r="E909" s="2"/>
      <c r="F909" s="11"/>
      <c r="G909" s="2"/>
      <c r="H909" s="2"/>
    </row>
    <row r="910" spans="1:8" ht="13" x14ac:dyDescent="0.15">
      <c r="A910" s="2"/>
      <c r="B910" s="2"/>
      <c r="C910" s="11"/>
      <c r="D910" s="2"/>
      <c r="E910" s="2"/>
      <c r="F910" s="11"/>
      <c r="G910" s="2"/>
      <c r="H910" s="2"/>
    </row>
    <row r="911" spans="1:8" ht="13" x14ac:dyDescent="0.15">
      <c r="A911" s="2"/>
      <c r="B911" s="2"/>
      <c r="C911" s="11"/>
      <c r="D911" s="2"/>
      <c r="E911" s="2"/>
      <c r="F911" s="11"/>
      <c r="G911" s="2"/>
      <c r="H911" s="2"/>
    </row>
    <row r="912" spans="1:8" ht="13" x14ac:dyDescent="0.15">
      <c r="A912" s="2"/>
      <c r="B912" s="2"/>
      <c r="C912" s="11"/>
      <c r="D912" s="2"/>
      <c r="E912" s="2"/>
      <c r="F912" s="11"/>
      <c r="G912" s="2"/>
      <c r="H912" s="2"/>
    </row>
    <row r="913" spans="1:8" ht="13" x14ac:dyDescent="0.15">
      <c r="A913" s="2"/>
      <c r="B913" s="2"/>
      <c r="C913" s="11"/>
      <c r="D913" s="2"/>
      <c r="E913" s="2"/>
      <c r="F913" s="11"/>
      <c r="G913" s="2"/>
      <c r="H913" s="2"/>
    </row>
    <row r="914" spans="1:8" ht="13" x14ac:dyDescent="0.15">
      <c r="A914" s="2"/>
      <c r="B914" s="2"/>
      <c r="C914" s="11"/>
      <c r="D914" s="2"/>
      <c r="E914" s="2"/>
      <c r="F914" s="11"/>
      <c r="G914" s="2"/>
      <c r="H914" s="2"/>
    </row>
    <row r="915" spans="1:8" ht="13" x14ac:dyDescent="0.15">
      <c r="A915" s="2"/>
      <c r="B915" s="2"/>
      <c r="C915" s="11"/>
      <c r="D915" s="2"/>
      <c r="E915" s="2"/>
      <c r="F915" s="11"/>
      <c r="G915" s="2"/>
      <c r="H915" s="2"/>
    </row>
    <row r="916" spans="1:8" ht="13" x14ac:dyDescent="0.15">
      <c r="A916" s="2"/>
      <c r="B916" s="2"/>
      <c r="C916" s="11"/>
      <c r="D916" s="2"/>
      <c r="E916" s="2"/>
      <c r="F916" s="11"/>
      <c r="G916" s="2"/>
      <c r="H916" s="2"/>
    </row>
    <row r="917" spans="1:8" ht="13" x14ac:dyDescent="0.15">
      <c r="A917" s="2"/>
      <c r="B917" s="2"/>
      <c r="C917" s="11"/>
      <c r="D917" s="2"/>
      <c r="E917" s="2"/>
      <c r="F917" s="11"/>
      <c r="G917" s="2"/>
      <c r="H917" s="2"/>
    </row>
    <row r="918" spans="1:8" ht="13" x14ac:dyDescent="0.15">
      <c r="A918" s="2"/>
      <c r="B918" s="2"/>
      <c r="C918" s="11"/>
      <c r="D918" s="2"/>
      <c r="E918" s="2"/>
      <c r="F918" s="11"/>
      <c r="G918" s="2"/>
      <c r="H918" s="2"/>
    </row>
    <row r="919" spans="1:8" ht="13" x14ac:dyDescent="0.15">
      <c r="A919" s="2"/>
      <c r="B919" s="2"/>
      <c r="C919" s="11"/>
      <c r="D919" s="2"/>
      <c r="E919" s="2"/>
      <c r="F919" s="11"/>
      <c r="G919" s="2"/>
      <c r="H919" s="2"/>
    </row>
    <row r="920" spans="1:8" ht="13" x14ac:dyDescent="0.15">
      <c r="A920" s="2"/>
      <c r="B920" s="2"/>
      <c r="C920" s="11"/>
      <c r="D920" s="2"/>
      <c r="E920" s="2"/>
      <c r="F920" s="11"/>
      <c r="G920" s="2"/>
      <c r="H920" s="2"/>
    </row>
    <row r="921" spans="1:8" ht="13" x14ac:dyDescent="0.15">
      <c r="A921" s="2"/>
      <c r="B921" s="2"/>
      <c r="C921" s="11"/>
      <c r="D921" s="2"/>
      <c r="E921" s="2"/>
      <c r="F921" s="11"/>
      <c r="G921" s="2"/>
      <c r="H921" s="2"/>
    </row>
    <row r="922" spans="1:8" ht="13" x14ac:dyDescent="0.15">
      <c r="A922" s="2"/>
      <c r="B922" s="2"/>
      <c r="C922" s="11"/>
      <c r="D922" s="2"/>
      <c r="E922" s="2"/>
      <c r="F922" s="11"/>
      <c r="G922" s="2"/>
      <c r="H922" s="2"/>
    </row>
    <row r="923" spans="1:8" ht="13" x14ac:dyDescent="0.15">
      <c r="A923" s="2"/>
      <c r="B923" s="2"/>
      <c r="C923" s="11"/>
      <c r="D923" s="2"/>
      <c r="E923" s="2"/>
      <c r="F923" s="11"/>
      <c r="G923" s="2"/>
      <c r="H923" s="2"/>
    </row>
    <row r="924" spans="1:8" ht="13" x14ac:dyDescent="0.15">
      <c r="A924" s="2"/>
      <c r="B924" s="2"/>
      <c r="C924" s="11"/>
      <c r="D924" s="2"/>
      <c r="E924" s="2"/>
      <c r="F924" s="11"/>
      <c r="G924" s="2"/>
      <c r="H924" s="2"/>
    </row>
    <row r="925" spans="1:8" ht="13" x14ac:dyDescent="0.15">
      <c r="A925" s="2"/>
      <c r="B925" s="2"/>
      <c r="C925" s="11"/>
      <c r="D925" s="2"/>
      <c r="E925" s="2"/>
      <c r="F925" s="11"/>
      <c r="G925" s="2"/>
      <c r="H925" s="2"/>
    </row>
    <row r="926" spans="1:8" ht="13" x14ac:dyDescent="0.15">
      <c r="A926" s="2"/>
      <c r="B926" s="2"/>
      <c r="C926" s="11"/>
      <c r="D926" s="2"/>
      <c r="E926" s="2"/>
      <c r="F926" s="11"/>
      <c r="G926" s="2"/>
      <c r="H926" s="2"/>
    </row>
    <row r="927" spans="1:8" ht="13" x14ac:dyDescent="0.15">
      <c r="A927" s="2"/>
      <c r="B927" s="2"/>
      <c r="C927" s="11"/>
      <c r="D927" s="2"/>
      <c r="E927" s="2"/>
      <c r="F927" s="11"/>
      <c r="G927" s="2"/>
      <c r="H927" s="2"/>
    </row>
    <row r="928" spans="1:8" ht="13" x14ac:dyDescent="0.15">
      <c r="A928" s="2"/>
      <c r="B928" s="2"/>
      <c r="C928" s="11"/>
      <c r="D928" s="2"/>
      <c r="E928" s="2"/>
      <c r="F928" s="11"/>
      <c r="G928" s="2"/>
      <c r="H928" s="2"/>
    </row>
    <row r="929" spans="1:8" ht="13" x14ac:dyDescent="0.15">
      <c r="A929" s="2"/>
      <c r="B929" s="2"/>
      <c r="C929" s="11"/>
      <c r="D929" s="2"/>
      <c r="E929" s="2"/>
      <c r="F929" s="11"/>
      <c r="G929" s="2"/>
      <c r="H929" s="2"/>
    </row>
    <row r="930" spans="1:8" ht="13" x14ac:dyDescent="0.15">
      <c r="A930" s="2"/>
      <c r="B930" s="2"/>
      <c r="C930" s="11"/>
      <c r="D930" s="2"/>
      <c r="E930" s="2"/>
      <c r="F930" s="11"/>
      <c r="G930" s="2"/>
      <c r="H930" s="2"/>
    </row>
    <row r="931" spans="1:8" ht="13" x14ac:dyDescent="0.15">
      <c r="A931" s="2"/>
      <c r="B931" s="2"/>
      <c r="C931" s="11"/>
      <c r="D931" s="2"/>
      <c r="E931" s="2"/>
      <c r="F931" s="11"/>
      <c r="G931" s="2"/>
      <c r="H931" s="2"/>
    </row>
    <row r="932" spans="1:8" ht="13" x14ac:dyDescent="0.15">
      <c r="A932" s="2"/>
      <c r="B932" s="2"/>
      <c r="C932" s="11"/>
      <c r="D932" s="2"/>
      <c r="E932" s="2"/>
      <c r="F932" s="11"/>
      <c r="G932" s="2"/>
      <c r="H932" s="2"/>
    </row>
    <row r="933" spans="1:8" ht="13" x14ac:dyDescent="0.15">
      <c r="A933" s="2"/>
      <c r="B933" s="2"/>
      <c r="C933" s="11"/>
      <c r="D933" s="2"/>
      <c r="E933" s="2"/>
      <c r="F933" s="11"/>
      <c r="G933" s="2"/>
      <c r="H933" s="2"/>
    </row>
    <row r="934" spans="1:8" ht="13" x14ac:dyDescent="0.15">
      <c r="A934" s="2"/>
      <c r="B934" s="2"/>
      <c r="C934" s="11"/>
      <c r="D934" s="2"/>
      <c r="E934" s="2"/>
      <c r="F934" s="11"/>
      <c r="G934" s="2"/>
      <c r="H934" s="2"/>
    </row>
    <row r="935" spans="1:8" ht="13" x14ac:dyDescent="0.15">
      <c r="A935" s="2"/>
      <c r="B935" s="2"/>
      <c r="C935" s="11"/>
      <c r="D935" s="2"/>
      <c r="E935" s="2"/>
      <c r="F935" s="11"/>
      <c r="G935" s="2"/>
      <c r="H935" s="2"/>
    </row>
    <row r="936" spans="1:8" ht="13" x14ac:dyDescent="0.15">
      <c r="A936" s="2"/>
      <c r="B936" s="2"/>
      <c r="C936" s="11"/>
      <c r="D936" s="2"/>
      <c r="E936" s="2"/>
      <c r="F936" s="11"/>
      <c r="G936" s="2"/>
      <c r="H936" s="2"/>
    </row>
    <row r="937" spans="1:8" ht="13" x14ac:dyDescent="0.15">
      <c r="A937" s="2"/>
      <c r="B937" s="2"/>
      <c r="C937" s="11"/>
      <c r="D937" s="2"/>
      <c r="E937" s="2"/>
      <c r="F937" s="11"/>
      <c r="G937" s="2"/>
      <c r="H937" s="2"/>
    </row>
    <row r="938" spans="1:8" ht="13" x14ac:dyDescent="0.15">
      <c r="A938" s="2"/>
      <c r="B938" s="2"/>
      <c r="C938" s="11"/>
      <c r="D938" s="2"/>
      <c r="E938" s="2"/>
      <c r="F938" s="11"/>
      <c r="G938" s="2"/>
      <c r="H938" s="2"/>
    </row>
    <row r="939" spans="1:8" ht="13" x14ac:dyDescent="0.15">
      <c r="A939" s="2"/>
      <c r="B939" s="2"/>
      <c r="C939" s="11"/>
      <c r="D939" s="2"/>
      <c r="E939" s="2"/>
      <c r="F939" s="11"/>
      <c r="G939" s="2"/>
      <c r="H939" s="2"/>
    </row>
    <row r="940" spans="1:8" ht="13" x14ac:dyDescent="0.15">
      <c r="A940" s="2"/>
      <c r="B940" s="2"/>
      <c r="C940" s="11"/>
      <c r="D940" s="2"/>
      <c r="E940" s="2"/>
      <c r="F940" s="11"/>
      <c r="G940" s="2"/>
      <c r="H940" s="2"/>
    </row>
    <row r="941" spans="1:8" ht="13" x14ac:dyDescent="0.15">
      <c r="A941" s="2"/>
      <c r="B941" s="2"/>
      <c r="C941" s="11"/>
      <c r="D941" s="2"/>
      <c r="E941" s="2"/>
      <c r="F941" s="11"/>
      <c r="G941" s="2"/>
      <c r="H941" s="2"/>
    </row>
    <row r="942" spans="1:8" ht="13" x14ac:dyDescent="0.15">
      <c r="A942" s="2"/>
      <c r="B942" s="2"/>
      <c r="C942" s="11"/>
      <c r="D942" s="2"/>
      <c r="E942" s="2"/>
      <c r="F942" s="11"/>
      <c r="G942" s="2"/>
      <c r="H942" s="2"/>
    </row>
    <row r="943" spans="1:8" ht="13" x14ac:dyDescent="0.15">
      <c r="A943" s="2"/>
      <c r="B943" s="2"/>
      <c r="C943" s="11"/>
      <c r="D943" s="2"/>
      <c r="E943" s="2"/>
      <c r="F943" s="11"/>
      <c r="G943" s="2"/>
      <c r="H943" s="2"/>
    </row>
    <row r="944" spans="1:8" ht="13" x14ac:dyDescent="0.15">
      <c r="A944" s="2"/>
      <c r="B944" s="2"/>
      <c r="C944" s="11"/>
      <c r="D944" s="2"/>
      <c r="E944" s="2"/>
      <c r="F944" s="11"/>
      <c r="G944" s="2"/>
      <c r="H944" s="2"/>
    </row>
    <row r="945" spans="1:8" ht="13" x14ac:dyDescent="0.15">
      <c r="A945" s="2"/>
      <c r="B945" s="2"/>
      <c r="C945" s="11"/>
      <c r="D945" s="2"/>
      <c r="E945" s="2"/>
      <c r="F945" s="11"/>
      <c r="G945" s="2"/>
      <c r="H945" s="2"/>
    </row>
    <row r="946" spans="1:8" ht="13" x14ac:dyDescent="0.15">
      <c r="A946" s="2"/>
      <c r="B946" s="2"/>
      <c r="C946" s="11"/>
      <c r="D946" s="2"/>
      <c r="E946" s="2"/>
      <c r="F946" s="11"/>
      <c r="G946" s="2"/>
      <c r="H946" s="2"/>
    </row>
    <row r="947" spans="1:8" ht="13" x14ac:dyDescent="0.15">
      <c r="A947" s="2"/>
      <c r="B947" s="2"/>
      <c r="C947" s="11"/>
      <c r="D947" s="2"/>
      <c r="E947" s="2"/>
      <c r="F947" s="11"/>
      <c r="G947" s="2"/>
      <c r="H947" s="2"/>
    </row>
    <row r="948" spans="1:8" ht="13" x14ac:dyDescent="0.15">
      <c r="A948" s="2"/>
      <c r="B948" s="2"/>
      <c r="C948" s="11"/>
      <c r="D948" s="2"/>
      <c r="E948" s="2"/>
      <c r="F948" s="11"/>
      <c r="G948" s="2"/>
      <c r="H948" s="2"/>
    </row>
    <row r="949" spans="1:8" ht="13" x14ac:dyDescent="0.15">
      <c r="A949" s="2"/>
      <c r="B949" s="2"/>
      <c r="C949" s="11"/>
      <c r="D949" s="2"/>
      <c r="E949" s="2"/>
      <c r="F949" s="11"/>
      <c r="G949" s="2"/>
      <c r="H949" s="2"/>
    </row>
    <row r="950" spans="1:8" ht="13" x14ac:dyDescent="0.15">
      <c r="A950" s="2"/>
      <c r="B950" s="2"/>
      <c r="C950" s="11"/>
      <c r="D950" s="2"/>
      <c r="E950" s="2"/>
      <c r="F950" s="11"/>
      <c r="G950" s="2"/>
      <c r="H950" s="2"/>
    </row>
    <row r="951" spans="1:8" ht="13" x14ac:dyDescent="0.15">
      <c r="A951" s="2"/>
      <c r="B951" s="2"/>
      <c r="C951" s="11"/>
      <c r="D951" s="2"/>
      <c r="E951" s="2"/>
      <c r="F951" s="11"/>
      <c r="G951" s="2"/>
      <c r="H951" s="2"/>
    </row>
    <row r="952" spans="1:8" ht="13" x14ac:dyDescent="0.15">
      <c r="A952" s="2"/>
      <c r="B952" s="2"/>
      <c r="C952" s="11"/>
      <c r="D952" s="2"/>
      <c r="E952" s="2"/>
      <c r="F952" s="11"/>
      <c r="G952" s="2"/>
      <c r="H952" s="2"/>
    </row>
    <row r="953" spans="1:8" ht="13" x14ac:dyDescent="0.15">
      <c r="A953" s="2"/>
      <c r="B953" s="2"/>
      <c r="C953" s="11"/>
      <c r="D953" s="2"/>
      <c r="E953" s="2"/>
      <c r="F953" s="11"/>
      <c r="G953" s="2"/>
      <c r="H953" s="2"/>
    </row>
    <row r="954" spans="1:8" ht="13" x14ac:dyDescent="0.15">
      <c r="A954" s="2"/>
      <c r="B954" s="2"/>
      <c r="C954" s="11"/>
      <c r="D954" s="2"/>
      <c r="E954" s="2"/>
      <c r="F954" s="11"/>
      <c r="G954" s="2"/>
      <c r="H954" s="2"/>
    </row>
    <row r="955" spans="1:8" ht="13" x14ac:dyDescent="0.15">
      <c r="A955" s="2"/>
      <c r="B955" s="2"/>
      <c r="C955" s="11"/>
      <c r="D955" s="2"/>
      <c r="E955" s="2"/>
      <c r="F955" s="11"/>
      <c r="G955" s="2"/>
      <c r="H955" s="2"/>
    </row>
    <row r="956" spans="1:8" ht="13" x14ac:dyDescent="0.15">
      <c r="A956" s="2"/>
      <c r="B956" s="2"/>
      <c r="C956" s="11"/>
      <c r="D956" s="2"/>
      <c r="E956" s="2"/>
      <c r="F956" s="11"/>
      <c r="G956" s="2"/>
      <c r="H956" s="2"/>
    </row>
    <row r="957" spans="1:8" ht="13" x14ac:dyDescent="0.15">
      <c r="A957" s="2"/>
      <c r="B957" s="2"/>
      <c r="C957" s="11"/>
      <c r="D957" s="2"/>
      <c r="E957" s="2"/>
      <c r="F957" s="11"/>
      <c r="G957" s="2"/>
      <c r="H957" s="2"/>
    </row>
    <row r="958" spans="1:8" ht="13" x14ac:dyDescent="0.15">
      <c r="A958" s="2"/>
      <c r="B958" s="2"/>
      <c r="C958" s="11"/>
      <c r="D958" s="2"/>
      <c r="E958" s="2"/>
      <c r="F958" s="11"/>
      <c r="G958" s="2"/>
      <c r="H958" s="2"/>
    </row>
    <row r="959" spans="1:8" ht="13" x14ac:dyDescent="0.15">
      <c r="A959" s="2"/>
      <c r="B959" s="2"/>
      <c r="C959" s="11"/>
      <c r="D959" s="2"/>
      <c r="E959" s="2"/>
      <c r="F959" s="11"/>
      <c r="G959" s="2"/>
      <c r="H959" s="2"/>
    </row>
    <row r="960" spans="1:8" ht="13" x14ac:dyDescent="0.15">
      <c r="A960" s="2"/>
      <c r="B960" s="2"/>
      <c r="C960" s="11"/>
      <c r="D960" s="2"/>
      <c r="E960" s="2"/>
      <c r="F960" s="11"/>
      <c r="G960" s="2"/>
      <c r="H960" s="2"/>
    </row>
    <row r="961" spans="1:8" ht="13" x14ac:dyDescent="0.15">
      <c r="A961" s="2"/>
      <c r="B961" s="2"/>
      <c r="C961" s="11"/>
      <c r="D961" s="2"/>
      <c r="E961" s="2"/>
      <c r="F961" s="11"/>
      <c r="G961" s="2"/>
      <c r="H961" s="2"/>
    </row>
    <row r="962" spans="1:8" ht="13" x14ac:dyDescent="0.15">
      <c r="A962" s="2"/>
      <c r="B962" s="2"/>
      <c r="C962" s="11"/>
      <c r="D962" s="2"/>
      <c r="E962" s="2"/>
      <c r="F962" s="11"/>
      <c r="G962" s="2"/>
      <c r="H962" s="2"/>
    </row>
    <row r="963" spans="1:8" ht="13" x14ac:dyDescent="0.15">
      <c r="A963" s="2"/>
      <c r="B963" s="2"/>
      <c r="C963" s="11"/>
      <c r="D963" s="2"/>
      <c r="E963" s="2"/>
      <c r="F963" s="11"/>
      <c r="G963" s="2"/>
      <c r="H963" s="2"/>
    </row>
    <row r="964" spans="1:8" ht="13" x14ac:dyDescent="0.15">
      <c r="A964" s="2"/>
      <c r="B964" s="2"/>
      <c r="C964" s="11"/>
      <c r="D964" s="2"/>
      <c r="E964" s="2"/>
      <c r="F964" s="11"/>
      <c r="G964" s="2"/>
      <c r="H964" s="2"/>
    </row>
    <row r="965" spans="1:8" ht="13" x14ac:dyDescent="0.15">
      <c r="A965" s="2"/>
      <c r="B965" s="2"/>
      <c r="C965" s="11"/>
      <c r="D965" s="2"/>
      <c r="E965" s="2"/>
      <c r="F965" s="11"/>
      <c r="G965" s="2"/>
      <c r="H965" s="2"/>
    </row>
    <row r="966" spans="1:8" ht="13" x14ac:dyDescent="0.15">
      <c r="A966" s="2"/>
      <c r="B966" s="2"/>
      <c r="C966" s="11"/>
      <c r="D966" s="2"/>
      <c r="E966" s="2"/>
      <c r="F966" s="11"/>
      <c r="G966" s="2"/>
      <c r="H966" s="2"/>
    </row>
    <row r="967" spans="1:8" ht="13" x14ac:dyDescent="0.15">
      <c r="A967" s="2"/>
      <c r="B967" s="2"/>
      <c r="C967" s="11"/>
      <c r="D967" s="2"/>
      <c r="E967" s="2"/>
      <c r="F967" s="11"/>
      <c r="G967" s="2"/>
      <c r="H967" s="2"/>
    </row>
    <row r="968" spans="1:8" ht="13" x14ac:dyDescent="0.15">
      <c r="A968" s="2"/>
      <c r="B968" s="2"/>
      <c r="C968" s="11"/>
      <c r="D968" s="2"/>
      <c r="E968" s="2"/>
      <c r="F968" s="11"/>
      <c r="G968" s="2"/>
      <c r="H968" s="2"/>
    </row>
    <row r="969" spans="1:8" ht="13" x14ac:dyDescent="0.15">
      <c r="A969" s="2"/>
      <c r="B969" s="2"/>
      <c r="C969" s="11"/>
      <c r="D969" s="2"/>
      <c r="E969" s="2"/>
      <c r="F969" s="11"/>
      <c r="G969" s="2"/>
      <c r="H969" s="2"/>
    </row>
    <row r="970" spans="1:8" ht="13" x14ac:dyDescent="0.15">
      <c r="A970" s="2"/>
      <c r="B970" s="2"/>
      <c r="C970" s="11"/>
      <c r="D970" s="2"/>
      <c r="E970" s="2"/>
      <c r="F970" s="11"/>
      <c r="G970" s="2"/>
      <c r="H970" s="2"/>
    </row>
    <row r="971" spans="1:8" ht="13" x14ac:dyDescent="0.15">
      <c r="A971" s="2"/>
      <c r="B971" s="2"/>
      <c r="C971" s="11"/>
      <c r="D971" s="2"/>
      <c r="E971" s="2"/>
      <c r="F971" s="11"/>
      <c r="G971" s="2"/>
      <c r="H971" s="2"/>
    </row>
    <row r="972" spans="1:8" ht="13" x14ac:dyDescent="0.15">
      <c r="A972" s="2"/>
      <c r="B972" s="2"/>
      <c r="C972" s="11"/>
      <c r="D972" s="2"/>
      <c r="E972" s="2"/>
      <c r="F972" s="11"/>
      <c r="G972" s="2"/>
      <c r="H972" s="2"/>
    </row>
    <row r="973" spans="1:8" ht="13" x14ac:dyDescent="0.15">
      <c r="A973" s="2"/>
      <c r="B973" s="2"/>
      <c r="C973" s="11"/>
      <c r="D973" s="2"/>
      <c r="E973" s="2"/>
      <c r="F973" s="11"/>
      <c r="G973" s="2"/>
      <c r="H973" s="2"/>
    </row>
    <row r="974" spans="1:8" ht="13" x14ac:dyDescent="0.15">
      <c r="A974" s="2"/>
      <c r="B974" s="2"/>
      <c r="C974" s="11"/>
      <c r="D974" s="2"/>
      <c r="E974" s="2"/>
      <c r="F974" s="11"/>
      <c r="G974" s="2"/>
      <c r="H974" s="2"/>
    </row>
    <row r="975" spans="1:8" ht="13" x14ac:dyDescent="0.15">
      <c r="A975" s="2"/>
      <c r="B975" s="2"/>
      <c r="C975" s="11"/>
      <c r="D975" s="2"/>
      <c r="E975" s="2"/>
      <c r="F975" s="11"/>
      <c r="G975" s="2"/>
      <c r="H975" s="2"/>
    </row>
    <row r="976" spans="1:8" ht="13" x14ac:dyDescent="0.15">
      <c r="A976" s="2"/>
      <c r="B976" s="2"/>
      <c r="C976" s="11"/>
      <c r="D976" s="2"/>
      <c r="E976" s="2"/>
      <c r="F976" s="11"/>
      <c r="G976" s="2"/>
      <c r="H976" s="2"/>
    </row>
    <row r="977" spans="1:8" ht="13" x14ac:dyDescent="0.15">
      <c r="A977" s="2"/>
      <c r="B977" s="2"/>
      <c r="C977" s="11"/>
      <c r="D977" s="2"/>
      <c r="E977" s="2"/>
      <c r="F977" s="11"/>
      <c r="G977" s="2"/>
      <c r="H977" s="2"/>
    </row>
    <row r="978" spans="1:8" ht="13" x14ac:dyDescent="0.15">
      <c r="A978" s="2"/>
      <c r="B978" s="2"/>
      <c r="C978" s="11"/>
      <c r="D978" s="2"/>
      <c r="E978" s="2"/>
      <c r="F978" s="11"/>
      <c r="G978" s="2"/>
      <c r="H978" s="2"/>
    </row>
    <row r="979" spans="1:8" ht="13" x14ac:dyDescent="0.15">
      <c r="A979" s="2"/>
      <c r="B979" s="2"/>
      <c r="C979" s="11"/>
      <c r="D979" s="2"/>
      <c r="E979" s="2"/>
      <c r="F979" s="11"/>
      <c r="G979" s="2"/>
      <c r="H979" s="2"/>
    </row>
    <row r="980" spans="1:8" ht="13" x14ac:dyDescent="0.15">
      <c r="A980" s="2"/>
      <c r="B980" s="2"/>
      <c r="C980" s="11"/>
      <c r="D980" s="2"/>
      <c r="E980" s="2"/>
      <c r="F980" s="11"/>
      <c r="G980" s="2"/>
      <c r="H980" s="2"/>
    </row>
    <row r="981" spans="1:8" ht="13" x14ac:dyDescent="0.15">
      <c r="A981" s="2"/>
      <c r="B981" s="2"/>
      <c r="C981" s="11"/>
      <c r="D981" s="2"/>
      <c r="E981" s="2"/>
      <c r="F981" s="11"/>
      <c r="G981" s="2"/>
      <c r="H981" s="2"/>
    </row>
    <row r="982" spans="1:8" ht="13" x14ac:dyDescent="0.15">
      <c r="A982" s="2"/>
      <c r="B982" s="2"/>
      <c r="C982" s="11"/>
      <c r="D982" s="2"/>
      <c r="E982" s="2"/>
      <c r="F982" s="11"/>
      <c r="G982" s="2"/>
      <c r="H982" s="2"/>
    </row>
    <row r="983" spans="1:8" ht="13" x14ac:dyDescent="0.15">
      <c r="A983" s="2"/>
      <c r="B983" s="2"/>
      <c r="C983" s="11"/>
      <c r="D983" s="2"/>
      <c r="E983" s="2"/>
      <c r="F983" s="11"/>
      <c r="G983" s="2"/>
      <c r="H983" s="2"/>
    </row>
    <row r="984" spans="1:8" ht="13" x14ac:dyDescent="0.15">
      <c r="A984" s="2"/>
      <c r="B984" s="2"/>
      <c r="C984" s="11"/>
      <c r="D984" s="2"/>
      <c r="E984" s="2"/>
      <c r="F984" s="11"/>
      <c r="G984" s="2"/>
      <c r="H984" s="2"/>
    </row>
    <row r="985" spans="1:8" ht="13" x14ac:dyDescent="0.15">
      <c r="A985" s="2"/>
      <c r="B985" s="2"/>
      <c r="C985" s="11"/>
      <c r="D985" s="2"/>
      <c r="E985" s="2"/>
      <c r="F985" s="11"/>
      <c r="G985" s="2"/>
      <c r="H985" s="2"/>
    </row>
    <row r="986" spans="1:8" ht="13" x14ac:dyDescent="0.15">
      <c r="A986" s="2"/>
      <c r="B986" s="2"/>
      <c r="C986" s="11"/>
      <c r="D986" s="2"/>
      <c r="E986" s="2"/>
      <c r="F986" s="11"/>
      <c r="G986" s="2"/>
      <c r="H986" s="2"/>
    </row>
    <row r="987" spans="1:8" ht="13" x14ac:dyDescent="0.15">
      <c r="A987" s="2"/>
      <c r="B987" s="2"/>
      <c r="C987" s="11"/>
      <c r="D987" s="2"/>
      <c r="E987" s="2"/>
      <c r="F987" s="11"/>
      <c r="G987" s="2"/>
      <c r="H987" s="2"/>
    </row>
    <row r="988" spans="1:8" ht="13" x14ac:dyDescent="0.15">
      <c r="A988" s="2"/>
      <c r="B988" s="2"/>
      <c r="C988" s="11"/>
      <c r="D988" s="2"/>
      <c r="E988" s="2"/>
      <c r="F988" s="11"/>
      <c r="G988" s="2"/>
      <c r="H988" s="2"/>
    </row>
    <row r="989" spans="1:8" ht="13" x14ac:dyDescent="0.15">
      <c r="A989" s="2"/>
      <c r="B989" s="2"/>
      <c r="C989" s="11"/>
      <c r="D989" s="2"/>
      <c r="E989" s="2"/>
      <c r="F989" s="11"/>
      <c r="G989" s="2"/>
      <c r="H989" s="2"/>
    </row>
    <row r="990" spans="1:8" ht="13" x14ac:dyDescent="0.15">
      <c r="A990" s="2"/>
      <c r="B990" s="2"/>
      <c r="C990" s="11"/>
      <c r="D990" s="2"/>
      <c r="E990" s="2"/>
      <c r="F990" s="11"/>
      <c r="G990" s="2"/>
      <c r="H990" s="2"/>
    </row>
    <row r="991" spans="1:8" ht="13" x14ac:dyDescent="0.15">
      <c r="A991" s="2"/>
      <c r="B991" s="2"/>
      <c r="C991" s="11"/>
      <c r="D991" s="2"/>
      <c r="E991" s="2"/>
      <c r="F991" s="11"/>
      <c r="G991" s="2"/>
      <c r="H991" s="2"/>
    </row>
    <row r="992" spans="1:8" ht="13" x14ac:dyDescent="0.15">
      <c r="A992" s="2"/>
      <c r="B992" s="2"/>
      <c r="C992" s="11"/>
      <c r="D992" s="2"/>
      <c r="E992" s="2"/>
      <c r="F992" s="11"/>
      <c r="G992" s="2"/>
      <c r="H992" s="2"/>
    </row>
    <row r="993" spans="1:8" ht="13" x14ac:dyDescent="0.15">
      <c r="A993" s="2"/>
      <c r="B993" s="2"/>
      <c r="C993" s="11"/>
      <c r="D993" s="2"/>
      <c r="E993" s="2"/>
      <c r="F993" s="11"/>
      <c r="G993" s="2"/>
      <c r="H993" s="2"/>
    </row>
    <row r="994" spans="1:8" ht="13" x14ac:dyDescent="0.15">
      <c r="A994" s="2"/>
      <c r="B994" s="2"/>
      <c r="C994" s="11"/>
      <c r="D994" s="2"/>
      <c r="E994" s="2"/>
      <c r="F994" s="11"/>
      <c r="G994" s="2"/>
      <c r="H994" s="2"/>
    </row>
    <row r="995" spans="1:8" ht="13" x14ac:dyDescent="0.15">
      <c r="A995" s="2"/>
      <c r="B995" s="2"/>
      <c r="C995" s="11"/>
      <c r="D995" s="2"/>
      <c r="E995" s="2"/>
      <c r="F995" s="11"/>
      <c r="G995" s="2"/>
      <c r="H995" s="2"/>
    </row>
    <row r="996" spans="1:8" ht="13" x14ac:dyDescent="0.15">
      <c r="A996" s="2"/>
      <c r="B996" s="2"/>
      <c r="C996" s="11"/>
      <c r="D996" s="2"/>
      <c r="E996" s="2"/>
      <c r="F996" s="11"/>
      <c r="G996" s="2"/>
      <c r="H996" s="2"/>
    </row>
    <row r="997" spans="1:8" ht="13" x14ac:dyDescent="0.15">
      <c r="A997" s="2"/>
      <c r="B997" s="2"/>
      <c r="C997" s="11"/>
      <c r="D997" s="2"/>
      <c r="E997" s="2"/>
      <c r="F997" s="11"/>
      <c r="G997" s="2"/>
      <c r="H997" s="2"/>
    </row>
    <row r="998" spans="1:8" ht="13" x14ac:dyDescent="0.15">
      <c r="A998" s="2"/>
      <c r="B998" s="2"/>
      <c r="C998" s="11"/>
      <c r="D998" s="2"/>
      <c r="E998" s="2"/>
      <c r="F998" s="11"/>
      <c r="G998" s="2"/>
      <c r="H998" s="2"/>
    </row>
    <row r="999" spans="1:8" ht="13" x14ac:dyDescent="0.15">
      <c r="A999" s="2"/>
      <c r="B999" s="2"/>
      <c r="C999" s="11"/>
      <c r="D999" s="2"/>
      <c r="E999" s="2"/>
      <c r="F999" s="11"/>
      <c r="G999" s="2"/>
      <c r="H999" s="2"/>
    </row>
    <row r="1000" spans="1:8" ht="13" x14ac:dyDescent="0.15">
      <c r="A1000" s="2"/>
      <c r="B1000" s="2"/>
      <c r="C1000" s="11"/>
      <c r="D1000" s="2"/>
      <c r="E1000" s="2"/>
      <c r="F1000" s="11"/>
      <c r="G1000" s="2"/>
      <c r="H1000" s="2"/>
    </row>
    <row r="1001" spans="1:8" ht="13" x14ac:dyDescent="0.15">
      <c r="A1001" s="2"/>
      <c r="B1001" s="2"/>
      <c r="C1001" s="11"/>
      <c r="D1001" s="2"/>
      <c r="E1001" s="2"/>
      <c r="F1001" s="11"/>
      <c r="G1001" s="2"/>
      <c r="H1001" s="2"/>
    </row>
    <row r="1002" spans="1:8" ht="13" x14ac:dyDescent="0.15">
      <c r="A1002" s="2"/>
      <c r="B1002" s="2"/>
      <c r="C1002" s="11"/>
      <c r="D1002" s="2"/>
      <c r="E1002" s="2"/>
      <c r="F1002" s="11"/>
      <c r="G1002" s="2"/>
      <c r="H1002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37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349</v>
      </c>
      <c r="B2" s="2" t="str">
        <f ca="1">IFERROR(__xludf.DUMMYFUNCTION("GOOGLETRANSLATE(A2)"),"Personal qualities days since language requirement")</f>
        <v>Personal qualities days since language requirement</v>
      </c>
      <c r="C2" s="11"/>
      <c r="D2" s="2">
        <v>15.15384566458</v>
      </c>
      <c r="E2" s="2" t="s">
        <v>351</v>
      </c>
      <c r="F2" s="11"/>
      <c r="G2" s="2"/>
      <c r="H2" s="2"/>
    </row>
    <row r="3" spans="1:8" ht="15.75" customHeight="1" x14ac:dyDescent="0.15">
      <c r="A3" s="2" t="s">
        <v>353</v>
      </c>
      <c r="B3" s="2" t="s">
        <v>354</v>
      </c>
      <c r="C3" s="11" t="s">
        <v>355</v>
      </c>
      <c r="D3" s="2">
        <v>14.928515995963201</v>
      </c>
      <c r="E3" s="2" t="s">
        <v>351</v>
      </c>
      <c r="F3" s="11" t="s">
        <v>356</v>
      </c>
      <c r="G3" s="2"/>
      <c r="H3" s="2"/>
    </row>
    <row r="4" spans="1:8" ht="15.75" customHeight="1" x14ac:dyDescent="0.15">
      <c r="A4" s="2" t="s">
        <v>436</v>
      </c>
      <c r="B4" s="2" t="s">
        <v>437</v>
      </c>
      <c r="C4" s="11" t="s">
        <v>438</v>
      </c>
      <c r="D4" s="2">
        <v>4.2460627582855803</v>
      </c>
      <c r="E4" s="2" t="s">
        <v>351</v>
      </c>
      <c r="F4" s="11" t="s">
        <v>439</v>
      </c>
      <c r="G4" s="2"/>
      <c r="H4" s="2"/>
    </row>
    <row r="5" spans="1:8" ht="15.75" customHeight="1" x14ac:dyDescent="0.15">
      <c r="A5" s="2" t="s">
        <v>440</v>
      </c>
      <c r="B5" s="2" t="str">
        <f ca="1">IFERROR(__xludf.DUMMYFUNCTION("GOOGLETRANSLATE(A5)"),"Personal qualities of language requires satisfied")</f>
        <v>Personal qualities of language requires satisfied</v>
      </c>
      <c r="C5" s="11"/>
      <c r="D5" s="2">
        <v>4.17954060342782</v>
      </c>
      <c r="E5" s="2" t="s">
        <v>351</v>
      </c>
      <c r="F5" s="11"/>
      <c r="G5" s="2"/>
      <c r="H5" s="2"/>
    </row>
    <row r="6" spans="1:8" ht="15.75" customHeight="1" x14ac:dyDescent="0.15">
      <c r="A6" s="2" t="s">
        <v>454</v>
      </c>
      <c r="B6" s="2" t="s">
        <v>957</v>
      </c>
      <c r="C6" s="11"/>
      <c r="D6" s="2">
        <v>3.8364064105503801</v>
      </c>
      <c r="E6" s="2" t="s">
        <v>351</v>
      </c>
      <c r="F6" s="11"/>
      <c r="G6" s="2"/>
      <c r="H6" s="2"/>
    </row>
    <row r="7" spans="1:8" ht="15.75" customHeight="1" x14ac:dyDescent="0.15">
      <c r="A7" s="2" t="s">
        <v>500</v>
      </c>
      <c r="B7" s="2" t="s">
        <v>501</v>
      </c>
      <c r="C7" s="11" t="s">
        <v>916</v>
      </c>
      <c r="D7" s="2">
        <v>1.93590796746875</v>
      </c>
      <c r="E7" s="2" t="s">
        <v>351</v>
      </c>
      <c r="F7" s="11" t="s">
        <v>439</v>
      </c>
      <c r="G7" s="2"/>
      <c r="H7" s="2"/>
    </row>
    <row r="8" spans="1:8" ht="15.75" customHeight="1" x14ac:dyDescent="0.15">
      <c r="A8" s="2" t="s">
        <v>503</v>
      </c>
      <c r="B8" s="2" t="s">
        <v>504</v>
      </c>
      <c r="C8" s="11" t="s">
        <v>505</v>
      </c>
      <c r="D8" s="2">
        <v>1.8980661127223999</v>
      </c>
      <c r="E8" s="2" t="s">
        <v>351</v>
      </c>
      <c r="F8" s="11"/>
      <c r="G8" s="2"/>
      <c r="H8" s="2"/>
    </row>
    <row r="9" spans="1:8" ht="15.75" customHeight="1" x14ac:dyDescent="0.15">
      <c r="A9" s="2" t="s">
        <v>574</v>
      </c>
      <c r="B9" s="2" t="str">
        <f ca="1">IFERROR(__xludf.DUMMYFUNCTION("GOOGLETRANSLATE(A9)"),"Personal characteristics setup")</f>
        <v>Personal characteristics setup</v>
      </c>
      <c r="C9" s="11"/>
      <c r="D9" s="2">
        <v>0.97750642067956495</v>
      </c>
      <c r="E9" s="2" t="s">
        <v>351</v>
      </c>
      <c r="F9" s="11"/>
      <c r="G9" s="2"/>
      <c r="H9" s="2"/>
    </row>
    <row r="10" spans="1:8" ht="15.75" customHeight="1" x14ac:dyDescent="0.15">
      <c r="A10" s="2" t="s">
        <v>605</v>
      </c>
      <c r="B10" s="2" t="str">
        <f ca="1">IFERROR(__xludf.DUMMYFUNCTION("GOOGLETRANSLATE(A10)"),"Personal qualities Hobbies Sport")</f>
        <v>Personal qualities Hobbies Sport</v>
      </c>
      <c r="C10" s="11"/>
      <c r="D10" s="2">
        <v>0.61819691573297597</v>
      </c>
      <c r="E10" s="2" t="s">
        <v>351</v>
      </c>
      <c r="F10" s="11"/>
      <c r="G10" s="2"/>
      <c r="H10" s="2"/>
    </row>
    <row r="11" spans="1:8" ht="15.75" customHeight="1" x14ac:dyDescent="0.15">
      <c r="A11" s="2" t="s">
        <v>638</v>
      </c>
      <c r="B11" s="2" t="str">
        <f ca="1">IFERROR(__xludf.DUMMYFUNCTION("GOOGLETRANSLATE(A11)"),"Personal qualities attitude")</f>
        <v>Personal qualities attitude</v>
      </c>
      <c r="C11" s="11"/>
      <c r="D11" s="2">
        <v>0.54125580155166997</v>
      </c>
      <c r="E11" s="2" t="s">
        <v>351</v>
      </c>
      <c r="F11" s="11"/>
      <c r="G11" s="2"/>
      <c r="H11" s="2"/>
    </row>
    <row r="12" spans="1:8" ht="15.75" customHeight="1" x14ac:dyDescent="0.15">
      <c r="A12" s="2" t="s">
        <v>659</v>
      </c>
      <c r="B12" s="2" t="s">
        <v>958</v>
      </c>
      <c r="C12" s="11"/>
      <c r="D12" s="2">
        <v>0.457083693524511</v>
      </c>
      <c r="E12" s="2" t="s">
        <v>351</v>
      </c>
      <c r="F12" s="11"/>
      <c r="G12" s="2"/>
      <c r="H12" s="2"/>
    </row>
    <row r="13" spans="1:8" ht="15.75" customHeight="1" x14ac:dyDescent="0.15">
      <c r="A13" s="2" t="s">
        <v>668</v>
      </c>
      <c r="B13" s="2" t="s">
        <v>669</v>
      </c>
      <c r="C13" s="11"/>
      <c r="D13" s="2">
        <v>0.436337455050888</v>
      </c>
      <c r="E13" s="2" t="s">
        <v>351</v>
      </c>
      <c r="F13" s="11"/>
      <c r="G13" s="2"/>
      <c r="H13" s="2"/>
    </row>
    <row r="14" spans="1:8" ht="15.75" customHeight="1" x14ac:dyDescent="0.15">
      <c r="A14" s="2" t="s">
        <v>675</v>
      </c>
      <c r="B14" s="2" t="str">
        <f ca="1">IFERROR(__xludf.DUMMYFUNCTION("GOOGLETRANSLATE(A14)"),"Personal characteristics external care")</f>
        <v>Personal characteristics external care</v>
      </c>
      <c r="C14" s="11"/>
      <c r="D14" s="2">
        <v>0.38759728615717998</v>
      </c>
      <c r="E14" s="2" t="s">
        <v>351</v>
      </c>
      <c r="F14" s="11"/>
      <c r="G14" s="2"/>
      <c r="H14" s="2"/>
    </row>
    <row r="15" spans="1:8" ht="15.75" customHeight="1" x14ac:dyDescent="0.15">
      <c r="A15" s="2" t="s">
        <v>696</v>
      </c>
      <c r="B15" s="2" t="s">
        <v>697</v>
      </c>
      <c r="C15" s="11"/>
      <c r="D15" s="2">
        <v>0.30697607485698902</v>
      </c>
      <c r="E15" s="2" t="s">
        <v>351</v>
      </c>
      <c r="F15" s="11"/>
      <c r="G15" s="2"/>
      <c r="H15" s="2"/>
    </row>
    <row r="16" spans="1:8" ht="15.75" customHeight="1" x14ac:dyDescent="0.15">
      <c r="A16" s="2" t="s">
        <v>698</v>
      </c>
      <c r="B16" s="2" t="str">
        <f ca="1">IFERROR(__xludf.DUMMYFUNCTION("GOOGLETRANSLATE(A16)"),"Personal Features NL Writing False")</f>
        <v>Personal Features NL Writing False</v>
      </c>
      <c r="C16" s="11"/>
      <c r="D16" s="2">
        <v>0.30305006419823399</v>
      </c>
      <c r="E16" s="2" t="s">
        <v>351</v>
      </c>
      <c r="F16" s="11"/>
      <c r="G16" s="2"/>
      <c r="H16" s="2"/>
    </row>
    <row r="17" spans="1:8" ht="15.75" customHeight="1" x14ac:dyDescent="0.15">
      <c r="A17" s="2" t="s">
        <v>700</v>
      </c>
      <c r="B17" s="2" t="str">
        <f ca="1">IFERROR(__xludf.DUMMYFUNCTION("GOOGLETRANSLATE(A17)"),"Personal qualities Other comments")</f>
        <v>Personal qualities Other comments</v>
      </c>
      <c r="C17" s="11"/>
      <c r="D17" s="2">
        <v>0.29783935556595298</v>
      </c>
      <c r="E17" s="2" t="s">
        <v>351</v>
      </c>
      <c r="F17" s="11"/>
      <c r="G17" s="2"/>
      <c r="H17" s="2"/>
    </row>
    <row r="18" spans="1:8" ht="15.75" customHeight="1" x14ac:dyDescent="0.15">
      <c r="A18" s="2" t="s">
        <v>723</v>
      </c>
      <c r="B18" s="2" t="str">
        <f ca="1">IFERROR(__xludf.DUMMYFUNCTION("GOOGLETRANSLATE(A18)"),"Personal qualities inquisitiveness")</f>
        <v>Personal qualities inquisitiveness</v>
      </c>
      <c r="C18" s="11"/>
      <c r="D18" s="2">
        <v>0.27225200031819702</v>
      </c>
      <c r="E18" s="2" t="s">
        <v>351</v>
      </c>
      <c r="F18" s="11"/>
      <c r="G18" s="2"/>
      <c r="H18" s="2"/>
    </row>
    <row r="19" spans="1:8" ht="15.75" customHeight="1" x14ac:dyDescent="0.15">
      <c r="A19" s="2" t="s">
        <v>730</v>
      </c>
      <c r="B19" s="2" t="str">
        <f ca="1">IFERROR(__xludf.DUMMYFUNCTION("GOOGLETRANSLATE(A19)"),"Personal qualities Language requirement Write OK")</f>
        <v>Personal qualities Language requirement Write OK</v>
      </c>
      <c r="C19" s="11"/>
      <c r="D19" s="2">
        <v>0.231916985269289</v>
      </c>
      <c r="E19" s="2" t="s">
        <v>351</v>
      </c>
      <c r="F19" s="11"/>
      <c r="G19" s="2"/>
      <c r="H19" s="2"/>
    </row>
    <row r="20" spans="1:8" ht="15.75" customHeight="1" x14ac:dyDescent="0.15">
      <c r="A20" s="2" t="s">
        <v>746</v>
      </c>
      <c r="B20" s="2" t="str">
        <f ca="1">IFERROR(__xludf.DUMMYFUNCTION("GOOGLETRANSLATE(A20)"),"Personal characteristics initiative")</f>
        <v>Personal characteristics initiative</v>
      </c>
      <c r="C20" s="11"/>
      <c r="D20" s="2">
        <v>0.20026033383703901</v>
      </c>
      <c r="E20" s="2" t="s">
        <v>351</v>
      </c>
      <c r="F20" s="11"/>
      <c r="G20" s="2"/>
      <c r="H20" s="2"/>
    </row>
    <row r="21" spans="1:8" ht="15.75" customHeight="1" x14ac:dyDescent="0.15">
      <c r="A21" s="2" t="s">
        <v>755</v>
      </c>
      <c r="B21" s="2" t="s">
        <v>959</v>
      </c>
      <c r="C21" s="11"/>
      <c r="D21" s="2">
        <v>0.17860946536809699</v>
      </c>
      <c r="E21" s="2" t="s">
        <v>351</v>
      </c>
      <c r="F21" s="11"/>
      <c r="G21" s="2"/>
      <c r="H21" s="2"/>
    </row>
    <row r="22" spans="1:8" ht="15.75" customHeight="1" x14ac:dyDescent="0.15">
      <c r="A22" s="2" t="s">
        <v>763</v>
      </c>
      <c r="B22" s="2" t="s">
        <v>764</v>
      </c>
      <c r="C22" s="11"/>
      <c r="D22" s="2">
        <v>0.16136326971987</v>
      </c>
      <c r="E22" s="2" t="s">
        <v>351</v>
      </c>
      <c r="F22" s="11"/>
      <c r="G22" s="2"/>
      <c r="H22" s="2"/>
    </row>
    <row r="23" spans="1:8" ht="15.75" customHeight="1" x14ac:dyDescent="0.15">
      <c r="A23" s="2" t="s">
        <v>765</v>
      </c>
      <c r="B23" s="2" t="s">
        <v>766</v>
      </c>
      <c r="C23" s="11"/>
      <c r="D23" s="2">
        <v>0.15305296518359199</v>
      </c>
      <c r="E23" s="2" t="s">
        <v>351</v>
      </c>
      <c r="F23" s="11"/>
      <c r="G23" s="2"/>
      <c r="H23" s="2"/>
    </row>
    <row r="24" spans="1:8" ht="15.75" customHeight="1" x14ac:dyDescent="0.15">
      <c r="A24" s="2" t="s">
        <v>767</v>
      </c>
      <c r="B24" s="2" t="str">
        <f ca="1">IFERROR(__xludf.DUMMYFUNCTION("GOOGLETRANSLATE(A24)"),"Personal qualities NL Write 0")</f>
        <v>Personal qualities NL Write 0</v>
      </c>
      <c r="C24" s="11"/>
      <c r="D24" s="2">
        <v>0.142233570993167</v>
      </c>
      <c r="E24" s="2" t="s">
        <v>351</v>
      </c>
      <c r="F24" s="11"/>
      <c r="G24" s="2"/>
      <c r="H24" s="2"/>
    </row>
    <row r="25" spans="1:8" ht="15.75" customHeight="1" x14ac:dyDescent="0.15">
      <c r="A25" s="2" t="s">
        <v>768</v>
      </c>
      <c r="B25" s="2" t="str">
        <f ca="1">IFERROR(__xludf.DUMMYFUNCTION("GOOGLETRANSLATE(A25)"),"Personal characteristics in regular labor rhythm")</f>
        <v>Personal characteristics in regular labor rhythm</v>
      </c>
      <c r="C25" s="11"/>
      <c r="D25" s="2">
        <v>0.141302823297283</v>
      </c>
      <c r="E25" s="2" t="s">
        <v>351</v>
      </c>
      <c r="F25" s="11"/>
      <c r="G25" s="2"/>
      <c r="H25" s="2"/>
    </row>
    <row r="26" spans="1:8" ht="15.75" customHeight="1" x14ac:dyDescent="0.15">
      <c r="A26" s="2" t="s">
        <v>770</v>
      </c>
      <c r="B26" s="2" t="s">
        <v>771</v>
      </c>
      <c r="C26" s="11" t="s">
        <v>772</v>
      </c>
      <c r="D26" s="2">
        <v>0.134874390943897</v>
      </c>
      <c r="E26" s="2" t="s">
        <v>351</v>
      </c>
      <c r="F26" s="11"/>
      <c r="G26" s="2"/>
      <c r="H26" s="2"/>
    </row>
    <row r="27" spans="1:8" ht="15.75" customHeight="1" x14ac:dyDescent="0.15">
      <c r="A27" s="2" t="s">
        <v>777</v>
      </c>
      <c r="B27" s="2" t="str">
        <f ca="1">IFERROR(__xludf.DUMMYFUNCTION("GOOGLETRANSLATE(A27)"),"Personal characteristics perseverance")</f>
        <v>Personal characteristics perseverance</v>
      </c>
      <c r="C27" s="11"/>
      <c r="D27" s="2">
        <v>0.121273338079672</v>
      </c>
      <c r="E27" s="2" t="s">
        <v>351</v>
      </c>
      <c r="F27" s="11"/>
      <c r="G27" s="2"/>
      <c r="H27" s="2"/>
    </row>
    <row r="28" spans="1:8" ht="15.75" customHeight="1" x14ac:dyDescent="0.15">
      <c r="A28" s="2" t="s">
        <v>780</v>
      </c>
      <c r="B28" s="2" t="str">
        <f ca="1">IFERROR(__xludf.DUMMYFUNCTION("GOOGLETRANSLATE(A28)"),"Personal characteristics communication")</f>
        <v>Personal characteristics communication</v>
      </c>
      <c r="C28" s="11"/>
      <c r="D28" s="2">
        <v>0.10923264448238799</v>
      </c>
      <c r="E28" s="2" t="s">
        <v>351</v>
      </c>
      <c r="F28" s="11"/>
      <c r="G28" s="2"/>
      <c r="H28" s="2"/>
    </row>
    <row r="29" spans="1:8" ht="15.75" customHeight="1" x14ac:dyDescent="0.15">
      <c r="A29" s="2" t="s">
        <v>781</v>
      </c>
      <c r="B29" s="2" t="s">
        <v>960</v>
      </c>
      <c r="C29" s="11"/>
      <c r="D29" s="2">
        <v>0.10825707532083401</v>
      </c>
      <c r="E29" s="2" t="s">
        <v>351</v>
      </c>
      <c r="F29" s="11"/>
      <c r="G29" s="2"/>
      <c r="H29" s="2"/>
    </row>
    <row r="30" spans="1:8" ht="15.75" customHeight="1" x14ac:dyDescent="0.15">
      <c r="A30" s="2" t="s">
        <v>787</v>
      </c>
      <c r="B30" s="2" t="str">
        <f ca="1">IFERROR(__xludf.DUMMYFUNCTION("GOOGLETRANSLATE(A30)"),"Personal qualities NL Write 2")</f>
        <v>Personal qualities NL Write 2</v>
      </c>
      <c r="C30" s="11"/>
      <c r="D30" s="2">
        <v>0.105778359033252</v>
      </c>
      <c r="E30" s="2" t="s">
        <v>351</v>
      </c>
      <c r="F30" s="11"/>
      <c r="G30" s="2"/>
      <c r="H30" s="2"/>
    </row>
    <row r="31" spans="1:8" ht="15.75" customHeight="1" x14ac:dyDescent="0.15">
      <c r="A31" s="2" t="s">
        <v>884</v>
      </c>
      <c r="B31" s="2" t="str">
        <f ca="1">IFERROR(__xludf.DUMMYFUNCTION("GOOGLETRANSLATE(A31)"),"Personal characteristics flexibility")</f>
        <v>Personal characteristics flexibility</v>
      </c>
      <c r="C31" s="11"/>
      <c r="D31" s="2">
        <v>0</v>
      </c>
      <c r="E31" s="2" t="s">
        <v>351</v>
      </c>
      <c r="F31" s="11"/>
      <c r="G31" s="2"/>
      <c r="H31" s="2"/>
    </row>
    <row r="32" spans="1:8" ht="15.75" customHeight="1" x14ac:dyDescent="0.15">
      <c r="A32" s="2" t="s">
        <v>890</v>
      </c>
      <c r="B32" s="2" t="str">
        <f ca="1">IFERROR(__xludf.DUMMYFUNCTION("GOOGLETRANSLATE(A32)"),"Personal characteristics independence")</f>
        <v>Personal characteristics independence</v>
      </c>
      <c r="C32" s="11"/>
      <c r="D32" s="2">
        <v>0</v>
      </c>
      <c r="E32" s="2" t="s">
        <v>351</v>
      </c>
      <c r="F32" s="11"/>
      <c r="G32" s="2"/>
      <c r="H32" s="2"/>
    </row>
    <row r="33" spans="1:8" ht="15.75" customHeight="1" x14ac:dyDescent="0.15">
      <c r="A33" s="2" t="s">
        <v>885</v>
      </c>
      <c r="B33" s="2" t="str">
        <f ca="1">IFERROR(__xludf.DUMMYFUNCTION("GOOGLETRANSLATE(A33)"),"Personal properties IND outside office hours")</f>
        <v>Personal properties IND outside office hours</v>
      </c>
      <c r="C33" s="11"/>
      <c r="D33" s="2">
        <v>0</v>
      </c>
      <c r="E33" s="2" t="s">
        <v>351</v>
      </c>
      <c r="F33" s="11"/>
      <c r="G33" s="2"/>
      <c r="H33" s="2"/>
    </row>
    <row r="34" spans="1:8" ht="15.75" customHeight="1" x14ac:dyDescent="0.15">
      <c r="A34" s="2" t="s">
        <v>886</v>
      </c>
      <c r="B34" s="2" t="str">
        <f ca="1">IFERROR(__xludf.DUMMYFUNCTION("GOOGLETRANSLATE(A34)"),"Personal qualities NL read 3")</f>
        <v>Personal qualities NL read 3</v>
      </c>
      <c r="C34" s="11"/>
      <c r="D34" s="2">
        <v>0</v>
      </c>
      <c r="E34" s="2" t="s">
        <v>351</v>
      </c>
      <c r="F34" s="11"/>
      <c r="G34" s="2"/>
      <c r="H34" s="2"/>
    </row>
    <row r="35" spans="1:8" ht="15.75" customHeight="1" x14ac:dyDescent="0.15">
      <c r="A35" s="2" t="s">
        <v>887</v>
      </c>
      <c r="B35" s="2" t="str">
        <f ca="1">IFERROR(__xludf.DUMMYFUNCTION("GOOGLETRANSLATE(A35)"),"Personal qualities NL Read 4")</f>
        <v>Personal qualities NL Read 4</v>
      </c>
      <c r="C35" s="11"/>
      <c r="D35" s="2">
        <v>0</v>
      </c>
      <c r="E35" s="2" t="s">
        <v>351</v>
      </c>
      <c r="F35" s="11"/>
      <c r="G35" s="2"/>
      <c r="H35" s="2"/>
    </row>
    <row r="36" spans="1:8" ht="15.75" customHeight="1" x14ac:dyDescent="0.15">
      <c r="A36" s="2" t="s">
        <v>888</v>
      </c>
      <c r="B36" s="2" t="str">
        <f ca="1">IFERROR(__xludf.DUMMYFUNCTION("GOOGLETRANSLATE(A36)"),"Personal qualities NL Write 1")</f>
        <v>Personal qualities NL Write 1</v>
      </c>
      <c r="C36" s="11"/>
      <c r="D36" s="2">
        <v>0</v>
      </c>
      <c r="E36" s="2" t="s">
        <v>351</v>
      </c>
      <c r="F36" s="11"/>
      <c r="G36" s="2"/>
      <c r="H36" s="2"/>
    </row>
    <row r="37" spans="1:8" ht="15.75" customHeight="1" x14ac:dyDescent="0.15">
      <c r="A37" s="2" t="s">
        <v>889</v>
      </c>
      <c r="B37" s="2" t="str">
        <f ca="1">IFERROR(__xludf.DUMMYFUNCTION("GOOGLETRANSLATE(A37)"),"Personal qualities NL Write 3")</f>
        <v>Personal qualities NL Write 3</v>
      </c>
      <c r="C37" s="11"/>
      <c r="D37" s="2">
        <v>0</v>
      </c>
      <c r="E37" s="2" t="s">
        <v>351</v>
      </c>
      <c r="F37" s="11"/>
      <c r="G37" s="2"/>
      <c r="H37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2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357</v>
      </c>
      <c r="B2" s="2" t="s">
        <v>358</v>
      </c>
      <c r="C2" s="11"/>
      <c r="D2" s="2">
        <v>13.8170249984941</v>
      </c>
      <c r="E2" s="2" t="s">
        <v>360</v>
      </c>
      <c r="F2" s="11"/>
      <c r="G2" s="2"/>
      <c r="H2" s="2"/>
    </row>
    <row r="3" spans="1:8" ht="15.75" customHeight="1" x14ac:dyDescent="0.15">
      <c r="A3" s="2" t="s">
        <v>388</v>
      </c>
      <c r="B3" s="2" t="s">
        <v>389</v>
      </c>
      <c r="C3" s="11" t="s">
        <v>390</v>
      </c>
      <c r="D3" s="2">
        <v>8.6815318534939401</v>
      </c>
      <c r="E3" s="2" t="s">
        <v>360</v>
      </c>
      <c r="F3" s="11" t="s">
        <v>391</v>
      </c>
      <c r="G3" s="2"/>
      <c r="H3" s="2"/>
    </row>
    <row r="4" spans="1:8" ht="15.75" customHeight="1" x14ac:dyDescent="0.15">
      <c r="A4" s="2" t="s">
        <v>415</v>
      </c>
      <c r="B4" s="2" t="s">
        <v>416</v>
      </c>
      <c r="C4" s="11" t="s">
        <v>417</v>
      </c>
      <c r="D4" s="2">
        <v>6.6407430187550904</v>
      </c>
      <c r="E4" s="2" t="s">
        <v>360</v>
      </c>
      <c r="F4" s="21" t="s">
        <v>418</v>
      </c>
      <c r="G4" s="2"/>
      <c r="H4" s="2"/>
    </row>
    <row r="5" spans="1:8" ht="15.75" customHeight="1" x14ac:dyDescent="0.15">
      <c r="A5" s="2" t="s">
        <v>568</v>
      </c>
      <c r="B5" s="2" t="s">
        <v>569</v>
      </c>
      <c r="C5" s="11" t="s">
        <v>570</v>
      </c>
      <c r="D5" s="2">
        <v>0.99694491210988401</v>
      </c>
      <c r="E5" s="2" t="s">
        <v>360</v>
      </c>
      <c r="F5" s="11"/>
      <c r="G5" s="2"/>
      <c r="H5" s="2"/>
    </row>
    <row r="6" spans="1:8" ht="15.75" customHeight="1" x14ac:dyDescent="0.15">
      <c r="A6" s="2" t="s">
        <v>601</v>
      </c>
      <c r="B6" s="2" t="str">
        <f ca="1">IFERROR(__xludf.DUMMYFUNCTION("GOOGLETRANSLATE(A6)"),"Exemption Reason Hist Other")</f>
        <v>Exemption Reason Hist Other</v>
      </c>
      <c r="C6" s="11"/>
      <c r="D6" s="2">
        <v>0.64650468721771803</v>
      </c>
      <c r="E6" s="2" t="s">
        <v>360</v>
      </c>
      <c r="F6" s="11"/>
      <c r="G6" s="2"/>
      <c r="H6" s="2"/>
    </row>
    <row r="7" spans="1:8" ht="15.75" customHeight="1" x14ac:dyDescent="0.15">
      <c r="A7" s="2" t="s">
        <v>678</v>
      </c>
      <c r="B7" s="2" t="s">
        <v>679</v>
      </c>
      <c r="C7" s="11"/>
      <c r="D7" s="2">
        <v>0.37396231669442798</v>
      </c>
      <c r="E7" s="2" t="s">
        <v>360</v>
      </c>
      <c r="F7" s="11"/>
      <c r="G7" s="2"/>
      <c r="H7" s="2"/>
    </row>
    <row r="8" spans="1:8" ht="15.75" customHeight="1" x14ac:dyDescent="0.15">
      <c r="A8" s="2" t="s">
        <v>711</v>
      </c>
      <c r="B8" s="2" t="s">
        <v>712</v>
      </c>
      <c r="C8" s="11" t="s">
        <v>713</v>
      </c>
      <c r="D8" s="2">
        <v>0.28255175946828998</v>
      </c>
      <c r="E8" s="2" t="s">
        <v>360</v>
      </c>
      <c r="F8" s="11"/>
      <c r="G8" s="2"/>
      <c r="H8" s="2"/>
    </row>
    <row r="9" spans="1:8" ht="15.75" customHeight="1" x14ac:dyDescent="0.15">
      <c r="A9" s="2" t="s">
        <v>733</v>
      </c>
      <c r="B9" s="2" t="str">
        <f ca="1">IFERROR(__xludf.DUMMYFUNCTION("GOOGLETRANSLATE(A9)"),"Exemption reasons for social grounds")</f>
        <v>Exemption reasons for social grounds</v>
      </c>
      <c r="C9" s="11"/>
      <c r="D9" s="2">
        <v>0.22314286290885599</v>
      </c>
      <c r="E9" s="2" t="s">
        <v>360</v>
      </c>
      <c r="F9" s="11"/>
      <c r="G9" s="2"/>
      <c r="H9" s="2"/>
    </row>
    <row r="10" spans="1:8" ht="15.75" customHeight="1" x14ac:dyDescent="0.15">
      <c r="A10" s="2" t="s">
        <v>784</v>
      </c>
      <c r="B10" s="2" t="s">
        <v>961</v>
      </c>
      <c r="C10" s="11"/>
      <c r="D10" s="2">
        <v>0.10676556902302201</v>
      </c>
      <c r="E10" s="2" t="s">
        <v>360</v>
      </c>
      <c r="F10" s="11"/>
      <c r="G10" s="2"/>
      <c r="H10" s="2"/>
    </row>
    <row r="11" spans="1:8" ht="15.75" customHeight="1" x14ac:dyDescent="0.15">
      <c r="A11" s="2" t="s">
        <v>882</v>
      </c>
      <c r="B11" s="2" t="str">
        <f ca="1">IFERROR(__xludf.DUMMYFUNCTION("GOOGLETRANSLATE(A11)"),"Exemption Reason Hist Medical Grounds")</f>
        <v>Exemption Reason Hist Medical Grounds</v>
      </c>
      <c r="C11" s="11"/>
      <c r="D11" s="2">
        <v>0</v>
      </c>
      <c r="E11" s="2" t="s">
        <v>360</v>
      </c>
      <c r="F11" s="11"/>
      <c r="G11" s="2"/>
      <c r="H11" s="2"/>
    </row>
    <row r="12" spans="1:8" ht="15.75" customHeight="1" x14ac:dyDescent="0.15">
      <c r="A12" s="2" t="s">
        <v>883</v>
      </c>
      <c r="B12" s="2" t="str">
        <f ca="1">IFERROR(__xludf.DUMMYFUNCTION("GOOGLETRANSLATE(A12)"),"Exemption reason Hist temporary exemption for labor obligations")</f>
        <v>Exemption reason Hist temporary exemption for labor obligations</v>
      </c>
      <c r="C12" s="11"/>
      <c r="D12" s="2">
        <v>0</v>
      </c>
      <c r="E12" s="2" t="s">
        <v>360</v>
      </c>
      <c r="F12" s="11"/>
      <c r="G12" s="2"/>
      <c r="H12" s="2"/>
    </row>
  </sheetData>
  <hyperlinks>
    <hyperlink ref="F4" r:id="rId1" xr:uid="{00000000-0004-0000-0E00-000000000000}"/>
  </hyperlinks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30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376</v>
      </c>
      <c r="B2" s="2" t="s">
        <v>377</v>
      </c>
      <c r="C2" s="11" t="s">
        <v>378</v>
      </c>
      <c r="D2" s="2">
        <v>9.3556413137865704</v>
      </c>
      <c r="E2" s="2" t="s">
        <v>379</v>
      </c>
      <c r="F2" s="15" t="s">
        <v>962</v>
      </c>
      <c r="G2" s="2"/>
      <c r="H2" s="2"/>
    </row>
    <row r="3" spans="1:8" ht="15.75" customHeight="1" x14ac:dyDescent="0.15">
      <c r="A3" s="2" t="s">
        <v>392</v>
      </c>
      <c r="B3" s="2" t="str">
        <f ca="1">IFERROR(__xludf.DUMMYFUNCTION("GOOGLETRANSLATE(A3)"),"Appointment result filled unique")</f>
        <v>Appointment result filled unique</v>
      </c>
      <c r="C3" s="11"/>
      <c r="D3" s="2">
        <v>8.1824528893146908</v>
      </c>
      <c r="E3" s="2" t="s">
        <v>379</v>
      </c>
      <c r="F3" s="11"/>
      <c r="G3" s="2"/>
      <c r="H3" s="2"/>
    </row>
    <row r="4" spans="1:8" ht="15.75" customHeight="1" x14ac:dyDescent="0.15">
      <c r="A4" s="2" t="s">
        <v>406</v>
      </c>
      <c r="B4" s="2" t="str">
        <f ca="1">IFERROR(__xludf.DUMMYFUNCTION("GOOGLETRANSLATE(A4)"),"appointment last year number of words")</f>
        <v>appointment last year number of words</v>
      </c>
      <c r="C4" s="11"/>
      <c r="D4" s="2">
        <v>7.28602944282368</v>
      </c>
      <c r="E4" s="2" t="s">
        <v>379</v>
      </c>
      <c r="F4" s="11"/>
      <c r="G4" s="2"/>
      <c r="H4" s="2"/>
    </row>
    <row r="5" spans="1:8" ht="15.75" customHeight="1" x14ac:dyDescent="0.15">
      <c r="A5" s="2" t="s">
        <v>407</v>
      </c>
      <c r="B5" s="2" t="str">
        <f ca="1">IFERROR(__xludf.DUMMYFUNCTION("GOOGLETRANSLATE(A5)"),"Appointment last year result filled unique")</f>
        <v>Appointment last year result filled unique</v>
      </c>
      <c r="C5" s="11"/>
      <c r="D5" s="2">
        <v>7.04025299680087</v>
      </c>
      <c r="E5" s="2" t="s">
        <v>379</v>
      </c>
      <c r="F5" s="11"/>
      <c r="G5" s="2"/>
      <c r="H5" s="2"/>
    </row>
    <row r="6" spans="1:8" ht="15.75" customHeight="1" x14ac:dyDescent="0.15">
      <c r="A6" s="2" t="s">
        <v>410</v>
      </c>
      <c r="B6" s="2" t="str">
        <f ca="1">IFERROR(__xludf.DUMMYFUNCTION("GOOGLETRANSLATE(A6)"),"appointment number of words")</f>
        <v>appointment number of words</v>
      </c>
      <c r="C6" s="11"/>
      <c r="D6" s="2">
        <v>6.92486460480748</v>
      </c>
      <c r="E6" s="2" t="s">
        <v>379</v>
      </c>
      <c r="F6" s="11"/>
      <c r="G6" s="2"/>
      <c r="H6" s="2"/>
    </row>
    <row r="7" spans="1:8" ht="15.75" customHeight="1" x14ac:dyDescent="0.15">
      <c r="A7" s="2" t="s">
        <v>413</v>
      </c>
      <c r="B7" s="2" t="str">
        <f ca="1">IFERROR(__xludf.DUMMYFUNCTION("GOOGLETRANSLATE(A7)"),"appointment signal for employee")</f>
        <v>appointment signal for employee</v>
      </c>
      <c r="C7" s="11"/>
      <c r="D7" s="2">
        <v>6.7610831210873803</v>
      </c>
      <c r="E7" s="2" t="s">
        <v>379</v>
      </c>
      <c r="F7" s="11"/>
      <c r="G7" s="2"/>
      <c r="H7" s="2"/>
    </row>
    <row r="8" spans="1:8" ht="15.75" customHeight="1" x14ac:dyDescent="0.15">
      <c r="A8" s="2" t="s">
        <v>463</v>
      </c>
      <c r="B8" s="2" t="s">
        <v>963</v>
      </c>
      <c r="C8" s="11"/>
      <c r="D8" s="2">
        <v>3.12078187357376</v>
      </c>
      <c r="E8" s="2" t="s">
        <v>379</v>
      </c>
      <c r="F8" s="11"/>
      <c r="G8" s="2"/>
      <c r="H8" s="2"/>
    </row>
    <row r="9" spans="1:8" ht="15.75" customHeight="1" x14ac:dyDescent="0.15">
      <c r="A9" s="2" t="s">
        <v>469</v>
      </c>
      <c r="B9" s="2" t="str">
        <f ca="1">IFERROR(__xludf.DUMMYFUNCTION("GOOGLETRANSLATE(A9)"),"Appointment last year exemption from language requirement")</f>
        <v>Appointment last year exemption from language requirement</v>
      </c>
      <c r="C9" s="11"/>
      <c r="D9" s="2">
        <v>2.7925497482664698</v>
      </c>
      <c r="E9" s="2" t="s">
        <v>379</v>
      </c>
      <c r="F9" s="11"/>
      <c r="G9" s="2"/>
      <c r="H9" s="2"/>
    </row>
    <row r="10" spans="1:8" ht="15.75" customHeight="1" x14ac:dyDescent="0.15">
      <c r="A10" s="2" t="s">
        <v>491</v>
      </c>
      <c r="B10" s="2" t="str">
        <f ca="1">IFERROR(__xludf.DUMMYFUNCTION("GOOGLETRANSLATE(A10)"),"Appointment last year Monitoring Insp the Language requirement after 12 months N a v taa04 no measure")</f>
        <v>Appointment last year Monitoring Insp the Language requirement after 12 months N a v taa04 no measure</v>
      </c>
      <c r="C10" s="11"/>
      <c r="D10" s="2">
        <v>2.2439837571160202</v>
      </c>
      <c r="E10" s="2" t="s">
        <v>379</v>
      </c>
      <c r="F10" s="11"/>
      <c r="G10" s="2" t="b">
        <v>0</v>
      </c>
      <c r="H10" s="2"/>
    </row>
    <row r="11" spans="1:8" ht="15.75" customHeight="1" x14ac:dyDescent="0.15">
      <c r="A11" s="2" t="s">
        <v>499</v>
      </c>
      <c r="B11" s="2" t="str">
        <f ca="1">IFERROR(__xludf.DUMMYFUNCTION("GOOGLETRANSLATE(A11)"),"appointment last year appointment plan")</f>
        <v>appointment last year appointment plan</v>
      </c>
      <c r="C11" s="11"/>
      <c r="D11" s="2">
        <v>2.0063695818016898</v>
      </c>
      <c r="E11" s="2" t="s">
        <v>379</v>
      </c>
      <c r="F11" s="11"/>
      <c r="G11" s="2"/>
      <c r="H11" s="2"/>
    </row>
    <row r="12" spans="1:8" ht="15.75" customHeight="1" x14ac:dyDescent="0.15">
      <c r="A12" s="2" t="s">
        <v>515</v>
      </c>
      <c r="B12" s="2" t="s">
        <v>516</v>
      </c>
      <c r="C12" s="11"/>
      <c r="D12" s="2">
        <v>1.7184423739103101</v>
      </c>
      <c r="E12" s="2" t="s">
        <v>379</v>
      </c>
      <c r="F12" s="11"/>
      <c r="G12" s="2" t="b">
        <v>0</v>
      </c>
      <c r="H12" s="2"/>
    </row>
    <row r="13" spans="1:8" ht="15.75" customHeight="1" x14ac:dyDescent="0.15">
      <c r="A13" s="2" t="s">
        <v>529</v>
      </c>
      <c r="B13" s="2" t="str">
        <f ca="1">IFERROR(__xludf.DUMMYFUNCTION("GOOGLETRANSLATE(A13)"),"appointment last year signal for employee")</f>
        <v>appointment last year signal for employee</v>
      </c>
      <c r="C13" s="11"/>
      <c r="D13" s="2">
        <v>1.3652166858116399</v>
      </c>
      <c r="E13" s="2" t="s">
        <v>379</v>
      </c>
      <c r="F13" s="11"/>
      <c r="G13" s="2"/>
      <c r="H13" s="2"/>
    </row>
    <row r="14" spans="1:8" ht="15.75" customHeight="1" x14ac:dyDescent="0.15">
      <c r="A14" s="2" t="s">
        <v>538</v>
      </c>
      <c r="B14" s="2" t="s">
        <v>539</v>
      </c>
      <c r="C14" s="11" t="s">
        <v>540</v>
      </c>
      <c r="D14" s="2">
        <v>1.2552993612069401</v>
      </c>
      <c r="E14" s="2" t="s">
        <v>379</v>
      </c>
      <c r="F14" s="11"/>
      <c r="G14" s="2"/>
      <c r="H14" s="2"/>
    </row>
    <row r="15" spans="1:8" ht="15.75" customHeight="1" x14ac:dyDescent="0.15">
      <c r="A15" s="2" t="s">
        <v>541</v>
      </c>
      <c r="B15" s="2" t="s">
        <v>542</v>
      </c>
      <c r="C15" s="11" t="s">
        <v>543</v>
      </c>
      <c r="D15" s="2">
        <v>1.22269276729816</v>
      </c>
      <c r="E15" s="2" t="s">
        <v>379</v>
      </c>
      <c r="F15" s="11"/>
      <c r="G15" s="2"/>
      <c r="H15" s="2"/>
    </row>
    <row r="16" spans="1:8" ht="15.75" customHeight="1" x14ac:dyDescent="0.15">
      <c r="A16" s="2" t="s">
        <v>557</v>
      </c>
      <c r="B16" s="2" t="str">
        <f ca="1">IFERROR(__xludf.DUMMYFUNCTION("GOOGLETRANSLATE(A16)"),"Appointment Discuss End Looking For Galo Interview")</f>
        <v>Appointment Discuss End Looking For Galo Interview</v>
      </c>
      <c r="C16" s="11"/>
      <c r="D16" s="2">
        <v>1.0924312604234601</v>
      </c>
      <c r="E16" s="2" t="s">
        <v>379</v>
      </c>
      <c r="F16" s="11"/>
      <c r="G16" s="2" t="b">
        <v>0</v>
      </c>
      <c r="H16" s="2"/>
    </row>
    <row r="17" spans="1:8" ht="15.75" customHeight="1" x14ac:dyDescent="0.15">
      <c r="A17" s="2" t="s">
        <v>560</v>
      </c>
      <c r="B17" s="2" t="s">
        <v>561</v>
      </c>
      <c r="C17" s="11" t="s">
        <v>562</v>
      </c>
      <c r="D17" s="2">
        <v>1.0819755610139601</v>
      </c>
      <c r="E17" s="2" t="s">
        <v>379</v>
      </c>
      <c r="F17" s="11"/>
      <c r="G17" s="2"/>
      <c r="H17" s="2"/>
    </row>
    <row r="18" spans="1:8" ht="15.75" customHeight="1" x14ac:dyDescent="0.15">
      <c r="A18" s="2" t="s">
        <v>578</v>
      </c>
      <c r="B18" s="2" t="str">
        <f ca="1">IFERROR(__xludf.DUMMYFUNCTION("GOOGLETRANSLATE(A18)"),"Appointment last year result filled in")</f>
        <v>Appointment last year result filled in</v>
      </c>
      <c r="C18" s="11"/>
      <c r="D18" s="2">
        <v>0.95519570053875602</v>
      </c>
      <c r="E18" s="2" t="s">
        <v>379</v>
      </c>
      <c r="F18" s="11"/>
      <c r="G18" s="2"/>
      <c r="H18" s="2"/>
    </row>
    <row r="19" spans="1:8" ht="15.75" customHeight="1" x14ac:dyDescent="0.15">
      <c r="A19" s="2" t="s">
        <v>581</v>
      </c>
      <c r="B19" s="2" t="str">
        <f ca="1">IFERROR(__xludf.DUMMYFUNCTION("GOOGLETRANSLATE(A19)"),"Appointment follow -up measurement matchability jobseeker customer")</f>
        <v>Appointment follow -up measurement matchability jobseeker customer</v>
      </c>
      <c r="C19" s="11"/>
      <c r="D19" s="2">
        <v>0.826972792561666</v>
      </c>
      <c r="E19" s="2" t="s">
        <v>379</v>
      </c>
      <c r="F19" s="11"/>
      <c r="G19" s="2"/>
      <c r="H19" s="2"/>
    </row>
    <row r="20" spans="1:8" ht="15.75" customHeight="1" x14ac:dyDescent="0.15">
      <c r="A20" s="2" t="s">
        <v>604</v>
      </c>
      <c r="B20" s="2" t="str">
        <f ca="1">IFERROR(__xludf.DUMMYFUNCTION("GOOGLETRANSLATE(A20)"),"Appointment last year Progress Registration and participation")</f>
        <v>Appointment last year Progress Registration and participation</v>
      </c>
      <c r="C20" s="11"/>
      <c r="D20" s="2">
        <v>0.63808763936093504</v>
      </c>
      <c r="E20" s="2" t="s">
        <v>379</v>
      </c>
      <c r="F20" s="11"/>
      <c r="G20" s="2"/>
      <c r="H20" s="2"/>
    </row>
    <row r="21" spans="1:8" ht="15.75" customHeight="1" x14ac:dyDescent="0.15">
      <c r="A21" s="2" t="s">
        <v>611</v>
      </c>
      <c r="B21" s="2" t="str">
        <f ca="1">IFERROR(__xludf.DUMMYFUNCTION("GOOGLETRANSLATE(A21)"),"Appointment Galo Conversation")</f>
        <v>Appointment Galo Conversation</v>
      </c>
      <c r="C21" s="11"/>
      <c r="D21" s="2">
        <v>0.610088578998771</v>
      </c>
      <c r="E21" s="2" t="s">
        <v>379</v>
      </c>
      <c r="F21" s="11"/>
      <c r="G21" s="2"/>
      <c r="H21" s="2"/>
    </row>
    <row r="22" spans="1:8" ht="15.75" customHeight="1" x14ac:dyDescent="0.15">
      <c r="A22" s="2" t="s">
        <v>613</v>
      </c>
      <c r="B22" s="2" t="s">
        <v>614</v>
      </c>
      <c r="C22" s="11"/>
      <c r="D22" s="2">
        <v>0.60467515608031597</v>
      </c>
      <c r="E22" s="2" t="s">
        <v>379</v>
      </c>
      <c r="F22" s="11"/>
      <c r="G22" s="2"/>
      <c r="H22" s="2"/>
    </row>
    <row r="23" spans="1:8" ht="15.75" customHeight="1" x14ac:dyDescent="0.15">
      <c r="A23" s="2" t="s">
        <v>652</v>
      </c>
      <c r="B23" s="2" t="s">
        <v>653</v>
      </c>
      <c r="C23" s="11"/>
      <c r="D23" s="2">
        <v>0.48125931181227199</v>
      </c>
      <c r="E23" s="2" t="s">
        <v>379</v>
      </c>
      <c r="F23" s="11"/>
      <c r="G23" s="2" t="b">
        <v>0</v>
      </c>
      <c r="H23" s="2"/>
    </row>
    <row r="24" spans="1:8" ht="15.75" customHeight="1" x14ac:dyDescent="0.15">
      <c r="A24" s="2" t="s">
        <v>665</v>
      </c>
      <c r="B24" s="2" t="str">
        <f ca="1">IFERROR(__xludf.DUMMYFUNCTION("GOOGLETRANSLATE(A24)"),"Appointment progress interview")</f>
        <v>Appointment progress interview</v>
      </c>
      <c r="C24" s="11"/>
      <c r="D24" s="2">
        <v>0.45055795282462302</v>
      </c>
      <c r="E24" s="2" t="s">
        <v>379</v>
      </c>
      <c r="F24" s="11"/>
      <c r="G24" s="2"/>
      <c r="H24" s="2"/>
    </row>
    <row r="25" spans="1:8" ht="15.75" customHeight="1" x14ac:dyDescent="0.15">
      <c r="A25" s="2" t="s">
        <v>689</v>
      </c>
      <c r="B25" s="2" t="str">
        <f ca="1">IFERROR(__xludf.DUMMYFUNCTION("GOOGLETRANSLATE(A25)"),"Appointment appointment plan")</f>
        <v>Appointment appointment plan</v>
      </c>
      <c r="C25" s="11"/>
      <c r="D25" s="2">
        <v>0.34878408453780302</v>
      </c>
      <c r="E25" s="2" t="s">
        <v>379</v>
      </c>
      <c r="F25" s="11"/>
      <c r="G25" s="2"/>
      <c r="H25" s="2"/>
    </row>
    <row r="26" spans="1:8" ht="15.75" customHeight="1" x14ac:dyDescent="0.15">
      <c r="A26" s="2" t="s">
        <v>707</v>
      </c>
      <c r="B26" s="2" t="str">
        <f ca="1">IFERROR(__xludf.DUMMYFUNCTION("GOOGLETRANSLATE(A26)"),"Appointment other")</f>
        <v>Appointment other</v>
      </c>
      <c r="C26" s="11"/>
      <c r="D26" s="2">
        <v>0.29516852050957598</v>
      </c>
      <c r="E26" s="2" t="s">
        <v>379</v>
      </c>
      <c r="F26" s="11"/>
      <c r="G26" s="2"/>
      <c r="H26" s="2"/>
    </row>
    <row r="27" spans="1:8" ht="15.75" customHeight="1" x14ac:dyDescent="0.15">
      <c r="A27" s="2" t="s">
        <v>726</v>
      </c>
      <c r="B27" s="2" t="str">
        <f ca="1">IFERROR(__xludf.DUMMYFUNCTION("GOOGLETRANSLATE(A27)"),"Appointment last year plan of action")</f>
        <v>Appointment last year plan of action</v>
      </c>
      <c r="C27" s="11"/>
      <c r="D27" s="2">
        <v>0.24607005939697099</v>
      </c>
      <c r="E27" s="2" t="s">
        <v>379</v>
      </c>
      <c r="F27" s="11"/>
      <c r="G27" s="2"/>
      <c r="H27" s="2"/>
    </row>
    <row r="28" spans="1:8" ht="15.75" customHeight="1" x14ac:dyDescent="0.15">
      <c r="A28" s="2" t="s">
        <v>739</v>
      </c>
      <c r="B28" s="2" t="str">
        <f ca="1">IFERROR(__xludf.DUMMYFUNCTION("GOOGLETRANSLATE(A28)"),"appointment last year exemption")</f>
        <v>appointment last year exemption</v>
      </c>
      <c r="C28" s="11" t="s">
        <v>740</v>
      </c>
      <c r="D28" s="2">
        <v>0.20994369825001499</v>
      </c>
      <c r="E28" s="2" t="s">
        <v>379</v>
      </c>
      <c r="F28" s="11"/>
      <c r="G28" s="2"/>
      <c r="H28" s="2"/>
    </row>
    <row r="29" spans="1:8" ht="15.75" customHeight="1" x14ac:dyDescent="0.15">
      <c r="A29" s="2" t="s">
        <v>761</v>
      </c>
      <c r="B29" s="2" t="str">
        <f ca="1">IFERROR(__xludf.DUMMYFUNCTION("GOOGLETRANSLATE(A29)"),"Appointment check referral")</f>
        <v>Appointment check referral</v>
      </c>
      <c r="C29" s="11"/>
      <c r="D29" s="2">
        <v>0.16449137903147901</v>
      </c>
      <c r="E29" s="2" t="s">
        <v>379</v>
      </c>
      <c r="F29" s="11"/>
      <c r="G29" s="2"/>
      <c r="H29" s="2"/>
    </row>
    <row r="30" spans="1:8" ht="15.75" customHeight="1" x14ac:dyDescent="0.15">
      <c r="A30" s="2" t="s">
        <v>827</v>
      </c>
      <c r="B30" s="2" t="str">
        <f ca="1">IFERROR(__xludf.DUMMYFUNCTION("GOOGLETRANSLATE(A30)"),"Appointment last year Follow -up measurement matchability Job -seeking customer")</f>
        <v>Appointment last year Follow -up measurement matchability Job -seeking customer</v>
      </c>
      <c r="C30" s="11"/>
      <c r="D30" s="2">
        <v>0</v>
      </c>
      <c r="E30" s="2" t="s">
        <v>379</v>
      </c>
      <c r="F30" s="11"/>
      <c r="G30" s="2"/>
      <c r="H30" s="2"/>
    </row>
  </sheetData>
  <hyperlinks>
    <hyperlink ref="F2" r:id="rId1" location="case_%7BD511441E-40F2-4C70-AA44-0139B71C6616%7D" xr:uid="{00000000-0004-0000-0F00-000000000000}"/>
  </hyperlinks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16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380</v>
      </c>
      <c r="B2" s="2" t="s">
        <v>381</v>
      </c>
      <c r="C2" s="11"/>
      <c r="D2" s="2">
        <v>9.0371369782603406</v>
      </c>
      <c r="E2" s="2" t="s">
        <v>383</v>
      </c>
      <c r="F2" s="11"/>
      <c r="G2" s="2"/>
      <c r="H2" s="2"/>
    </row>
    <row r="3" spans="1:8" ht="15.75" customHeight="1" x14ac:dyDescent="0.15">
      <c r="A3" s="2" t="s">
        <v>403</v>
      </c>
      <c r="B3" s="2" t="s">
        <v>404</v>
      </c>
      <c r="C3" s="11"/>
      <c r="D3" s="2">
        <v>7.3309532019588399</v>
      </c>
      <c r="E3" s="2" t="s">
        <v>383</v>
      </c>
      <c r="F3" s="11"/>
      <c r="G3" s="2"/>
      <c r="H3" s="2"/>
    </row>
    <row r="4" spans="1:8" ht="15.75" customHeight="1" x14ac:dyDescent="0.15">
      <c r="A4" s="2" t="s">
        <v>451</v>
      </c>
      <c r="B4" s="2" t="s">
        <v>452</v>
      </c>
      <c r="C4" s="11"/>
      <c r="D4" s="2">
        <v>3.9373078485382802</v>
      </c>
      <c r="E4" s="2" t="s">
        <v>383</v>
      </c>
      <c r="F4" s="11"/>
      <c r="G4" s="2"/>
      <c r="H4" s="2"/>
    </row>
    <row r="5" spans="1:8" ht="15.75" customHeight="1" x14ac:dyDescent="0.15">
      <c r="A5" s="2" t="s">
        <v>492</v>
      </c>
      <c r="B5" s="2" t="s">
        <v>493</v>
      </c>
      <c r="C5" s="11"/>
      <c r="D5" s="2">
        <v>2.2193086276580498</v>
      </c>
      <c r="E5" s="2" t="s">
        <v>383</v>
      </c>
      <c r="F5" s="11"/>
      <c r="G5" s="2"/>
      <c r="H5" s="2"/>
    </row>
    <row r="6" spans="1:8" ht="15.75" customHeight="1" x14ac:dyDescent="0.15">
      <c r="A6" s="2" t="s">
        <v>496</v>
      </c>
      <c r="B6" s="2" t="s">
        <v>497</v>
      </c>
      <c r="C6" s="11"/>
      <c r="D6" s="2">
        <v>2.0781087233213502</v>
      </c>
      <c r="E6" s="2" t="s">
        <v>383</v>
      </c>
      <c r="F6" s="11"/>
      <c r="G6" s="2"/>
      <c r="H6" s="2"/>
    </row>
    <row r="7" spans="1:8" ht="15.75" customHeight="1" x14ac:dyDescent="0.15">
      <c r="A7" s="2" t="s">
        <v>588</v>
      </c>
      <c r="B7" s="2" t="s">
        <v>589</v>
      </c>
      <c r="C7" s="11" t="s">
        <v>590</v>
      </c>
      <c r="D7" s="2">
        <v>0.73097480601602305</v>
      </c>
      <c r="E7" s="2" t="s">
        <v>383</v>
      </c>
      <c r="F7" s="11"/>
      <c r="G7" s="2"/>
      <c r="H7" s="2"/>
    </row>
    <row r="8" spans="1:8" ht="15.75" customHeight="1" x14ac:dyDescent="0.15">
      <c r="A8" s="2" t="s">
        <v>648</v>
      </c>
      <c r="B8" s="2" t="s">
        <v>649</v>
      </c>
      <c r="C8" s="11"/>
      <c r="D8" s="2">
        <v>0.494891127329391</v>
      </c>
      <c r="E8" s="2" t="s">
        <v>383</v>
      </c>
      <c r="F8" s="11"/>
      <c r="G8" s="2"/>
      <c r="H8" s="2"/>
    </row>
    <row r="9" spans="1:8" ht="15.75" customHeight="1" x14ac:dyDescent="0.15">
      <c r="A9" s="2" t="s">
        <v>717</v>
      </c>
      <c r="B9" s="2" t="s">
        <v>718</v>
      </c>
      <c r="C9" s="11"/>
      <c r="D9" s="2">
        <v>0.279030354985911</v>
      </c>
      <c r="E9" s="2" t="s">
        <v>383</v>
      </c>
      <c r="F9" s="11"/>
      <c r="G9" s="2"/>
      <c r="H9" s="2"/>
    </row>
    <row r="10" spans="1:8" ht="15.75" customHeight="1" x14ac:dyDescent="0.15">
      <c r="A10" s="2" t="s">
        <v>778</v>
      </c>
      <c r="B10" s="2" t="str">
        <f ca="1">IFERROR(__xludf.DUMMYFUNCTION("GOOGLETRANSLATE(A10)"),"Obstacle Hist Psychological Problems")</f>
        <v>Obstacle Hist Psychological Problems</v>
      </c>
      <c r="C10" s="11"/>
      <c r="D10" s="2">
        <v>0.12096244570817601</v>
      </c>
      <c r="E10" s="2" t="s">
        <v>383</v>
      </c>
      <c r="F10" s="11"/>
      <c r="G10" s="2"/>
      <c r="H10" s="2"/>
    </row>
    <row r="11" spans="1:8" ht="15.75" customHeight="1" x14ac:dyDescent="0.15">
      <c r="A11" s="2" t="s">
        <v>797</v>
      </c>
      <c r="B11" s="2" t="s">
        <v>798</v>
      </c>
      <c r="C11" s="11" t="s">
        <v>799</v>
      </c>
      <c r="D11" s="2">
        <v>9.7258246469993107E-2</v>
      </c>
      <c r="E11" s="2" t="s">
        <v>383</v>
      </c>
      <c r="F11" s="11"/>
      <c r="G11" s="2"/>
      <c r="H11" s="2"/>
    </row>
    <row r="12" spans="1:8" ht="15.75" customHeight="1" x14ac:dyDescent="0.15">
      <c r="A12" s="2" t="s">
        <v>800</v>
      </c>
      <c r="B12" s="2" t="s">
        <v>801</v>
      </c>
      <c r="C12" s="11"/>
      <c r="D12" s="2">
        <v>9.4076916263989702E-2</v>
      </c>
      <c r="E12" s="2" t="s">
        <v>383</v>
      </c>
      <c r="F12" s="11"/>
      <c r="G12" s="2"/>
      <c r="H12" s="2"/>
    </row>
    <row r="13" spans="1:8" ht="15.75" customHeight="1" x14ac:dyDescent="0.15">
      <c r="A13" s="2" t="s">
        <v>815</v>
      </c>
      <c r="B13" s="2" t="s">
        <v>816</v>
      </c>
      <c r="C13" s="11"/>
      <c r="D13" s="2">
        <v>8.2465482246508098E-2</v>
      </c>
      <c r="E13" s="2" t="s">
        <v>383</v>
      </c>
      <c r="F13" s="11"/>
      <c r="G13" s="2"/>
      <c r="H13" s="2"/>
    </row>
    <row r="14" spans="1:8" ht="15.75" customHeight="1" x14ac:dyDescent="0.15">
      <c r="A14" s="2" t="s">
        <v>832</v>
      </c>
      <c r="B14" s="2" t="s">
        <v>833</v>
      </c>
      <c r="C14" s="11"/>
      <c r="D14" s="2">
        <v>0</v>
      </c>
      <c r="E14" s="2" t="s">
        <v>383</v>
      </c>
      <c r="F14" s="11"/>
      <c r="G14" s="2"/>
      <c r="H14" s="2"/>
    </row>
    <row r="15" spans="1:8" ht="15.75" customHeight="1" x14ac:dyDescent="0.15">
      <c r="A15" s="2" t="s">
        <v>828</v>
      </c>
      <c r="B15" s="2" t="s">
        <v>829</v>
      </c>
      <c r="C15" s="11"/>
      <c r="D15" s="2">
        <v>0</v>
      </c>
      <c r="E15" s="2" t="s">
        <v>383</v>
      </c>
      <c r="F15" s="11"/>
      <c r="G15" s="2"/>
      <c r="H15" s="2"/>
    </row>
    <row r="16" spans="1:8" ht="15.75" customHeight="1" x14ac:dyDescent="0.15">
      <c r="A16" s="2" t="s">
        <v>830</v>
      </c>
      <c r="B16" s="2" t="s">
        <v>964</v>
      </c>
      <c r="C16" s="11"/>
      <c r="D16" s="2">
        <v>0</v>
      </c>
      <c r="E16" s="2" t="s">
        <v>383</v>
      </c>
      <c r="F16" s="11"/>
      <c r="G16" s="2" t="b">
        <v>0</v>
      </c>
      <c r="H16" s="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7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393</v>
      </c>
      <c r="B2" s="2" t="s">
        <v>394</v>
      </c>
      <c r="C2" s="11"/>
      <c r="D2" s="2">
        <v>8.1477791177880405</v>
      </c>
      <c r="E2" s="2" t="s">
        <v>396</v>
      </c>
      <c r="F2" s="11"/>
      <c r="G2" s="2"/>
      <c r="H2" s="2"/>
    </row>
    <row r="3" spans="1:8" ht="15.75" customHeight="1" x14ac:dyDescent="0.15">
      <c r="A3" s="2" t="s">
        <v>681</v>
      </c>
      <c r="B3" s="2" t="s">
        <v>682</v>
      </c>
      <c r="C3" s="11"/>
      <c r="D3" s="2">
        <v>0.36800076351887501</v>
      </c>
      <c r="E3" s="2" t="s">
        <v>396</v>
      </c>
      <c r="F3" s="11"/>
      <c r="G3" s="2"/>
      <c r="H3" s="2"/>
    </row>
    <row r="4" spans="1:8" ht="15.75" customHeight="1" x14ac:dyDescent="0.15">
      <c r="A4" s="2" t="s">
        <v>702</v>
      </c>
      <c r="B4" s="2" t="s">
        <v>703</v>
      </c>
      <c r="C4" s="11"/>
      <c r="D4" s="2">
        <v>0.296643702967606</v>
      </c>
      <c r="E4" s="2" t="s">
        <v>396</v>
      </c>
      <c r="F4" s="11"/>
      <c r="G4" s="2"/>
      <c r="H4" s="2"/>
    </row>
    <row r="5" spans="1:8" ht="15.75" customHeight="1" x14ac:dyDescent="0.15">
      <c r="A5" s="2" t="s">
        <v>794</v>
      </c>
      <c r="B5" s="2" t="s">
        <v>795</v>
      </c>
      <c r="C5" s="11"/>
      <c r="D5" s="2">
        <v>9.7508434023908797E-2</v>
      </c>
      <c r="E5" s="2" t="s">
        <v>396</v>
      </c>
      <c r="F5" s="11"/>
      <c r="G5" s="2"/>
      <c r="H5" s="2"/>
    </row>
    <row r="6" spans="1:8" ht="15.75" customHeight="1" x14ac:dyDescent="0.15">
      <c r="A6" s="2" t="s">
        <v>818</v>
      </c>
      <c r="B6" s="2" t="str">
        <f ca="1">IFERROR(__xludf.DUMMYFUNCTION("GOOGLETRANSLATE(A6)"),"availability recently deviant due to social situation")</f>
        <v>availability recently deviant due to social situation</v>
      </c>
      <c r="C6" s="11"/>
      <c r="D6" s="2">
        <v>8.2325837171601093E-2</v>
      </c>
      <c r="E6" s="2" t="s">
        <v>396</v>
      </c>
      <c r="F6" s="11"/>
      <c r="G6" s="2"/>
      <c r="H6" s="2"/>
    </row>
    <row r="7" spans="1:8" ht="15.75" customHeight="1" x14ac:dyDescent="0.15">
      <c r="A7" s="2" t="s">
        <v>820</v>
      </c>
      <c r="B7" s="2" t="str">
        <f ca="1">IFERROR(__xludf.DUMMYFUNCTION("GOOGLETRANSLATE(A7)"),"Availability current known")</f>
        <v>Availability current known</v>
      </c>
      <c r="C7" s="11"/>
      <c r="D7" s="2">
        <v>8.1560903505943194E-2</v>
      </c>
      <c r="E7" s="2" t="s">
        <v>396</v>
      </c>
      <c r="F7" s="11"/>
      <c r="G7" s="2"/>
      <c r="H7" s="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12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425</v>
      </c>
      <c r="B2" s="2" t="str">
        <f ca="1">IFERROR(__xludf.DUMMYFUNCTION("GOOGLETRANSLATE(A2)"),"Typering days sum")</f>
        <v>Typering days sum</v>
      </c>
      <c r="C2" s="11"/>
      <c r="D2" s="2">
        <v>5.0681362255168798</v>
      </c>
      <c r="E2" s="2" t="s">
        <v>428</v>
      </c>
      <c r="F2" s="11"/>
      <c r="G2" s="2" t="b">
        <v>0</v>
      </c>
      <c r="H2" s="2"/>
    </row>
    <row r="3" spans="1:8" ht="15.75" customHeight="1" x14ac:dyDescent="0.15">
      <c r="A3" s="2" t="s">
        <v>720</v>
      </c>
      <c r="B3" s="2" t="s">
        <v>721</v>
      </c>
      <c r="C3" s="11" t="s">
        <v>722</v>
      </c>
      <c r="D3" s="2">
        <v>0.27824879557949</v>
      </c>
      <c r="E3" s="2" t="s">
        <v>428</v>
      </c>
      <c r="F3" s="11"/>
      <c r="G3" s="2"/>
      <c r="H3" s="2"/>
    </row>
    <row r="4" spans="1:8" ht="15.75" customHeight="1" x14ac:dyDescent="0.15">
      <c r="A4" s="2" t="s">
        <v>736</v>
      </c>
      <c r="B4" s="2" t="s">
        <v>737</v>
      </c>
      <c r="C4" s="11" t="s">
        <v>738</v>
      </c>
      <c r="D4" s="2">
        <v>0.21493965578634999</v>
      </c>
      <c r="E4" s="2" t="s">
        <v>428</v>
      </c>
      <c r="F4" s="11"/>
      <c r="G4" s="2"/>
      <c r="H4" s="2"/>
    </row>
    <row r="5" spans="1:8" ht="15.75" customHeight="1" x14ac:dyDescent="0.15">
      <c r="A5" s="2" t="s">
        <v>752</v>
      </c>
      <c r="B5" s="2" t="s">
        <v>753</v>
      </c>
      <c r="C5" s="11" t="s">
        <v>754</v>
      </c>
      <c r="D5" s="2">
        <v>0.183548795931814</v>
      </c>
      <c r="E5" s="2" t="s">
        <v>428</v>
      </c>
      <c r="F5" s="11"/>
      <c r="G5" s="2"/>
      <c r="H5" s="2"/>
    </row>
    <row r="6" spans="1:8" ht="15.75" customHeight="1" x14ac:dyDescent="0.15">
      <c r="A6" s="2" t="s">
        <v>806</v>
      </c>
      <c r="B6" s="2" t="s">
        <v>807</v>
      </c>
      <c r="C6" s="11"/>
      <c r="D6" s="2">
        <v>8.94439591693557E-2</v>
      </c>
      <c r="E6" s="2" t="s">
        <v>428</v>
      </c>
      <c r="F6" s="11"/>
      <c r="G6" s="2"/>
      <c r="H6" s="2"/>
    </row>
    <row r="7" spans="1:8" ht="15.75" customHeight="1" x14ac:dyDescent="0.15">
      <c r="A7" s="2" t="s">
        <v>822</v>
      </c>
      <c r="B7" s="2" t="s">
        <v>823</v>
      </c>
      <c r="C7" s="11"/>
      <c r="D7" s="2">
        <v>7.38474260910814E-2</v>
      </c>
      <c r="E7" s="2" t="s">
        <v>428</v>
      </c>
      <c r="F7" s="11"/>
      <c r="G7" s="2" t="b">
        <v>0</v>
      </c>
      <c r="H7" s="2"/>
    </row>
    <row r="8" spans="1:8" ht="15.75" customHeight="1" x14ac:dyDescent="0.15">
      <c r="A8" s="2" t="s">
        <v>899</v>
      </c>
      <c r="B8" s="2" t="s">
        <v>900</v>
      </c>
      <c r="C8" s="11"/>
      <c r="D8" s="2">
        <v>0</v>
      </c>
      <c r="E8" s="2" t="s">
        <v>428</v>
      </c>
      <c r="F8" s="11"/>
      <c r="G8" s="2"/>
      <c r="H8" s="2"/>
    </row>
    <row r="9" spans="1:8" ht="15.75" customHeight="1" x14ac:dyDescent="0.15">
      <c r="A9" s="2" t="s">
        <v>903</v>
      </c>
      <c r="B9" s="2" t="s">
        <v>904</v>
      </c>
      <c r="C9" s="11"/>
      <c r="D9" s="2">
        <v>0</v>
      </c>
      <c r="E9" s="2" t="s">
        <v>428</v>
      </c>
      <c r="F9" s="11"/>
      <c r="G9" s="2"/>
      <c r="H9" s="2"/>
    </row>
    <row r="10" spans="1:8" ht="15.75" customHeight="1" x14ac:dyDescent="0.15">
      <c r="A10" s="2" t="s">
        <v>905</v>
      </c>
      <c r="B10" s="2" t="s">
        <v>906</v>
      </c>
      <c r="C10" s="11" t="s">
        <v>907</v>
      </c>
      <c r="D10" s="2">
        <v>0</v>
      </c>
      <c r="E10" s="2" t="s">
        <v>428</v>
      </c>
      <c r="F10" s="11"/>
      <c r="G10" s="2"/>
      <c r="H10" s="2"/>
    </row>
    <row r="11" spans="1:8" ht="15.75" customHeight="1" x14ac:dyDescent="0.15">
      <c r="A11" s="2" t="s">
        <v>897</v>
      </c>
      <c r="B11" s="2" t="s">
        <v>898</v>
      </c>
      <c r="C11" s="11"/>
      <c r="D11" s="2">
        <v>0</v>
      </c>
      <c r="E11" s="2" t="s">
        <v>428</v>
      </c>
      <c r="F11" s="11"/>
      <c r="G11" s="2"/>
      <c r="H11" s="2"/>
    </row>
    <row r="12" spans="1:8" ht="15.75" customHeight="1" x14ac:dyDescent="0.15">
      <c r="A12" s="2" t="s">
        <v>901</v>
      </c>
      <c r="B12" s="2" t="s">
        <v>902</v>
      </c>
      <c r="C12" s="11"/>
      <c r="D12" s="2">
        <v>0</v>
      </c>
      <c r="E12" s="2" t="s">
        <v>428</v>
      </c>
      <c r="F12" s="11"/>
      <c r="G12" s="2"/>
      <c r="H12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5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477</v>
      </c>
      <c r="B2" s="2" t="str">
        <f ca="1">IFERROR(__xludf.DUMMYFUNCTION("GOOGLETRANSLATE(A2)"),"Participation Act HIST Projects not started")</f>
        <v>Participation Act HIST Projects not started</v>
      </c>
      <c r="C2" s="11"/>
      <c r="D2" s="2">
        <v>2.5411930488416501</v>
      </c>
      <c r="E2" s="2" t="s">
        <v>478</v>
      </c>
      <c r="F2" s="11"/>
      <c r="G2" s="2" t="b">
        <v>0</v>
      </c>
      <c r="H2" s="2"/>
    </row>
    <row r="3" spans="1:8" ht="15.75" customHeight="1" x14ac:dyDescent="0.15">
      <c r="A3" s="2" t="s">
        <v>507</v>
      </c>
      <c r="B3" s="2" t="s">
        <v>508</v>
      </c>
      <c r="C3" s="11"/>
      <c r="D3" s="2">
        <v>1.8064331273202801</v>
      </c>
      <c r="E3" s="2" t="s">
        <v>478</v>
      </c>
      <c r="F3" s="11"/>
      <c r="G3" s="2" t="b">
        <v>0</v>
      </c>
      <c r="H3" s="2"/>
    </row>
    <row r="4" spans="1:8" ht="15.75" customHeight="1" x14ac:dyDescent="0.15">
      <c r="A4" s="2" t="s">
        <v>509</v>
      </c>
      <c r="B4" s="2" t="str">
        <f ca="1">IFERROR(__xludf.DUMMYFUNCTION("GOOGLETRANSLATE(A4)"),"Participation Act Reintegration Ladder Work Re Integration")</f>
        <v>Participation Act Reintegration Ladder Work Re Integration</v>
      </c>
      <c r="C4" s="11"/>
      <c r="D4" s="2">
        <v>1.7846873232652101</v>
      </c>
      <c r="E4" s="2" t="s">
        <v>478</v>
      </c>
      <c r="F4" s="11"/>
      <c r="G4" s="2" t="b">
        <v>0</v>
      </c>
      <c r="H4" s="2"/>
    </row>
    <row r="5" spans="1:8" ht="15.75" customHeight="1" x14ac:dyDescent="0.15">
      <c r="A5" s="2" t="s">
        <v>547</v>
      </c>
      <c r="B5" s="2" t="str">
        <f ca="1">IFERROR(__xludf.DUMMYFUNCTION("GOOGLETRANSLATE(A5)"),"Participation Act Reintegration Ladder Supporting Instruments")</f>
        <v>Participation Act Reintegration Ladder Supporting Instruments</v>
      </c>
      <c r="C5" s="11" t="s">
        <v>548</v>
      </c>
      <c r="D5" s="2">
        <v>1.1464770862962499</v>
      </c>
      <c r="E5" s="2" t="s">
        <v>478</v>
      </c>
      <c r="F5" s="11" t="s">
        <v>549</v>
      </c>
      <c r="G5" s="2"/>
      <c r="H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7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39.1640625" customWidth="1"/>
    <col min="4" max="4" width="54.83203125" customWidth="1"/>
    <col min="5" max="5" width="23.1640625" customWidth="1"/>
    <col min="6" max="6" width="18.5" customWidth="1"/>
    <col min="7" max="7" width="24" hidden="1" customWidth="1"/>
    <col min="8" max="8" width="23.33203125" customWidth="1"/>
    <col min="10" max="10" width="8.1640625" customWidth="1"/>
    <col min="11" max="11" width="7.5" customWidth="1"/>
    <col min="12" max="12" width="7.6640625" customWidth="1"/>
    <col min="13" max="13" width="8.33203125" customWidth="1"/>
  </cols>
  <sheetData>
    <row r="1" spans="1:29" ht="15.75" customHeight="1" x14ac:dyDescent="0.15">
      <c r="A1" s="1" t="s">
        <v>908</v>
      </c>
      <c r="B1" s="1" t="s">
        <v>309</v>
      </c>
      <c r="C1" s="1" t="s">
        <v>0</v>
      </c>
      <c r="D1" s="1" t="s">
        <v>1</v>
      </c>
      <c r="E1" s="13" t="s">
        <v>310</v>
      </c>
      <c r="F1" s="14" t="s">
        <v>311</v>
      </c>
      <c r="G1" s="1" t="s">
        <v>312</v>
      </c>
      <c r="H1" s="13" t="s">
        <v>313</v>
      </c>
      <c r="I1" s="1" t="s">
        <v>314</v>
      </c>
      <c r="J1" s="1" t="s">
        <v>909</v>
      </c>
      <c r="K1" s="1" t="s">
        <v>910</v>
      </c>
      <c r="L1" s="1" t="s">
        <v>911</v>
      </c>
      <c r="M1" s="1" t="s">
        <v>912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913</v>
      </c>
      <c r="B2" s="2" t="s">
        <v>315</v>
      </c>
      <c r="C2" s="2" t="s">
        <v>315</v>
      </c>
      <c r="D2" s="2" t="s">
        <v>316</v>
      </c>
      <c r="E2" s="11"/>
      <c r="F2" s="12">
        <v>100</v>
      </c>
      <c r="G2" s="2" t="s">
        <v>317</v>
      </c>
      <c r="H2" s="11" t="s">
        <v>318</v>
      </c>
      <c r="I2" s="2"/>
      <c r="J2" s="2" t="b">
        <v>1</v>
      </c>
      <c r="K2" s="2" t="b">
        <v>1</v>
      </c>
      <c r="L2" s="2" t="b">
        <v>1</v>
      </c>
      <c r="M2" s="2" t="b">
        <v>1</v>
      </c>
    </row>
    <row r="3" spans="1:29" ht="15.75" customHeight="1" x14ac:dyDescent="0.15">
      <c r="A3" s="2"/>
      <c r="B3" s="2" t="s">
        <v>349</v>
      </c>
      <c r="C3" s="2" t="s">
        <v>349</v>
      </c>
      <c r="D3" s="2" t="str">
        <f ca="1">IFERROR(__xludf.DUMMYFUNCTION("GOOGLETRANSLATE(C3)"),"Personal qualities days since language requirement")</f>
        <v>Personal qualities days since language requirement</v>
      </c>
      <c r="E3" s="11"/>
      <c r="F3" s="12">
        <v>15.15384566458</v>
      </c>
      <c r="G3" s="2" t="s">
        <v>351</v>
      </c>
      <c r="H3" s="11" t="s">
        <v>352</v>
      </c>
      <c r="I3" s="2"/>
      <c r="J3" s="2" t="b">
        <v>1</v>
      </c>
      <c r="K3" s="2" t="b">
        <v>1</v>
      </c>
      <c r="L3" s="2" t="b">
        <v>1</v>
      </c>
      <c r="M3" s="2" t="b">
        <v>1</v>
      </c>
    </row>
    <row r="4" spans="1:29" ht="15.75" customHeight="1" x14ac:dyDescent="0.15">
      <c r="A4" s="2"/>
      <c r="B4" s="2" t="s">
        <v>357</v>
      </c>
      <c r="C4" s="2" t="s">
        <v>357</v>
      </c>
      <c r="D4" s="2" t="s">
        <v>358</v>
      </c>
      <c r="E4" s="11" t="s">
        <v>359</v>
      </c>
      <c r="F4" s="12">
        <v>13.8170249984941</v>
      </c>
      <c r="G4" s="2" t="s">
        <v>360</v>
      </c>
      <c r="H4" s="11"/>
      <c r="I4" s="2"/>
      <c r="J4" s="2" t="b">
        <v>1</v>
      </c>
      <c r="K4" s="2" t="b">
        <v>1</v>
      </c>
      <c r="L4" s="2" t="b">
        <v>1</v>
      </c>
      <c r="M4" s="2" t="b">
        <v>1</v>
      </c>
    </row>
    <row r="5" spans="1:29" ht="15.75" customHeight="1" x14ac:dyDescent="0.15">
      <c r="A5" s="2"/>
      <c r="B5" s="2" t="s">
        <v>367</v>
      </c>
      <c r="C5" s="2" t="s">
        <v>367</v>
      </c>
      <c r="D5" s="2" t="str">
        <f ca="1">IFERROR(__xludf.DUMMYFUNCTION("GOOGLETRANSLATE(C5)"),"Relationship child current number")</f>
        <v>Relationship child current number</v>
      </c>
      <c r="E5" s="11" t="s">
        <v>368</v>
      </c>
      <c r="F5" s="12">
        <v>10.847997409546201</v>
      </c>
      <c r="G5" s="2" t="s">
        <v>322</v>
      </c>
      <c r="H5" s="11"/>
      <c r="I5" s="2"/>
      <c r="J5" s="2" t="b">
        <v>1</v>
      </c>
      <c r="K5" s="2" t="b">
        <v>1</v>
      </c>
      <c r="L5" s="2" t="b">
        <v>1</v>
      </c>
      <c r="M5" s="2" t="b">
        <v>1</v>
      </c>
    </row>
    <row r="6" spans="1:29" ht="15.75" customHeight="1" x14ac:dyDescent="0.15">
      <c r="A6" s="2"/>
      <c r="B6" s="2" t="s">
        <v>372</v>
      </c>
      <c r="C6" s="2" t="s">
        <v>372</v>
      </c>
      <c r="D6" s="2" t="s">
        <v>373</v>
      </c>
      <c r="E6" s="11" t="s">
        <v>374</v>
      </c>
      <c r="F6" s="12">
        <v>9.9039540427755508</v>
      </c>
      <c r="G6" s="2" t="s">
        <v>317</v>
      </c>
      <c r="H6" s="11" t="s">
        <v>375</v>
      </c>
      <c r="I6" s="2"/>
      <c r="J6" s="2" t="b">
        <v>1</v>
      </c>
      <c r="K6" s="2" t="b">
        <v>1</v>
      </c>
      <c r="L6" s="2" t="b">
        <v>1</v>
      </c>
      <c r="M6" s="2" t="b">
        <v>1</v>
      </c>
    </row>
    <row r="7" spans="1:29" ht="15.75" customHeight="1" x14ac:dyDescent="0.15">
      <c r="A7" s="2"/>
      <c r="B7" s="2" t="s">
        <v>403</v>
      </c>
      <c r="C7" s="2" t="s">
        <v>403</v>
      </c>
      <c r="D7" s="2" t="s">
        <v>404</v>
      </c>
      <c r="E7" s="11" t="s">
        <v>405</v>
      </c>
      <c r="F7" s="12">
        <v>7.3309532019588399</v>
      </c>
      <c r="G7" s="2" t="s">
        <v>383</v>
      </c>
      <c r="H7" s="11"/>
      <c r="I7" s="2"/>
      <c r="J7" s="2" t="b">
        <v>1</v>
      </c>
      <c r="K7" s="2" t="b">
        <v>1</v>
      </c>
      <c r="L7" s="2" t="b">
        <v>1</v>
      </c>
      <c r="M7" s="2" t="b">
        <v>1</v>
      </c>
    </row>
    <row r="8" spans="1:29" ht="15.75" customHeight="1" x14ac:dyDescent="0.15">
      <c r="A8" s="2"/>
      <c r="B8" s="2" t="s">
        <v>436</v>
      </c>
      <c r="C8" s="2" t="s">
        <v>436</v>
      </c>
      <c r="D8" s="2" t="s">
        <v>437</v>
      </c>
      <c r="E8" s="11" t="s">
        <v>438</v>
      </c>
      <c r="F8" s="12">
        <v>4.2460627582855803</v>
      </c>
      <c r="G8" s="2" t="s">
        <v>351</v>
      </c>
      <c r="H8" s="11" t="s">
        <v>439</v>
      </c>
      <c r="I8" s="2"/>
      <c r="J8" s="2" t="b">
        <v>1</v>
      </c>
      <c r="K8" s="2" t="b">
        <v>1</v>
      </c>
      <c r="L8" s="2" t="b">
        <v>1</v>
      </c>
      <c r="M8" s="2" t="b">
        <v>1</v>
      </c>
    </row>
    <row r="9" spans="1:29" ht="15.75" customHeight="1" x14ac:dyDescent="0.15">
      <c r="A9" s="2"/>
      <c r="B9" s="2" t="s">
        <v>440</v>
      </c>
      <c r="C9" s="2" t="s">
        <v>440</v>
      </c>
      <c r="D9" s="2" t="str">
        <f ca="1">IFERROR(__xludf.DUMMYFUNCTION("GOOGLETRANSLATE(C9)"),"Personal qualities of language requires satisfied")</f>
        <v>Personal qualities of language requires satisfied</v>
      </c>
      <c r="E9" s="11" t="s">
        <v>350</v>
      </c>
      <c r="F9" s="12">
        <v>4.17954060342782</v>
      </c>
      <c r="G9" s="2" t="s">
        <v>351</v>
      </c>
      <c r="H9" s="11" t="s">
        <v>442</v>
      </c>
      <c r="I9" s="2"/>
      <c r="J9" s="2" t="b">
        <v>1</v>
      </c>
      <c r="K9" s="2" t="b">
        <v>1</v>
      </c>
      <c r="L9" s="2" t="b">
        <v>1</v>
      </c>
      <c r="M9" s="2" t="b">
        <v>1</v>
      </c>
    </row>
    <row r="10" spans="1:29" ht="15.75" customHeight="1" x14ac:dyDescent="0.15">
      <c r="A10" s="2"/>
      <c r="B10" s="2" t="s">
        <v>451</v>
      </c>
      <c r="C10" s="2" t="s">
        <v>451</v>
      </c>
      <c r="D10" s="2" t="s">
        <v>452</v>
      </c>
      <c r="E10" s="11" t="s">
        <v>453</v>
      </c>
      <c r="F10" s="12">
        <v>3.9373078485382802</v>
      </c>
      <c r="G10" s="2" t="s">
        <v>383</v>
      </c>
      <c r="H10" s="11"/>
      <c r="I10" s="2"/>
      <c r="J10" s="2" t="b">
        <v>1</v>
      </c>
      <c r="K10" s="2" t="b">
        <v>1</v>
      </c>
      <c r="L10" s="2" t="b">
        <v>1</v>
      </c>
      <c r="M10" s="2" t="b">
        <v>1</v>
      </c>
    </row>
    <row r="11" spans="1:29" ht="15.75" customHeight="1" x14ac:dyDescent="0.15">
      <c r="A11" s="2"/>
      <c r="B11" s="2" t="s">
        <v>454</v>
      </c>
      <c r="C11" s="2" t="s">
        <v>454</v>
      </c>
      <c r="D11" s="2" t="s">
        <v>455</v>
      </c>
      <c r="E11" s="11" t="s">
        <v>456</v>
      </c>
      <c r="F11" s="12">
        <v>3.8364064105503801</v>
      </c>
      <c r="G11" s="2" t="s">
        <v>351</v>
      </c>
      <c r="H11" s="15" t="s">
        <v>914</v>
      </c>
      <c r="I11" s="2"/>
      <c r="J11" s="2" t="b">
        <v>1</v>
      </c>
      <c r="K11" s="2" t="b">
        <v>1</v>
      </c>
      <c r="L11" s="2" t="b">
        <v>1</v>
      </c>
      <c r="M11" s="2" t="b">
        <v>1</v>
      </c>
    </row>
    <row r="12" spans="1:29" ht="15.75" customHeight="1" x14ac:dyDescent="0.15">
      <c r="A12" s="2"/>
      <c r="B12" s="2" t="s">
        <v>482</v>
      </c>
      <c r="C12" s="2" t="s">
        <v>482</v>
      </c>
      <c r="D12" s="2" t="str">
        <f ca="1">IFERROR(__xludf.DUMMYFUNCTION("GOOGLETRANSLATE(C12)"),"address most recent district of Feijenoord")</f>
        <v>address most recent district of Feijenoord</v>
      </c>
      <c r="E12" s="11"/>
      <c r="F12" s="12">
        <v>2.3855676598967999</v>
      </c>
      <c r="G12" s="2" t="s">
        <v>325</v>
      </c>
      <c r="H12" s="11"/>
      <c r="I12" s="2"/>
      <c r="J12" s="2" t="b">
        <v>1</v>
      </c>
      <c r="K12" s="2" t="b">
        <v>1</v>
      </c>
      <c r="L12" s="2" t="b">
        <v>1</v>
      </c>
      <c r="M12" s="2" t="b">
        <v>1</v>
      </c>
    </row>
    <row r="13" spans="1:29" ht="15.75" customHeight="1" x14ac:dyDescent="0.15">
      <c r="A13" s="2"/>
      <c r="B13" s="2" t="s">
        <v>526</v>
      </c>
      <c r="C13" s="2" t="s">
        <v>526</v>
      </c>
      <c r="D13" s="2" t="s">
        <v>527</v>
      </c>
      <c r="E13" s="11"/>
      <c r="F13" s="12">
        <v>1.4039055739013799</v>
      </c>
      <c r="G13" s="2" t="s">
        <v>334</v>
      </c>
      <c r="H13" s="11"/>
      <c r="I13" s="2"/>
      <c r="J13" s="2" t="b">
        <v>1</v>
      </c>
      <c r="K13" s="2" t="b">
        <v>1</v>
      </c>
      <c r="L13" s="2" t="b">
        <v>1</v>
      </c>
      <c r="M13" s="2" t="b">
        <v>1</v>
      </c>
    </row>
    <row r="14" spans="1:29" ht="15.75" customHeight="1" x14ac:dyDescent="0.15">
      <c r="A14" s="2"/>
      <c r="B14" s="2" t="s">
        <v>528</v>
      </c>
      <c r="C14" s="2" t="s">
        <v>528</v>
      </c>
      <c r="D14" s="2" t="str">
        <f ca="1">IFERROR(__xludf.DUMMYFUNCTION("GOOGLETRANSLATE(C14)"),"address most recent Delfshaven district")</f>
        <v>address most recent Delfshaven district</v>
      </c>
      <c r="E14" s="11"/>
      <c r="F14" s="12">
        <v>1.37830382988484</v>
      </c>
      <c r="G14" s="2" t="s">
        <v>334</v>
      </c>
      <c r="H14" s="11"/>
      <c r="I14" s="2"/>
      <c r="J14" s="2" t="b">
        <v>1</v>
      </c>
      <c r="K14" s="2" t="b">
        <v>1</v>
      </c>
      <c r="L14" s="2" t="b">
        <v>1</v>
      </c>
      <c r="M14" s="2" t="b">
        <v>1</v>
      </c>
    </row>
    <row r="15" spans="1:29" ht="15.75" customHeight="1" x14ac:dyDescent="0.15">
      <c r="A15" s="2"/>
      <c r="B15" s="2" t="s">
        <v>532</v>
      </c>
      <c r="C15" s="2" t="s">
        <v>532</v>
      </c>
      <c r="D15" s="2" t="str">
        <f ca="1">IFERROR(__xludf.DUMMYFUNCTION("GOOGLETRANSLATE(C15)"),"address most recent district Prins Alexa")</f>
        <v>address most recent district Prins Alexa</v>
      </c>
      <c r="E15" s="11"/>
      <c r="F15" s="12">
        <v>1.3207768325327001</v>
      </c>
      <c r="G15" s="2" t="s">
        <v>334</v>
      </c>
      <c r="H15" s="11"/>
      <c r="I15" s="2"/>
      <c r="J15" s="2" t="b">
        <v>1</v>
      </c>
      <c r="K15" s="2" t="b">
        <v>1</v>
      </c>
      <c r="L15" s="2" t="b">
        <v>1</v>
      </c>
      <c r="M15" s="2" t="b">
        <v>1</v>
      </c>
    </row>
    <row r="16" spans="1:29" ht="15.75" customHeight="1" x14ac:dyDescent="0.15">
      <c r="A16" s="2"/>
      <c r="B16" s="2" t="s">
        <v>552</v>
      </c>
      <c r="C16" s="2" t="s">
        <v>552</v>
      </c>
      <c r="D16" s="2" t="s">
        <v>553</v>
      </c>
      <c r="E16" s="11"/>
      <c r="F16" s="12">
        <v>1.1142924012822499</v>
      </c>
      <c r="G16" s="2" t="s">
        <v>328</v>
      </c>
      <c r="H16" s="11"/>
      <c r="I16" s="2"/>
      <c r="J16" s="2" t="b">
        <v>1</v>
      </c>
      <c r="K16" s="2" t="b">
        <v>1</v>
      </c>
      <c r="L16" s="2" t="b">
        <v>1</v>
      </c>
      <c r="M16" s="2" t="b">
        <v>1</v>
      </c>
    </row>
    <row r="17" spans="1:13" ht="15.75" customHeight="1" x14ac:dyDescent="0.15">
      <c r="A17" s="2"/>
      <c r="B17" s="2" t="s">
        <v>564</v>
      </c>
      <c r="C17" s="2" t="s">
        <v>564</v>
      </c>
      <c r="D17" s="2" t="str">
        <f ca="1">IFERROR(__xludf.DUMMYFUNCTION("GOOGLETRANSLATE(C17)"),"relationship child teen")</f>
        <v>relationship child teen</v>
      </c>
      <c r="E17" s="11"/>
      <c r="F17" s="12">
        <v>1.0295659215497599</v>
      </c>
      <c r="G17" s="2" t="s">
        <v>322</v>
      </c>
      <c r="H17" s="11"/>
      <c r="I17" s="2"/>
      <c r="J17" s="2" t="b">
        <v>1</v>
      </c>
      <c r="K17" s="2" t="b">
        <v>1</v>
      </c>
      <c r="L17" s="2" t="b">
        <v>1</v>
      </c>
      <c r="M17" s="2" t="b">
        <v>1</v>
      </c>
    </row>
    <row r="18" spans="1:13" ht="15.75" customHeight="1" x14ac:dyDescent="0.15">
      <c r="A18" s="2"/>
      <c r="B18" s="2" t="s">
        <v>566</v>
      </c>
      <c r="C18" s="2" t="s">
        <v>566</v>
      </c>
      <c r="D18" s="2" t="s">
        <v>567</v>
      </c>
      <c r="E18" s="11"/>
      <c r="F18" s="12">
        <v>1.0117448999324301</v>
      </c>
      <c r="G18" s="2" t="s">
        <v>334</v>
      </c>
      <c r="H18" s="11"/>
      <c r="I18" s="2"/>
      <c r="J18" s="2" t="b">
        <v>1</v>
      </c>
      <c r="K18" s="2" t="b">
        <v>1</v>
      </c>
      <c r="L18" s="2" t="b">
        <v>1</v>
      </c>
      <c r="M18" s="2" t="b">
        <v>1</v>
      </c>
    </row>
    <row r="19" spans="1:13" ht="15.75" customHeight="1" x14ac:dyDescent="0.15">
      <c r="A19" s="2"/>
      <c r="B19" s="2" t="s">
        <v>658</v>
      </c>
      <c r="C19" s="2" t="s">
        <v>658</v>
      </c>
      <c r="D19" s="2" t="str">
        <f ca="1">IFERROR(__xludf.DUMMYFUNCTION("GOOGLETRANSLATE(C19)"),"address most recent neighborhood Vreewijk")</f>
        <v>address most recent neighborhood Vreewijk</v>
      </c>
      <c r="E19" s="11"/>
      <c r="F19" s="12">
        <v>0.46287700116002101</v>
      </c>
      <c r="G19" s="2" t="s">
        <v>334</v>
      </c>
      <c r="H19" s="11"/>
      <c r="I19" s="2"/>
      <c r="J19" s="2" t="b">
        <v>1</v>
      </c>
      <c r="K19" s="2" t="b">
        <v>1</v>
      </c>
      <c r="L19" s="2" t="b">
        <v>1</v>
      </c>
      <c r="M19" s="2" t="b">
        <v>1</v>
      </c>
    </row>
    <row r="20" spans="1:13" ht="15.75" customHeight="1" x14ac:dyDescent="0.15">
      <c r="A20" s="2"/>
      <c r="B20" s="2" t="s">
        <v>659</v>
      </c>
      <c r="C20" s="2" t="s">
        <v>659</v>
      </c>
      <c r="D20" s="2" t="s">
        <v>660</v>
      </c>
      <c r="E20" s="11" t="s">
        <v>661</v>
      </c>
      <c r="F20" s="12">
        <v>0.457083693524511</v>
      </c>
      <c r="G20" s="2" t="s">
        <v>351</v>
      </c>
      <c r="H20" s="11"/>
      <c r="I20" s="2"/>
      <c r="J20" s="2" t="b">
        <v>1</v>
      </c>
      <c r="K20" s="2" t="b">
        <v>1</v>
      </c>
      <c r="L20" s="2" t="b">
        <v>1</v>
      </c>
      <c r="M20" s="2" t="b">
        <v>1</v>
      </c>
    </row>
    <row r="21" spans="1:13" ht="15.75" customHeight="1" x14ac:dyDescent="0.15">
      <c r="A21" s="2"/>
      <c r="B21" s="2" t="s">
        <v>675</v>
      </c>
      <c r="C21" s="2" t="s">
        <v>675</v>
      </c>
      <c r="D21" s="2" t="s">
        <v>676</v>
      </c>
      <c r="E21" s="11" t="s">
        <v>677</v>
      </c>
      <c r="F21" s="12">
        <v>0.38759728615717998</v>
      </c>
      <c r="G21" s="2" t="s">
        <v>351</v>
      </c>
      <c r="H21" s="11"/>
      <c r="I21" s="2"/>
      <c r="J21" s="2" t="b">
        <v>1</v>
      </c>
      <c r="K21" s="2" t="b">
        <v>1</v>
      </c>
      <c r="L21" s="2" t="b">
        <v>1</v>
      </c>
      <c r="M21" s="2" t="b">
        <v>1</v>
      </c>
    </row>
    <row r="22" spans="1:13" ht="15.75" customHeight="1" x14ac:dyDescent="0.15">
      <c r="A22" s="2"/>
      <c r="B22" s="2" t="s">
        <v>326</v>
      </c>
      <c r="C22" s="2" t="s">
        <v>326</v>
      </c>
      <c r="D22" s="2" t="s">
        <v>915</v>
      </c>
      <c r="E22" s="11"/>
      <c r="F22" s="12">
        <v>25.106633247031599</v>
      </c>
      <c r="G22" s="2" t="s">
        <v>328</v>
      </c>
      <c r="H22" s="11"/>
      <c r="I22" s="2"/>
      <c r="J22" s="2" t="b">
        <v>1</v>
      </c>
      <c r="K22" s="2" t="b">
        <v>1</v>
      </c>
      <c r="L22" s="2" t="b">
        <v>0</v>
      </c>
      <c r="M22" s="2" t="b">
        <v>1</v>
      </c>
    </row>
    <row r="23" spans="1:13" ht="30" x14ac:dyDescent="0.2">
      <c r="A23" s="2"/>
      <c r="B23" s="2" t="s">
        <v>364</v>
      </c>
      <c r="C23" s="2" t="s">
        <v>364</v>
      </c>
      <c r="D23" s="2" t="str">
        <f ca="1">IFERROR(__xludf.DUMMYFUNCTION("GOOGLETRANSLATE(C23)"),"relationship child age difference parent first child")</f>
        <v>relationship child age difference parent first child</v>
      </c>
      <c r="E23" s="11" t="s">
        <v>365</v>
      </c>
      <c r="F23" s="12">
        <v>11.1659153714029</v>
      </c>
      <c r="G23" s="2" t="s">
        <v>322</v>
      </c>
      <c r="H23" s="9" t="s">
        <v>366</v>
      </c>
      <c r="I23" s="2"/>
      <c r="J23" s="2" t="b">
        <v>1</v>
      </c>
      <c r="K23" s="2" t="b">
        <v>1</v>
      </c>
      <c r="L23" s="2" t="b">
        <v>0</v>
      </c>
      <c r="M23" s="2" t="b">
        <v>1</v>
      </c>
    </row>
    <row r="24" spans="1:13" ht="15.75" customHeight="1" x14ac:dyDescent="0.15">
      <c r="A24" s="2"/>
      <c r="B24" s="2" t="s">
        <v>393</v>
      </c>
      <c r="C24" s="2" t="s">
        <v>393</v>
      </c>
      <c r="D24" s="2" t="s">
        <v>394</v>
      </c>
      <c r="E24" s="11" t="s">
        <v>395</v>
      </c>
      <c r="F24" s="12">
        <v>8.1477791177880405</v>
      </c>
      <c r="G24" s="2" t="s">
        <v>396</v>
      </c>
      <c r="H24" s="11"/>
      <c r="I24" s="2"/>
      <c r="J24" s="2" t="b">
        <v>1</v>
      </c>
      <c r="K24" s="2" t="b">
        <v>1</v>
      </c>
      <c r="L24" s="2" t="b">
        <v>0</v>
      </c>
      <c r="M24" s="2" t="b">
        <v>1</v>
      </c>
    </row>
    <row r="25" spans="1:13" ht="15.75" customHeight="1" x14ac:dyDescent="0.15">
      <c r="A25" s="2"/>
      <c r="B25" s="2" t="s">
        <v>397</v>
      </c>
      <c r="C25" s="2" t="s">
        <v>397</v>
      </c>
      <c r="D25" s="2" t="str">
        <f ca="1">IFERROR(__xludf.DUMMYFUNCTION("GOOGLETRANSLATE(C25)"),"relationship child young adult")</f>
        <v>relationship child young adult</v>
      </c>
      <c r="E25" s="11" t="s">
        <v>398</v>
      </c>
      <c r="F25" s="12">
        <v>7.9912239718481697</v>
      </c>
      <c r="G25" s="2" t="s">
        <v>322</v>
      </c>
      <c r="H25" s="11"/>
      <c r="I25" s="2"/>
      <c r="J25" s="2" t="b">
        <v>0</v>
      </c>
      <c r="K25" s="2" t="b">
        <v>1</v>
      </c>
      <c r="L25" s="2" t="b">
        <v>1</v>
      </c>
      <c r="M25" s="2" t="b">
        <v>1</v>
      </c>
    </row>
    <row r="26" spans="1:13" ht="15.75" customHeight="1" x14ac:dyDescent="0.15">
      <c r="A26" s="2"/>
      <c r="B26" s="2" t="s">
        <v>457</v>
      </c>
      <c r="C26" s="2" t="s">
        <v>457</v>
      </c>
      <c r="D26" s="2" t="str">
        <f ca="1">IFERROR(__xludf.DUMMYFUNCTION("GOOGLETRANSLATE(C26)"),"address most recent neighborhood Groot IJsselmonde")</f>
        <v>address most recent neighborhood Groot IJsselmonde</v>
      </c>
      <c r="E26" s="11"/>
      <c r="F26" s="12">
        <v>3.69234624081815</v>
      </c>
      <c r="G26" s="2" t="s">
        <v>334</v>
      </c>
      <c r="H26" s="11"/>
      <c r="I26" s="2"/>
      <c r="J26" s="2" t="b">
        <v>1</v>
      </c>
      <c r="K26" s="2" t="b">
        <v>1</v>
      </c>
      <c r="L26" s="2" t="b">
        <v>0</v>
      </c>
      <c r="M26" s="2" t="b">
        <v>1</v>
      </c>
    </row>
    <row r="27" spans="1:13" ht="15.75" customHeight="1" x14ac:dyDescent="0.15">
      <c r="A27" s="2"/>
      <c r="B27" s="2" t="s">
        <v>469</v>
      </c>
      <c r="C27" s="2" t="s">
        <v>469</v>
      </c>
      <c r="D27" s="2" t="str">
        <f ca="1">IFERROR(__xludf.DUMMYFUNCTION("GOOGLETRANSLATE(C27)"),"Appointment last year exemption from language requirement")</f>
        <v>Appointment last year exemption from language requirement</v>
      </c>
      <c r="E27" s="11" t="s">
        <v>470</v>
      </c>
      <c r="F27" s="12">
        <v>2.7925497482664698</v>
      </c>
      <c r="G27" s="2" t="s">
        <v>379</v>
      </c>
      <c r="H27" s="11"/>
      <c r="I27" s="2"/>
      <c r="J27" s="2" t="b">
        <v>1</v>
      </c>
      <c r="K27" s="2" t="b">
        <v>1</v>
      </c>
      <c r="L27" s="2" t="b">
        <v>1</v>
      </c>
      <c r="M27" s="2" t="b">
        <v>0</v>
      </c>
    </row>
    <row r="28" spans="1:13" ht="15.75" customHeight="1" x14ac:dyDescent="0.15">
      <c r="A28" s="2"/>
      <c r="B28" s="2" t="s">
        <v>492</v>
      </c>
      <c r="C28" s="2" t="s">
        <v>492</v>
      </c>
      <c r="D28" s="2" t="s">
        <v>493</v>
      </c>
      <c r="E28" s="11" t="s">
        <v>494</v>
      </c>
      <c r="F28" s="12">
        <v>2.2193086276580498</v>
      </c>
      <c r="G28" s="2" t="s">
        <v>383</v>
      </c>
      <c r="H28" s="11"/>
      <c r="I28" s="2"/>
      <c r="J28" s="2" t="b">
        <v>1</v>
      </c>
      <c r="K28" s="2" t="b">
        <v>1</v>
      </c>
      <c r="L28" s="2" t="b">
        <v>0</v>
      </c>
      <c r="M28" s="2" t="b">
        <v>1</v>
      </c>
    </row>
    <row r="29" spans="1:13" ht="15.75" customHeight="1" x14ac:dyDescent="0.15">
      <c r="A29" s="2"/>
      <c r="B29" s="2" t="s">
        <v>496</v>
      </c>
      <c r="C29" s="2" t="s">
        <v>496</v>
      </c>
      <c r="D29" s="2" t="s">
        <v>497</v>
      </c>
      <c r="E29" s="11"/>
      <c r="F29" s="12">
        <v>2.0781087233213502</v>
      </c>
      <c r="G29" s="2" t="s">
        <v>383</v>
      </c>
      <c r="H29" s="11"/>
      <c r="I29" s="2"/>
      <c r="J29" s="2" t="b">
        <v>1</v>
      </c>
      <c r="K29" s="2" t="b">
        <v>1</v>
      </c>
      <c r="L29" s="2" t="b">
        <v>0</v>
      </c>
      <c r="M29" s="2" t="b">
        <v>1</v>
      </c>
    </row>
    <row r="30" spans="1:13" ht="15.75" customHeight="1" x14ac:dyDescent="0.15">
      <c r="A30" s="2"/>
      <c r="B30" s="2" t="s">
        <v>500</v>
      </c>
      <c r="C30" s="2" t="s">
        <v>500</v>
      </c>
      <c r="D30" s="2" t="s">
        <v>501</v>
      </c>
      <c r="E30" s="11" t="s">
        <v>916</v>
      </c>
      <c r="F30" s="12">
        <v>1.93590796746875</v>
      </c>
      <c r="G30" s="2" t="s">
        <v>351</v>
      </c>
      <c r="H30" s="11" t="s">
        <v>439</v>
      </c>
      <c r="I30" s="2"/>
      <c r="J30" s="2" t="b">
        <v>0</v>
      </c>
      <c r="K30" s="2" t="b">
        <v>1</v>
      </c>
      <c r="L30" s="2" t="b">
        <v>1</v>
      </c>
      <c r="M30" s="2" t="b">
        <v>1</v>
      </c>
    </row>
    <row r="31" spans="1:13" ht="15.75" customHeight="1" x14ac:dyDescent="0.15">
      <c r="A31" s="2"/>
      <c r="B31" s="2" t="s">
        <v>518</v>
      </c>
      <c r="C31" s="2" t="s">
        <v>518</v>
      </c>
      <c r="D31" s="2" t="str">
        <f ca="1">IFERROR(__xludf.DUMMYFUNCTION("GOOGLETRANSLATE(C31)"),"Contacts Subject Language requirement")</f>
        <v>Contacts Subject Language requirement</v>
      </c>
      <c r="E31" s="11" t="s">
        <v>519</v>
      </c>
      <c r="F31" s="12">
        <v>1.60878388300451</v>
      </c>
      <c r="G31" s="2" t="s">
        <v>325</v>
      </c>
      <c r="H31" s="11"/>
      <c r="I31" s="2"/>
      <c r="J31" s="2" t="b">
        <v>1</v>
      </c>
      <c r="K31" s="2" t="b">
        <v>1</v>
      </c>
      <c r="L31" s="2" t="b">
        <v>1</v>
      </c>
      <c r="M31" s="2" t="b">
        <v>0</v>
      </c>
    </row>
    <row r="32" spans="1:13" ht="15.75" customHeight="1" x14ac:dyDescent="0.15">
      <c r="A32" s="2"/>
      <c r="B32" s="2" t="s">
        <v>538</v>
      </c>
      <c r="C32" s="2" t="s">
        <v>538</v>
      </c>
      <c r="D32" s="2" t="s">
        <v>539</v>
      </c>
      <c r="E32" s="11" t="s">
        <v>540</v>
      </c>
      <c r="F32" s="12">
        <v>1.2552993612069401</v>
      </c>
      <c r="G32" s="2" t="s">
        <v>379</v>
      </c>
      <c r="H32" s="11"/>
      <c r="I32" s="2"/>
      <c r="J32" s="2" t="b">
        <v>1</v>
      </c>
      <c r="K32" s="2" t="b">
        <v>1</v>
      </c>
      <c r="L32" s="2" t="b">
        <v>1</v>
      </c>
      <c r="M32" s="2" t="b">
        <v>0</v>
      </c>
    </row>
    <row r="33" spans="1:13" ht="15.75" customHeight="1" x14ac:dyDescent="0.15">
      <c r="A33" s="2"/>
      <c r="B33" s="2" t="s">
        <v>550</v>
      </c>
      <c r="C33" s="2" t="s">
        <v>550</v>
      </c>
      <c r="D33" s="2" t="s">
        <v>551</v>
      </c>
      <c r="E33" s="11"/>
      <c r="F33" s="12">
        <v>1.1199336444219301</v>
      </c>
      <c r="G33" s="2" t="s">
        <v>328</v>
      </c>
      <c r="H33" s="11"/>
      <c r="I33" s="2"/>
      <c r="J33" s="2" t="b">
        <v>1</v>
      </c>
      <c r="K33" s="2" t="b">
        <v>1</v>
      </c>
      <c r="L33" s="2" t="b">
        <v>0</v>
      </c>
      <c r="M33" s="2" t="b">
        <v>1</v>
      </c>
    </row>
    <row r="34" spans="1:13" ht="15.75" customHeight="1" x14ac:dyDescent="0.15">
      <c r="A34" s="2"/>
      <c r="B34" s="2" t="s">
        <v>555</v>
      </c>
      <c r="C34" s="2" t="s">
        <v>555</v>
      </c>
      <c r="D34" s="2" t="str">
        <f ca="1">IFERROR(__xludf.DUMMYFUNCTION("GOOGLETRANSLATE(C34)"),"Relationship Partner Current Partner Partner Married")</f>
        <v>Relationship Partner Current Partner Partner Married</v>
      </c>
      <c r="E34" s="11"/>
      <c r="F34" s="12">
        <v>1.10108936267979</v>
      </c>
      <c r="G34" s="2" t="s">
        <v>322</v>
      </c>
      <c r="H34" s="11"/>
      <c r="I34" s="2"/>
      <c r="J34" s="2" t="b">
        <v>1</v>
      </c>
      <c r="K34" s="2" t="b">
        <v>1</v>
      </c>
      <c r="L34" s="2" t="b">
        <v>0</v>
      </c>
      <c r="M34" s="2" t="b">
        <v>1</v>
      </c>
    </row>
    <row r="35" spans="1:13" ht="15.75" customHeight="1" x14ac:dyDescent="0.15">
      <c r="A35" s="2"/>
      <c r="B35" s="2" t="s">
        <v>556</v>
      </c>
      <c r="C35" s="2" t="s">
        <v>556</v>
      </c>
      <c r="D35" s="2" t="str">
        <f ca="1">IFERROR(__xludf.DUMMYFUNCTION("GOOGLETRANSLATE(C35)"),"address most recent Charlois district")</f>
        <v>address most recent Charlois district</v>
      </c>
      <c r="E35" s="11"/>
      <c r="F35" s="12">
        <v>1.09252962067599</v>
      </c>
      <c r="G35" s="2" t="s">
        <v>334</v>
      </c>
      <c r="H35" s="11"/>
      <c r="I35" s="2"/>
      <c r="J35" s="2" t="b">
        <v>0</v>
      </c>
      <c r="K35" s="2" t="b">
        <v>1</v>
      </c>
      <c r="L35" s="2" t="b">
        <v>1</v>
      </c>
      <c r="M35" s="2" t="b">
        <v>1</v>
      </c>
    </row>
    <row r="36" spans="1:13" ht="15.75" customHeight="1" x14ac:dyDescent="0.15">
      <c r="A36" s="2"/>
      <c r="B36" s="2" t="s">
        <v>577</v>
      </c>
      <c r="C36" s="2" t="s">
        <v>577</v>
      </c>
      <c r="D36" s="2" t="str">
        <f ca="1">IFERROR(__xludf.DUMMYFUNCTION("GOOGLETRANSLATE(C36)"),"Competence collaboration and consultation")</f>
        <v>Competence collaboration and consultation</v>
      </c>
      <c r="E36" s="11"/>
      <c r="F36" s="12">
        <v>0.96331627360467098</v>
      </c>
      <c r="G36" s="2" t="s">
        <v>328</v>
      </c>
      <c r="H36" s="11"/>
      <c r="I36" s="2"/>
      <c r="J36" s="2" t="b">
        <v>1</v>
      </c>
      <c r="K36" s="2" t="b">
        <v>1</v>
      </c>
      <c r="L36" s="2" t="b">
        <v>0</v>
      </c>
      <c r="M36" s="2" t="b">
        <v>1</v>
      </c>
    </row>
    <row r="37" spans="1:13" ht="15.75" customHeight="1" x14ac:dyDescent="0.15">
      <c r="A37" s="2"/>
      <c r="B37" s="2" t="s">
        <v>582</v>
      </c>
      <c r="C37" s="2" t="s">
        <v>583</v>
      </c>
      <c r="D37" s="2" t="s">
        <v>584</v>
      </c>
      <c r="E37" s="11"/>
      <c r="F37" s="12">
        <v>0.76942670426415605</v>
      </c>
      <c r="G37" s="2" t="s">
        <v>328</v>
      </c>
      <c r="H37" s="11"/>
      <c r="I37" s="2"/>
      <c r="J37" s="2" t="b">
        <v>1</v>
      </c>
      <c r="K37" s="2" t="b">
        <v>1</v>
      </c>
      <c r="L37" s="2" t="b">
        <v>0</v>
      </c>
      <c r="M37" s="2" t="b">
        <v>1</v>
      </c>
    </row>
    <row r="38" spans="1:13" ht="15.75" customHeight="1" x14ac:dyDescent="0.15">
      <c r="A38" s="2"/>
      <c r="B38" s="2" t="s">
        <v>595</v>
      </c>
      <c r="C38" s="2" t="s">
        <v>595</v>
      </c>
      <c r="D38" s="2" t="s">
        <v>596</v>
      </c>
      <c r="E38" s="11"/>
      <c r="F38" s="12">
        <v>0.68715106001561199</v>
      </c>
      <c r="G38" s="2" t="s">
        <v>328</v>
      </c>
      <c r="H38" s="11"/>
      <c r="I38" s="2"/>
      <c r="J38" s="2" t="b">
        <v>1</v>
      </c>
      <c r="K38" s="2" t="b">
        <v>1</v>
      </c>
      <c r="L38" s="2" t="b">
        <v>0</v>
      </c>
      <c r="M38" s="2" t="b">
        <v>1</v>
      </c>
    </row>
    <row r="39" spans="1:13" ht="15.75" customHeight="1" x14ac:dyDescent="0.15">
      <c r="A39" s="2"/>
      <c r="B39" s="2" t="s">
        <v>605</v>
      </c>
      <c r="C39" s="2" t="s">
        <v>605</v>
      </c>
      <c r="D39" s="2" t="s">
        <v>606</v>
      </c>
      <c r="E39" s="11" t="s">
        <v>917</v>
      </c>
      <c r="F39" s="12">
        <v>0.61819691573297597</v>
      </c>
      <c r="G39" s="2" t="s">
        <v>351</v>
      </c>
      <c r="H39" s="11"/>
      <c r="I39" s="2"/>
      <c r="J39" s="2" t="b">
        <v>1</v>
      </c>
      <c r="K39" s="2" t="b">
        <v>1</v>
      </c>
      <c r="L39" s="2" t="b">
        <v>0</v>
      </c>
      <c r="M39" s="2" t="b">
        <v>1</v>
      </c>
    </row>
    <row r="40" spans="1:13" ht="15.75" customHeight="1" x14ac:dyDescent="0.15">
      <c r="A40" s="2"/>
      <c r="B40" s="2" t="s">
        <v>638</v>
      </c>
      <c r="C40" s="2" t="s">
        <v>638</v>
      </c>
      <c r="D40" s="2" t="s">
        <v>639</v>
      </c>
      <c r="E40" s="11" t="s">
        <v>640</v>
      </c>
      <c r="F40" s="12">
        <v>0.54125580155166997</v>
      </c>
      <c r="G40" s="2" t="s">
        <v>351</v>
      </c>
      <c r="H40" s="11"/>
      <c r="I40" s="2"/>
      <c r="J40" s="2" t="b">
        <v>1</v>
      </c>
      <c r="K40" s="2" t="b">
        <v>1</v>
      </c>
      <c r="L40" s="2" t="b">
        <v>1</v>
      </c>
      <c r="M40" s="2" t="b">
        <v>0</v>
      </c>
    </row>
    <row r="41" spans="1:13" ht="15.75" customHeight="1" x14ac:dyDescent="0.15">
      <c r="A41" s="2"/>
      <c r="B41" s="2" t="s">
        <v>681</v>
      </c>
      <c r="C41" s="2" t="s">
        <v>681</v>
      </c>
      <c r="D41" s="2" t="s">
        <v>682</v>
      </c>
      <c r="E41" s="11" t="s">
        <v>683</v>
      </c>
      <c r="F41" s="12">
        <v>0.36800076351887501</v>
      </c>
      <c r="G41" s="2" t="s">
        <v>396</v>
      </c>
      <c r="H41" s="11"/>
      <c r="I41" s="2"/>
      <c r="J41" s="2" t="b">
        <v>1</v>
      </c>
      <c r="K41" s="2" t="b">
        <v>0</v>
      </c>
      <c r="L41" s="2" t="b">
        <v>1</v>
      </c>
      <c r="M41" s="2" t="b">
        <v>1</v>
      </c>
    </row>
    <row r="42" spans="1:13" ht="15.75" customHeight="1" x14ac:dyDescent="0.15">
      <c r="A42" s="2"/>
      <c r="B42" s="2" t="s">
        <v>714</v>
      </c>
      <c r="C42" s="2" t="s">
        <v>714</v>
      </c>
      <c r="D42" s="2" t="str">
        <f ca="1">IFERROR(__xludf.DUMMYFUNCTION("GOOGLETRANSLATE(C42)"),"Address most recent Kralingen C district")</f>
        <v>Address most recent Kralingen C district</v>
      </c>
      <c r="E42" s="11"/>
      <c r="F42" s="12">
        <v>0.281590185450663</v>
      </c>
      <c r="G42" s="2" t="s">
        <v>334</v>
      </c>
      <c r="H42" s="11"/>
      <c r="I42" s="2"/>
      <c r="J42" s="2" t="b">
        <v>1</v>
      </c>
      <c r="K42" s="2" t="b">
        <v>0</v>
      </c>
      <c r="L42" s="2" t="b">
        <v>1</v>
      </c>
      <c r="M42" s="2" t="b">
        <v>1</v>
      </c>
    </row>
    <row r="43" spans="1:13" ht="15.75" customHeight="1" x14ac:dyDescent="0.15">
      <c r="A43" s="2"/>
      <c r="B43" s="2" t="s">
        <v>717</v>
      </c>
      <c r="C43" s="2" t="s">
        <v>717</v>
      </c>
      <c r="D43" s="2" t="s">
        <v>718</v>
      </c>
      <c r="E43" s="11" t="s">
        <v>719</v>
      </c>
      <c r="F43" s="12">
        <v>0.279030354985911</v>
      </c>
      <c r="G43" s="2" t="s">
        <v>383</v>
      </c>
      <c r="H43" s="11"/>
      <c r="I43" s="2"/>
      <c r="J43" s="2" t="b">
        <v>1</v>
      </c>
      <c r="K43" s="2" t="b">
        <v>0</v>
      </c>
      <c r="L43" s="2" t="b">
        <v>1</v>
      </c>
      <c r="M43" s="2" t="b">
        <v>1</v>
      </c>
    </row>
    <row r="44" spans="1:13" ht="15.75" customHeight="1" x14ac:dyDescent="0.15">
      <c r="A44" s="2"/>
      <c r="B44" s="2" t="s">
        <v>760</v>
      </c>
      <c r="C44" s="2" t="s">
        <v>760</v>
      </c>
      <c r="D44" s="2" t="str">
        <f ca="1">IFERROR(__xludf.DUMMYFUNCTION("GOOGLETRANSLATE(C44)"),"Competence ethical and honest action")</f>
        <v>Competence ethical and honest action</v>
      </c>
      <c r="E44" s="11"/>
      <c r="F44" s="12">
        <v>0.172962976010446</v>
      </c>
      <c r="G44" s="2" t="s">
        <v>328</v>
      </c>
      <c r="H44" s="11"/>
      <c r="I44" s="2"/>
      <c r="J44" s="2" t="b">
        <v>1</v>
      </c>
      <c r="K44" s="2" t="b">
        <v>0</v>
      </c>
      <c r="L44" s="2" t="b">
        <v>1</v>
      </c>
      <c r="M44" s="2" t="b">
        <v>1</v>
      </c>
    </row>
    <row r="45" spans="1:13" ht="15.75" customHeight="1" x14ac:dyDescent="0.15">
      <c r="A45" s="2"/>
      <c r="B45" s="2" t="s">
        <v>778</v>
      </c>
      <c r="C45" s="2" t="s">
        <v>778</v>
      </c>
      <c r="D45" s="2" t="str">
        <f ca="1">IFERROR(__xludf.DUMMYFUNCTION("GOOGLETRANSLATE(C45)"),"Obstacle Hist Psychological Problems")</f>
        <v>Obstacle Hist Psychological Problems</v>
      </c>
      <c r="E45" s="11" t="s">
        <v>779</v>
      </c>
      <c r="F45" s="12">
        <v>0.12096244570817601</v>
      </c>
      <c r="G45" s="2" t="s">
        <v>383</v>
      </c>
      <c r="H45" s="11"/>
      <c r="I45" s="2"/>
      <c r="J45" s="2" t="b">
        <v>1</v>
      </c>
      <c r="K45" s="2" t="b">
        <v>0</v>
      </c>
      <c r="L45" s="2" t="b">
        <v>1</v>
      </c>
      <c r="M45" s="2" t="b">
        <v>1</v>
      </c>
    </row>
    <row r="46" spans="1:13" ht="15.75" customHeight="1" x14ac:dyDescent="0.15">
      <c r="A46" s="2"/>
      <c r="B46" s="2" t="s">
        <v>781</v>
      </c>
      <c r="C46" s="2" t="s">
        <v>781</v>
      </c>
      <c r="D46" s="2" t="s">
        <v>782</v>
      </c>
      <c r="E46" s="11" t="s">
        <v>783</v>
      </c>
      <c r="F46" s="12">
        <v>0.10825707532083401</v>
      </c>
      <c r="G46" s="2" t="s">
        <v>351</v>
      </c>
      <c r="H46" s="11"/>
      <c r="I46" s="2"/>
      <c r="J46" s="2" t="b">
        <v>1</v>
      </c>
      <c r="K46" s="2" t="b">
        <v>0</v>
      </c>
      <c r="L46" s="2" t="b">
        <v>1</v>
      </c>
      <c r="M46" s="2" t="b">
        <v>1</v>
      </c>
    </row>
    <row r="47" spans="1:13" ht="15.75" customHeight="1" x14ac:dyDescent="0.15">
      <c r="A47" s="2"/>
      <c r="B47" s="2" t="s">
        <v>791</v>
      </c>
      <c r="C47" s="2" t="s">
        <v>791</v>
      </c>
      <c r="D47" s="2" t="s">
        <v>792</v>
      </c>
      <c r="E47" s="11" t="s">
        <v>793</v>
      </c>
      <c r="F47" s="12">
        <v>0.100737398212232</v>
      </c>
      <c r="G47" s="2" t="s">
        <v>322</v>
      </c>
      <c r="H47" s="11"/>
      <c r="I47" s="2"/>
      <c r="J47" s="2" t="b">
        <v>1</v>
      </c>
      <c r="K47" s="2" t="b">
        <v>0</v>
      </c>
      <c r="L47" s="2" t="b">
        <v>1</v>
      </c>
      <c r="M47" s="2" t="b">
        <v>1</v>
      </c>
    </row>
    <row r="48" spans="1:13" ht="15.75" customHeight="1" x14ac:dyDescent="0.15">
      <c r="A48" s="2" t="s">
        <v>13</v>
      </c>
      <c r="B48" s="2" t="s">
        <v>361</v>
      </c>
      <c r="C48" s="2" t="s">
        <v>361</v>
      </c>
      <c r="D48" s="2" t="str">
        <f ca="1">IFERROR(__xludf.DUMMYFUNCTION("GOOGLETRANSLATE(C48)"),"relationship partner Total days partner")</f>
        <v>relationship partner Total days partner</v>
      </c>
      <c r="E48" s="11" t="s">
        <v>362</v>
      </c>
      <c r="F48" s="12">
        <v>12.442484045972501</v>
      </c>
      <c r="G48" s="2" t="s">
        <v>322</v>
      </c>
      <c r="H48" s="11"/>
      <c r="I48" s="2"/>
      <c r="J48" s="2" t="b">
        <v>1</v>
      </c>
      <c r="K48" s="2" t="b">
        <v>1</v>
      </c>
      <c r="L48" s="2" t="b">
        <v>0</v>
      </c>
      <c r="M48" s="2" t="b">
        <v>0</v>
      </c>
    </row>
    <row r="49" spans="1:13" ht="15.75" customHeight="1" x14ac:dyDescent="0.15">
      <c r="A49" s="2"/>
      <c r="B49" s="2" t="s">
        <v>380</v>
      </c>
      <c r="C49" s="2" t="s">
        <v>380</v>
      </c>
      <c r="D49" s="2" t="s">
        <v>381</v>
      </c>
      <c r="E49" s="11" t="s">
        <v>382</v>
      </c>
      <c r="F49" s="12">
        <v>9.0371369782603406</v>
      </c>
      <c r="G49" s="2" t="s">
        <v>383</v>
      </c>
      <c r="H49" s="11"/>
      <c r="I49" s="2"/>
      <c r="J49" s="2" t="b">
        <v>1</v>
      </c>
      <c r="K49" s="2" t="b">
        <v>1</v>
      </c>
      <c r="L49" s="2" t="b">
        <v>0</v>
      </c>
      <c r="M49" s="2" t="b">
        <v>0</v>
      </c>
    </row>
    <row r="50" spans="1:13" ht="15.75" customHeight="1" x14ac:dyDescent="0.15">
      <c r="A50" s="2"/>
      <c r="B50" s="2" t="s">
        <v>388</v>
      </c>
      <c r="C50" s="2" t="s">
        <v>388</v>
      </c>
      <c r="D50" s="2" t="s">
        <v>389</v>
      </c>
      <c r="E50" s="11" t="s">
        <v>390</v>
      </c>
      <c r="F50" s="12">
        <v>8.6815318534939401</v>
      </c>
      <c r="G50" s="2" t="s">
        <v>360</v>
      </c>
      <c r="H50" s="11" t="s">
        <v>391</v>
      </c>
      <c r="I50" s="2"/>
      <c r="J50" s="2" t="b">
        <v>1</v>
      </c>
      <c r="K50" s="2" t="b">
        <v>0</v>
      </c>
      <c r="L50" s="2" t="b">
        <v>0</v>
      </c>
      <c r="M50" s="2" t="b">
        <v>1</v>
      </c>
    </row>
    <row r="51" spans="1:13" ht="15.75" customHeight="1" x14ac:dyDescent="0.15">
      <c r="D51" s="1"/>
      <c r="E51" s="11"/>
      <c r="F51" s="12"/>
      <c r="H51" s="11"/>
    </row>
    <row r="52" spans="1:13" ht="13" x14ac:dyDescent="0.15">
      <c r="D52" s="1"/>
      <c r="E52" s="11"/>
      <c r="F52" s="12"/>
      <c r="H52" s="11"/>
    </row>
    <row r="53" spans="1:13" ht="13" x14ac:dyDescent="0.15">
      <c r="D53" s="1"/>
      <c r="E53" s="11"/>
      <c r="F53" s="12"/>
      <c r="H53" s="11"/>
    </row>
    <row r="54" spans="1:13" ht="13" x14ac:dyDescent="0.15">
      <c r="D54" s="1"/>
      <c r="E54" s="11"/>
      <c r="F54" s="12"/>
      <c r="H54" s="11"/>
    </row>
    <row r="55" spans="1:13" ht="13" x14ac:dyDescent="0.15">
      <c r="D55" s="1"/>
      <c r="E55" s="11"/>
      <c r="F55" s="12"/>
      <c r="H55" s="11"/>
    </row>
    <row r="56" spans="1:13" ht="13" x14ac:dyDescent="0.15">
      <c r="D56" s="1"/>
      <c r="E56" s="11"/>
      <c r="F56" s="12"/>
      <c r="H56" s="11"/>
    </row>
    <row r="57" spans="1:13" ht="13" x14ac:dyDescent="0.15">
      <c r="D57" s="1"/>
      <c r="E57" s="11"/>
      <c r="F57" s="12"/>
      <c r="H57" s="11"/>
    </row>
    <row r="58" spans="1:13" ht="13" x14ac:dyDescent="0.15">
      <c r="D58" s="1"/>
      <c r="E58" s="11"/>
      <c r="F58" s="12"/>
      <c r="H58" s="11"/>
    </row>
    <row r="59" spans="1:13" ht="13" x14ac:dyDescent="0.15">
      <c r="D59" s="1"/>
      <c r="E59" s="11"/>
      <c r="F59" s="12"/>
      <c r="H59" s="11"/>
    </row>
    <row r="60" spans="1:13" ht="13" x14ac:dyDescent="0.15">
      <c r="D60" s="1"/>
      <c r="E60" s="11"/>
      <c r="F60" s="12"/>
      <c r="H60" s="11"/>
    </row>
    <row r="61" spans="1:13" ht="13" x14ac:dyDescent="0.15">
      <c r="D61" s="1"/>
      <c r="E61" s="11"/>
      <c r="F61" s="12"/>
      <c r="H61" s="11"/>
    </row>
    <row r="62" spans="1:13" ht="13" x14ac:dyDescent="0.15">
      <c r="D62" s="1"/>
      <c r="E62" s="11"/>
      <c r="F62" s="12"/>
      <c r="H62" s="11"/>
    </row>
    <row r="63" spans="1:13" ht="13" x14ac:dyDescent="0.15">
      <c r="D63" s="1"/>
      <c r="E63" s="11"/>
      <c r="F63" s="12"/>
      <c r="H63" s="11"/>
    </row>
    <row r="64" spans="1:13" ht="13" x14ac:dyDescent="0.15">
      <c r="D64" s="1"/>
      <c r="E64" s="11"/>
      <c r="F64" s="12"/>
      <c r="H64" s="11"/>
    </row>
    <row r="65" spans="4:8" ht="13" x14ac:dyDescent="0.15">
      <c r="D65" s="1"/>
      <c r="E65" s="11"/>
      <c r="F65" s="12"/>
      <c r="H65" s="11"/>
    </row>
    <row r="66" spans="4:8" ht="13" x14ac:dyDescent="0.15">
      <c r="D66" s="1"/>
      <c r="E66" s="11"/>
      <c r="F66" s="12"/>
      <c r="H66" s="11"/>
    </row>
    <row r="67" spans="4:8" ht="13" x14ac:dyDescent="0.15">
      <c r="D67" s="1"/>
      <c r="E67" s="11"/>
      <c r="F67" s="12"/>
      <c r="H67" s="11"/>
    </row>
    <row r="68" spans="4:8" ht="13" x14ac:dyDescent="0.15">
      <c r="D68" s="1"/>
      <c r="E68" s="11"/>
      <c r="F68" s="12"/>
      <c r="H68" s="11"/>
    </row>
    <row r="69" spans="4:8" ht="13" x14ac:dyDescent="0.15">
      <c r="D69" s="1"/>
      <c r="E69" s="11"/>
      <c r="F69" s="12"/>
      <c r="H69" s="11"/>
    </row>
    <row r="70" spans="4:8" ht="13" x14ac:dyDescent="0.15">
      <c r="D70" s="1"/>
      <c r="E70" s="11"/>
      <c r="F70" s="12"/>
      <c r="H70" s="11"/>
    </row>
    <row r="71" spans="4:8" ht="13" x14ac:dyDescent="0.15">
      <c r="D71" s="1"/>
      <c r="E71" s="11"/>
      <c r="F71" s="12"/>
      <c r="H71" s="11"/>
    </row>
    <row r="72" spans="4:8" ht="13" x14ac:dyDescent="0.15">
      <c r="D72" s="1"/>
      <c r="E72" s="11"/>
      <c r="F72" s="12"/>
      <c r="H72" s="11"/>
    </row>
    <row r="73" spans="4:8" ht="13" x14ac:dyDescent="0.15">
      <c r="D73" s="1"/>
      <c r="E73" s="11"/>
      <c r="F73" s="12"/>
      <c r="H73" s="11"/>
    </row>
    <row r="74" spans="4:8" ht="13" x14ac:dyDescent="0.15">
      <c r="D74" s="1"/>
      <c r="E74" s="11"/>
      <c r="F74" s="12"/>
      <c r="H74" s="11"/>
    </row>
    <row r="75" spans="4:8" ht="13" x14ac:dyDescent="0.15">
      <c r="D75" s="1"/>
      <c r="E75" s="11"/>
      <c r="F75" s="12"/>
      <c r="H75" s="11"/>
    </row>
    <row r="76" spans="4:8" ht="13" x14ac:dyDescent="0.15">
      <c r="D76" s="1"/>
      <c r="E76" s="11"/>
      <c r="F76" s="12"/>
      <c r="H76" s="11"/>
    </row>
    <row r="77" spans="4:8" ht="13" x14ac:dyDescent="0.15">
      <c r="D77" s="1"/>
      <c r="E77" s="11"/>
      <c r="F77" s="12"/>
      <c r="H77" s="11"/>
    </row>
    <row r="78" spans="4:8" ht="13" x14ac:dyDescent="0.15">
      <c r="D78" s="1"/>
      <c r="E78" s="11"/>
      <c r="F78" s="12"/>
      <c r="H78" s="11"/>
    </row>
    <row r="79" spans="4:8" ht="13" x14ac:dyDescent="0.15">
      <c r="D79" s="1"/>
      <c r="E79" s="11"/>
      <c r="F79" s="12"/>
      <c r="H79" s="11"/>
    </row>
    <row r="80" spans="4:8" ht="13" x14ac:dyDescent="0.15">
      <c r="D80" s="1"/>
      <c r="E80" s="11"/>
      <c r="F80" s="12"/>
      <c r="H80" s="11"/>
    </row>
    <row r="81" spans="4:8" ht="13" x14ac:dyDescent="0.15">
      <c r="D81" s="1"/>
      <c r="E81" s="11"/>
      <c r="F81" s="12"/>
      <c r="H81" s="11"/>
    </row>
    <row r="82" spans="4:8" ht="13" x14ac:dyDescent="0.15">
      <c r="D82" s="1"/>
      <c r="E82" s="11"/>
      <c r="F82" s="12"/>
      <c r="H82" s="11"/>
    </row>
    <row r="83" spans="4:8" ht="13" x14ac:dyDescent="0.15">
      <c r="D83" s="1"/>
      <c r="E83" s="11"/>
      <c r="F83" s="12"/>
      <c r="H83" s="11"/>
    </row>
    <row r="84" spans="4:8" ht="13" x14ac:dyDescent="0.15">
      <c r="D84" s="1"/>
      <c r="E84" s="11"/>
      <c r="F84" s="12"/>
      <c r="H84" s="11"/>
    </row>
    <row r="85" spans="4:8" ht="13" x14ac:dyDescent="0.15">
      <c r="D85" s="1"/>
      <c r="E85" s="11"/>
      <c r="F85" s="12"/>
      <c r="H85" s="11"/>
    </row>
    <row r="86" spans="4:8" ht="13" x14ac:dyDescent="0.15">
      <c r="D86" s="1"/>
      <c r="E86" s="11"/>
      <c r="F86" s="12"/>
      <c r="H86" s="11"/>
    </row>
    <row r="87" spans="4:8" ht="13" x14ac:dyDescent="0.15">
      <c r="D87" s="1"/>
      <c r="E87" s="11"/>
      <c r="F87" s="12"/>
      <c r="H87" s="11"/>
    </row>
    <row r="88" spans="4:8" ht="13" x14ac:dyDescent="0.15">
      <c r="D88" s="1"/>
      <c r="E88" s="11"/>
      <c r="F88" s="12"/>
      <c r="H88" s="11"/>
    </row>
    <row r="89" spans="4:8" ht="13" x14ac:dyDescent="0.15">
      <c r="D89" s="1"/>
      <c r="E89" s="11"/>
      <c r="F89" s="12"/>
      <c r="H89" s="11"/>
    </row>
    <row r="90" spans="4:8" ht="13" x14ac:dyDescent="0.15">
      <c r="D90" s="1"/>
      <c r="E90" s="11"/>
      <c r="F90" s="12"/>
      <c r="H90" s="11"/>
    </row>
    <row r="91" spans="4:8" ht="13" x14ac:dyDescent="0.15">
      <c r="D91" s="1"/>
      <c r="E91" s="11"/>
      <c r="F91" s="12"/>
      <c r="H91" s="11"/>
    </row>
    <row r="92" spans="4:8" ht="13" x14ac:dyDescent="0.15">
      <c r="D92" s="1"/>
      <c r="E92" s="11"/>
      <c r="F92" s="12"/>
      <c r="H92" s="11"/>
    </row>
    <row r="93" spans="4:8" ht="13" x14ac:dyDescent="0.15">
      <c r="D93" s="1"/>
      <c r="E93" s="11"/>
      <c r="F93" s="12"/>
      <c r="H93" s="11"/>
    </row>
    <row r="94" spans="4:8" ht="13" x14ac:dyDescent="0.15">
      <c r="D94" s="1"/>
      <c r="E94" s="11"/>
      <c r="F94" s="12"/>
      <c r="H94" s="11"/>
    </row>
    <row r="95" spans="4:8" ht="13" x14ac:dyDescent="0.15">
      <c r="D95" s="1"/>
      <c r="E95" s="11"/>
      <c r="F95" s="12"/>
      <c r="H95" s="11"/>
    </row>
    <row r="96" spans="4:8" ht="13" x14ac:dyDescent="0.15">
      <c r="D96" s="1"/>
      <c r="E96" s="11"/>
      <c r="F96" s="12"/>
      <c r="H96" s="11"/>
    </row>
    <row r="97" spans="4:8" ht="13" x14ac:dyDescent="0.15">
      <c r="D97" s="1"/>
      <c r="E97" s="11"/>
      <c r="F97" s="12"/>
      <c r="H97" s="11"/>
    </row>
    <row r="98" spans="4:8" ht="13" x14ac:dyDescent="0.15">
      <c r="D98" s="1"/>
      <c r="E98" s="11"/>
      <c r="F98" s="12"/>
      <c r="H98" s="11"/>
    </row>
    <row r="99" spans="4:8" ht="13" x14ac:dyDescent="0.15">
      <c r="D99" s="1"/>
      <c r="E99" s="11"/>
      <c r="F99" s="12"/>
      <c r="H99" s="11"/>
    </row>
    <row r="100" spans="4:8" ht="13" x14ac:dyDescent="0.15">
      <c r="D100" s="1"/>
      <c r="E100" s="11"/>
      <c r="F100" s="12"/>
      <c r="H100" s="11"/>
    </row>
    <row r="101" spans="4:8" ht="13" x14ac:dyDescent="0.15">
      <c r="D101" s="1"/>
      <c r="E101" s="11"/>
      <c r="F101" s="12"/>
      <c r="H101" s="11"/>
    </row>
    <row r="102" spans="4:8" ht="13" x14ac:dyDescent="0.15">
      <c r="D102" s="1"/>
      <c r="E102" s="11"/>
      <c r="F102" s="12"/>
      <c r="H102" s="11"/>
    </row>
    <row r="103" spans="4:8" ht="13" x14ac:dyDescent="0.15">
      <c r="D103" s="1"/>
      <c r="E103" s="11"/>
      <c r="F103" s="12"/>
      <c r="H103" s="11"/>
    </row>
    <row r="104" spans="4:8" ht="13" x14ac:dyDescent="0.15">
      <c r="D104" s="1"/>
      <c r="E104" s="11"/>
      <c r="F104" s="12"/>
      <c r="H104" s="11"/>
    </row>
    <row r="105" spans="4:8" ht="13" x14ac:dyDescent="0.15">
      <c r="D105" s="1"/>
      <c r="E105" s="11"/>
      <c r="F105" s="12"/>
      <c r="H105" s="11"/>
    </row>
    <row r="106" spans="4:8" ht="13" x14ac:dyDescent="0.15">
      <c r="D106" s="1"/>
      <c r="E106" s="11"/>
      <c r="F106" s="12"/>
      <c r="H106" s="11"/>
    </row>
    <row r="107" spans="4:8" ht="13" x14ac:dyDescent="0.15">
      <c r="D107" s="1"/>
      <c r="E107" s="11"/>
      <c r="F107" s="12"/>
      <c r="H107" s="11"/>
    </row>
    <row r="108" spans="4:8" ht="13" x14ac:dyDescent="0.15">
      <c r="D108" s="1"/>
      <c r="E108" s="11"/>
      <c r="F108" s="12"/>
      <c r="H108" s="11"/>
    </row>
    <row r="109" spans="4:8" ht="13" x14ac:dyDescent="0.15">
      <c r="D109" s="1"/>
      <c r="E109" s="11"/>
      <c r="F109" s="12"/>
      <c r="H109" s="11"/>
    </row>
    <row r="110" spans="4:8" ht="13" x14ac:dyDescent="0.15">
      <c r="D110" s="1"/>
      <c r="E110" s="11"/>
      <c r="F110" s="12"/>
      <c r="H110" s="11"/>
    </row>
    <row r="111" spans="4:8" ht="13" x14ac:dyDescent="0.15">
      <c r="D111" s="1"/>
      <c r="E111" s="11"/>
      <c r="F111" s="12"/>
      <c r="H111" s="11"/>
    </row>
    <row r="112" spans="4:8" ht="13" x14ac:dyDescent="0.15">
      <c r="D112" s="1"/>
      <c r="E112" s="11"/>
      <c r="F112" s="12"/>
      <c r="H112" s="11"/>
    </row>
    <row r="113" spans="4:8" ht="13" x14ac:dyDescent="0.15">
      <c r="D113" s="1"/>
      <c r="E113" s="11"/>
      <c r="F113" s="12"/>
      <c r="H113" s="11"/>
    </row>
    <row r="114" spans="4:8" ht="13" x14ac:dyDescent="0.15">
      <c r="D114" s="1"/>
      <c r="E114" s="11"/>
      <c r="F114" s="12"/>
      <c r="H114" s="11"/>
    </row>
    <row r="115" spans="4:8" ht="13" x14ac:dyDescent="0.15">
      <c r="D115" s="1"/>
      <c r="E115" s="11"/>
      <c r="F115" s="12"/>
      <c r="H115" s="11"/>
    </row>
    <row r="116" spans="4:8" ht="13" x14ac:dyDescent="0.15">
      <c r="D116" s="1"/>
      <c r="E116" s="11"/>
      <c r="F116" s="12"/>
      <c r="H116" s="11"/>
    </row>
    <row r="117" spans="4:8" ht="13" x14ac:dyDescent="0.15">
      <c r="D117" s="1"/>
      <c r="E117" s="11"/>
      <c r="F117" s="12"/>
      <c r="H117" s="11"/>
    </row>
    <row r="118" spans="4:8" ht="13" x14ac:dyDescent="0.15">
      <c r="D118" s="1"/>
      <c r="E118" s="11"/>
      <c r="F118" s="12"/>
      <c r="H118" s="11"/>
    </row>
    <row r="119" spans="4:8" ht="13" x14ac:dyDescent="0.15">
      <c r="D119" s="1"/>
      <c r="E119" s="11"/>
      <c r="F119" s="12"/>
      <c r="H119" s="11"/>
    </row>
    <row r="120" spans="4:8" ht="13" x14ac:dyDescent="0.15">
      <c r="D120" s="1"/>
      <c r="E120" s="11"/>
      <c r="F120" s="12"/>
      <c r="H120" s="11"/>
    </row>
    <row r="121" spans="4:8" ht="13" x14ac:dyDescent="0.15">
      <c r="D121" s="1"/>
      <c r="E121" s="11"/>
      <c r="F121" s="12"/>
      <c r="H121" s="11"/>
    </row>
    <row r="122" spans="4:8" ht="13" x14ac:dyDescent="0.15">
      <c r="D122" s="1"/>
      <c r="E122" s="11"/>
      <c r="F122" s="12"/>
      <c r="H122" s="11"/>
    </row>
    <row r="123" spans="4:8" ht="13" x14ac:dyDescent="0.15">
      <c r="D123" s="1"/>
      <c r="E123" s="11"/>
      <c r="F123" s="12"/>
      <c r="H123" s="11"/>
    </row>
    <row r="124" spans="4:8" ht="13" x14ac:dyDescent="0.15">
      <c r="D124" s="1"/>
      <c r="E124" s="11"/>
      <c r="F124" s="12"/>
      <c r="H124" s="11"/>
    </row>
    <row r="125" spans="4:8" ht="13" x14ac:dyDescent="0.15">
      <c r="D125" s="1"/>
      <c r="E125" s="11"/>
      <c r="F125" s="12"/>
      <c r="H125" s="11"/>
    </row>
    <row r="126" spans="4:8" ht="13" x14ac:dyDescent="0.15">
      <c r="D126" s="1"/>
      <c r="E126" s="11"/>
      <c r="F126" s="12"/>
      <c r="H126" s="11"/>
    </row>
    <row r="127" spans="4:8" ht="13" x14ac:dyDescent="0.15">
      <c r="D127" s="1"/>
      <c r="E127" s="11"/>
      <c r="F127" s="12"/>
      <c r="H127" s="11"/>
    </row>
    <row r="128" spans="4:8" ht="13" x14ac:dyDescent="0.15">
      <c r="D128" s="1"/>
      <c r="E128" s="11"/>
      <c r="F128" s="12"/>
      <c r="H128" s="11"/>
    </row>
    <row r="129" spans="4:8" ht="13" x14ac:dyDescent="0.15">
      <c r="D129" s="1"/>
      <c r="E129" s="11"/>
      <c r="F129" s="12"/>
      <c r="H129" s="11"/>
    </row>
    <row r="130" spans="4:8" ht="13" x14ac:dyDescent="0.15">
      <c r="D130" s="1"/>
      <c r="E130" s="11"/>
      <c r="F130" s="12"/>
      <c r="H130" s="11"/>
    </row>
    <row r="131" spans="4:8" ht="13" x14ac:dyDescent="0.15">
      <c r="D131" s="1"/>
      <c r="E131" s="11"/>
      <c r="F131" s="12"/>
      <c r="H131" s="11"/>
    </row>
    <row r="132" spans="4:8" ht="13" x14ac:dyDescent="0.15">
      <c r="D132" s="1"/>
      <c r="E132" s="11"/>
      <c r="F132" s="12"/>
      <c r="H132" s="11"/>
    </row>
    <row r="133" spans="4:8" ht="13" x14ac:dyDescent="0.15">
      <c r="D133" s="1"/>
      <c r="E133" s="11"/>
      <c r="F133" s="12"/>
      <c r="H133" s="11"/>
    </row>
    <row r="134" spans="4:8" ht="13" x14ac:dyDescent="0.15">
      <c r="D134" s="1"/>
      <c r="E134" s="11"/>
      <c r="F134" s="12"/>
      <c r="H134" s="11"/>
    </row>
    <row r="135" spans="4:8" ht="13" x14ac:dyDescent="0.15">
      <c r="D135" s="1"/>
      <c r="E135" s="11"/>
      <c r="F135" s="12"/>
      <c r="H135" s="11"/>
    </row>
    <row r="136" spans="4:8" ht="13" x14ac:dyDescent="0.15">
      <c r="D136" s="1"/>
      <c r="E136" s="11"/>
      <c r="F136" s="12"/>
      <c r="H136" s="11"/>
    </row>
    <row r="137" spans="4:8" ht="13" x14ac:dyDescent="0.15">
      <c r="D137" s="1"/>
      <c r="E137" s="11"/>
      <c r="F137" s="12"/>
      <c r="H137" s="11"/>
    </row>
    <row r="138" spans="4:8" ht="13" x14ac:dyDescent="0.15">
      <c r="D138" s="1"/>
      <c r="E138" s="11"/>
      <c r="F138" s="12"/>
      <c r="H138" s="11"/>
    </row>
    <row r="139" spans="4:8" ht="13" x14ac:dyDescent="0.15">
      <c r="D139" s="1"/>
      <c r="E139" s="11"/>
      <c r="F139" s="12"/>
      <c r="H139" s="11"/>
    </row>
    <row r="140" spans="4:8" ht="13" x14ac:dyDescent="0.15">
      <c r="D140" s="1"/>
      <c r="E140" s="11"/>
      <c r="F140" s="12"/>
      <c r="H140" s="11"/>
    </row>
    <row r="141" spans="4:8" ht="13" x14ac:dyDescent="0.15">
      <c r="D141" s="1"/>
      <c r="E141" s="11"/>
      <c r="F141" s="12"/>
      <c r="H141" s="11"/>
    </row>
    <row r="142" spans="4:8" ht="13" x14ac:dyDescent="0.15">
      <c r="D142" s="1"/>
      <c r="E142" s="11"/>
      <c r="F142" s="12"/>
      <c r="H142" s="11"/>
    </row>
    <row r="143" spans="4:8" ht="13" x14ac:dyDescent="0.15">
      <c r="D143" s="1"/>
      <c r="E143" s="11"/>
      <c r="F143" s="12"/>
      <c r="H143" s="11"/>
    </row>
    <row r="144" spans="4:8" ht="13" x14ac:dyDescent="0.15">
      <c r="D144" s="1"/>
      <c r="E144" s="11"/>
      <c r="F144" s="12"/>
      <c r="H144" s="11"/>
    </row>
    <row r="145" spans="4:8" ht="13" x14ac:dyDescent="0.15">
      <c r="D145" s="1"/>
      <c r="E145" s="11"/>
      <c r="F145" s="12"/>
      <c r="H145" s="11"/>
    </row>
    <row r="146" spans="4:8" ht="13" x14ac:dyDescent="0.15">
      <c r="D146" s="1"/>
      <c r="E146" s="11"/>
      <c r="F146" s="12"/>
      <c r="H146" s="11"/>
    </row>
    <row r="147" spans="4:8" ht="13" x14ac:dyDescent="0.15">
      <c r="D147" s="1"/>
      <c r="E147" s="11"/>
      <c r="F147" s="12"/>
      <c r="H147" s="11"/>
    </row>
    <row r="148" spans="4:8" ht="13" x14ac:dyDescent="0.15">
      <c r="D148" s="1"/>
      <c r="E148" s="11"/>
      <c r="F148" s="12"/>
      <c r="H148" s="11"/>
    </row>
    <row r="149" spans="4:8" ht="13" x14ac:dyDescent="0.15">
      <c r="D149" s="1"/>
      <c r="E149" s="11"/>
      <c r="F149" s="12"/>
      <c r="H149" s="11"/>
    </row>
    <row r="150" spans="4:8" ht="13" x14ac:dyDescent="0.15">
      <c r="D150" s="1"/>
      <c r="E150" s="11"/>
      <c r="F150" s="12"/>
      <c r="H150" s="11"/>
    </row>
    <row r="151" spans="4:8" ht="13" x14ac:dyDescent="0.15">
      <c r="D151" s="1"/>
      <c r="E151" s="11"/>
      <c r="F151" s="12"/>
      <c r="H151" s="11"/>
    </row>
    <row r="152" spans="4:8" ht="13" x14ac:dyDescent="0.15">
      <c r="D152" s="1"/>
      <c r="E152" s="11"/>
      <c r="F152" s="12"/>
      <c r="H152" s="11"/>
    </row>
    <row r="153" spans="4:8" ht="13" x14ac:dyDescent="0.15">
      <c r="D153" s="1"/>
      <c r="E153" s="11"/>
      <c r="F153" s="12"/>
      <c r="H153" s="11"/>
    </row>
    <row r="154" spans="4:8" ht="13" x14ac:dyDescent="0.15">
      <c r="D154" s="1"/>
      <c r="E154" s="11"/>
      <c r="F154" s="12"/>
      <c r="H154" s="11"/>
    </row>
    <row r="155" spans="4:8" ht="13" x14ac:dyDescent="0.15">
      <c r="D155" s="1"/>
      <c r="E155" s="11"/>
      <c r="F155" s="12"/>
      <c r="H155" s="11"/>
    </row>
    <row r="156" spans="4:8" ht="13" x14ac:dyDescent="0.15">
      <c r="D156" s="1"/>
      <c r="E156" s="11"/>
      <c r="F156" s="12"/>
      <c r="H156" s="11"/>
    </row>
    <row r="157" spans="4:8" ht="13" x14ac:dyDescent="0.15">
      <c r="D157" s="1"/>
      <c r="E157" s="11"/>
      <c r="F157" s="12"/>
      <c r="H157" s="11"/>
    </row>
    <row r="158" spans="4:8" ht="13" x14ac:dyDescent="0.15">
      <c r="D158" s="1"/>
      <c r="E158" s="11"/>
      <c r="F158" s="12"/>
      <c r="H158" s="11"/>
    </row>
    <row r="159" spans="4:8" ht="13" x14ac:dyDescent="0.15">
      <c r="D159" s="1"/>
      <c r="E159" s="11"/>
      <c r="F159" s="12"/>
      <c r="H159" s="11"/>
    </row>
    <row r="160" spans="4:8" ht="13" x14ac:dyDescent="0.15">
      <c r="D160" s="1"/>
      <c r="E160" s="11"/>
      <c r="F160" s="12"/>
      <c r="H160" s="11"/>
    </row>
    <row r="161" spans="4:8" ht="13" x14ac:dyDescent="0.15">
      <c r="D161" s="1"/>
      <c r="E161" s="11"/>
      <c r="F161" s="12"/>
      <c r="H161" s="11"/>
    </row>
    <row r="162" spans="4:8" ht="13" x14ac:dyDescent="0.15">
      <c r="D162" s="1"/>
      <c r="E162" s="11"/>
      <c r="F162" s="12"/>
      <c r="H162" s="11"/>
    </row>
    <row r="163" spans="4:8" ht="13" x14ac:dyDescent="0.15">
      <c r="D163" s="1"/>
      <c r="E163" s="11"/>
      <c r="F163" s="12"/>
      <c r="H163" s="11"/>
    </row>
    <row r="164" spans="4:8" ht="13" x14ac:dyDescent="0.15">
      <c r="D164" s="1"/>
      <c r="E164" s="11"/>
      <c r="F164" s="12"/>
      <c r="H164" s="11"/>
    </row>
    <row r="165" spans="4:8" ht="13" x14ac:dyDescent="0.15">
      <c r="D165" s="1"/>
      <c r="E165" s="11"/>
      <c r="F165" s="12"/>
      <c r="H165" s="11"/>
    </row>
    <row r="166" spans="4:8" ht="13" x14ac:dyDescent="0.15">
      <c r="D166" s="1"/>
      <c r="E166" s="11"/>
      <c r="F166" s="12"/>
      <c r="H166" s="11"/>
    </row>
    <row r="167" spans="4:8" ht="13" x14ac:dyDescent="0.15">
      <c r="D167" s="1"/>
      <c r="E167" s="11"/>
      <c r="F167" s="12"/>
      <c r="H167" s="11"/>
    </row>
    <row r="168" spans="4:8" ht="13" x14ac:dyDescent="0.15">
      <c r="D168" s="1"/>
      <c r="E168" s="11"/>
      <c r="F168" s="12"/>
      <c r="H168" s="11"/>
    </row>
    <row r="169" spans="4:8" ht="13" x14ac:dyDescent="0.15">
      <c r="D169" s="1"/>
      <c r="E169" s="11"/>
      <c r="F169" s="12"/>
      <c r="H169" s="11"/>
    </row>
    <row r="170" spans="4:8" ht="13" x14ac:dyDescent="0.15">
      <c r="D170" s="1"/>
      <c r="E170" s="11"/>
      <c r="F170" s="12"/>
      <c r="H170" s="11"/>
    </row>
    <row r="171" spans="4:8" ht="13" x14ac:dyDescent="0.15">
      <c r="D171" s="1"/>
      <c r="E171" s="11"/>
      <c r="F171" s="12"/>
      <c r="H171" s="11"/>
    </row>
    <row r="172" spans="4:8" ht="13" x14ac:dyDescent="0.15">
      <c r="D172" s="1"/>
      <c r="E172" s="11"/>
      <c r="F172" s="12"/>
      <c r="H172" s="11"/>
    </row>
    <row r="173" spans="4:8" ht="13" x14ac:dyDescent="0.15">
      <c r="D173" s="1"/>
      <c r="E173" s="11"/>
      <c r="F173" s="12"/>
      <c r="H173" s="11"/>
    </row>
    <row r="174" spans="4:8" ht="13" x14ac:dyDescent="0.15">
      <c r="D174" s="1"/>
      <c r="E174" s="11"/>
      <c r="F174" s="12"/>
      <c r="H174" s="11"/>
    </row>
    <row r="175" spans="4:8" ht="13" x14ac:dyDescent="0.15">
      <c r="D175" s="1"/>
      <c r="E175" s="11"/>
      <c r="F175" s="12"/>
      <c r="H175" s="11"/>
    </row>
    <row r="176" spans="4:8" ht="13" x14ac:dyDescent="0.15">
      <c r="D176" s="1"/>
      <c r="E176" s="11"/>
      <c r="F176" s="12"/>
      <c r="H176" s="11"/>
    </row>
    <row r="177" spans="4:8" ht="13" x14ac:dyDescent="0.15">
      <c r="D177" s="1"/>
      <c r="E177" s="11"/>
      <c r="F177" s="12"/>
      <c r="H177" s="11"/>
    </row>
    <row r="178" spans="4:8" ht="13" x14ac:dyDescent="0.15">
      <c r="D178" s="1"/>
      <c r="E178" s="11"/>
      <c r="F178" s="12"/>
      <c r="H178" s="11"/>
    </row>
    <row r="179" spans="4:8" ht="13" x14ac:dyDescent="0.15">
      <c r="D179" s="1"/>
      <c r="E179" s="11"/>
      <c r="F179" s="12"/>
      <c r="H179" s="11"/>
    </row>
    <row r="180" spans="4:8" ht="13" x14ac:dyDescent="0.15">
      <c r="D180" s="1"/>
      <c r="E180" s="11"/>
      <c r="F180" s="12"/>
      <c r="H180" s="11"/>
    </row>
    <row r="181" spans="4:8" ht="13" x14ac:dyDescent="0.15">
      <c r="D181" s="1"/>
      <c r="E181" s="11"/>
      <c r="F181" s="12"/>
      <c r="H181" s="11"/>
    </row>
    <row r="182" spans="4:8" ht="13" x14ac:dyDescent="0.15">
      <c r="D182" s="1"/>
      <c r="E182" s="11"/>
      <c r="F182" s="12"/>
      <c r="H182" s="11"/>
    </row>
    <row r="183" spans="4:8" ht="13" x14ac:dyDescent="0.15">
      <c r="D183" s="1"/>
      <c r="E183" s="11"/>
      <c r="F183" s="12"/>
      <c r="H183" s="11"/>
    </row>
    <row r="184" spans="4:8" ht="13" x14ac:dyDescent="0.15">
      <c r="D184" s="1"/>
      <c r="E184" s="11"/>
      <c r="F184" s="12"/>
      <c r="H184" s="11"/>
    </row>
    <row r="185" spans="4:8" ht="13" x14ac:dyDescent="0.15">
      <c r="D185" s="1"/>
      <c r="E185" s="11"/>
      <c r="F185" s="12"/>
      <c r="H185" s="11"/>
    </row>
    <row r="186" spans="4:8" ht="13" x14ac:dyDescent="0.15">
      <c r="D186" s="1"/>
      <c r="E186" s="11"/>
      <c r="F186" s="12"/>
      <c r="H186" s="11"/>
    </row>
    <row r="187" spans="4:8" ht="13" x14ac:dyDescent="0.15">
      <c r="D187" s="1"/>
      <c r="E187" s="11"/>
      <c r="F187" s="12"/>
      <c r="H187" s="11"/>
    </row>
    <row r="188" spans="4:8" ht="13" x14ac:dyDescent="0.15">
      <c r="D188" s="1"/>
      <c r="E188" s="11"/>
      <c r="F188" s="12"/>
      <c r="H188" s="11"/>
    </row>
    <row r="189" spans="4:8" ht="13" x14ac:dyDescent="0.15">
      <c r="D189" s="1"/>
      <c r="E189" s="11"/>
      <c r="F189" s="12"/>
      <c r="H189" s="11"/>
    </row>
    <row r="190" spans="4:8" ht="13" x14ac:dyDescent="0.15">
      <c r="D190" s="1"/>
      <c r="E190" s="11"/>
      <c r="F190" s="12"/>
      <c r="H190" s="11"/>
    </row>
    <row r="191" spans="4:8" ht="13" x14ac:dyDescent="0.15">
      <c r="D191" s="1"/>
      <c r="E191" s="11"/>
      <c r="F191" s="12"/>
      <c r="H191" s="11"/>
    </row>
    <row r="192" spans="4:8" ht="13" x14ac:dyDescent="0.15">
      <c r="D192" s="1"/>
      <c r="E192" s="11"/>
      <c r="F192" s="12"/>
      <c r="H192" s="11"/>
    </row>
    <row r="193" spans="4:8" ht="13" x14ac:dyDescent="0.15">
      <c r="D193" s="1"/>
      <c r="E193" s="11"/>
      <c r="F193" s="12"/>
      <c r="H193" s="11"/>
    </row>
    <row r="194" spans="4:8" ht="13" x14ac:dyDescent="0.15">
      <c r="D194" s="1"/>
      <c r="E194" s="11"/>
      <c r="F194" s="12"/>
      <c r="H194" s="11"/>
    </row>
    <row r="195" spans="4:8" ht="13" x14ac:dyDescent="0.15">
      <c r="D195" s="1"/>
      <c r="E195" s="11"/>
      <c r="F195" s="12"/>
      <c r="H195" s="11"/>
    </row>
    <row r="196" spans="4:8" ht="13" x14ac:dyDescent="0.15">
      <c r="D196" s="1"/>
      <c r="E196" s="11"/>
      <c r="F196" s="12"/>
      <c r="H196" s="11"/>
    </row>
    <row r="197" spans="4:8" ht="13" x14ac:dyDescent="0.15">
      <c r="D197" s="1"/>
      <c r="E197" s="11"/>
      <c r="F197" s="12"/>
      <c r="H197" s="11"/>
    </row>
    <row r="198" spans="4:8" ht="13" x14ac:dyDescent="0.15">
      <c r="D198" s="1"/>
      <c r="E198" s="11"/>
      <c r="F198" s="12"/>
      <c r="H198" s="11"/>
    </row>
    <row r="199" spans="4:8" ht="13" x14ac:dyDescent="0.15">
      <c r="D199" s="1"/>
      <c r="E199" s="11"/>
      <c r="F199" s="12"/>
      <c r="H199" s="11"/>
    </row>
    <row r="200" spans="4:8" ht="13" x14ac:dyDescent="0.15">
      <c r="D200" s="1"/>
      <c r="E200" s="11"/>
      <c r="F200" s="12"/>
      <c r="H200" s="11"/>
    </row>
    <row r="201" spans="4:8" ht="13" x14ac:dyDescent="0.15">
      <c r="D201" s="1"/>
      <c r="E201" s="11"/>
      <c r="F201" s="12"/>
      <c r="H201" s="11"/>
    </row>
    <row r="202" spans="4:8" ht="13" x14ac:dyDescent="0.15">
      <c r="D202" s="1"/>
      <c r="E202" s="11"/>
      <c r="F202" s="12"/>
      <c r="H202" s="11"/>
    </row>
    <row r="203" spans="4:8" ht="13" x14ac:dyDescent="0.15">
      <c r="D203" s="1"/>
      <c r="E203" s="11"/>
      <c r="F203" s="12"/>
      <c r="H203" s="11"/>
    </row>
    <row r="204" spans="4:8" ht="13" x14ac:dyDescent="0.15">
      <c r="D204" s="1"/>
      <c r="E204" s="11"/>
      <c r="F204" s="12"/>
      <c r="H204" s="11"/>
    </row>
    <row r="205" spans="4:8" ht="13" x14ac:dyDescent="0.15">
      <c r="D205" s="1"/>
      <c r="E205" s="11"/>
      <c r="F205" s="12"/>
      <c r="H205" s="11"/>
    </row>
    <row r="206" spans="4:8" ht="13" x14ac:dyDescent="0.15">
      <c r="D206" s="1"/>
      <c r="E206" s="11"/>
      <c r="F206" s="12"/>
      <c r="H206" s="11"/>
    </row>
    <row r="207" spans="4:8" ht="13" x14ac:dyDescent="0.15">
      <c r="D207" s="1"/>
      <c r="E207" s="11"/>
      <c r="F207" s="12"/>
      <c r="H207" s="11"/>
    </row>
    <row r="208" spans="4:8" ht="13" x14ac:dyDescent="0.15">
      <c r="D208" s="1"/>
      <c r="E208" s="11"/>
      <c r="F208" s="12"/>
      <c r="H208" s="11"/>
    </row>
    <row r="209" spans="4:8" ht="13" x14ac:dyDescent="0.15">
      <c r="D209" s="1"/>
      <c r="E209" s="11"/>
      <c r="F209" s="12"/>
      <c r="H209" s="11"/>
    </row>
    <row r="210" spans="4:8" ht="13" x14ac:dyDescent="0.15">
      <c r="D210" s="1"/>
      <c r="E210" s="11"/>
      <c r="F210" s="12"/>
      <c r="H210" s="11"/>
    </row>
    <row r="211" spans="4:8" ht="13" x14ac:dyDescent="0.15">
      <c r="D211" s="1"/>
      <c r="E211" s="11"/>
      <c r="F211" s="12"/>
      <c r="H211" s="11"/>
    </row>
    <row r="212" spans="4:8" ht="13" x14ac:dyDescent="0.15">
      <c r="D212" s="1"/>
      <c r="E212" s="11"/>
      <c r="F212" s="12"/>
      <c r="H212" s="11"/>
    </row>
    <row r="213" spans="4:8" ht="13" x14ac:dyDescent="0.15">
      <c r="D213" s="1"/>
      <c r="E213" s="11"/>
      <c r="F213" s="12"/>
      <c r="H213" s="11"/>
    </row>
    <row r="214" spans="4:8" ht="13" x14ac:dyDescent="0.15">
      <c r="D214" s="1"/>
      <c r="E214" s="11"/>
      <c r="F214" s="12"/>
      <c r="H214" s="11"/>
    </row>
    <row r="215" spans="4:8" ht="13" x14ac:dyDescent="0.15">
      <c r="D215" s="1"/>
      <c r="E215" s="11"/>
      <c r="F215" s="12"/>
      <c r="H215" s="11"/>
    </row>
    <row r="216" spans="4:8" ht="13" x14ac:dyDescent="0.15">
      <c r="D216" s="1"/>
      <c r="E216" s="11"/>
      <c r="F216" s="12"/>
      <c r="H216" s="11"/>
    </row>
    <row r="217" spans="4:8" ht="13" x14ac:dyDescent="0.15">
      <c r="D217" s="1"/>
      <c r="E217" s="11"/>
      <c r="F217" s="12"/>
      <c r="H217" s="11"/>
    </row>
    <row r="218" spans="4:8" ht="13" x14ac:dyDescent="0.15">
      <c r="D218" s="1"/>
      <c r="E218" s="11"/>
      <c r="F218" s="12"/>
      <c r="H218" s="11"/>
    </row>
    <row r="219" spans="4:8" ht="13" x14ac:dyDescent="0.15">
      <c r="D219" s="1"/>
      <c r="E219" s="11"/>
      <c r="F219" s="12"/>
      <c r="H219" s="11"/>
    </row>
    <row r="220" spans="4:8" ht="13" x14ac:dyDescent="0.15">
      <c r="D220" s="1"/>
      <c r="E220" s="11"/>
      <c r="F220" s="12"/>
      <c r="H220" s="11"/>
    </row>
    <row r="221" spans="4:8" ht="13" x14ac:dyDescent="0.15">
      <c r="D221" s="1"/>
      <c r="E221" s="11"/>
      <c r="F221" s="12"/>
      <c r="H221" s="11"/>
    </row>
    <row r="222" spans="4:8" ht="13" x14ac:dyDescent="0.15">
      <c r="D222" s="1"/>
      <c r="E222" s="11"/>
      <c r="F222" s="12"/>
      <c r="H222" s="11"/>
    </row>
    <row r="223" spans="4:8" ht="13" x14ac:dyDescent="0.15">
      <c r="D223" s="1"/>
      <c r="E223" s="11"/>
      <c r="F223" s="12"/>
      <c r="H223" s="11"/>
    </row>
    <row r="224" spans="4:8" ht="13" x14ac:dyDescent="0.15">
      <c r="D224" s="1"/>
      <c r="E224" s="11"/>
      <c r="F224" s="12"/>
      <c r="H224" s="11"/>
    </row>
    <row r="225" spans="4:8" ht="13" x14ac:dyDescent="0.15">
      <c r="D225" s="1"/>
      <c r="E225" s="11"/>
      <c r="F225" s="12"/>
      <c r="H225" s="11"/>
    </row>
    <row r="226" spans="4:8" ht="13" x14ac:dyDescent="0.15">
      <c r="D226" s="1"/>
      <c r="E226" s="11"/>
      <c r="F226" s="12"/>
      <c r="H226" s="11"/>
    </row>
    <row r="227" spans="4:8" ht="13" x14ac:dyDescent="0.15">
      <c r="D227" s="1"/>
      <c r="E227" s="11"/>
      <c r="F227" s="12"/>
      <c r="H227" s="11"/>
    </row>
    <row r="228" spans="4:8" ht="13" x14ac:dyDescent="0.15">
      <c r="D228" s="1"/>
      <c r="E228" s="11"/>
      <c r="F228" s="12"/>
      <c r="H228" s="11"/>
    </row>
    <row r="229" spans="4:8" ht="13" x14ac:dyDescent="0.15">
      <c r="D229" s="1"/>
      <c r="E229" s="11"/>
      <c r="F229" s="12"/>
      <c r="H229" s="11"/>
    </row>
    <row r="230" spans="4:8" ht="13" x14ac:dyDescent="0.15">
      <c r="D230" s="1"/>
      <c r="E230" s="11"/>
      <c r="F230" s="12"/>
      <c r="H230" s="11"/>
    </row>
    <row r="231" spans="4:8" ht="13" x14ac:dyDescent="0.15">
      <c r="D231" s="1"/>
      <c r="E231" s="11"/>
      <c r="F231" s="12"/>
      <c r="H231" s="11"/>
    </row>
    <row r="232" spans="4:8" ht="13" x14ac:dyDescent="0.15">
      <c r="D232" s="1"/>
      <c r="E232" s="11"/>
      <c r="F232" s="12"/>
      <c r="H232" s="11"/>
    </row>
    <row r="233" spans="4:8" ht="13" x14ac:dyDescent="0.15">
      <c r="D233" s="1"/>
      <c r="E233" s="11"/>
      <c r="F233" s="12"/>
      <c r="H233" s="11"/>
    </row>
    <row r="234" spans="4:8" ht="13" x14ac:dyDescent="0.15">
      <c r="D234" s="1"/>
      <c r="E234" s="11"/>
      <c r="F234" s="12"/>
      <c r="H234" s="11"/>
    </row>
    <row r="235" spans="4:8" ht="13" x14ac:dyDescent="0.15">
      <c r="D235" s="1"/>
      <c r="E235" s="11"/>
      <c r="F235" s="12"/>
      <c r="H235" s="11"/>
    </row>
    <row r="236" spans="4:8" ht="13" x14ac:dyDescent="0.15">
      <c r="D236" s="1"/>
      <c r="E236" s="11"/>
      <c r="F236" s="12"/>
      <c r="H236" s="11"/>
    </row>
    <row r="237" spans="4:8" ht="13" x14ac:dyDescent="0.15">
      <c r="D237" s="1"/>
      <c r="E237" s="11"/>
      <c r="F237" s="12"/>
      <c r="H237" s="11"/>
    </row>
    <row r="238" spans="4:8" ht="13" x14ac:dyDescent="0.15">
      <c r="D238" s="1"/>
      <c r="E238" s="11"/>
      <c r="F238" s="12"/>
      <c r="H238" s="11"/>
    </row>
    <row r="239" spans="4:8" ht="13" x14ac:dyDescent="0.15">
      <c r="D239" s="1"/>
      <c r="E239" s="11"/>
      <c r="F239" s="12"/>
      <c r="H239" s="11"/>
    </row>
    <row r="240" spans="4:8" ht="13" x14ac:dyDescent="0.15">
      <c r="D240" s="1"/>
      <c r="E240" s="11"/>
      <c r="F240" s="12"/>
      <c r="H240" s="11"/>
    </row>
    <row r="241" spans="4:8" ht="13" x14ac:dyDescent="0.15">
      <c r="D241" s="1"/>
      <c r="E241" s="11"/>
      <c r="F241" s="12"/>
      <c r="H241" s="11"/>
    </row>
    <row r="242" spans="4:8" ht="13" x14ac:dyDescent="0.15">
      <c r="D242" s="1"/>
      <c r="E242" s="11"/>
      <c r="F242" s="12"/>
      <c r="H242" s="11"/>
    </row>
    <row r="243" spans="4:8" ht="13" x14ac:dyDescent="0.15">
      <c r="D243" s="1"/>
      <c r="E243" s="11"/>
      <c r="F243" s="12"/>
      <c r="H243" s="11"/>
    </row>
    <row r="244" spans="4:8" ht="13" x14ac:dyDescent="0.15">
      <c r="D244" s="1"/>
      <c r="E244" s="11"/>
      <c r="F244" s="12"/>
      <c r="H244" s="11"/>
    </row>
    <row r="245" spans="4:8" ht="13" x14ac:dyDescent="0.15">
      <c r="D245" s="1"/>
      <c r="E245" s="11"/>
      <c r="F245" s="12"/>
      <c r="H245" s="11"/>
    </row>
    <row r="246" spans="4:8" ht="13" x14ac:dyDescent="0.15">
      <c r="D246" s="1"/>
      <c r="E246" s="11"/>
      <c r="F246" s="12"/>
      <c r="H246" s="11"/>
    </row>
    <row r="247" spans="4:8" ht="13" x14ac:dyDescent="0.15">
      <c r="D247" s="1"/>
      <c r="E247" s="11"/>
      <c r="F247" s="12"/>
      <c r="H247" s="11"/>
    </row>
    <row r="248" spans="4:8" ht="13" x14ac:dyDescent="0.15">
      <c r="D248" s="1"/>
      <c r="E248" s="11"/>
      <c r="F248" s="12"/>
      <c r="H248" s="11"/>
    </row>
    <row r="249" spans="4:8" ht="13" x14ac:dyDescent="0.15">
      <c r="D249" s="1"/>
      <c r="E249" s="11"/>
      <c r="F249" s="12"/>
      <c r="H249" s="11"/>
    </row>
    <row r="250" spans="4:8" ht="13" x14ac:dyDescent="0.15">
      <c r="D250" s="1"/>
      <c r="E250" s="11"/>
      <c r="F250" s="12"/>
      <c r="H250" s="11"/>
    </row>
    <row r="251" spans="4:8" ht="13" x14ac:dyDescent="0.15">
      <c r="D251" s="1"/>
      <c r="E251" s="11"/>
      <c r="F251" s="12"/>
      <c r="H251" s="11"/>
    </row>
    <row r="252" spans="4:8" ht="13" x14ac:dyDescent="0.15">
      <c r="D252" s="1"/>
      <c r="E252" s="11"/>
      <c r="F252" s="12"/>
      <c r="H252" s="11"/>
    </row>
    <row r="253" spans="4:8" ht="13" x14ac:dyDescent="0.15">
      <c r="D253" s="1"/>
      <c r="E253" s="11"/>
      <c r="F253" s="12"/>
      <c r="H253" s="11"/>
    </row>
    <row r="254" spans="4:8" ht="13" x14ac:dyDescent="0.15">
      <c r="D254" s="1"/>
      <c r="E254" s="11"/>
      <c r="F254" s="12"/>
      <c r="H254" s="11"/>
    </row>
    <row r="255" spans="4:8" ht="13" x14ac:dyDescent="0.15">
      <c r="D255" s="1"/>
      <c r="E255" s="11"/>
      <c r="F255" s="12"/>
      <c r="H255" s="11"/>
    </row>
    <row r="256" spans="4:8" ht="13" x14ac:dyDescent="0.15">
      <c r="D256" s="1"/>
      <c r="E256" s="11"/>
      <c r="F256" s="12"/>
      <c r="H256" s="11"/>
    </row>
    <row r="257" spans="4:8" ht="13" x14ac:dyDescent="0.15">
      <c r="D257" s="1"/>
      <c r="E257" s="11"/>
      <c r="F257" s="12"/>
      <c r="H257" s="11"/>
    </row>
    <row r="258" spans="4:8" ht="13" x14ac:dyDescent="0.15">
      <c r="D258" s="1"/>
      <c r="E258" s="11"/>
      <c r="F258" s="12"/>
      <c r="H258" s="11"/>
    </row>
    <row r="259" spans="4:8" ht="13" x14ac:dyDescent="0.15">
      <c r="D259" s="1"/>
      <c r="E259" s="11"/>
      <c r="F259" s="12"/>
      <c r="H259" s="11"/>
    </row>
    <row r="260" spans="4:8" ht="13" x14ac:dyDescent="0.15">
      <c r="D260" s="1"/>
      <c r="E260" s="11"/>
      <c r="F260" s="12"/>
      <c r="H260" s="11"/>
    </row>
    <row r="261" spans="4:8" ht="13" x14ac:dyDescent="0.15">
      <c r="D261" s="1"/>
      <c r="E261" s="11"/>
      <c r="F261" s="12"/>
      <c r="H261" s="11"/>
    </row>
    <row r="262" spans="4:8" ht="13" x14ac:dyDescent="0.15">
      <c r="D262" s="1"/>
      <c r="E262" s="11"/>
      <c r="F262" s="12"/>
      <c r="H262" s="11"/>
    </row>
    <row r="263" spans="4:8" ht="13" x14ac:dyDescent="0.15">
      <c r="D263" s="1"/>
      <c r="E263" s="11"/>
      <c r="F263" s="12"/>
      <c r="H263" s="11"/>
    </row>
    <row r="264" spans="4:8" ht="13" x14ac:dyDescent="0.15">
      <c r="D264" s="1"/>
      <c r="E264" s="11"/>
      <c r="F264" s="12"/>
      <c r="H264" s="11"/>
    </row>
    <row r="265" spans="4:8" ht="13" x14ac:dyDescent="0.15">
      <c r="D265" s="1"/>
      <c r="E265" s="11"/>
      <c r="F265" s="12"/>
      <c r="H265" s="11"/>
    </row>
    <row r="266" spans="4:8" ht="13" x14ac:dyDescent="0.15">
      <c r="D266" s="1"/>
      <c r="E266" s="11"/>
      <c r="F266" s="12"/>
      <c r="H266" s="11"/>
    </row>
    <row r="267" spans="4:8" ht="13" x14ac:dyDescent="0.15">
      <c r="D267" s="1"/>
      <c r="E267" s="11"/>
      <c r="F267" s="12"/>
      <c r="H267" s="11"/>
    </row>
    <row r="268" spans="4:8" ht="13" x14ac:dyDescent="0.15">
      <c r="D268" s="1"/>
      <c r="E268" s="11"/>
      <c r="F268" s="12"/>
      <c r="H268" s="11"/>
    </row>
    <row r="269" spans="4:8" ht="13" x14ac:dyDescent="0.15">
      <c r="D269" s="1"/>
      <c r="E269" s="11"/>
      <c r="F269" s="12"/>
      <c r="H269" s="11"/>
    </row>
    <row r="270" spans="4:8" ht="13" x14ac:dyDescent="0.15">
      <c r="D270" s="1"/>
      <c r="E270" s="11"/>
      <c r="F270" s="12"/>
      <c r="H270" s="11"/>
    </row>
    <row r="271" spans="4:8" ht="13" x14ac:dyDescent="0.15">
      <c r="D271" s="1"/>
      <c r="E271" s="11"/>
      <c r="F271" s="12"/>
      <c r="H271" s="11"/>
    </row>
    <row r="272" spans="4:8" ht="13" x14ac:dyDescent="0.15">
      <c r="D272" s="1"/>
      <c r="E272" s="11"/>
      <c r="F272" s="12"/>
      <c r="H272" s="11"/>
    </row>
    <row r="273" spans="4:8" ht="13" x14ac:dyDescent="0.15">
      <c r="D273" s="1"/>
      <c r="E273" s="11"/>
      <c r="F273" s="12"/>
      <c r="H273" s="11"/>
    </row>
    <row r="274" spans="4:8" ht="13" x14ac:dyDescent="0.15">
      <c r="D274" s="1"/>
      <c r="E274" s="11"/>
      <c r="F274" s="12"/>
      <c r="H274" s="11"/>
    </row>
    <row r="275" spans="4:8" ht="13" x14ac:dyDescent="0.15">
      <c r="D275" s="1"/>
      <c r="E275" s="11"/>
      <c r="F275" s="12"/>
      <c r="H275" s="11"/>
    </row>
    <row r="276" spans="4:8" ht="13" x14ac:dyDescent="0.15">
      <c r="D276" s="1"/>
      <c r="E276" s="11"/>
      <c r="F276" s="12"/>
      <c r="H276" s="11"/>
    </row>
    <row r="277" spans="4:8" ht="13" x14ac:dyDescent="0.15">
      <c r="D277" s="1"/>
      <c r="E277" s="11"/>
      <c r="F277" s="12"/>
      <c r="H277" s="11"/>
    </row>
    <row r="278" spans="4:8" ht="13" x14ac:dyDescent="0.15">
      <c r="D278" s="1"/>
      <c r="E278" s="11"/>
      <c r="F278" s="12"/>
      <c r="H278" s="11"/>
    </row>
    <row r="279" spans="4:8" ht="13" x14ac:dyDescent="0.15">
      <c r="D279" s="1"/>
      <c r="E279" s="11"/>
      <c r="F279" s="12"/>
      <c r="H279" s="11"/>
    </row>
    <row r="280" spans="4:8" ht="13" x14ac:dyDescent="0.15">
      <c r="D280" s="1"/>
      <c r="E280" s="11"/>
      <c r="F280" s="12"/>
      <c r="H280" s="11"/>
    </row>
    <row r="281" spans="4:8" ht="13" x14ac:dyDescent="0.15">
      <c r="D281" s="1"/>
      <c r="E281" s="11"/>
      <c r="F281" s="12"/>
      <c r="H281" s="11"/>
    </row>
    <row r="282" spans="4:8" ht="13" x14ac:dyDescent="0.15">
      <c r="D282" s="1"/>
      <c r="E282" s="11"/>
      <c r="F282" s="12"/>
      <c r="H282" s="11"/>
    </row>
    <row r="283" spans="4:8" ht="13" x14ac:dyDescent="0.15">
      <c r="D283" s="1"/>
      <c r="E283" s="11"/>
      <c r="F283" s="12"/>
      <c r="H283" s="11"/>
    </row>
    <row r="284" spans="4:8" ht="13" x14ac:dyDescent="0.15">
      <c r="D284" s="1"/>
      <c r="E284" s="11"/>
      <c r="F284" s="12"/>
      <c r="H284" s="11"/>
    </row>
    <row r="285" spans="4:8" ht="13" x14ac:dyDescent="0.15">
      <c r="D285" s="1"/>
      <c r="E285" s="11"/>
      <c r="F285" s="12"/>
      <c r="H285" s="11"/>
    </row>
    <row r="286" spans="4:8" ht="13" x14ac:dyDescent="0.15">
      <c r="D286" s="1"/>
      <c r="E286" s="11"/>
      <c r="F286" s="12"/>
      <c r="H286" s="11"/>
    </row>
    <row r="287" spans="4:8" ht="13" x14ac:dyDescent="0.15">
      <c r="D287" s="1"/>
      <c r="E287" s="11"/>
      <c r="F287" s="12"/>
      <c r="H287" s="11"/>
    </row>
    <row r="288" spans="4:8" ht="13" x14ac:dyDescent="0.15">
      <c r="D288" s="1"/>
      <c r="E288" s="11"/>
      <c r="F288" s="12"/>
      <c r="H288" s="11"/>
    </row>
    <row r="289" spans="4:8" ht="13" x14ac:dyDescent="0.15">
      <c r="D289" s="1"/>
      <c r="E289" s="11"/>
      <c r="F289" s="12"/>
      <c r="H289" s="11"/>
    </row>
    <row r="290" spans="4:8" ht="13" x14ac:dyDescent="0.15">
      <c r="D290" s="1"/>
      <c r="E290" s="11"/>
      <c r="F290" s="12"/>
      <c r="H290" s="11"/>
    </row>
    <row r="291" spans="4:8" ht="13" x14ac:dyDescent="0.15">
      <c r="D291" s="1"/>
      <c r="E291" s="11"/>
      <c r="F291" s="12"/>
      <c r="H291" s="11"/>
    </row>
    <row r="292" spans="4:8" ht="13" x14ac:dyDescent="0.15">
      <c r="D292" s="1"/>
      <c r="E292" s="11"/>
      <c r="F292" s="12"/>
      <c r="H292" s="11"/>
    </row>
    <row r="293" spans="4:8" ht="13" x14ac:dyDescent="0.15">
      <c r="D293" s="1"/>
      <c r="E293" s="11"/>
      <c r="F293" s="12"/>
      <c r="H293" s="11"/>
    </row>
    <row r="294" spans="4:8" ht="13" x14ac:dyDescent="0.15">
      <c r="D294" s="1"/>
      <c r="E294" s="11"/>
      <c r="F294" s="12"/>
      <c r="H294" s="11"/>
    </row>
    <row r="295" spans="4:8" ht="13" x14ac:dyDescent="0.15">
      <c r="D295" s="1"/>
      <c r="E295" s="11"/>
      <c r="F295" s="12"/>
      <c r="H295" s="11"/>
    </row>
    <row r="296" spans="4:8" ht="13" x14ac:dyDescent="0.15">
      <c r="D296" s="1"/>
      <c r="E296" s="11"/>
      <c r="F296" s="12"/>
      <c r="H296" s="11"/>
    </row>
    <row r="297" spans="4:8" ht="13" x14ac:dyDescent="0.15">
      <c r="D297" s="1"/>
      <c r="E297" s="11"/>
      <c r="F297" s="12"/>
      <c r="H297" s="11"/>
    </row>
    <row r="298" spans="4:8" ht="13" x14ac:dyDescent="0.15">
      <c r="D298" s="1"/>
      <c r="E298" s="11"/>
      <c r="F298" s="12"/>
      <c r="H298" s="11"/>
    </row>
    <row r="299" spans="4:8" ht="13" x14ac:dyDescent="0.15">
      <c r="D299" s="1"/>
      <c r="E299" s="11"/>
      <c r="F299" s="12"/>
      <c r="H299" s="11"/>
    </row>
    <row r="300" spans="4:8" ht="13" x14ac:dyDescent="0.15">
      <c r="D300" s="1"/>
      <c r="E300" s="11"/>
      <c r="F300" s="12"/>
      <c r="H300" s="11"/>
    </row>
    <row r="301" spans="4:8" ht="13" x14ac:dyDescent="0.15">
      <c r="D301" s="1"/>
      <c r="E301" s="11"/>
      <c r="F301" s="12"/>
      <c r="H301" s="11"/>
    </row>
    <row r="302" spans="4:8" ht="13" x14ac:dyDescent="0.15">
      <c r="D302" s="1"/>
      <c r="E302" s="11"/>
      <c r="F302" s="12"/>
      <c r="H302" s="11"/>
    </row>
    <row r="303" spans="4:8" ht="13" x14ac:dyDescent="0.15">
      <c r="D303" s="1"/>
      <c r="E303" s="11"/>
      <c r="F303" s="12"/>
      <c r="H303" s="11"/>
    </row>
    <row r="304" spans="4:8" ht="13" x14ac:dyDescent="0.15">
      <c r="D304" s="1"/>
      <c r="E304" s="11"/>
      <c r="F304" s="12"/>
      <c r="H304" s="11"/>
    </row>
    <row r="305" spans="4:8" ht="13" x14ac:dyDescent="0.15">
      <c r="D305" s="1"/>
      <c r="E305" s="11"/>
      <c r="F305" s="12"/>
      <c r="H305" s="11"/>
    </row>
    <row r="306" spans="4:8" ht="13" x14ac:dyDescent="0.15">
      <c r="D306" s="1"/>
      <c r="E306" s="11"/>
      <c r="F306" s="12"/>
      <c r="H306" s="11"/>
    </row>
    <row r="307" spans="4:8" ht="13" x14ac:dyDescent="0.15">
      <c r="D307" s="1"/>
      <c r="E307" s="11"/>
      <c r="F307" s="12"/>
      <c r="H307" s="11"/>
    </row>
    <row r="308" spans="4:8" ht="13" x14ac:dyDescent="0.15">
      <c r="D308" s="1"/>
      <c r="E308" s="11"/>
      <c r="F308" s="12"/>
      <c r="H308" s="11"/>
    </row>
    <row r="309" spans="4:8" ht="13" x14ac:dyDescent="0.15">
      <c r="D309" s="1"/>
      <c r="E309" s="11"/>
      <c r="F309" s="12"/>
      <c r="H309" s="11"/>
    </row>
    <row r="310" spans="4:8" ht="13" x14ac:dyDescent="0.15">
      <c r="D310" s="1"/>
      <c r="E310" s="11"/>
      <c r="F310" s="12"/>
      <c r="H310" s="11"/>
    </row>
    <row r="311" spans="4:8" ht="13" x14ac:dyDescent="0.15">
      <c r="D311" s="1"/>
      <c r="E311" s="11"/>
      <c r="F311" s="12"/>
      <c r="H311" s="11"/>
    </row>
    <row r="312" spans="4:8" ht="13" x14ac:dyDescent="0.15">
      <c r="D312" s="1"/>
      <c r="E312" s="11"/>
      <c r="F312" s="12"/>
      <c r="H312" s="11"/>
    </row>
    <row r="313" spans="4:8" ht="13" x14ac:dyDescent="0.15">
      <c r="D313" s="1"/>
      <c r="E313" s="11"/>
      <c r="F313" s="12"/>
      <c r="H313" s="11"/>
    </row>
    <row r="314" spans="4:8" ht="13" x14ac:dyDescent="0.15">
      <c r="D314" s="1"/>
      <c r="E314" s="11"/>
      <c r="F314" s="12"/>
      <c r="H314" s="11"/>
    </row>
    <row r="315" spans="4:8" ht="13" x14ac:dyDescent="0.15">
      <c r="D315" s="1"/>
      <c r="E315" s="11"/>
      <c r="F315" s="12"/>
      <c r="H315" s="11"/>
    </row>
    <row r="316" spans="4:8" ht="13" x14ac:dyDescent="0.15">
      <c r="D316" s="1"/>
      <c r="E316" s="11"/>
      <c r="F316" s="12"/>
      <c r="H316" s="11"/>
    </row>
    <row r="317" spans="4:8" ht="13" x14ac:dyDescent="0.15">
      <c r="D317" s="1"/>
      <c r="E317" s="11"/>
      <c r="F317" s="12"/>
      <c r="H317" s="11"/>
    </row>
    <row r="318" spans="4:8" ht="13" x14ac:dyDescent="0.15">
      <c r="D318" s="1"/>
      <c r="E318" s="11"/>
      <c r="F318" s="12"/>
      <c r="H318" s="11"/>
    </row>
    <row r="319" spans="4:8" ht="13" x14ac:dyDescent="0.15">
      <c r="D319" s="1"/>
      <c r="E319" s="11"/>
      <c r="F319" s="12"/>
      <c r="H319" s="11"/>
    </row>
    <row r="320" spans="4:8" ht="13" x14ac:dyDescent="0.15">
      <c r="D320" s="1"/>
      <c r="E320" s="11"/>
      <c r="F320" s="12"/>
      <c r="H320" s="11"/>
    </row>
    <row r="321" spans="4:8" ht="13" x14ac:dyDescent="0.15">
      <c r="D321" s="1"/>
      <c r="E321" s="11"/>
      <c r="F321" s="12"/>
      <c r="H321" s="11"/>
    </row>
    <row r="322" spans="4:8" ht="13" x14ac:dyDescent="0.15">
      <c r="D322" s="1"/>
      <c r="E322" s="11"/>
      <c r="F322" s="12"/>
      <c r="H322" s="11"/>
    </row>
    <row r="323" spans="4:8" ht="13" x14ac:dyDescent="0.15">
      <c r="D323" s="1"/>
      <c r="E323" s="11"/>
      <c r="F323" s="12"/>
      <c r="H323" s="11"/>
    </row>
    <row r="324" spans="4:8" ht="13" x14ac:dyDescent="0.15">
      <c r="D324" s="1"/>
      <c r="E324" s="11"/>
      <c r="F324" s="12"/>
      <c r="H324" s="11"/>
    </row>
    <row r="325" spans="4:8" ht="13" x14ac:dyDescent="0.15">
      <c r="D325" s="1"/>
      <c r="E325" s="11"/>
      <c r="F325" s="12"/>
      <c r="H325" s="11"/>
    </row>
    <row r="326" spans="4:8" ht="13" x14ac:dyDescent="0.15">
      <c r="D326" s="1"/>
      <c r="E326" s="11"/>
      <c r="F326" s="12"/>
      <c r="H326" s="11"/>
    </row>
    <row r="327" spans="4:8" ht="13" x14ac:dyDescent="0.15">
      <c r="D327" s="1"/>
      <c r="E327" s="11"/>
      <c r="F327" s="12"/>
      <c r="H327" s="11"/>
    </row>
    <row r="328" spans="4:8" ht="13" x14ac:dyDescent="0.15">
      <c r="D328" s="1"/>
      <c r="E328" s="11"/>
      <c r="F328" s="12"/>
      <c r="H328" s="11"/>
    </row>
    <row r="329" spans="4:8" ht="13" x14ac:dyDescent="0.15">
      <c r="D329" s="1"/>
      <c r="E329" s="11"/>
      <c r="F329" s="12"/>
      <c r="H329" s="11"/>
    </row>
    <row r="330" spans="4:8" ht="13" x14ac:dyDescent="0.15">
      <c r="D330" s="1"/>
      <c r="E330" s="11"/>
      <c r="F330" s="12"/>
      <c r="H330" s="11"/>
    </row>
    <row r="331" spans="4:8" ht="13" x14ac:dyDescent="0.15">
      <c r="D331" s="1"/>
      <c r="E331" s="11"/>
      <c r="F331" s="12"/>
      <c r="H331" s="11"/>
    </row>
    <row r="332" spans="4:8" ht="13" x14ac:dyDescent="0.15">
      <c r="D332" s="1"/>
      <c r="E332" s="11"/>
      <c r="F332" s="12"/>
      <c r="H332" s="11"/>
    </row>
    <row r="333" spans="4:8" ht="13" x14ac:dyDescent="0.15">
      <c r="D333" s="1"/>
      <c r="E333" s="11"/>
      <c r="F333" s="12"/>
      <c r="H333" s="11"/>
    </row>
    <row r="334" spans="4:8" ht="13" x14ac:dyDescent="0.15">
      <c r="D334" s="1"/>
      <c r="E334" s="11"/>
      <c r="F334" s="12"/>
      <c r="H334" s="11"/>
    </row>
    <row r="335" spans="4:8" ht="13" x14ac:dyDescent="0.15">
      <c r="D335" s="1"/>
      <c r="E335" s="11"/>
      <c r="F335" s="12"/>
      <c r="H335" s="11"/>
    </row>
    <row r="336" spans="4:8" ht="13" x14ac:dyDescent="0.15">
      <c r="D336" s="1"/>
      <c r="E336" s="11"/>
      <c r="F336" s="12"/>
      <c r="H336" s="11"/>
    </row>
    <row r="337" spans="4:8" ht="13" x14ac:dyDescent="0.15">
      <c r="D337" s="1"/>
      <c r="E337" s="11"/>
      <c r="F337" s="12"/>
      <c r="H337" s="11"/>
    </row>
    <row r="338" spans="4:8" ht="13" x14ac:dyDescent="0.15">
      <c r="D338" s="1"/>
      <c r="E338" s="11"/>
      <c r="F338" s="12"/>
      <c r="H338" s="11"/>
    </row>
    <row r="339" spans="4:8" ht="13" x14ac:dyDescent="0.15">
      <c r="D339" s="1"/>
      <c r="E339" s="11"/>
      <c r="F339" s="12"/>
      <c r="H339" s="11"/>
    </row>
    <row r="340" spans="4:8" ht="13" x14ac:dyDescent="0.15">
      <c r="D340" s="1"/>
      <c r="E340" s="11"/>
      <c r="F340" s="12"/>
      <c r="H340" s="11"/>
    </row>
    <row r="341" spans="4:8" ht="13" x14ac:dyDescent="0.15">
      <c r="D341" s="1"/>
      <c r="E341" s="11"/>
      <c r="F341" s="12"/>
      <c r="H341" s="11"/>
    </row>
    <row r="342" spans="4:8" ht="13" x14ac:dyDescent="0.15">
      <c r="D342" s="1"/>
      <c r="E342" s="11"/>
      <c r="F342" s="12"/>
      <c r="H342" s="11"/>
    </row>
    <row r="343" spans="4:8" ht="13" x14ac:dyDescent="0.15">
      <c r="D343" s="1"/>
      <c r="E343" s="11"/>
      <c r="F343" s="12"/>
      <c r="H343" s="11"/>
    </row>
    <row r="344" spans="4:8" ht="13" x14ac:dyDescent="0.15">
      <c r="D344" s="1"/>
      <c r="E344" s="11"/>
      <c r="F344" s="12"/>
      <c r="H344" s="11"/>
    </row>
    <row r="345" spans="4:8" ht="13" x14ac:dyDescent="0.15">
      <c r="D345" s="1"/>
      <c r="E345" s="11"/>
      <c r="F345" s="12"/>
      <c r="H345" s="11"/>
    </row>
    <row r="346" spans="4:8" ht="13" x14ac:dyDescent="0.15">
      <c r="D346" s="1"/>
      <c r="E346" s="11"/>
      <c r="F346" s="12"/>
      <c r="H346" s="11"/>
    </row>
    <row r="347" spans="4:8" ht="13" x14ac:dyDescent="0.15">
      <c r="D347" s="1"/>
      <c r="E347" s="11"/>
      <c r="F347" s="12"/>
      <c r="H347" s="11"/>
    </row>
    <row r="348" spans="4:8" ht="13" x14ac:dyDescent="0.15">
      <c r="D348" s="1"/>
      <c r="E348" s="11"/>
      <c r="F348" s="12"/>
      <c r="H348" s="11"/>
    </row>
    <row r="349" spans="4:8" ht="13" x14ac:dyDescent="0.15">
      <c r="D349" s="1"/>
      <c r="E349" s="11"/>
      <c r="F349" s="12"/>
      <c r="H349" s="11"/>
    </row>
    <row r="350" spans="4:8" ht="13" x14ac:dyDescent="0.15">
      <c r="D350" s="1"/>
      <c r="E350" s="11"/>
      <c r="F350" s="12"/>
      <c r="H350" s="11"/>
    </row>
    <row r="351" spans="4:8" ht="13" x14ac:dyDescent="0.15">
      <c r="D351" s="1"/>
      <c r="E351" s="11"/>
      <c r="F351" s="12"/>
      <c r="H351" s="11"/>
    </row>
    <row r="352" spans="4:8" ht="13" x14ac:dyDescent="0.15">
      <c r="D352" s="1"/>
      <c r="E352" s="11"/>
      <c r="F352" s="12"/>
      <c r="H352" s="11"/>
    </row>
    <row r="353" spans="4:8" ht="13" x14ac:dyDescent="0.15">
      <c r="D353" s="1"/>
      <c r="E353" s="11"/>
      <c r="F353" s="12"/>
      <c r="H353" s="11"/>
    </row>
    <row r="354" spans="4:8" ht="13" x14ac:dyDescent="0.15">
      <c r="D354" s="1"/>
      <c r="E354" s="11"/>
      <c r="F354" s="12"/>
      <c r="H354" s="11"/>
    </row>
    <row r="355" spans="4:8" ht="13" x14ac:dyDescent="0.15">
      <c r="D355" s="1"/>
      <c r="E355" s="11"/>
      <c r="F355" s="12"/>
      <c r="H355" s="11"/>
    </row>
    <row r="356" spans="4:8" ht="13" x14ac:dyDescent="0.15">
      <c r="D356" s="1"/>
      <c r="E356" s="11"/>
      <c r="F356" s="12"/>
      <c r="H356" s="11"/>
    </row>
    <row r="357" spans="4:8" ht="13" x14ac:dyDescent="0.15">
      <c r="D357" s="1"/>
      <c r="E357" s="11"/>
      <c r="F357" s="12"/>
      <c r="H357" s="11"/>
    </row>
    <row r="358" spans="4:8" ht="13" x14ac:dyDescent="0.15">
      <c r="D358" s="1"/>
      <c r="E358" s="11"/>
      <c r="F358" s="12"/>
      <c r="H358" s="11"/>
    </row>
    <row r="359" spans="4:8" ht="13" x14ac:dyDescent="0.15">
      <c r="D359" s="1"/>
      <c r="E359" s="11"/>
      <c r="F359" s="12"/>
      <c r="H359" s="11"/>
    </row>
    <row r="360" spans="4:8" ht="13" x14ac:dyDescent="0.15">
      <c r="D360" s="1"/>
      <c r="E360" s="11"/>
      <c r="F360" s="12"/>
      <c r="H360" s="11"/>
    </row>
    <row r="361" spans="4:8" ht="13" x14ac:dyDescent="0.15">
      <c r="D361" s="1"/>
      <c r="E361" s="11"/>
      <c r="F361" s="12"/>
      <c r="H361" s="11"/>
    </row>
    <row r="362" spans="4:8" ht="13" x14ac:dyDescent="0.15">
      <c r="D362" s="1"/>
      <c r="E362" s="11"/>
      <c r="F362" s="12"/>
      <c r="H362" s="11"/>
    </row>
    <row r="363" spans="4:8" ht="13" x14ac:dyDescent="0.15">
      <c r="D363" s="1"/>
      <c r="E363" s="11"/>
      <c r="F363" s="12"/>
      <c r="H363" s="11"/>
    </row>
    <row r="364" spans="4:8" ht="13" x14ac:dyDescent="0.15">
      <c r="D364" s="1"/>
      <c r="E364" s="11"/>
      <c r="F364" s="12"/>
      <c r="H364" s="11"/>
    </row>
    <row r="365" spans="4:8" ht="13" x14ac:dyDescent="0.15">
      <c r="D365" s="1"/>
      <c r="E365" s="11"/>
      <c r="F365" s="12"/>
      <c r="H365" s="11"/>
    </row>
    <row r="366" spans="4:8" ht="13" x14ac:dyDescent="0.15">
      <c r="D366" s="1"/>
      <c r="E366" s="11"/>
      <c r="F366" s="12"/>
      <c r="H366" s="11"/>
    </row>
    <row r="367" spans="4:8" ht="13" x14ac:dyDescent="0.15">
      <c r="D367" s="1"/>
      <c r="E367" s="11"/>
      <c r="F367" s="12"/>
      <c r="H367" s="11"/>
    </row>
    <row r="368" spans="4:8" ht="13" x14ac:dyDescent="0.15">
      <c r="D368" s="1"/>
      <c r="E368" s="11"/>
      <c r="F368" s="12"/>
      <c r="H368" s="11"/>
    </row>
    <row r="369" spans="4:8" ht="13" x14ac:dyDescent="0.15">
      <c r="D369" s="1"/>
      <c r="E369" s="11"/>
      <c r="F369" s="12"/>
      <c r="H369" s="11"/>
    </row>
    <row r="370" spans="4:8" ht="13" x14ac:dyDescent="0.15">
      <c r="D370" s="1"/>
      <c r="E370" s="11"/>
      <c r="F370" s="12"/>
      <c r="H370" s="11"/>
    </row>
    <row r="371" spans="4:8" ht="13" x14ac:dyDescent="0.15">
      <c r="D371" s="1"/>
      <c r="E371" s="11"/>
      <c r="F371" s="12"/>
      <c r="H371" s="11"/>
    </row>
    <row r="372" spans="4:8" ht="13" x14ac:dyDescent="0.15">
      <c r="D372" s="1"/>
      <c r="E372" s="11"/>
      <c r="F372" s="12"/>
      <c r="H372" s="11"/>
    </row>
    <row r="373" spans="4:8" ht="13" x14ac:dyDescent="0.15">
      <c r="D373" s="1"/>
      <c r="E373" s="11"/>
      <c r="F373" s="12"/>
      <c r="H373" s="11"/>
    </row>
    <row r="374" spans="4:8" ht="13" x14ac:dyDescent="0.15">
      <c r="D374" s="1"/>
      <c r="E374" s="11"/>
      <c r="F374" s="12"/>
      <c r="H374" s="11"/>
    </row>
    <row r="375" spans="4:8" ht="13" x14ac:dyDescent="0.15">
      <c r="D375" s="1"/>
      <c r="E375" s="11"/>
      <c r="F375" s="12"/>
      <c r="H375" s="11"/>
    </row>
    <row r="376" spans="4:8" ht="13" x14ac:dyDescent="0.15">
      <c r="D376" s="1"/>
      <c r="E376" s="11"/>
      <c r="F376" s="12"/>
      <c r="H376" s="11"/>
    </row>
    <row r="377" spans="4:8" ht="13" x14ac:dyDescent="0.15">
      <c r="D377" s="1"/>
      <c r="E377" s="11"/>
      <c r="F377" s="12"/>
      <c r="H377" s="11"/>
    </row>
    <row r="378" spans="4:8" ht="13" x14ac:dyDescent="0.15">
      <c r="D378" s="1"/>
      <c r="E378" s="11"/>
      <c r="F378" s="12"/>
      <c r="H378" s="11"/>
    </row>
    <row r="379" spans="4:8" ht="13" x14ac:dyDescent="0.15">
      <c r="D379" s="1"/>
      <c r="E379" s="11"/>
      <c r="F379" s="12"/>
      <c r="H379" s="11"/>
    </row>
    <row r="380" spans="4:8" ht="13" x14ac:dyDescent="0.15">
      <c r="D380" s="1"/>
      <c r="E380" s="11"/>
      <c r="F380" s="12"/>
      <c r="H380" s="11"/>
    </row>
    <row r="381" spans="4:8" ht="13" x14ac:dyDescent="0.15">
      <c r="D381" s="1"/>
      <c r="E381" s="11"/>
      <c r="F381" s="12"/>
      <c r="H381" s="11"/>
    </row>
    <row r="382" spans="4:8" ht="13" x14ac:dyDescent="0.15">
      <c r="D382" s="1"/>
      <c r="E382" s="11"/>
      <c r="F382" s="12"/>
      <c r="H382" s="11"/>
    </row>
    <row r="383" spans="4:8" ht="13" x14ac:dyDescent="0.15">
      <c r="D383" s="1"/>
      <c r="E383" s="11"/>
      <c r="F383" s="12"/>
      <c r="H383" s="11"/>
    </row>
    <row r="384" spans="4:8" ht="13" x14ac:dyDescent="0.15">
      <c r="D384" s="1"/>
      <c r="E384" s="11"/>
      <c r="F384" s="12"/>
      <c r="H384" s="11"/>
    </row>
    <row r="385" spans="4:8" ht="13" x14ac:dyDescent="0.15">
      <c r="D385" s="1"/>
      <c r="E385" s="11"/>
      <c r="F385" s="12"/>
      <c r="H385" s="11"/>
    </row>
    <row r="386" spans="4:8" ht="13" x14ac:dyDescent="0.15">
      <c r="D386" s="1"/>
      <c r="E386" s="11"/>
      <c r="F386" s="12"/>
      <c r="H386" s="11"/>
    </row>
    <row r="387" spans="4:8" ht="13" x14ac:dyDescent="0.15">
      <c r="D387" s="1"/>
      <c r="E387" s="11"/>
      <c r="F387" s="12"/>
      <c r="H387" s="11"/>
    </row>
    <row r="388" spans="4:8" ht="13" x14ac:dyDescent="0.15">
      <c r="D388" s="1"/>
      <c r="E388" s="11"/>
      <c r="F388" s="12"/>
      <c r="H388" s="11"/>
    </row>
    <row r="389" spans="4:8" ht="13" x14ac:dyDescent="0.15">
      <c r="D389" s="1"/>
      <c r="E389" s="11"/>
      <c r="F389" s="12"/>
      <c r="H389" s="11"/>
    </row>
    <row r="390" spans="4:8" ht="13" x14ac:dyDescent="0.15">
      <c r="D390" s="1"/>
      <c r="E390" s="11"/>
      <c r="F390" s="12"/>
      <c r="H390" s="11"/>
    </row>
    <row r="391" spans="4:8" ht="13" x14ac:dyDescent="0.15">
      <c r="D391" s="1"/>
      <c r="E391" s="11"/>
      <c r="F391" s="12"/>
      <c r="H391" s="11"/>
    </row>
    <row r="392" spans="4:8" ht="13" x14ac:dyDescent="0.15">
      <c r="D392" s="1"/>
      <c r="E392" s="11"/>
      <c r="F392" s="12"/>
      <c r="H392" s="11"/>
    </row>
    <row r="393" spans="4:8" ht="13" x14ac:dyDescent="0.15">
      <c r="D393" s="1"/>
      <c r="E393" s="11"/>
      <c r="F393" s="12"/>
      <c r="H393" s="11"/>
    </row>
    <row r="394" spans="4:8" ht="13" x14ac:dyDescent="0.15">
      <c r="D394" s="1"/>
      <c r="E394" s="11"/>
      <c r="F394" s="12"/>
      <c r="H394" s="11"/>
    </row>
    <row r="395" spans="4:8" ht="13" x14ac:dyDescent="0.15">
      <c r="D395" s="1"/>
      <c r="E395" s="11"/>
      <c r="F395" s="12"/>
      <c r="H395" s="11"/>
    </row>
    <row r="396" spans="4:8" ht="13" x14ac:dyDescent="0.15">
      <c r="D396" s="1"/>
      <c r="E396" s="11"/>
      <c r="F396" s="12"/>
      <c r="H396" s="11"/>
    </row>
    <row r="397" spans="4:8" ht="13" x14ac:dyDescent="0.15">
      <c r="D397" s="1"/>
      <c r="E397" s="11"/>
      <c r="F397" s="12"/>
      <c r="H397" s="11"/>
    </row>
    <row r="398" spans="4:8" ht="13" x14ac:dyDescent="0.15">
      <c r="D398" s="1"/>
      <c r="E398" s="11"/>
      <c r="F398" s="12"/>
      <c r="H398" s="11"/>
    </row>
    <row r="399" spans="4:8" ht="13" x14ac:dyDescent="0.15">
      <c r="D399" s="1"/>
      <c r="E399" s="11"/>
      <c r="F399" s="12"/>
      <c r="H399" s="11"/>
    </row>
    <row r="400" spans="4:8" ht="13" x14ac:dyDescent="0.15">
      <c r="D400" s="1"/>
      <c r="E400" s="11"/>
      <c r="F400" s="12"/>
      <c r="H400" s="11"/>
    </row>
    <row r="401" spans="4:8" ht="13" x14ac:dyDescent="0.15">
      <c r="D401" s="1"/>
      <c r="E401" s="11"/>
      <c r="F401" s="12"/>
      <c r="H401" s="11"/>
    </row>
    <row r="402" spans="4:8" ht="13" x14ac:dyDescent="0.15">
      <c r="D402" s="1"/>
      <c r="E402" s="11"/>
      <c r="F402" s="12"/>
      <c r="H402" s="11"/>
    </row>
    <row r="403" spans="4:8" ht="13" x14ac:dyDescent="0.15">
      <c r="D403" s="1"/>
      <c r="E403" s="11"/>
      <c r="F403" s="12"/>
      <c r="H403" s="11"/>
    </row>
    <row r="404" spans="4:8" ht="13" x14ac:dyDescent="0.15">
      <c r="D404" s="1"/>
      <c r="E404" s="11"/>
      <c r="F404" s="12"/>
      <c r="H404" s="11"/>
    </row>
    <row r="405" spans="4:8" ht="13" x14ac:dyDescent="0.15">
      <c r="D405" s="1"/>
      <c r="E405" s="11"/>
      <c r="F405" s="12"/>
      <c r="H405" s="11"/>
    </row>
    <row r="406" spans="4:8" ht="13" x14ac:dyDescent="0.15">
      <c r="D406" s="1"/>
      <c r="E406" s="11"/>
      <c r="F406" s="12"/>
      <c r="H406" s="11"/>
    </row>
    <row r="407" spans="4:8" ht="13" x14ac:dyDescent="0.15">
      <c r="D407" s="1"/>
      <c r="E407" s="11"/>
      <c r="F407" s="12"/>
      <c r="H407" s="11"/>
    </row>
    <row r="408" spans="4:8" ht="13" x14ac:dyDescent="0.15">
      <c r="D408" s="1"/>
      <c r="E408" s="11"/>
      <c r="F408" s="12"/>
      <c r="H408" s="11"/>
    </row>
    <row r="409" spans="4:8" ht="13" x14ac:dyDescent="0.15">
      <c r="D409" s="1"/>
      <c r="E409" s="11"/>
      <c r="F409" s="12"/>
      <c r="H409" s="11"/>
    </row>
    <row r="410" spans="4:8" ht="13" x14ac:dyDescent="0.15">
      <c r="D410" s="1"/>
      <c r="E410" s="11"/>
      <c r="F410" s="12"/>
      <c r="H410" s="11"/>
    </row>
    <row r="411" spans="4:8" ht="13" x14ac:dyDescent="0.15">
      <c r="D411" s="1"/>
      <c r="E411" s="11"/>
      <c r="F411" s="12"/>
      <c r="H411" s="11"/>
    </row>
    <row r="412" spans="4:8" ht="13" x14ac:dyDescent="0.15">
      <c r="D412" s="1"/>
      <c r="E412" s="11"/>
      <c r="F412" s="12"/>
      <c r="H412" s="11"/>
    </row>
    <row r="413" spans="4:8" ht="13" x14ac:dyDescent="0.15">
      <c r="D413" s="1"/>
      <c r="E413" s="11"/>
      <c r="F413" s="12"/>
      <c r="H413" s="11"/>
    </row>
    <row r="414" spans="4:8" ht="13" x14ac:dyDescent="0.15">
      <c r="D414" s="1"/>
      <c r="E414" s="11"/>
      <c r="F414" s="12"/>
      <c r="H414" s="11"/>
    </row>
    <row r="415" spans="4:8" ht="13" x14ac:dyDescent="0.15">
      <c r="D415" s="1"/>
      <c r="E415" s="11"/>
      <c r="F415" s="12"/>
      <c r="H415" s="11"/>
    </row>
    <row r="416" spans="4:8" ht="13" x14ac:dyDescent="0.15">
      <c r="D416" s="1"/>
      <c r="E416" s="11"/>
      <c r="F416" s="12"/>
      <c r="H416" s="11"/>
    </row>
    <row r="417" spans="4:8" ht="13" x14ac:dyDescent="0.15">
      <c r="D417" s="1"/>
      <c r="E417" s="11"/>
      <c r="F417" s="12"/>
      <c r="H417" s="11"/>
    </row>
    <row r="418" spans="4:8" ht="13" x14ac:dyDescent="0.15">
      <c r="D418" s="1"/>
      <c r="E418" s="11"/>
      <c r="F418" s="12"/>
      <c r="H418" s="11"/>
    </row>
    <row r="419" spans="4:8" ht="13" x14ac:dyDescent="0.15">
      <c r="D419" s="1"/>
      <c r="E419" s="11"/>
      <c r="F419" s="12"/>
      <c r="H419" s="11"/>
    </row>
    <row r="420" spans="4:8" ht="13" x14ac:dyDescent="0.15">
      <c r="D420" s="1"/>
      <c r="E420" s="11"/>
      <c r="F420" s="12"/>
      <c r="H420" s="11"/>
    </row>
    <row r="421" spans="4:8" ht="13" x14ac:dyDescent="0.15">
      <c r="D421" s="1"/>
      <c r="E421" s="11"/>
      <c r="F421" s="12"/>
      <c r="H421" s="11"/>
    </row>
    <row r="422" spans="4:8" ht="13" x14ac:dyDescent="0.15">
      <c r="D422" s="1"/>
      <c r="E422" s="11"/>
      <c r="F422" s="12"/>
      <c r="H422" s="11"/>
    </row>
    <row r="423" spans="4:8" ht="13" x14ac:dyDescent="0.15">
      <c r="D423" s="1"/>
      <c r="E423" s="11"/>
      <c r="F423" s="12"/>
      <c r="H423" s="11"/>
    </row>
    <row r="424" spans="4:8" ht="13" x14ac:dyDescent="0.15">
      <c r="D424" s="1"/>
      <c r="E424" s="11"/>
      <c r="F424" s="12"/>
      <c r="H424" s="11"/>
    </row>
    <row r="425" spans="4:8" ht="13" x14ac:dyDescent="0.15">
      <c r="D425" s="1"/>
      <c r="E425" s="11"/>
      <c r="F425" s="12"/>
      <c r="H425" s="11"/>
    </row>
    <row r="426" spans="4:8" ht="13" x14ac:dyDescent="0.15">
      <c r="D426" s="1"/>
      <c r="E426" s="11"/>
      <c r="F426" s="12"/>
      <c r="H426" s="11"/>
    </row>
    <row r="427" spans="4:8" ht="13" x14ac:dyDescent="0.15">
      <c r="D427" s="1"/>
      <c r="E427" s="11"/>
      <c r="F427" s="12"/>
      <c r="H427" s="11"/>
    </row>
    <row r="428" spans="4:8" ht="13" x14ac:dyDescent="0.15">
      <c r="D428" s="1"/>
      <c r="E428" s="11"/>
      <c r="F428" s="12"/>
      <c r="H428" s="11"/>
    </row>
    <row r="429" spans="4:8" ht="13" x14ac:dyDescent="0.15">
      <c r="D429" s="1"/>
      <c r="E429" s="11"/>
      <c r="F429" s="12"/>
      <c r="H429" s="11"/>
    </row>
    <row r="430" spans="4:8" ht="13" x14ac:dyDescent="0.15">
      <c r="D430" s="1"/>
      <c r="E430" s="11"/>
      <c r="F430" s="12"/>
      <c r="H430" s="11"/>
    </row>
    <row r="431" spans="4:8" ht="13" x14ac:dyDescent="0.15">
      <c r="D431" s="1"/>
      <c r="E431" s="11"/>
      <c r="F431" s="12"/>
      <c r="H431" s="11"/>
    </row>
    <row r="432" spans="4:8" ht="13" x14ac:dyDescent="0.15">
      <c r="D432" s="1"/>
      <c r="E432" s="11"/>
      <c r="F432" s="12"/>
      <c r="H432" s="11"/>
    </row>
    <row r="433" spans="4:8" ht="13" x14ac:dyDescent="0.15">
      <c r="D433" s="1"/>
      <c r="E433" s="11"/>
      <c r="F433" s="12"/>
      <c r="H433" s="11"/>
    </row>
    <row r="434" spans="4:8" ht="13" x14ac:dyDescent="0.15">
      <c r="D434" s="1"/>
      <c r="E434" s="11"/>
      <c r="F434" s="12"/>
      <c r="H434" s="11"/>
    </row>
    <row r="435" spans="4:8" ht="13" x14ac:dyDescent="0.15">
      <c r="D435" s="1"/>
      <c r="E435" s="11"/>
      <c r="F435" s="12"/>
      <c r="H435" s="11"/>
    </row>
    <row r="436" spans="4:8" ht="13" x14ac:dyDescent="0.15">
      <c r="D436" s="1"/>
      <c r="E436" s="11"/>
      <c r="F436" s="12"/>
      <c r="H436" s="11"/>
    </row>
    <row r="437" spans="4:8" ht="13" x14ac:dyDescent="0.15">
      <c r="D437" s="1"/>
      <c r="E437" s="11"/>
      <c r="F437" s="12"/>
      <c r="H437" s="11"/>
    </row>
    <row r="438" spans="4:8" ht="13" x14ac:dyDescent="0.15">
      <c r="D438" s="1"/>
      <c r="E438" s="11"/>
      <c r="F438" s="12"/>
      <c r="H438" s="11"/>
    </row>
    <row r="439" spans="4:8" ht="13" x14ac:dyDescent="0.15">
      <c r="D439" s="1"/>
      <c r="E439" s="11"/>
      <c r="F439" s="12"/>
      <c r="H439" s="11"/>
    </row>
    <row r="440" spans="4:8" ht="13" x14ac:dyDescent="0.15">
      <c r="D440" s="1"/>
      <c r="E440" s="11"/>
      <c r="F440" s="12"/>
      <c r="H440" s="11"/>
    </row>
    <row r="441" spans="4:8" ht="13" x14ac:dyDescent="0.15">
      <c r="D441" s="1"/>
      <c r="E441" s="11"/>
      <c r="F441" s="12"/>
      <c r="H441" s="11"/>
    </row>
    <row r="442" spans="4:8" ht="13" x14ac:dyDescent="0.15">
      <c r="D442" s="1"/>
      <c r="E442" s="11"/>
      <c r="F442" s="12"/>
      <c r="H442" s="11"/>
    </row>
    <row r="443" spans="4:8" ht="13" x14ac:dyDescent="0.15">
      <c r="D443" s="1"/>
      <c r="E443" s="11"/>
      <c r="F443" s="12"/>
      <c r="H443" s="11"/>
    </row>
    <row r="444" spans="4:8" ht="13" x14ac:dyDescent="0.15">
      <c r="D444" s="1"/>
      <c r="E444" s="11"/>
      <c r="F444" s="12"/>
      <c r="H444" s="11"/>
    </row>
    <row r="445" spans="4:8" ht="13" x14ac:dyDescent="0.15">
      <c r="D445" s="1"/>
      <c r="E445" s="11"/>
      <c r="F445" s="12"/>
      <c r="H445" s="11"/>
    </row>
    <row r="446" spans="4:8" ht="13" x14ac:dyDescent="0.15">
      <c r="D446" s="1"/>
      <c r="E446" s="11"/>
      <c r="F446" s="12"/>
      <c r="H446" s="11"/>
    </row>
    <row r="447" spans="4:8" ht="13" x14ac:dyDescent="0.15">
      <c r="D447" s="1"/>
      <c r="E447" s="11"/>
      <c r="F447" s="12"/>
      <c r="H447" s="11"/>
    </row>
    <row r="448" spans="4:8" ht="13" x14ac:dyDescent="0.15">
      <c r="D448" s="1"/>
      <c r="E448" s="11"/>
      <c r="F448" s="12"/>
      <c r="H448" s="11"/>
    </row>
    <row r="449" spans="4:8" ht="13" x14ac:dyDescent="0.15">
      <c r="D449" s="1"/>
      <c r="E449" s="11"/>
      <c r="F449" s="12"/>
      <c r="H449" s="11"/>
    </row>
    <row r="450" spans="4:8" ht="13" x14ac:dyDescent="0.15">
      <c r="D450" s="1"/>
      <c r="E450" s="11"/>
      <c r="F450" s="12"/>
      <c r="H450" s="11"/>
    </row>
    <row r="451" spans="4:8" ht="13" x14ac:dyDescent="0.15">
      <c r="D451" s="1"/>
      <c r="E451" s="11"/>
      <c r="F451" s="12"/>
      <c r="H451" s="11"/>
    </row>
    <row r="452" spans="4:8" ht="13" x14ac:dyDescent="0.15">
      <c r="D452" s="1"/>
      <c r="E452" s="11"/>
      <c r="F452" s="12"/>
      <c r="H452" s="11"/>
    </row>
    <row r="453" spans="4:8" ht="13" x14ac:dyDescent="0.15">
      <c r="D453" s="1"/>
      <c r="E453" s="11"/>
      <c r="F453" s="12"/>
      <c r="H453" s="11"/>
    </row>
    <row r="454" spans="4:8" ht="13" x14ac:dyDescent="0.15">
      <c r="D454" s="1"/>
      <c r="E454" s="11"/>
      <c r="F454" s="12"/>
      <c r="H454" s="11"/>
    </row>
    <row r="455" spans="4:8" ht="13" x14ac:dyDescent="0.15">
      <c r="D455" s="1"/>
      <c r="E455" s="11"/>
      <c r="F455" s="12"/>
      <c r="H455" s="11"/>
    </row>
    <row r="456" spans="4:8" ht="13" x14ac:dyDescent="0.15">
      <c r="D456" s="1"/>
      <c r="E456" s="11"/>
      <c r="F456" s="12"/>
      <c r="H456" s="11"/>
    </row>
    <row r="457" spans="4:8" ht="13" x14ac:dyDescent="0.15">
      <c r="D457" s="1"/>
      <c r="E457" s="11"/>
      <c r="F457" s="12"/>
      <c r="H457" s="11"/>
    </row>
    <row r="458" spans="4:8" ht="13" x14ac:dyDescent="0.15">
      <c r="D458" s="1"/>
      <c r="E458" s="11"/>
      <c r="F458" s="12"/>
      <c r="H458" s="11"/>
    </row>
    <row r="459" spans="4:8" ht="13" x14ac:dyDescent="0.15">
      <c r="D459" s="1"/>
      <c r="E459" s="11"/>
      <c r="F459" s="12"/>
      <c r="H459" s="11"/>
    </row>
    <row r="460" spans="4:8" ht="13" x14ac:dyDescent="0.15">
      <c r="D460" s="1"/>
      <c r="E460" s="11"/>
      <c r="F460" s="12"/>
      <c r="H460" s="11"/>
    </row>
    <row r="461" spans="4:8" ht="13" x14ac:dyDescent="0.15">
      <c r="D461" s="1"/>
      <c r="E461" s="11"/>
      <c r="F461" s="12"/>
      <c r="H461" s="11"/>
    </row>
    <row r="462" spans="4:8" ht="13" x14ac:dyDescent="0.15">
      <c r="D462" s="1"/>
      <c r="E462" s="11"/>
      <c r="F462" s="12"/>
      <c r="H462" s="11"/>
    </row>
    <row r="463" spans="4:8" ht="13" x14ac:dyDescent="0.15">
      <c r="D463" s="1"/>
      <c r="E463" s="11"/>
      <c r="F463" s="12"/>
      <c r="H463" s="11"/>
    </row>
    <row r="464" spans="4:8" ht="13" x14ac:dyDescent="0.15">
      <c r="D464" s="1"/>
      <c r="E464" s="11"/>
      <c r="F464" s="12"/>
      <c r="H464" s="11"/>
    </row>
    <row r="465" spans="4:8" ht="13" x14ac:dyDescent="0.15">
      <c r="D465" s="1"/>
      <c r="E465" s="11"/>
      <c r="F465" s="12"/>
      <c r="H465" s="11"/>
    </row>
    <row r="466" spans="4:8" ht="13" x14ac:dyDescent="0.15">
      <c r="D466" s="1"/>
      <c r="E466" s="11"/>
      <c r="F466" s="12"/>
      <c r="H466" s="11"/>
    </row>
    <row r="467" spans="4:8" ht="13" x14ac:dyDescent="0.15">
      <c r="D467" s="1"/>
      <c r="E467" s="11"/>
      <c r="F467" s="12"/>
      <c r="H467" s="11"/>
    </row>
    <row r="468" spans="4:8" ht="13" x14ac:dyDescent="0.15">
      <c r="D468" s="1"/>
      <c r="E468" s="11"/>
      <c r="F468" s="12"/>
      <c r="H468" s="11"/>
    </row>
    <row r="469" spans="4:8" ht="13" x14ac:dyDescent="0.15">
      <c r="D469" s="1"/>
      <c r="E469" s="11"/>
      <c r="F469" s="12"/>
      <c r="H469" s="11"/>
    </row>
    <row r="470" spans="4:8" ht="13" x14ac:dyDescent="0.15">
      <c r="D470" s="1"/>
      <c r="E470" s="11"/>
      <c r="F470" s="12"/>
      <c r="H470" s="11"/>
    </row>
    <row r="471" spans="4:8" ht="13" x14ac:dyDescent="0.15">
      <c r="D471" s="1"/>
      <c r="E471" s="11"/>
      <c r="F471" s="12"/>
      <c r="H471" s="11"/>
    </row>
    <row r="472" spans="4:8" ht="13" x14ac:dyDescent="0.15">
      <c r="D472" s="1"/>
      <c r="E472" s="11"/>
      <c r="F472" s="12"/>
      <c r="H472" s="11"/>
    </row>
    <row r="473" spans="4:8" ht="13" x14ac:dyDescent="0.15">
      <c r="D473" s="1"/>
      <c r="E473" s="11"/>
      <c r="F473" s="12"/>
      <c r="H473" s="11"/>
    </row>
    <row r="474" spans="4:8" ht="13" x14ac:dyDescent="0.15">
      <c r="D474" s="1"/>
      <c r="E474" s="11"/>
      <c r="F474" s="12"/>
      <c r="H474" s="11"/>
    </row>
    <row r="475" spans="4:8" ht="13" x14ac:dyDescent="0.15">
      <c r="D475" s="1"/>
      <c r="E475" s="11"/>
      <c r="F475" s="12"/>
      <c r="H475" s="11"/>
    </row>
    <row r="476" spans="4:8" ht="13" x14ac:dyDescent="0.15">
      <c r="D476" s="1"/>
      <c r="E476" s="11"/>
      <c r="F476" s="12"/>
      <c r="H476" s="11"/>
    </row>
    <row r="477" spans="4:8" ht="13" x14ac:dyDescent="0.15">
      <c r="D477" s="1"/>
      <c r="E477" s="11"/>
      <c r="F477" s="12"/>
      <c r="H477" s="11"/>
    </row>
    <row r="478" spans="4:8" ht="13" x14ac:dyDescent="0.15">
      <c r="D478" s="1"/>
      <c r="E478" s="11"/>
      <c r="F478" s="12"/>
      <c r="H478" s="11"/>
    </row>
    <row r="479" spans="4:8" ht="13" x14ac:dyDescent="0.15">
      <c r="D479" s="1"/>
      <c r="E479" s="11"/>
      <c r="F479" s="12"/>
      <c r="H479" s="11"/>
    </row>
    <row r="480" spans="4:8" ht="13" x14ac:dyDescent="0.15">
      <c r="D480" s="1"/>
      <c r="E480" s="11"/>
      <c r="F480" s="12"/>
      <c r="H480" s="11"/>
    </row>
    <row r="481" spans="4:8" ht="13" x14ac:dyDescent="0.15">
      <c r="D481" s="1"/>
      <c r="E481" s="11"/>
      <c r="F481" s="12"/>
      <c r="H481" s="11"/>
    </row>
    <row r="482" spans="4:8" ht="13" x14ac:dyDescent="0.15">
      <c r="D482" s="1"/>
      <c r="E482" s="11"/>
      <c r="F482" s="12"/>
      <c r="H482" s="11"/>
    </row>
    <row r="483" spans="4:8" ht="13" x14ac:dyDescent="0.15">
      <c r="D483" s="1"/>
      <c r="E483" s="11"/>
      <c r="F483" s="12"/>
      <c r="H483" s="11"/>
    </row>
    <row r="484" spans="4:8" ht="13" x14ac:dyDescent="0.15">
      <c r="D484" s="1"/>
      <c r="E484" s="11"/>
      <c r="F484" s="12"/>
      <c r="H484" s="11"/>
    </row>
    <row r="485" spans="4:8" ht="13" x14ac:dyDescent="0.15">
      <c r="D485" s="1"/>
      <c r="E485" s="11"/>
      <c r="F485" s="12"/>
      <c r="H485" s="11"/>
    </row>
    <row r="486" spans="4:8" ht="13" x14ac:dyDescent="0.15">
      <c r="D486" s="1"/>
      <c r="E486" s="11"/>
      <c r="F486" s="12"/>
      <c r="H486" s="11"/>
    </row>
    <row r="487" spans="4:8" ht="13" x14ac:dyDescent="0.15">
      <c r="D487" s="1"/>
      <c r="E487" s="11"/>
      <c r="F487" s="12"/>
      <c r="H487" s="11"/>
    </row>
    <row r="488" spans="4:8" ht="13" x14ac:dyDescent="0.15">
      <c r="D488" s="1"/>
      <c r="E488" s="11"/>
      <c r="F488" s="12"/>
      <c r="H488" s="11"/>
    </row>
    <row r="489" spans="4:8" ht="13" x14ac:dyDescent="0.15">
      <c r="D489" s="1"/>
      <c r="E489" s="11"/>
      <c r="F489" s="12"/>
      <c r="H489" s="11"/>
    </row>
    <row r="490" spans="4:8" ht="13" x14ac:dyDescent="0.15">
      <c r="D490" s="1"/>
      <c r="E490" s="11"/>
      <c r="F490" s="12"/>
      <c r="H490" s="11"/>
    </row>
    <row r="491" spans="4:8" ht="13" x14ac:dyDescent="0.15">
      <c r="D491" s="1"/>
      <c r="E491" s="11"/>
      <c r="F491" s="12"/>
      <c r="H491" s="11"/>
    </row>
    <row r="492" spans="4:8" ht="13" x14ac:dyDescent="0.15">
      <c r="D492" s="1"/>
      <c r="E492" s="11"/>
      <c r="F492" s="12"/>
      <c r="H492" s="11"/>
    </row>
    <row r="493" spans="4:8" ht="13" x14ac:dyDescent="0.15">
      <c r="D493" s="1"/>
      <c r="E493" s="11"/>
      <c r="F493" s="12"/>
      <c r="H493" s="11"/>
    </row>
    <row r="494" spans="4:8" ht="13" x14ac:dyDescent="0.15">
      <c r="D494" s="1"/>
      <c r="E494" s="11"/>
      <c r="F494" s="12"/>
      <c r="H494" s="11"/>
    </row>
    <row r="495" spans="4:8" ht="13" x14ac:dyDescent="0.15">
      <c r="D495" s="1"/>
      <c r="E495" s="11"/>
      <c r="F495" s="12"/>
      <c r="H495" s="11"/>
    </row>
    <row r="496" spans="4:8" ht="13" x14ac:dyDescent="0.15">
      <c r="D496" s="1"/>
      <c r="E496" s="11"/>
      <c r="F496" s="12"/>
      <c r="H496" s="11"/>
    </row>
    <row r="497" spans="4:8" ht="13" x14ac:dyDescent="0.15">
      <c r="D497" s="1"/>
      <c r="E497" s="11"/>
      <c r="F497" s="12"/>
      <c r="H497" s="11"/>
    </row>
    <row r="498" spans="4:8" ht="13" x14ac:dyDescent="0.15">
      <c r="D498" s="1"/>
      <c r="E498" s="11"/>
      <c r="F498" s="12"/>
      <c r="H498" s="11"/>
    </row>
    <row r="499" spans="4:8" ht="13" x14ac:dyDescent="0.15">
      <c r="D499" s="1"/>
      <c r="E499" s="11"/>
      <c r="F499" s="12"/>
      <c r="H499" s="11"/>
    </row>
    <row r="500" spans="4:8" ht="13" x14ac:dyDescent="0.15">
      <c r="D500" s="1"/>
      <c r="E500" s="11"/>
      <c r="F500" s="12"/>
      <c r="H500" s="11"/>
    </row>
    <row r="501" spans="4:8" ht="13" x14ac:dyDescent="0.15">
      <c r="D501" s="1"/>
      <c r="E501" s="11"/>
      <c r="F501" s="12"/>
      <c r="H501" s="11"/>
    </row>
    <row r="502" spans="4:8" ht="13" x14ac:dyDescent="0.15">
      <c r="D502" s="1"/>
      <c r="E502" s="11"/>
      <c r="F502" s="12"/>
      <c r="H502" s="11"/>
    </row>
    <row r="503" spans="4:8" ht="13" x14ac:dyDescent="0.15">
      <c r="D503" s="1"/>
      <c r="E503" s="11"/>
      <c r="F503" s="12"/>
      <c r="H503" s="11"/>
    </row>
    <row r="504" spans="4:8" ht="13" x14ac:dyDescent="0.15">
      <c r="D504" s="1"/>
      <c r="E504" s="11"/>
      <c r="F504" s="12"/>
      <c r="H504" s="11"/>
    </row>
    <row r="505" spans="4:8" ht="13" x14ac:dyDescent="0.15">
      <c r="D505" s="1"/>
      <c r="E505" s="11"/>
      <c r="F505" s="12"/>
      <c r="H505" s="11"/>
    </row>
    <row r="506" spans="4:8" ht="13" x14ac:dyDescent="0.15">
      <c r="D506" s="1"/>
      <c r="E506" s="11"/>
      <c r="F506" s="12"/>
      <c r="H506" s="11"/>
    </row>
    <row r="507" spans="4:8" ht="13" x14ac:dyDescent="0.15">
      <c r="D507" s="1"/>
      <c r="E507" s="11"/>
      <c r="F507" s="12"/>
      <c r="H507" s="11"/>
    </row>
    <row r="508" spans="4:8" ht="13" x14ac:dyDescent="0.15">
      <c r="D508" s="1"/>
      <c r="E508" s="11"/>
      <c r="F508" s="12"/>
      <c r="H508" s="11"/>
    </row>
    <row r="509" spans="4:8" ht="13" x14ac:dyDescent="0.15">
      <c r="D509" s="1"/>
      <c r="E509" s="11"/>
      <c r="F509" s="12"/>
      <c r="H509" s="11"/>
    </row>
    <row r="510" spans="4:8" ht="13" x14ac:dyDescent="0.15">
      <c r="D510" s="1"/>
      <c r="E510" s="11"/>
      <c r="F510" s="12"/>
      <c r="H510" s="11"/>
    </row>
    <row r="511" spans="4:8" ht="13" x14ac:dyDescent="0.15">
      <c r="D511" s="1"/>
      <c r="E511" s="11"/>
      <c r="F511" s="12"/>
      <c r="H511" s="11"/>
    </row>
    <row r="512" spans="4:8" ht="13" x14ac:dyDescent="0.15">
      <c r="D512" s="1"/>
      <c r="E512" s="11"/>
      <c r="F512" s="12"/>
      <c r="H512" s="11"/>
    </row>
    <row r="513" spans="4:8" ht="13" x14ac:dyDescent="0.15">
      <c r="D513" s="1"/>
      <c r="E513" s="11"/>
      <c r="F513" s="12"/>
      <c r="H513" s="11"/>
    </row>
    <row r="514" spans="4:8" ht="13" x14ac:dyDescent="0.15">
      <c r="D514" s="1"/>
      <c r="E514" s="11"/>
      <c r="F514" s="12"/>
      <c r="H514" s="11"/>
    </row>
    <row r="515" spans="4:8" ht="13" x14ac:dyDescent="0.15">
      <c r="D515" s="1"/>
      <c r="E515" s="11"/>
      <c r="F515" s="12"/>
      <c r="H515" s="11"/>
    </row>
    <row r="516" spans="4:8" ht="13" x14ac:dyDescent="0.15">
      <c r="D516" s="1"/>
      <c r="E516" s="11"/>
      <c r="F516" s="12"/>
      <c r="H516" s="11"/>
    </row>
    <row r="517" spans="4:8" ht="13" x14ac:dyDescent="0.15">
      <c r="D517" s="1"/>
      <c r="E517" s="11"/>
      <c r="F517" s="12"/>
      <c r="H517" s="11"/>
    </row>
    <row r="518" spans="4:8" ht="13" x14ac:dyDescent="0.15">
      <c r="D518" s="1"/>
      <c r="E518" s="11"/>
      <c r="F518" s="12"/>
      <c r="H518" s="11"/>
    </row>
    <row r="519" spans="4:8" ht="13" x14ac:dyDescent="0.15">
      <c r="D519" s="1"/>
      <c r="E519" s="11"/>
      <c r="F519" s="12"/>
      <c r="H519" s="11"/>
    </row>
    <row r="520" spans="4:8" ht="13" x14ac:dyDescent="0.15">
      <c r="D520" s="1"/>
      <c r="E520" s="11"/>
      <c r="F520" s="12"/>
      <c r="H520" s="11"/>
    </row>
    <row r="521" spans="4:8" ht="13" x14ac:dyDescent="0.15">
      <c r="D521" s="1"/>
      <c r="E521" s="11"/>
      <c r="F521" s="12"/>
      <c r="H521" s="11"/>
    </row>
    <row r="522" spans="4:8" ht="13" x14ac:dyDescent="0.15">
      <c r="D522" s="1"/>
      <c r="E522" s="11"/>
      <c r="F522" s="12"/>
      <c r="H522" s="11"/>
    </row>
    <row r="523" spans="4:8" ht="13" x14ac:dyDescent="0.15">
      <c r="D523" s="1"/>
      <c r="E523" s="11"/>
      <c r="F523" s="12"/>
      <c r="H523" s="11"/>
    </row>
    <row r="524" spans="4:8" ht="13" x14ac:dyDescent="0.15">
      <c r="D524" s="1"/>
      <c r="E524" s="11"/>
      <c r="F524" s="12"/>
      <c r="H524" s="11"/>
    </row>
    <row r="525" spans="4:8" ht="13" x14ac:dyDescent="0.15">
      <c r="D525" s="1"/>
      <c r="E525" s="11"/>
      <c r="F525" s="12"/>
      <c r="H525" s="11"/>
    </row>
    <row r="526" spans="4:8" ht="13" x14ac:dyDescent="0.15">
      <c r="D526" s="1"/>
      <c r="E526" s="11"/>
      <c r="F526" s="12"/>
      <c r="H526" s="11"/>
    </row>
    <row r="527" spans="4:8" ht="13" x14ac:dyDescent="0.15">
      <c r="D527" s="1"/>
      <c r="E527" s="11"/>
      <c r="F527" s="12"/>
      <c r="H527" s="11"/>
    </row>
    <row r="528" spans="4:8" ht="13" x14ac:dyDescent="0.15">
      <c r="D528" s="1"/>
      <c r="E528" s="11"/>
      <c r="F528" s="12"/>
      <c r="H528" s="11"/>
    </row>
    <row r="529" spans="4:8" ht="13" x14ac:dyDescent="0.15">
      <c r="D529" s="1"/>
      <c r="E529" s="11"/>
      <c r="F529" s="12"/>
      <c r="H529" s="11"/>
    </row>
    <row r="530" spans="4:8" ht="13" x14ac:dyDescent="0.15">
      <c r="D530" s="1"/>
      <c r="E530" s="11"/>
      <c r="F530" s="12"/>
      <c r="H530" s="11"/>
    </row>
    <row r="531" spans="4:8" ht="13" x14ac:dyDescent="0.15">
      <c r="D531" s="1"/>
      <c r="E531" s="11"/>
      <c r="F531" s="12"/>
      <c r="H531" s="11"/>
    </row>
    <row r="532" spans="4:8" ht="13" x14ac:dyDescent="0.15">
      <c r="D532" s="1"/>
      <c r="E532" s="11"/>
      <c r="F532" s="12"/>
      <c r="H532" s="11"/>
    </row>
    <row r="533" spans="4:8" ht="13" x14ac:dyDescent="0.15">
      <c r="D533" s="1"/>
      <c r="E533" s="11"/>
      <c r="F533" s="12"/>
      <c r="H533" s="11"/>
    </row>
    <row r="534" spans="4:8" ht="13" x14ac:dyDescent="0.15">
      <c r="D534" s="1"/>
      <c r="E534" s="11"/>
      <c r="F534" s="12"/>
      <c r="H534" s="11"/>
    </row>
    <row r="535" spans="4:8" ht="13" x14ac:dyDescent="0.15">
      <c r="D535" s="1"/>
      <c r="E535" s="11"/>
      <c r="F535" s="12"/>
      <c r="H535" s="11"/>
    </row>
    <row r="536" spans="4:8" ht="13" x14ac:dyDescent="0.15">
      <c r="D536" s="1"/>
      <c r="E536" s="11"/>
      <c r="F536" s="12"/>
      <c r="H536" s="11"/>
    </row>
    <row r="537" spans="4:8" ht="13" x14ac:dyDescent="0.15">
      <c r="D537" s="1"/>
      <c r="E537" s="11"/>
      <c r="F537" s="12"/>
      <c r="H537" s="11"/>
    </row>
    <row r="538" spans="4:8" ht="13" x14ac:dyDescent="0.15">
      <c r="D538" s="1"/>
      <c r="E538" s="11"/>
      <c r="F538" s="12"/>
      <c r="H538" s="11"/>
    </row>
    <row r="539" spans="4:8" ht="13" x14ac:dyDescent="0.15">
      <c r="D539" s="1"/>
      <c r="E539" s="11"/>
      <c r="F539" s="12"/>
      <c r="H539" s="11"/>
    </row>
    <row r="540" spans="4:8" ht="13" x14ac:dyDescent="0.15">
      <c r="D540" s="1"/>
      <c r="E540" s="11"/>
      <c r="F540" s="12"/>
      <c r="H540" s="11"/>
    </row>
    <row r="541" spans="4:8" ht="13" x14ac:dyDescent="0.15">
      <c r="D541" s="1"/>
      <c r="E541" s="11"/>
      <c r="F541" s="12"/>
      <c r="H541" s="11"/>
    </row>
    <row r="542" spans="4:8" ht="13" x14ac:dyDescent="0.15">
      <c r="D542" s="1"/>
      <c r="E542" s="11"/>
      <c r="F542" s="12"/>
      <c r="H542" s="11"/>
    </row>
    <row r="543" spans="4:8" ht="13" x14ac:dyDescent="0.15">
      <c r="D543" s="1"/>
      <c r="E543" s="11"/>
      <c r="F543" s="12"/>
      <c r="H543" s="11"/>
    </row>
    <row r="544" spans="4:8" ht="13" x14ac:dyDescent="0.15">
      <c r="D544" s="1"/>
      <c r="E544" s="11"/>
      <c r="F544" s="12"/>
      <c r="H544" s="11"/>
    </row>
    <row r="545" spans="4:8" ht="13" x14ac:dyDescent="0.15">
      <c r="D545" s="1"/>
      <c r="E545" s="11"/>
      <c r="F545" s="12"/>
      <c r="H545" s="11"/>
    </row>
    <row r="546" spans="4:8" ht="13" x14ac:dyDescent="0.15">
      <c r="D546" s="1"/>
      <c r="E546" s="11"/>
      <c r="F546" s="12"/>
      <c r="H546" s="11"/>
    </row>
    <row r="547" spans="4:8" ht="13" x14ac:dyDescent="0.15">
      <c r="D547" s="1"/>
      <c r="E547" s="11"/>
      <c r="F547" s="12"/>
      <c r="H547" s="11"/>
    </row>
    <row r="548" spans="4:8" ht="13" x14ac:dyDescent="0.15">
      <c r="D548" s="1"/>
      <c r="E548" s="11"/>
      <c r="F548" s="12"/>
      <c r="H548" s="11"/>
    </row>
    <row r="549" spans="4:8" ht="13" x14ac:dyDescent="0.15">
      <c r="D549" s="1"/>
      <c r="E549" s="11"/>
      <c r="F549" s="12"/>
      <c r="H549" s="11"/>
    </row>
    <row r="550" spans="4:8" ht="13" x14ac:dyDescent="0.15">
      <c r="D550" s="1"/>
      <c r="E550" s="11"/>
      <c r="F550" s="12"/>
      <c r="H550" s="11"/>
    </row>
    <row r="551" spans="4:8" ht="13" x14ac:dyDescent="0.15">
      <c r="D551" s="1"/>
      <c r="E551" s="11"/>
      <c r="F551" s="12"/>
      <c r="H551" s="11"/>
    </row>
    <row r="552" spans="4:8" ht="13" x14ac:dyDescent="0.15">
      <c r="D552" s="1"/>
      <c r="E552" s="11"/>
      <c r="F552" s="12"/>
      <c r="H552" s="11"/>
    </row>
    <row r="553" spans="4:8" ht="13" x14ac:dyDescent="0.15">
      <c r="D553" s="1"/>
      <c r="E553" s="11"/>
      <c r="F553" s="12"/>
      <c r="H553" s="11"/>
    </row>
    <row r="554" spans="4:8" ht="13" x14ac:dyDescent="0.15">
      <c r="D554" s="1"/>
      <c r="E554" s="11"/>
      <c r="F554" s="12"/>
      <c r="H554" s="11"/>
    </row>
    <row r="555" spans="4:8" ht="13" x14ac:dyDescent="0.15">
      <c r="D555" s="1"/>
      <c r="E555" s="11"/>
      <c r="F555" s="12"/>
      <c r="H555" s="11"/>
    </row>
    <row r="556" spans="4:8" ht="13" x14ac:dyDescent="0.15">
      <c r="D556" s="1"/>
      <c r="E556" s="11"/>
      <c r="F556" s="12"/>
      <c r="H556" s="11"/>
    </row>
    <row r="557" spans="4:8" ht="13" x14ac:dyDescent="0.15">
      <c r="D557" s="1"/>
      <c r="E557" s="11"/>
      <c r="F557" s="12"/>
      <c r="H557" s="11"/>
    </row>
    <row r="558" spans="4:8" ht="13" x14ac:dyDescent="0.15">
      <c r="D558" s="1"/>
      <c r="E558" s="11"/>
      <c r="F558" s="12"/>
      <c r="H558" s="11"/>
    </row>
    <row r="559" spans="4:8" ht="13" x14ac:dyDescent="0.15">
      <c r="D559" s="1"/>
      <c r="E559" s="11"/>
      <c r="F559" s="12"/>
      <c r="H559" s="11"/>
    </row>
    <row r="560" spans="4:8" ht="13" x14ac:dyDescent="0.15">
      <c r="D560" s="1"/>
      <c r="E560" s="11"/>
      <c r="F560" s="12"/>
      <c r="H560" s="11"/>
    </row>
    <row r="561" spans="4:8" ht="13" x14ac:dyDescent="0.15">
      <c r="D561" s="1"/>
      <c r="E561" s="11"/>
      <c r="F561" s="12"/>
      <c r="H561" s="11"/>
    </row>
    <row r="562" spans="4:8" ht="13" x14ac:dyDescent="0.15">
      <c r="D562" s="1"/>
      <c r="E562" s="11"/>
      <c r="F562" s="12"/>
      <c r="H562" s="11"/>
    </row>
    <row r="563" spans="4:8" ht="13" x14ac:dyDescent="0.15">
      <c r="D563" s="1"/>
      <c r="E563" s="11"/>
      <c r="F563" s="12"/>
      <c r="H563" s="11"/>
    </row>
    <row r="564" spans="4:8" ht="13" x14ac:dyDescent="0.15">
      <c r="D564" s="1"/>
      <c r="E564" s="11"/>
      <c r="F564" s="12"/>
      <c r="H564" s="11"/>
    </row>
    <row r="565" spans="4:8" ht="13" x14ac:dyDescent="0.15">
      <c r="D565" s="1"/>
      <c r="E565" s="11"/>
      <c r="F565" s="12"/>
      <c r="H565" s="11"/>
    </row>
    <row r="566" spans="4:8" ht="13" x14ac:dyDescent="0.15">
      <c r="D566" s="1"/>
      <c r="E566" s="11"/>
      <c r="F566" s="12"/>
      <c r="H566" s="11"/>
    </row>
    <row r="567" spans="4:8" ht="13" x14ac:dyDescent="0.15">
      <c r="D567" s="1"/>
      <c r="E567" s="11"/>
      <c r="F567" s="12"/>
      <c r="H567" s="11"/>
    </row>
    <row r="568" spans="4:8" ht="13" x14ac:dyDescent="0.15">
      <c r="D568" s="1"/>
      <c r="E568" s="11"/>
      <c r="F568" s="12"/>
      <c r="H568" s="11"/>
    </row>
    <row r="569" spans="4:8" ht="13" x14ac:dyDescent="0.15">
      <c r="D569" s="1"/>
      <c r="E569" s="11"/>
      <c r="F569" s="12"/>
      <c r="H569" s="11"/>
    </row>
    <row r="570" spans="4:8" ht="13" x14ac:dyDescent="0.15">
      <c r="D570" s="1"/>
      <c r="E570" s="11"/>
      <c r="F570" s="12"/>
      <c r="H570" s="11"/>
    </row>
    <row r="571" spans="4:8" ht="13" x14ac:dyDescent="0.15">
      <c r="D571" s="1"/>
      <c r="E571" s="11"/>
      <c r="F571" s="12"/>
      <c r="H571" s="11"/>
    </row>
    <row r="572" spans="4:8" ht="13" x14ac:dyDescent="0.15">
      <c r="D572" s="1"/>
      <c r="E572" s="11"/>
      <c r="F572" s="12"/>
      <c r="H572" s="11"/>
    </row>
    <row r="573" spans="4:8" ht="13" x14ac:dyDescent="0.15">
      <c r="D573" s="1"/>
      <c r="E573" s="11"/>
      <c r="F573" s="12"/>
      <c r="H573" s="11"/>
    </row>
    <row r="574" spans="4:8" ht="13" x14ac:dyDescent="0.15">
      <c r="D574" s="1"/>
      <c r="E574" s="11"/>
      <c r="F574" s="12"/>
      <c r="H574" s="11"/>
    </row>
    <row r="575" spans="4:8" ht="13" x14ac:dyDescent="0.15">
      <c r="D575" s="1"/>
      <c r="E575" s="11"/>
      <c r="F575" s="12"/>
      <c r="H575" s="11"/>
    </row>
    <row r="576" spans="4:8" ht="13" x14ac:dyDescent="0.15">
      <c r="D576" s="1"/>
      <c r="E576" s="11"/>
      <c r="F576" s="12"/>
      <c r="H576" s="11"/>
    </row>
    <row r="577" spans="4:8" ht="13" x14ac:dyDescent="0.15">
      <c r="D577" s="1"/>
      <c r="E577" s="11"/>
      <c r="F577" s="12"/>
      <c r="H577" s="11"/>
    </row>
    <row r="578" spans="4:8" ht="13" x14ac:dyDescent="0.15">
      <c r="D578" s="1"/>
      <c r="E578" s="11"/>
      <c r="F578" s="12"/>
      <c r="H578" s="11"/>
    </row>
    <row r="579" spans="4:8" ht="13" x14ac:dyDescent="0.15">
      <c r="D579" s="1"/>
      <c r="E579" s="11"/>
      <c r="F579" s="12"/>
      <c r="H579" s="11"/>
    </row>
    <row r="580" spans="4:8" ht="13" x14ac:dyDescent="0.15">
      <c r="D580" s="1"/>
      <c r="E580" s="11"/>
      <c r="F580" s="12"/>
      <c r="H580" s="11"/>
    </row>
    <row r="581" spans="4:8" ht="13" x14ac:dyDescent="0.15">
      <c r="D581" s="1"/>
      <c r="E581" s="11"/>
      <c r="F581" s="12"/>
      <c r="H581" s="11"/>
    </row>
    <row r="582" spans="4:8" ht="13" x14ac:dyDescent="0.15">
      <c r="D582" s="1"/>
      <c r="E582" s="11"/>
      <c r="F582" s="12"/>
      <c r="H582" s="11"/>
    </row>
    <row r="583" spans="4:8" ht="13" x14ac:dyDescent="0.15">
      <c r="D583" s="1"/>
      <c r="E583" s="11"/>
      <c r="F583" s="12"/>
      <c r="H583" s="11"/>
    </row>
    <row r="584" spans="4:8" ht="13" x14ac:dyDescent="0.15">
      <c r="D584" s="1"/>
      <c r="E584" s="11"/>
      <c r="F584" s="12"/>
      <c r="H584" s="11"/>
    </row>
    <row r="585" spans="4:8" ht="13" x14ac:dyDescent="0.15">
      <c r="D585" s="1"/>
      <c r="E585" s="11"/>
      <c r="F585" s="12"/>
      <c r="H585" s="11"/>
    </row>
    <row r="586" spans="4:8" ht="13" x14ac:dyDescent="0.15">
      <c r="D586" s="1"/>
      <c r="E586" s="11"/>
      <c r="F586" s="12"/>
      <c r="H586" s="11"/>
    </row>
    <row r="587" spans="4:8" ht="13" x14ac:dyDescent="0.15">
      <c r="D587" s="1"/>
      <c r="E587" s="11"/>
      <c r="F587" s="12"/>
      <c r="H587" s="11"/>
    </row>
    <row r="588" spans="4:8" ht="13" x14ac:dyDescent="0.15">
      <c r="D588" s="1"/>
      <c r="E588" s="11"/>
      <c r="F588" s="12"/>
      <c r="H588" s="11"/>
    </row>
    <row r="589" spans="4:8" ht="13" x14ac:dyDescent="0.15">
      <c r="D589" s="1"/>
      <c r="E589" s="11"/>
      <c r="F589" s="12"/>
      <c r="H589" s="11"/>
    </row>
    <row r="590" spans="4:8" ht="13" x14ac:dyDescent="0.15">
      <c r="D590" s="1"/>
      <c r="E590" s="11"/>
      <c r="F590" s="12"/>
      <c r="H590" s="11"/>
    </row>
    <row r="591" spans="4:8" ht="13" x14ac:dyDescent="0.15">
      <c r="D591" s="1"/>
      <c r="E591" s="11"/>
      <c r="F591" s="12"/>
      <c r="H591" s="11"/>
    </row>
    <row r="592" spans="4:8" ht="13" x14ac:dyDescent="0.15">
      <c r="D592" s="1"/>
      <c r="E592" s="11"/>
      <c r="F592" s="12"/>
      <c r="H592" s="11"/>
    </row>
    <row r="593" spans="4:8" ht="13" x14ac:dyDescent="0.15">
      <c r="D593" s="1"/>
      <c r="E593" s="11"/>
      <c r="F593" s="12"/>
      <c r="H593" s="11"/>
    </row>
    <row r="594" spans="4:8" ht="13" x14ac:dyDescent="0.15">
      <c r="D594" s="1"/>
      <c r="E594" s="11"/>
      <c r="F594" s="12"/>
      <c r="H594" s="11"/>
    </row>
    <row r="595" spans="4:8" ht="13" x14ac:dyDescent="0.15">
      <c r="D595" s="1"/>
      <c r="E595" s="11"/>
      <c r="F595" s="12"/>
      <c r="H595" s="11"/>
    </row>
    <row r="596" spans="4:8" ht="13" x14ac:dyDescent="0.15">
      <c r="D596" s="1"/>
      <c r="E596" s="11"/>
      <c r="F596" s="12"/>
      <c r="H596" s="11"/>
    </row>
    <row r="597" spans="4:8" ht="13" x14ac:dyDescent="0.15">
      <c r="D597" s="1"/>
      <c r="E597" s="11"/>
      <c r="F597" s="12"/>
      <c r="H597" s="11"/>
    </row>
    <row r="598" spans="4:8" ht="13" x14ac:dyDescent="0.15">
      <c r="D598" s="1"/>
      <c r="E598" s="11"/>
      <c r="F598" s="12"/>
      <c r="H598" s="11"/>
    </row>
    <row r="599" spans="4:8" ht="13" x14ac:dyDescent="0.15">
      <c r="D599" s="1"/>
      <c r="E599" s="11"/>
      <c r="F599" s="12"/>
      <c r="H599" s="11"/>
    </row>
    <row r="600" spans="4:8" ht="13" x14ac:dyDescent="0.15">
      <c r="D600" s="1"/>
      <c r="E600" s="11"/>
      <c r="F600" s="12"/>
      <c r="H600" s="11"/>
    </row>
    <row r="601" spans="4:8" ht="13" x14ac:dyDescent="0.15">
      <c r="D601" s="1"/>
      <c r="E601" s="11"/>
      <c r="F601" s="12"/>
      <c r="H601" s="11"/>
    </row>
    <row r="602" spans="4:8" ht="13" x14ac:dyDescent="0.15">
      <c r="D602" s="1"/>
      <c r="E602" s="11"/>
      <c r="F602" s="12"/>
      <c r="H602" s="11"/>
    </row>
    <row r="603" spans="4:8" ht="13" x14ac:dyDescent="0.15">
      <c r="D603" s="1"/>
      <c r="E603" s="11"/>
      <c r="F603" s="12"/>
      <c r="H603" s="11"/>
    </row>
    <row r="604" spans="4:8" ht="13" x14ac:dyDescent="0.15">
      <c r="D604" s="1"/>
      <c r="E604" s="11"/>
      <c r="F604" s="12"/>
      <c r="H604" s="11"/>
    </row>
    <row r="605" spans="4:8" ht="13" x14ac:dyDescent="0.15">
      <c r="D605" s="1"/>
      <c r="E605" s="11"/>
      <c r="F605" s="12"/>
      <c r="H605" s="11"/>
    </row>
    <row r="606" spans="4:8" ht="13" x14ac:dyDescent="0.15">
      <c r="D606" s="1"/>
      <c r="E606" s="11"/>
      <c r="F606" s="12"/>
      <c r="H606" s="11"/>
    </row>
    <row r="607" spans="4:8" ht="13" x14ac:dyDescent="0.15">
      <c r="D607" s="1"/>
      <c r="E607" s="11"/>
      <c r="F607" s="12"/>
      <c r="H607" s="11"/>
    </row>
    <row r="608" spans="4:8" ht="13" x14ac:dyDescent="0.15">
      <c r="D608" s="1"/>
      <c r="E608" s="11"/>
      <c r="F608" s="12"/>
      <c r="H608" s="11"/>
    </row>
    <row r="609" spans="4:8" ht="13" x14ac:dyDescent="0.15">
      <c r="D609" s="1"/>
      <c r="E609" s="11"/>
      <c r="F609" s="12"/>
      <c r="H609" s="11"/>
    </row>
    <row r="610" spans="4:8" ht="13" x14ac:dyDescent="0.15">
      <c r="D610" s="1"/>
      <c r="E610" s="11"/>
      <c r="F610" s="12"/>
      <c r="H610" s="11"/>
    </row>
    <row r="611" spans="4:8" ht="13" x14ac:dyDescent="0.15">
      <c r="D611" s="1"/>
      <c r="E611" s="11"/>
      <c r="F611" s="12"/>
      <c r="H611" s="11"/>
    </row>
    <row r="612" spans="4:8" ht="13" x14ac:dyDescent="0.15">
      <c r="D612" s="1"/>
      <c r="E612" s="11"/>
      <c r="F612" s="12"/>
      <c r="H612" s="11"/>
    </row>
    <row r="613" spans="4:8" ht="13" x14ac:dyDescent="0.15">
      <c r="D613" s="1"/>
      <c r="E613" s="11"/>
      <c r="F613" s="12"/>
      <c r="H613" s="11"/>
    </row>
    <row r="614" spans="4:8" ht="13" x14ac:dyDescent="0.15">
      <c r="D614" s="1"/>
      <c r="E614" s="11"/>
      <c r="F614" s="12"/>
      <c r="H614" s="11"/>
    </row>
    <row r="615" spans="4:8" ht="13" x14ac:dyDescent="0.15">
      <c r="D615" s="1"/>
      <c r="E615" s="11"/>
      <c r="F615" s="12"/>
      <c r="H615" s="11"/>
    </row>
    <row r="616" spans="4:8" ht="13" x14ac:dyDescent="0.15">
      <c r="D616" s="1"/>
      <c r="E616" s="11"/>
      <c r="F616" s="12"/>
      <c r="H616" s="11"/>
    </row>
    <row r="617" spans="4:8" ht="13" x14ac:dyDescent="0.15">
      <c r="D617" s="1"/>
      <c r="E617" s="11"/>
      <c r="F617" s="12"/>
      <c r="H617" s="11"/>
    </row>
    <row r="618" spans="4:8" ht="13" x14ac:dyDescent="0.15">
      <c r="D618" s="1"/>
      <c r="E618" s="11"/>
      <c r="F618" s="12"/>
      <c r="H618" s="11"/>
    </row>
    <row r="619" spans="4:8" ht="13" x14ac:dyDescent="0.15">
      <c r="D619" s="1"/>
      <c r="E619" s="11"/>
      <c r="F619" s="12"/>
      <c r="H619" s="11"/>
    </row>
    <row r="620" spans="4:8" ht="13" x14ac:dyDescent="0.15">
      <c r="D620" s="1"/>
      <c r="E620" s="11"/>
      <c r="F620" s="12"/>
      <c r="H620" s="11"/>
    </row>
    <row r="621" spans="4:8" ht="13" x14ac:dyDescent="0.15">
      <c r="D621" s="1"/>
      <c r="E621" s="11"/>
      <c r="F621" s="12"/>
      <c r="H621" s="11"/>
    </row>
    <row r="622" spans="4:8" ht="13" x14ac:dyDescent="0.15">
      <c r="D622" s="1"/>
      <c r="E622" s="11"/>
      <c r="F622" s="12"/>
      <c r="H622" s="11"/>
    </row>
    <row r="623" spans="4:8" ht="13" x14ac:dyDescent="0.15">
      <c r="D623" s="1"/>
      <c r="E623" s="11"/>
      <c r="F623" s="12"/>
      <c r="H623" s="11"/>
    </row>
    <row r="624" spans="4:8" ht="13" x14ac:dyDescent="0.15">
      <c r="D624" s="1"/>
      <c r="E624" s="11"/>
      <c r="F624" s="12"/>
      <c r="H624" s="11"/>
    </row>
    <row r="625" spans="4:8" ht="13" x14ac:dyDescent="0.15">
      <c r="D625" s="1"/>
      <c r="E625" s="11"/>
      <c r="F625" s="12"/>
      <c r="H625" s="11"/>
    </row>
    <row r="626" spans="4:8" ht="13" x14ac:dyDescent="0.15">
      <c r="D626" s="1"/>
      <c r="E626" s="11"/>
      <c r="F626" s="12"/>
      <c r="H626" s="11"/>
    </row>
    <row r="627" spans="4:8" ht="13" x14ac:dyDescent="0.15">
      <c r="D627" s="1"/>
      <c r="E627" s="11"/>
      <c r="F627" s="12"/>
      <c r="H627" s="11"/>
    </row>
    <row r="628" spans="4:8" ht="13" x14ac:dyDescent="0.15">
      <c r="D628" s="1"/>
      <c r="E628" s="11"/>
      <c r="F628" s="12"/>
      <c r="H628" s="11"/>
    </row>
    <row r="629" spans="4:8" ht="13" x14ac:dyDescent="0.15">
      <c r="D629" s="1"/>
      <c r="E629" s="11"/>
      <c r="F629" s="12"/>
      <c r="H629" s="11"/>
    </row>
    <row r="630" spans="4:8" ht="13" x14ac:dyDescent="0.15">
      <c r="D630" s="1"/>
      <c r="E630" s="11"/>
      <c r="F630" s="12"/>
      <c r="H630" s="11"/>
    </row>
    <row r="631" spans="4:8" ht="13" x14ac:dyDescent="0.15">
      <c r="D631" s="1"/>
      <c r="E631" s="11"/>
      <c r="F631" s="12"/>
      <c r="H631" s="11"/>
    </row>
    <row r="632" spans="4:8" ht="13" x14ac:dyDescent="0.15">
      <c r="D632" s="1"/>
      <c r="E632" s="11"/>
      <c r="F632" s="12"/>
      <c r="H632" s="11"/>
    </row>
    <row r="633" spans="4:8" ht="13" x14ac:dyDescent="0.15">
      <c r="D633" s="1"/>
      <c r="E633" s="11"/>
      <c r="F633" s="12"/>
      <c r="H633" s="11"/>
    </row>
    <row r="634" spans="4:8" ht="13" x14ac:dyDescent="0.15">
      <c r="D634" s="1"/>
      <c r="E634" s="11"/>
      <c r="F634" s="12"/>
      <c r="H634" s="11"/>
    </row>
    <row r="635" spans="4:8" ht="13" x14ac:dyDescent="0.15">
      <c r="D635" s="1"/>
      <c r="E635" s="11"/>
      <c r="F635" s="12"/>
      <c r="H635" s="11"/>
    </row>
    <row r="636" spans="4:8" ht="13" x14ac:dyDescent="0.15">
      <c r="D636" s="1"/>
      <c r="E636" s="11"/>
      <c r="F636" s="12"/>
      <c r="H636" s="11"/>
    </row>
    <row r="637" spans="4:8" ht="13" x14ac:dyDescent="0.15">
      <c r="D637" s="1"/>
      <c r="E637" s="11"/>
      <c r="F637" s="12"/>
      <c r="H637" s="11"/>
    </row>
    <row r="638" spans="4:8" ht="13" x14ac:dyDescent="0.15">
      <c r="D638" s="1"/>
      <c r="E638" s="11"/>
      <c r="F638" s="12"/>
      <c r="H638" s="11"/>
    </row>
    <row r="639" spans="4:8" ht="13" x14ac:dyDescent="0.15">
      <c r="D639" s="1"/>
      <c r="E639" s="11"/>
      <c r="F639" s="12"/>
      <c r="H639" s="11"/>
    </row>
    <row r="640" spans="4:8" ht="13" x14ac:dyDescent="0.15">
      <c r="D640" s="1"/>
      <c r="E640" s="11"/>
      <c r="F640" s="12"/>
      <c r="H640" s="11"/>
    </row>
    <row r="641" spans="4:8" ht="13" x14ac:dyDescent="0.15">
      <c r="D641" s="1"/>
      <c r="E641" s="11"/>
      <c r="F641" s="12"/>
      <c r="H641" s="11"/>
    </row>
    <row r="642" spans="4:8" ht="13" x14ac:dyDescent="0.15">
      <c r="D642" s="1"/>
      <c r="E642" s="11"/>
      <c r="F642" s="12"/>
      <c r="H642" s="11"/>
    </row>
    <row r="643" spans="4:8" ht="13" x14ac:dyDescent="0.15">
      <c r="D643" s="1"/>
      <c r="E643" s="11"/>
      <c r="F643" s="12"/>
      <c r="H643" s="11"/>
    </row>
    <row r="644" spans="4:8" ht="13" x14ac:dyDescent="0.15">
      <c r="D644" s="1"/>
      <c r="E644" s="11"/>
      <c r="F644" s="12"/>
      <c r="H644" s="11"/>
    </row>
    <row r="645" spans="4:8" ht="13" x14ac:dyDescent="0.15">
      <c r="D645" s="1"/>
      <c r="E645" s="11"/>
      <c r="F645" s="12"/>
      <c r="H645" s="11"/>
    </row>
    <row r="646" spans="4:8" ht="13" x14ac:dyDescent="0.15">
      <c r="D646" s="1"/>
      <c r="E646" s="11"/>
      <c r="F646" s="12"/>
      <c r="H646" s="11"/>
    </row>
    <row r="647" spans="4:8" ht="13" x14ac:dyDescent="0.15">
      <c r="D647" s="1"/>
      <c r="E647" s="11"/>
      <c r="F647" s="12"/>
      <c r="H647" s="11"/>
    </row>
    <row r="648" spans="4:8" ht="13" x14ac:dyDescent="0.15">
      <c r="D648" s="1"/>
      <c r="E648" s="11"/>
      <c r="F648" s="12"/>
      <c r="H648" s="11"/>
    </row>
    <row r="649" spans="4:8" ht="13" x14ac:dyDescent="0.15">
      <c r="D649" s="1"/>
      <c r="E649" s="11"/>
      <c r="F649" s="12"/>
      <c r="H649" s="11"/>
    </row>
    <row r="650" spans="4:8" ht="13" x14ac:dyDescent="0.15">
      <c r="D650" s="1"/>
      <c r="E650" s="11"/>
      <c r="F650" s="12"/>
      <c r="H650" s="11"/>
    </row>
    <row r="651" spans="4:8" ht="13" x14ac:dyDescent="0.15">
      <c r="D651" s="1"/>
      <c r="E651" s="11"/>
      <c r="F651" s="12"/>
      <c r="H651" s="11"/>
    </row>
    <row r="652" spans="4:8" ht="13" x14ac:dyDescent="0.15">
      <c r="D652" s="1"/>
      <c r="E652" s="11"/>
      <c r="F652" s="12"/>
      <c r="H652" s="11"/>
    </row>
    <row r="653" spans="4:8" ht="13" x14ac:dyDescent="0.15">
      <c r="D653" s="1"/>
      <c r="E653" s="11"/>
      <c r="F653" s="12"/>
      <c r="H653" s="11"/>
    </row>
    <row r="654" spans="4:8" ht="13" x14ac:dyDescent="0.15">
      <c r="D654" s="1"/>
      <c r="E654" s="11"/>
      <c r="F654" s="12"/>
      <c r="H654" s="11"/>
    </row>
    <row r="655" spans="4:8" ht="13" x14ac:dyDescent="0.15">
      <c r="D655" s="1"/>
      <c r="E655" s="11"/>
      <c r="F655" s="12"/>
      <c r="H655" s="11"/>
    </row>
    <row r="656" spans="4:8" ht="13" x14ac:dyDescent="0.15">
      <c r="D656" s="1"/>
      <c r="E656" s="11"/>
      <c r="F656" s="12"/>
      <c r="H656" s="11"/>
    </row>
    <row r="657" spans="4:8" ht="13" x14ac:dyDescent="0.15">
      <c r="D657" s="1"/>
      <c r="E657" s="11"/>
      <c r="F657" s="12"/>
      <c r="H657" s="11"/>
    </row>
    <row r="658" spans="4:8" ht="13" x14ac:dyDescent="0.15">
      <c r="D658" s="1"/>
      <c r="E658" s="11"/>
      <c r="F658" s="12"/>
      <c r="H658" s="11"/>
    </row>
    <row r="659" spans="4:8" ht="13" x14ac:dyDescent="0.15">
      <c r="D659" s="1"/>
      <c r="E659" s="11"/>
      <c r="F659" s="12"/>
      <c r="H659" s="11"/>
    </row>
    <row r="660" spans="4:8" ht="13" x14ac:dyDescent="0.15">
      <c r="D660" s="1"/>
      <c r="E660" s="11"/>
      <c r="F660" s="12"/>
      <c r="H660" s="11"/>
    </row>
    <row r="661" spans="4:8" ht="13" x14ac:dyDescent="0.15">
      <c r="D661" s="1"/>
      <c r="E661" s="11"/>
      <c r="F661" s="12"/>
      <c r="H661" s="11"/>
    </row>
    <row r="662" spans="4:8" ht="13" x14ac:dyDescent="0.15">
      <c r="D662" s="1"/>
      <c r="E662" s="11"/>
      <c r="F662" s="12"/>
      <c r="H662" s="11"/>
    </row>
    <row r="663" spans="4:8" ht="13" x14ac:dyDescent="0.15">
      <c r="D663" s="1"/>
      <c r="E663" s="11"/>
      <c r="F663" s="12"/>
      <c r="H663" s="11"/>
    </row>
    <row r="664" spans="4:8" ht="13" x14ac:dyDescent="0.15">
      <c r="D664" s="1"/>
      <c r="E664" s="11"/>
      <c r="F664" s="12"/>
      <c r="H664" s="11"/>
    </row>
    <row r="665" spans="4:8" ht="13" x14ac:dyDescent="0.15">
      <c r="D665" s="1"/>
      <c r="E665" s="11"/>
      <c r="F665" s="12"/>
      <c r="H665" s="11"/>
    </row>
    <row r="666" spans="4:8" ht="13" x14ac:dyDescent="0.15">
      <c r="D666" s="1"/>
      <c r="E666" s="11"/>
      <c r="F666" s="12"/>
      <c r="H666" s="11"/>
    </row>
    <row r="667" spans="4:8" ht="13" x14ac:dyDescent="0.15">
      <c r="D667" s="1"/>
      <c r="E667" s="11"/>
      <c r="F667" s="12"/>
      <c r="H667" s="11"/>
    </row>
    <row r="668" spans="4:8" ht="13" x14ac:dyDescent="0.15">
      <c r="D668" s="1"/>
      <c r="E668" s="11"/>
      <c r="F668" s="12"/>
      <c r="H668" s="11"/>
    </row>
    <row r="669" spans="4:8" ht="13" x14ac:dyDescent="0.15">
      <c r="D669" s="1"/>
      <c r="E669" s="11"/>
      <c r="F669" s="12"/>
      <c r="H669" s="11"/>
    </row>
    <row r="670" spans="4:8" ht="13" x14ac:dyDescent="0.15">
      <c r="D670" s="1"/>
      <c r="E670" s="11"/>
      <c r="F670" s="12"/>
      <c r="H670" s="11"/>
    </row>
    <row r="671" spans="4:8" ht="13" x14ac:dyDescent="0.15">
      <c r="D671" s="1"/>
      <c r="E671" s="11"/>
      <c r="F671" s="12"/>
      <c r="H671" s="11"/>
    </row>
    <row r="672" spans="4:8" ht="13" x14ac:dyDescent="0.15">
      <c r="D672" s="1"/>
      <c r="E672" s="11"/>
      <c r="F672" s="12"/>
      <c r="H672" s="11"/>
    </row>
    <row r="673" spans="4:8" ht="13" x14ac:dyDescent="0.15">
      <c r="D673" s="1"/>
      <c r="E673" s="11"/>
      <c r="F673" s="12"/>
      <c r="H673" s="11"/>
    </row>
    <row r="674" spans="4:8" ht="13" x14ac:dyDescent="0.15">
      <c r="D674" s="1"/>
      <c r="E674" s="11"/>
      <c r="F674" s="12"/>
      <c r="H674" s="11"/>
    </row>
    <row r="675" spans="4:8" ht="13" x14ac:dyDescent="0.15">
      <c r="D675" s="1"/>
      <c r="E675" s="11"/>
      <c r="F675" s="12"/>
      <c r="H675" s="11"/>
    </row>
    <row r="676" spans="4:8" ht="13" x14ac:dyDescent="0.15">
      <c r="D676" s="1"/>
      <c r="E676" s="11"/>
      <c r="F676" s="12"/>
      <c r="H676" s="11"/>
    </row>
    <row r="677" spans="4:8" ht="13" x14ac:dyDescent="0.15">
      <c r="D677" s="1"/>
      <c r="E677" s="11"/>
      <c r="F677" s="12"/>
      <c r="H677" s="11"/>
    </row>
    <row r="678" spans="4:8" ht="13" x14ac:dyDescent="0.15">
      <c r="D678" s="1"/>
      <c r="E678" s="11"/>
      <c r="F678" s="12"/>
      <c r="H678" s="11"/>
    </row>
    <row r="679" spans="4:8" ht="13" x14ac:dyDescent="0.15">
      <c r="D679" s="1"/>
      <c r="E679" s="11"/>
      <c r="F679" s="12"/>
      <c r="H679" s="11"/>
    </row>
    <row r="680" spans="4:8" ht="13" x14ac:dyDescent="0.15">
      <c r="D680" s="1"/>
      <c r="E680" s="11"/>
      <c r="F680" s="12"/>
      <c r="H680" s="11"/>
    </row>
    <row r="681" spans="4:8" ht="13" x14ac:dyDescent="0.15">
      <c r="D681" s="1"/>
      <c r="E681" s="11"/>
      <c r="F681" s="12"/>
      <c r="H681" s="11"/>
    </row>
    <row r="682" spans="4:8" ht="13" x14ac:dyDescent="0.15">
      <c r="D682" s="1"/>
      <c r="E682" s="11"/>
      <c r="F682" s="12"/>
      <c r="H682" s="11"/>
    </row>
    <row r="683" spans="4:8" ht="13" x14ac:dyDescent="0.15">
      <c r="D683" s="1"/>
      <c r="E683" s="11"/>
      <c r="F683" s="12"/>
      <c r="H683" s="11"/>
    </row>
    <row r="684" spans="4:8" ht="13" x14ac:dyDescent="0.15">
      <c r="D684" s="1"/>
      <c r="E684" s="11"/>
      <c r="F684" s="12"/>
      <c r="H684" s="11"/>
    </row>
    <row r="685" spans="4:8" ht="13" x14ac:dyDescent="0.15">
      <c r="D685" s="1"/>
      <c r="E685" s="11"/>
      <c r="F685" s="12"/>
      <c r="H685" s="11"/>
    </row>
    <row r="686" spans="4:8" ht="13" x14ac:dyDescent="0.15">
      <c r="D686" s="1"/>
      <c r="E686" s="11"/>
      <c r="F686" s="12"/>
      <c r="H686" s="11"/>
    </row>
    <row r="687" spans="4:8" ht="13" x14ac:dyDescent="0.15">
      <c r="D687" s="1"/>
      <c r="E687" s="11"/>
      <c r="F687" s="12"/>
      <c r="H687" s="11"/>
    </row>
    <row r="688" spans="4:8" ht="13" x14ac:dyDescent="0.15">
      <c r="D688" s="1"/>
      <c r="E688" s="11"/>
      <c r="F688" s="12"/>
      <c r="H688" s="11"/>
    </row>
    <row r="689" spans="4:8" ht="13" x14ac:dyDescent="0.15">
      <c r="D689" s="1"/>
      <c r="E689" s="11"/>
      <c r="F689" s="12"/>
      <c r="H689" s="11"/>
    </row>
    <row r="690" spans="4:8" ht="13" x14ac:dyDescent="0.15">
      <c r="D690" s="1"/>
      <c r="E690" s="11"/>
      <c r="F690" s="12"/>
      <c r="H690" s="11"/>
    </row>
    <row r="691" spans="4:8" ht="13" x14ac:dyDescent="0.15">
      <c r="D691" s="1"/>
      <c r="E691" s="11"/>
      <c r="F691" s="12"/>
      <c r="H691" s="11"/>
    </row>
    <row r="692" spans="4:8" ht="13" x14ac:dyDescent="0.15">
      <c r="D692" s="1"/>
      <c r="E692" s="11"/>
      <c r="F692" s="12"/>
      <c r="H692" s="11"/>
    </row>
    <row r="693" spans="4:8" ht="13" x14ac:dyDescent="0.15">
      <c r="D693" s="1"/>
      <c r="E693" s="11"/>
      <c r="F693" s="12"/>
      <c r="H693" s="11"/>
    </row>
    <row r="694" spans="4:8" ht="13" x14ac:dyDescent="0.15">
      <c r="D694" s="1"/>
      <c r="E694" s="11"/>
      <c r="F694" s="12"/>
      <c r="H694" s="11"/>
    </row>
    <row r="695" spans="4:8" ht="13" x14ac:dyDescent="0.15">
      <c r="D695" s="1"/>
      <c r="E695" s="11"/>
      <c r="F695" s="12"/>
      <c r="H695" s="11"/>
    </row>
    <row r="696" spans="4:8" ht="13" x14ac:dyDescent="0.15">
      <c r="D696" s="1"/>
      <c r="E696" s="11"/>
      <c r="F696" s="12"/>
      <c r="H696" s="11"/>
    </row>
    <row r="697" spans="4:8" ht="13" x14ac:dyDescent="0.15">
      <c r="D697" s="1"/>
      <c r="E697" s="11"/>
      <c r="F697" s="12"/>
      <c r="H697" s="11"/>
    </row>
    <row r="698" spans="4:8" ht="13" x14ac:dyDescent="0.15">
      <c r="D698" s="1"/>
      <c r="E698" s="11"/>
      <c r="F698" s="12"/>
      <c r="H698" s="11"/>
    </row>
    <row r="699" spans="4:8" ht="13" x14ac:dyDescent="0.15">
      <c r="D699" s="1"/>
      <c r="E699" s="11"/>
      <c r="F699" s="12"/>
      <c r="H699" s="11"/>
    </row>
    <row r="700" spans="4:8" ht="13" x14ac:dyDescent="0.15">
      <c r="D700" s="1"/>
      <c r="E700" s="11"/>
      <c r="F700" s="12"/>
      <c r="H700" s="11"/>
    </row>
    <row r="701" spans="4:8" ht="13" x14ac:dyDescent="0.15">
      <c r="D701" s="1"/>
      <c r="E701" s="11"/>
      <c r="F701" s="12"/>
      <c r="H701" s="11"/>
    </row>
    <row r="702" spans="4:8" ht="13" x14ac:dyDescent="0.15">
      <c r="D702" s="1"/>
      <c r="E702" s="11"/>
      <c r="F702" s="12"/>
      <c r="H702" s="11"/>
    </row>
    <row r="703" spans="4:8" ht="13" x14ac:dyDescent="0.15">
      <c r="D703" s="1"/>
      <c r="E703" s="11"/>
      <c r="F703" s="12"/>
      <c r="H703" s="11"/>
    </row>
    <row r="704" spans="4:8" ht="13" x14ac:dyDescent="0.15">
      <c r="D704" s="1"/>
      <c r="E704" s="11"/>
      <c r="F704" s="12"/>
      <c r="H704" s="11"/>
    </row>
    <row r="705" spans="4:8" ht="13" x14ac:dyDescent="0.15">
      <c r="D705" s="1"/>
      <c r="E705" s="11"/>
      <c r="F705" s="12"/>
      <c r="H705" s="11"/>
    </row>
    <row r="706" spans="4:8" ht="13" x14ac:dyDescent="0.15">
      <c r="D706" s="1"/>
      <c r="E706" s="11"/>
      <c r="F706" s="12"/>
      <c r="H706" s="11"/>
    </row>
    <row r="707" spans="4:8" ht="13" x14ac:dyDescent="0.15">
      <c r="D707" s="1"/>
      <c r="E707" s="11"/>
      <c r="F707" s="12"/>
      <c r="H707" s="11"/>
    </row>
    <row r="708" spans="4:8" ht="13" x14ac:dyDescent="0.15">
      <c r="D708" s="1"/>
      <c r="E708" s="11"/>
      <c r="F708" s="12"/>
      <c r="H708" s="11"/>
    </row>
    <row r="709" spans="4:8" ht="13" x14ac:dyDescent="0.15">
      <c r="D709" s="1"/>
      <c r="E709" s="11"/>
      <c r="F709" s="12"/>
      <c r="H709" s="11"/>
    </row>
    <row r="710" spans="4:8" ht="13" x14ac:dyDescent="0.15">
      <c r="D710" s="1"/>
      <c r="E710" s="11"/>
      <c r="F710" s="12"/>
      <c r="H710" s="11"/>
    </row>
    <row r="711" spans="4:8" ht="13" x14ac:dyDescent="0.15">
      <c r="D711" s="1"/>
      <c r="E711" s="11"/>
      <c r="F711" s="12"/>
      <c r="H711" s="11"/>
    </row>
    <row r="712" spans="4:8" ht="13" x14ac:dyDescent="0.15">
      <c r="D712" s="1"/>
      <c r="E712" s="11"/>
      <c r="F712" s="12"/>
      <c r="H712" s="11"/>
    </row>
    <row r="713" spans="4:8" ht="13" x14ac:dyDescent="0.15">
      <c r="D713" s="1"/>
      <c r="E713" s="11"/>
      <c r="F713" s="12"/>
      <c r="H713" s="11"/>
    </row>
    <row r="714" spans="4:8" ht="13" x14ac:dyDescent="0.15">
      <c r="D714" s="1"/>
      <c r="E714" s="11"/>
      <c r="F714" s="12"/>
      <c r="H714" s="11"/>
    </row>
    <row r="715" spans="4:8" ht="13" x14ac:dyDescent="0.15">
      <c r="D715" s="1"/>
      <c r="E715" s="11"/>
      <c r="F715" s="12"/>
      <c r="H715" s="11"/>
    </row>
    <row r="716" spans="4:8" ht="13" x14ac:dyDescent="0.15">
      <c r="D716" s="1"/>
      <c r="E716" s="11"/>
      <c r="F716" s="12"/>
      <c r="H716" s="11"/>
    </row>
    <row r="717" spans="4:8" ht="13" x14ac:dyDescent="0.15">
      <c r="D717" s="1"/>
      <c r="E717" s="11"/>
      <c r="F717" s="12"/>
      <c r="H717" s="11"/>
    </row>
    <row r="718" spans="4:8" ht="13" x14ac:dyDescent="0.15">
      <c r="D718" s="1"/>
      <c r="E718" s="11"/>
      <c r="F718" s="12"/>
      <c r="H718" s="11"/>
    </row>
    <row r="719" spans="4:8" ht="13" x14ac:dyDescent="0.15">
      <c r="D719" s="1"/>
      <c r="E719" s="11"/>
      <c r="F719" s="12"/>
      <c r="H719" s="11"/>
    </row>
    <row r="720" spans="4:8" ht="13" x14ac:dyDescent="0.15">
      <c r="D720" s="1"/>
      <c r="E720" s="11"/>
      <c r="F720" s="12"/>
      <c r="H720" s="11"/>
    </row>
    <row r="721" spans="4:8" ht="13" x14ac:dyDescent="0.15">
      <c r="D721" s="1"/>
      <c r="E721" s="11"/>
      <c r="F721" s="12"/>
      <c r="H721" s="11"/>
    </row>
    <row r="722" spans="4:8" ht="13" x14ac:dyDescent="0.15">
      <c r="D722" s="1"/>
      <c r="E722" s="11"/>
      <c r="F722" s="12"/>
      <c r="H722" s="11"/>
    </row>
    <row r="723" spans="4:8" ht="13" x14ac:dyDescent="0.15">
      <c r="D723" s="1"/>
      <c r="E723" s="11"/>
      <c r="F723" s="12"/>
      <c r="H723" s="11"/>
    </row>
    <row r="724" spans="4:8" ht="13" x14ac:dyDescent="0.15">
      <c r="D724" s="1"/>
      <c r="E724" s="11"/>
      <c r="F724" s="12"/>
      <c r="H724" s="11"/>
    </row>
    <row r="725" spans="4:8" ht="13" x14ac:dyDescent="0.15">
      <c r="D725" s="1"/>
      <c r="E725" s="11"/>
      <c r="F725" s="12"/>
      <c r="H725" s="11"/>
    </row>
    <row r="726" spans="4:8" ht="13" x14ac:dyDescent="0.15">
      <c r="D726" s="1"/>
      <c r="E726" s="11"/>
      <c r="F726" s="12"/>
      <c r="H726" s="11"/>
    </row>
    <row r="727" spans="4:8" ht="13" x14ac:dyDescent="0.15">
      <c r="D727" s="1"/>
      <c r="E727" s="11"/>
      <c r="F727" s="12"/>
      <c r="H727" s="11"/>
    </row>
    <row r="728" spans="4:8" ht="13" x14ac:dyDescent="0.15">
      <c r="D728" s="1"/>
      <c r="E728" s="11"/>
      <c r="F728" s="12"/>
      <c r="H728" s="11"/>
    </row>
    <row r="729" spans="4:8" ht="13" x14ac:dyDescent="0.15">
      <c r="D729" s="1"/>
      <c r="E729" s="11"/>
      <c r="F729" s="12"/>
      <c r="H729" s="11"/>
    </row>
    <row r="730" spans="4:8" ht="13" x14ac:dyDescent="0.15">
      <c r="D730" s="1"/>
      <c r="E730" s="11"/>
      <c r="F730" s="12"/>
      <c r="H730" s="11"/>
    </row>
    <row r="731" spans="4:8" ht="13" x14ac:dyDescent="0.15">
      <c r="D731" s="1"/>
      <c r="E731" s="11"/>
      <c r="F731" s="12"/>
      <c r="H731" s="11"/>
    </row>
  </sheetData>
  <customSheetViews>
    <customSheetView guid="{B5763548-DE6F-44E8-834D-07734F71FD52}" filter="1" showAutoFilter="1">
      <pageMargins left="0.7" right="0.7" top="0.75" bottom="0.75" header="0.3" footer="0.3"/>
      <autoFilter ref="C1:J50" xr:uid="{409A46A3-B67E-5846-BB55-E00AB54EF2ED}"/>
    </customSheetView>
  </customSheetViews>
  <hyperlinks>
    <hyperlink ref="H11" r:id="rId1" location="gid=1662532360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K3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64" customWidth="1"/>
    <col min="3" max="3" width="10.1640625" customWidth="1"/>
    <col min="4" max="4" width="14.1640625" customWidth="1"/>
    <col min="5" max="5" width="16.33203125" customWidth="1"/>
    <col min="6" max="6" width="10.6640625" customWidth="1"/>
    <col min="7" max="7" width="8.6640625" customWidth="1"/>
    <col min="8" max="8" width="10.6640625" customWidth="1"/>
    <col min="9" max="9" width="12.6640625" customWidth="1"/>
    <col min="10" max="10" width="14.33203125" customWidth="1"/>
    <col min="11" max="11" width="13.5" customWidth="1"/>
  </cols>
  <sheetData>
    <row r="1" spans="1:11" ht="15" x14ac:dyDescent="0.2">
      <c r="A1" s="16"/>
      <c r="B1" s="16"/>
      <c r="C1" s="16" t="s">
        <v>918</v>
      </c>
      <c r="D1" s="16" t="s">
        <v>919</v>
      </c>
      <c r="E1" s="16"/>
      <c r="F1" s="16" t="s">
        <v>920</v>
      </c>
      <c r="G1" s="16" t="s">
        <v>921</v>
      </c>
      <c r="H1" s="16" t="s">
        <v>922</v>
      </c>
      <c r="I1" s="2" t="s">
        <v>923</v>
      </c>
      <c r="J1" s="2" t="s">
        <v>924</v>
      </c>
      <c r="K1" s="1" t="s">
        <v>925</v>
      </c>
    </row>
    <row r="2" spans="1:11" ht="15" x14ac:dyDescent="0.2">
      <c r="A2" s="16" t="s">
        <v>926</v>
      </c>
      <c r="B2" s="16" t="str">
        <f ca="1">IFERROR(__xludf.DUMMYFUNCTION("GOOGLETRANSLATE(SUBSTITUTE(A2,""_"","" ""),""nl"",""en"")"),"person age during research")</f>
        <v>person age during research</v>
      </c>
      <c r="C2" s="17">
        <v>-3.0266E-3</v>
      </c>
      <c r="D2" s="17">
        <f t="shared" ref="D2:D3" si="0">ABS(C2)</f>
        <v>3.0266E-3</v>
      </c>
      <c r="E2" s="17">
        <f t="shared" ref="E2:E3" si="1">D2/MAX($D$3:$D$317)</f>
        <v>4.6834529858134667E-3</v>
      </c>
      <c r="F2" s="17">
        <v>0</v>
      </c>
      <c r="G2" s="17">
        <v>-38.14</v>
      </c>
      <c r="H2" s="18">
        <v>5.5499999999999997E-301</v>
      </c>
      <c r="I2" s="2">
        <v>100</v>
      </c>
      <c r="J2" s="2">
        <f t="shared" ref="J2:J256" si="2">I2/MAX($I$2:$I$316)</f>
        <v>1</v>
      </c>
      <c r="K2" s="2">
        <f t="shared" ref="K2:K256" si="3">(E2+J2)/2</f>
        <v>0.50234172649290676</v>
      </c>
    </row>
    <row r="3" spans="1:11" ht="15" x14ac:dyDescent="0.2">
      <c r="A3" s="16" t="s">
        <v>3</v>
      </c>
      <c r="B3" s="16" t="str">
        <f ca="1">IFERROR(__xludf.DUMMYFUNCTION("GOOGLETRANSLATE(SUBSTITUTE(A3,""_"","" ""),""nl"",""en"")"),"Relationship Other Kostsender")</f>
        <v>Relationship Other Kostsender</v>
      </c>
      <c r="C3" s="17">
        <v>0.1193868</v>
      </c>
      <c r="D3" s="17">
        <f t="shared" si="0"/>
        <v>0.1193868</v>
      </c>
      <c r="E3" s="17">
        <f t="shared" si="1"/>
        <v>0.18474276908964357</v>
      </c>
      <c r="F3" s="17">
        <v>0</v>
      </c>
      <c r="G3" s="17">
        <v>54.27</v>
      </c>
      <c r="H3" s="17">
        <v>0</v>
      </c>
      <c r="I3" s="2">
        <v>20.748949566602999</v>
      </c>
      <c r="J3" s="2">
        <f t="shared" si="2"/>
        <v>0.20748949566602998</v>
      </c>
      <c r="K3" s="2">
        <f t="shared" si="3"/>
        <v>0.19611613237783676</v>
      </c>
    </row>
    <row r="4" spans="1:11" ht="15" hidden="1" x14ac:dyDescent="0.2">
      <c r="A4" s="16" t="s">
        <v>927</v>
      </c>
      <c r="B4" s="16"/>
      <c r="C4" s="17">
        <v>-2.0445490000000001E-3</v>
      </c>
      <c r="D4" s="17"/>
      <c r="E4" s="17"/>
      <c r="F4" s="17">
        <v>1.095635E-3</v>
      </c>
      <c r="G4" s="17">
        <v>-1.866086227</v>
      </c>
      <c r="H4" s="17">
        <v>6.2052910000000003E-2</v>
      </c>
      <c r="I4" s="2">
        <v>35.485673710635602</v>
      </c>
      <c r="J4" s="2">
        <f t="shared" si="2"/>
        <v>0.35485673710635601</v>
      </c>
      <c r="K4" s="2">
        <f t="shared" si="3"/>
        <v>0.17742836855317801</v>
      </c>
    </row>
    <row r="5" spans="1:11" ht="15" x14ac:dyDescent="0.2">
      <c r="A5" s="16" t="s">
        <v>6</v>
      </c>
      <c r="B5" s="16" t="str">
        <f ca="1">IFERROR(__xludf.DUMMYFUNCTION("GOOGLETRANSLATE(SUBSTITUTE(A5,""_"","" ""),""nl"",""en"")"),"Apply professional expertise competence")</f>
        <v>Apply professional expertise competence</v>
      </c>
      <c r="C5" s="17">
        <v>3.5391300000000001E-2</v>
      </c>
      <c r="D5" s="17">
        <f t="shared" ref="D5:D7" si="4">ABS(C5)</f>
        <v>3.5391300000000001E-2</v>
      </c>
      <c r="E5" s="17">
        <f t="shared" ref="E5:E7" si="5">D5/MAX($D$3:$D$317)</f>
        <v>5.4765575119546737E-2</v>
      </c>
      <c r="F5" s="17">
        <v>0</v>
      </c>
      <c r="G5" s="17">
        <v>12.29</v>
      </c>
      <c r="H5" s="17">
        <v>0</v>
      </c>
      <c r="I5" s="2">
        <v>25.106633247031599</v>
      </c>
      <c r="J5" s="2">
        <f t="shared" si="2"/>
        <v>0.25106633247031601</v>
      </c>
      <c r="K5" s="2">
        <f t="shared" si="3"/>
        <v>0.15291595379493136</v>
      </c>
    </row>
    <row r="6" spans="1:11" ht="15" x14ac:dyDescent="0.2">
      <c r="A6" s="16" t="s">
        <v>7</v>
      </c>
      <c r="B6" s="16" t="str">
        <f ca="1">IFERROR(__xludf.DUMMYFUNCTION("GOOGLETRANSLATE(SUBSTITUTE(A6,""_"","" ""),""nl"",""en"")"),"Contacts Subject No Show")</f>
        <v>Contacts Subject No Show</v>
      </c>
      <c r="C6" s="17">
        <v>6.5290000000000001E-3</v>
      </c>
      <c r="D6" s="17">
        <f t="shared" si="4"/>
        <v>6.5290000000000001E-3</v>
      </c>
      <c r="E6" s="17">
        <f t="shared" si="5"/>
        <v>1.0103173377511441E-2</v>
      </c>
      <c r="F6" s="17">
        <v>0</v>
      </c>
      <c r="G6" s="17">
        <v>8.4600000000000009</v>
      </c>
      <c r="H6" s="18">
        <v>3.0099999999999999E-17</v>
      </c>
      <c r="I6" s="2">
        <v>27.874801535345402</v>
      </c>
      <c r="J6" s="2">
        <f t="shared" si="2"/>
        <v>0.278748015353454</v>
      </c>
      <c r="K6" s="2">
        <f t="shared" si="3"/>
        <v>0.14442559436548272</v>
      </c>
    </row>
    <row r="7" spans="1:11" ht="15" x14ac:dyDescent="0.2">
      <c r="A7" s="16" t="s">
        <v>50</v>
      </c>
      <c r="B7" s="16" t="str">
        <f ca="1">IFERROR(__xludf.DUMMYFUNCTION("GOOGLETRANSLATE(SUBSTITUTE(A7,""_"","" ""),""nl"",""en"")"),"PLA History Development")</f>
        <v>PLA History Development</v>
      </c>
      <c r="C7" s="17">
        <v>-4.4626199999999998E-2</v>
      </c>
      <c r="D7" s="17">
        <f t="shared" si="4"/>
        <v>4.4626199999999998E-2</v>
      </c>
      <c r="E7" s="17">
        <f t="shared" si="5"/>
        <v>6.9055940539056671E-2</v>
      </c>
      <c r="F7" s="17">
        <v>0</v>
      </c>
      <c r="G7" s="17">
        <v>-17.73</v>
      </c>
      <c r="H7" s="18">
        <v>1.77E-69</v>
      </c>
      <c r="I7" s="2">
        <v>19.1112949665124</v>
      </c>
      <c r="J7" s="2">
        <f t="shared" si="2"/>
        <v>0.19111294966512399</v>
      </c>
      <c r="K7" s="2">
        <f t="shared" si="3"/>
        <v>0.13008444510209033</v>
      </c>
    </row>
    <row r="8" spans="1:11" ht="15" hidden="1" x14ac:dyDescent="0.2">
      <c r="A8" s="16" t="s">
        <v>9</v>
      </c>
      <c r="B8" s="16"/>
      <c r="C8" s="17">
        <v>7.1406699999999998E-4</v>
      </c>
      <c r="D8" s="17"/>
      <c r="E8" s="17"/>
      <c r="F8" s="17">
        <v>8.0548000000000002E-4</v>
      </c>
      <c r="G8" s="17">
        <v>0.88651093700000005</v>
      </c>
      <c r="H8" s="17">
        <v>0.37535946799999997</v>
      </c>
      <c r="I8" s="2">
        <v>24.101367423066002</v>
      </c>
      <c r="J8" s="2">
        <f t="shared" si="2"/>
        <v>0.24101367423066</v>
      </c>
      <c r="K8" s="2">
        <f t="shared" si="3"/>
        <v>0.12050683711533</v>
      </c>
    </row>
    <row r="9" spans="1:11" ht="15" x14ac:dyDescent="0.2">
      <c r="A9" s="16" t="s">
        <v>10</v>
      </c>
      <c r="B9" s="16" t="str">
        <f ca="1">IFERROR(__xludf.DUMMYFUNCTION("GOOGLETRANSLATE(SUBSTITUTE(A9,""_"","" ""),""nl"",""en"")"),"Address days at address")</f>
        <v>Address days at address</v>
      </c>
      <c r="C9" s="17">
        <v>-1.5999999999999999E-6</v>
      </c>
      <c r="D9" s="17">
        <f t="shared" ref="D9:D12" si="6">ABS(C9)</f>
        <v>1.5999999999999999E-6</v>
      </c>
      <c r="E9" s="17">
        <f t="shared" ref="E9:E12" si="7">D9/MAX($D$3:$D$317)</f>
        <v>2.4758887125162052E-6</v>
      </c>
      <c r="F9" s="17">
        <v>0</v>
      </c>
      <c r="G9" s="17">
        <v>-14.8</v>
      </c>
      <c r="H9" s="18">
        <v>3.7699999999999997E-49</v>
      </c>
      <c r="I9" s="2">
        <v>23.329141197404699</v>
      </c>
      <c r="J9" s="2">
        <f t="shared" si="2"/>
        <v>0.23329141197404699</v>
      </c>
      <c r="K9" s="2">
        <f t="shared" si="3"/>
        <v>0.11664694393137975</v>
      </c>
    </row>
    <row r="10" spans="1:11" ht="15" x14ac:dyDescent="0.2">
      <c r="A10" s="16" t="s">
        <v>12</v>
      </c>
      <c r="B10" s="16" t="str">
        <f ca="1">IFERROR(__xludf.DUMMYFUNCTION("GOOGLETRANSLATE(SUBSTITUTE(A10,""_"","" ""),""nl"",""en"")"),"Instrument Ladder Current activation")</f>
        <v>Instrument Ladder Current activation</v>
      </c>
      <c r="C10" s="17">
        <v>-2.10627E-2</v>
      </c>
      <c r="D10" s="17">
        <f t="shared" si="6"/>
        <v>2.10627E-2</v>
      </c>
      <c r="E10" s="17">
        <f t="shared" si="7"/>
        <v>3.2593063240696926E-2</v>
      </c>
      <c r="F10" s="17">
        <v>0</v>
      </c>
      <c r="G10" s="17">
        <v>-11.38</v>
      </c>
      <c r="H10" s="18">
        <v>7.5000000000000006E-30</v>
      </c>
      <c r="I10" s="2">
        <v>17.504786804464899</v>
      </c>
      <c r="J10" s="2">
        <f t="shared" si="2"/>
        <v>0.175047868044649</v>
      </c>
      <c r="K10" s="2">
        <f t="shared" si="3"/>
        <v>0.10382046564267297</v>
      </c>
    </row>
    <row r="11" spans="1:11" ht="15" x14ac:dyDescent="0.2">
      <c r="A11" s="16" t="s">
        <v>5</v>
      </c>
      <c r="B11" s="16" t="str">
        <f ca="1">IFERROR(__xludf.DUMMYFUNCTION("GOOGLETRANSLATE(SUBSTITUTE(A11,""_"","" ""),""nl"",""en"")"),"Contacts species last year Document outgoing")</f>
        <v>Contacts species last year Document outgoing</v>
      </c>
      <c r="C11" s="17">
        <v>2.7572E-3</v>
      </c>
      <c r="D11" s="17">
        <f t="shared" si="6"/>
        <v>2.7572E-3</v>
      </c>
      <c r="E11" s="17">
        <f t="shared" si="7"/>
        <v>4.2665752238435512E-3</v>
      </c>
      <c r="F11" s="17">
        <v>0</v>
      </c>
      <c r="G11" s="17">
        <v>8.6300000000000008</v>
      </c>
      <c r="H11" s="18">
        <v>6.7900000000000001E-18</v>
      </c>
      <c r="I11" s="2">
        <v>15.4138352665776</v>
      </c>
      <c r="J11" s="2">
        <f t="shared" si="2"/>
        <v>0.154138352665776</v>
      </c>
      <c r="K11" s="2">
        <f t="shared" si="3"/>
        <v>7.9202463944809773E-2</v>
      </c>
    </row>
    <row r="12" spans="1:11" ht="15" x14ac:dyDescent="0.2">
      <c r="A12" s="16" t="s">
        <v>913</v>
      </c>
      <c r="B12" s="16" t="str">
        <f ca="1">IFERROR(__xludf.DUMMYFUNCTION("GOOGLETRANSLATE(SUBSTITUTE(A12,""_"","" ""),""nl"",""en"")"),"person gender woman")</f>
        <v>person gender woman</v>
      </c>
      <c r="C12" s="17">
        <v>3.4220100000000003E-2</v>
      </c>
      <c r="D12" s="17">
        <f t="shared" si="6"/>
        <v>3.4220100000000003E-2</v>
      </c>
      <c r="E12" s="17">
        <f t="shared" si="7"/>
        <v>5.2953224581984877E-2</v>
      </c>
      <c r="F12" s="17">
        <v>0</v>
      </c>
      <c r="G12" s="17">
        <v>22.47</v>
      </c>
      <c r="H12" s="18">
        <v>1.33E-109</v>
      </c>
      <c r="I12" s="2">
        <v>9.9039540427755508</v>
      </c>
      <c r="J12" s="2">
        <f t="shared" si="2"/>
        <v>9.9039540427755507E-2</v>
      </c>
      <c r="K12" s="2">
        <f t="shared" si="3"/>
        <v>7.5996382504870189E-2</v>
      </c>
    </row>
    <row r="13" spans="1:11" ht="15" hidden="1" x14ac:dyDescent="0.2">
      <c r="A13" s="16" t="s">
        <v>11</v>
      </c>
      <c r="B13" s="16"/>
      <c r="C13" s="18">
        <v>2.34E-6</v>
      </c>
      <c r="D13" s="18"/>
      <c r="E13" s="18"/>
      <c r="F13" s="18">
        <v>2.7300000000000001E-6</v>
      </c>
      <c r="G13" s="17">
        <v>0.85864476300000003</v>
      </c>
      <c r="H13" s="17">
        <v>0.39055314299999999</v>
      </c>
      <c r="I13" s="2">
        <v>15.15384566458</v>
      </c>
      <c r="J13" s="2">
        <f t="shared" si="2"/>
        <v>0.15153845664580001</v>
      </c>
      <c r="K13" s="19">
        <f t="shared" si="3"/>
        <v>7.5769228322900006E-2</v>
      </c>
    </row>
    <row r="14" spans="1:11" ht="15" x14ac:dyDescent="0.2">
      <c r="A14" s="16" t="s">
        <v>8</v>
      </c>
      <c r="B14" s="16" t="str">
        <f ca="1">IFERROR(__xludf.DUMMYFUNCTION("GOOGLETRANSLATE(SUBSTITUTE(A14,""_"","" ""),""nl"",""en"")"),"Personal characteristics days since rise")</f>
        <v>Personal characteristics days since rise</v>
      </c>
      <c r="C14" s="17">
        <v>-2.62E-5</v>
      </c>
      <c r="D14" s="17">
        <f t="shared" ref="D14:D16" si="8">ABS(C14)</f>
        <v>2.62E-5</v>
      </c>
      <c r="E14" s="17">
        <f t="shared" ref="E14:E16" si="9">D14/MAX($D$3:$D$317)</f>
        <v>4.054267766745286E-5</v>
      </c>
      <c r="F14" s="17">
        <v>0</v>
      </c>
      <c r="G14" s="17">
        <v>-12.82</v>
      </c>
      <c r="H14" s="18">
        <v>2.1099999999999999E-37</v>
      </c>
      <c r="I14" s="2">
        <v>14.928515995963201</v>
      </c>
      <c r="J14" s="2">
        <f t="shared" si="2"/>
        <v>0.14928515995963201</v>
      </c>
      <c r="K14" s="2">
        <f t="shared" si="3"/>
        <v>7.4662851318649734E-2</v>
      </c>
    </row>
    <row r="15" spans="1:11" ht="15" x14ac:dyDescent="0.2">
      <c r="A15" s="16" t="s">
        <v>16</v>
      </c>
      <c r="B15" s="16" t="str">
        <f ca="1">IFERROR(__xludf.DUMMYFUNCTION("GOOGLETRANSLATE(SUBSTITUTE(A15,""_"","" ""),""nl"",""en"")"),"Exemption from Dagen Hist because of your medical circumstances")</f>
        <v>Exemption from Dagen Hist because of your medical circumstances</v>
      </c>
      <c r="C15" s="17">
        <v>-5.3000000000000001E-6</v>
      </c>
      <c r="D15" s="17">
        <f t="shared" si="8"/>
        <v>5.3000000000000001E-6</v>
      </c>
      <c r="E15" s="17">
        <f t="shared" si="9"/>
        <v>8.2013813602099296E-6</v>
      </c>
      <c r="F15" s="17">
        <v>0</v>
      </c>
      <c r="G15" s="17">
        <v>-8.8000000000000007</v>
      </c>
      <c r="H15" s="18">
        <v>1.59E-18</v>
      </c>
      <c r="I15" s="2">
        <v>13.8170249984941</v>
      </c>
      <c r="J15" s="2">
        <f t="shared" si="2"/>
        <v>0.13817024998494098</v>
      </c>
      <c r="K15" s="2">
        <f t="shared" si="3"/>
        <v>6.9089225683150596E-2</v>
      </c>
    </row>
    <row r="16" spans="1:11" ht="15" x14ac:dyDescent="0.2">
      <c r="A16" s="16" t="s">
        <v>13</v>
      </c>
      <c r="B16" s="16" t="str">
        <f ca="1">IFERROR(__xludf.DUMMYFUNCTION("GOOGLETRANSLATE(SUBSTITUTE(A16,""_"","" ""),""nl"",""en"")"),"relationship partner Total days partner")</f>
        <v>relationship partner Total days partner</v>
      </c>
      <c r="C16" s="17">
        <v>3.5999999999999998E-6</v>
      </c>
      <c r="D16" s="17">
        <f t="shared" si="8"/>
        <v>3.5999999999999998E-6</v>
      </c>
      <c r="E16" s="17">
        <f t="shared" si="9"/>
        <v>5.5707496031614618E-6</v>
      </c>
      <c r="F16" s="17">
        <v>0</v>
      </c>
      <c r="G16" s="20">
        <v>7.23</v>
      </c>
      <c r="H16" s="18">
        <v>4.97E-13</v>
      </c>
      <c r="I16" s="2">
        <v>12.442484045972501</v>
      </c>
      <c r="J16" s="2">
        <f t="shared" si="2"/>
        <v>0.124424840459725</v>
      </c>
      <c r="K16" s="2">
        <f t="shared" si="3"/>
        <v>6.2215205604664085E-2</v>
      </c>
    </row>
    <row r="17" spans="1:11" ht="15" hidden="1" x14ac:dyDescent="0.2">
      <c r="A17" s="16" t="s">
        <v>27</v>
      </c>
      <c r="B17" s="16"/>
      <c r="C17" s="17">
        <v>-3.8668779999999998E-3</v>
      </c>
      <c r="D17" s="17"/>
      <c r="E17" s="17"/>
      <c r="F17" s="17">
        <v>2.462905E-3</v>
      </c>
      <c r="G17" s="17">
        <v>-1.570047596</v>
      </c>
      <c r="H17" s="17">
        <v>0.116429572</v>
      </c>
      <c r="I17" s="2">
        <v>11.9346682295393</v>
      </c>
      <c r="J17" s="2">
        <f t="shared" si="2"/>
        <v>0.119346682295393</v>
      </c>
      <c r="K17" s="2">
        <f t="shared" si="3"/>
        <v>5.9673341147696499E-2</v>
      </c>
    </row>
    <row r="18" spans="1:11" ht="15" x14ac:dyDescent="0.2">
      <c r="A18" s="16" t="s">
        <v>4</v>
      </c>
      <c r="B18" s="16" t="str">
        <f ca="1">IFERROR(__xludf.DUMMYFUNCTION("GOOGLETRANSLATE(SUBSTITUTE(A18,""_"","" ""),""nl"",""en"")"),"Relationship child current number")</f>
        <v>Relationship child current number</v>
      </c>
      <c r="C18" s="17">
        <v>-4.5764000000000004E-3</v>
      </c>
      <c r="D18" s="17">
        <f t="shared" ref="D18:D24" si="10">ABS(C18)</f>
        <v>4.5764000000000004E-3</v>
      </c>
      <c r="E18" s="17">
        <f t="shared" ref="E18:E24" si="11">D18/MAX($D$3:$D$317)</f>
        <v>7.0816606899744769E-3</v>
      </c>
      <c r="F18" s="17">
        <v>0</v>
      </c>
      <c r="G18" s="17">
        <v>-2.85</v>
      </c>
      <c r="H18" s="17">
        <v>4.4420500000000003E-3</v>
      </c>
      <c r="I18" s="2">
        <v>10.847997409546201</v>
      </c>
      <c r="J18" s="2">
        <f t="shared" si="2"/>
        <v>0.10847997409546201</v>
      </c>
      <c r="K18" s="2">
        <f t="shared" si="3"/>
        <v>5.7780817392718245E-2</v>
      </c>
    </row>
    <row r="19" spans="1:11" ht="15" x14ac:dyDescent="0.2">
      <c r="A19" s="16" t="s">
        <v>14</v>
      </c>
      <c r="B19" s="16" t="str">
        <f ca="1">IFERROR(__xludf.DUMMYFUNCTION("GOOGLETRANSLATE(SUBSTITUTE(A19,""_"","" ""),""nl"",""en"")"),"relationship child age difference parent first child")</f>
        <v>relationship child age difference parent first child</v>
      </c>
      <c r="C19" s="17">
        <v>5.9299999999999999E-4</v>
      </c>
      <c r="D19" s="17">
        <f t="shared" si="10"/>
        <v>5.9299999999999999E-4</v>
      </c>
      <c r="E19" s="17">
        <f t="shared" si="11"/>
        <v>9.1762625407631852E-4</v>
      </c>
      <c r="F19" s="17">
        <v>0</v>
      </c>
      <c r="G19" s="17">
        <v>8.34</v>
      </c>
      <c r="H19" s="18">
        <v>8.3399999999999997E-17</v>
      </c>
      <c r="I19" s="2">
        <v>11.1659153714029</v>
      </c>
      <c r="J19" s="2">
        <f t="shared" si="2"/>
        <v>0.111659153714029</v>
      </c>
      <c r="K19" s="2">
        <f t="shared" si="3"/>
        <v>5.628838998405266E-2</v>
      </c>
    </row>
    <row r="20" spans="1:11" ht="15" x14ac:dyDescent="0.2">
      <c r="A20" s="16" t="s">
        <v>15</v>
      </c>
      <c r="B20" s="16" t="str">
        <f ca="1">IFERROR(__xludf.DUMMYFUNCTION("GOOGLETRANSLATE(SUBSTITUTE(A20,""_"","" ""),""nl"",""en"")"),"Instrument Ladder History Activation")</f>
        <v>Instrument Ladder History Activation</v>
      </c>
      <c r="C20" s="17">
        <v>-3.0925000000000002E-3</v>
      </c>
      <c r="D20" s="17">
        <f t="shared" si="10"/>
        <v>3.0925000000000002E-3</v>
      </c>
      <c r="E20" s="17">
        <f t="shared" si="11"/>
        <v>4.7854286521602282E-3</v>
      </c>
      <c r="F20" s="17">
        <v>0</v>
      </c>
      <c r="G20" s="17">
        <v>-3.59</v>
      </c>
      <c r="H20" s="17">
        <v>3.3097999999999998E-4</v>
      </c>
      <c r="I20" s="2">
        <v>10.760432826565699</v>
      </c>
      <c r="J20" s="2">
        <f t="shared" si="2"/>
        <v>0.107604328265657</v>
      </c>
      <c r="K20" s="2">
        <f t="shared" si="3"/>
        <v>5.6194878458908609E-2</v>
      </c>
    </row>
    <row r="21" spans="1:11" ht="15" x14ac:dyDescent="0.2">
      <c r="A21" s="16" t="s">
        <v>29</v>
      </c>
      <c r="B21" s="16" t="str">
        <f ca="1">IFERROR(__xludf.DUMMYFUNCTION("GOOGLETRANSLATE(SUBSTITUTE(A21,""_"","" ""),""nl"",""en"")"),"Appointment exercise period")</f>
        <v>Appointment exercise period</v>
      </c>
      <c r="C21" s="17">
        <v>8.7586999999999995E-3</v>
      </c>
      <c r="D21" s="17">
        <f t="shared" si="10"/>
        <v>8.7586999999999995E-3</v>
      </c>
      <c r="E21" s="17">
        <f t="shared" si="11"/>
        <v>1.3553479041447304E-2</v>
      </c>
      <c r="F21" s="17">
        <v>0</v>
      </c>
      <c r="G21" s="17">
        <v>5.93</v>
      </c>
      <c r="H21" s="18">
        <v>3.0199999999999999E-9</v>
      </c>
      <c r="I21" s="2">
        <v>9.3556413137865704</v>
      </c>
      <c r="J21" s="2">
        <f t="shared" si="2"/>
        <v>9.355641313786571E-2</v>
      </c>
      <c r="K21" s="2">
        <f t="shared" si="3"/>
        <v>5.355494608965651E-2</v>
      </c>
    </row>
    <row r="22" spans="1:11" ht="15" x14ac:dyDescent="0.2">
      <c r="A22" s="16" t="s">
        <v>43</v>
      </c>
      <c r="B22" s="16" t="str">
        <f ca="1">IFERROR(__xludf.DUMMYFUNCTION("GOOGLETRANSLATE(SUBSTITUTE(A22,""_"","" ""),""nl"",""en"")"),"relationship child young adult")</f>
        <v>relationship child young adult</v>
      </c>
      <c r="C22" s="17">
        <v>1.5205700000000001E-2</v>
      </c>
      <c r="D22" s="17">
        <f t="shared" si="10"/>
        <v>1.5205700000000001E-2</v>
      </c>
      <c r="E22" s="17">
        <f t="shared" si="11"/>
        <v>2.3529763122442291E-2</v>
      </c>
      <c r="F22" s="17">
        <v>0</v>
      </c>
      <c r="G22" s="17">
        <v>16.739999999999998</v>
      </c>
      <c r="H22" s="18">
        <v>3.0800000000000002E-62</v>
      </c>
      <c r="I22" s="2">
        <v>7.9912239718481697</v>
      </c>
      <c r="J22" s="2">
        <f t="shared" si="2"/>
        <v>7.9912239718481701E-2</v>
      </c>
      <c r="K22" s="2">
        <f t="shared" si="3"/>
        <v>5.1721001420461994E-2</v>
      </c>
    </row>
    <row r="23" spans="1:11" ht="15" x14ac:dyDescent="0.2">
      <c r="A23" s="16" t="s">
        <v>21</v>
      </c>
      <c r="B23" s="16" t="str">
        <f ca="1">IFERROR(__xludf.DUMMYFUNCTION("GOOGLETRANSLATE(SUBSTITUTE(A23,""_"","" ""),""nl"",""en"")"),"availability number of history abnormal due to medical conditions")</f>
        <v>availability number of history abnormal due to medical conditions</v>
      </c>
      <c r="C23" s="17">
        <v>-9.8928000000000002E-3</v>
      </c>
      <c r="D23" s="17">
        <f t="shared" si="10"/>
        <v>9.8928000000000002E-3</v>
      </c>
      <c r="E23" s="17">
        <f t="shared" si="11"/>
        <v>1.5308419909487697E-2</v>
      </c>
      <c r="F23" s="17">
        <v>0</v>
      </c>
      <c r="G23" s="17">
        <v>-5.88</v>
      </c>
      <c r="H23" s="18">
        <v>4.1299999999999996E-9</v>
      </c>
      <c r="I23" s="2">
        <v>8.1477791177880405</v>
      </c>
      <c r="J23" s="2">
        <f t="shared" si="2"/>
        <v>8.1477791177880399E-2</v>
      </c>
      <c r="K23" s="2">
        <f t="shared" si="3"/>
        <v>4.8393105543684048E-2</v>
      </c>
    </row>
    <row r="24" spans="1:11" ht="15" x14ac:dyDescent="0.2">
      <c r="A24" s="16" t="s">
        <v>30</v>
      </c>
      <c r="B24" s="16" t="str">
        <f ca="1">IFERROR(__xludf.DUMMYFUNCTION("GOOGLETRANSLATE(SUBSTITUTE(A24,""_"","" ""),""nl"",""en"")"),"Exemption from Hist Hist temporary exemption from Laborverples and In return")</f>
        <v>Exemption from Hist Hist temporary exemption from Laborverples and In return</v>
      </c>
      <c r="C24" s="17">
        <v>-1.86407E-2</v>
      </c>
      <c r="D24" s="17">
        <f t="shared" si="10"/>
        <v>1.86407E-2</v>
      </c>
      <c r="E24" s="17">
        <f t="shared" si="11"/>
        <v>2.8845186702125516E-2</v>
      </c>
      <c r="F24" s="17">
        <v>0</v>
      </c>
      <c r="G24" s="17">
        <v>-6.61</v>
      </c>
      <c r="H24" s="18">
        <v>3.9499999999999999E-11</v>
      </c>
      <c r="I24" s="2">
        <v>6.6407430187550904</v>
      </c>
      <c r="J24" s="2">
        <f t="shared" si="2"/>
        <v>6.6407430187550909E-2</v>
      </c>
      <c r="K24" s="2">
        <f t="shared" si="3"/>
        <v>4.7626308444838214E-2</v>
      </c>
    </row>
    <row r="25" spans="1:11" ht="15" hidden="1" x14ac:dyDescent="0.2">
      <c r="A25" s="16" t="s">
        <v>25</v>
      </c>
      <c r="B25" s="16"/>
      <c r="C25" s="18">
        <v>2.7700000000000001E-7</v>
      </c>
      <c r="D25" s="18"/>
      <c r="E25" s="18"/>
      <c r="F25" s="18">
        <v>1.9000000000000001E-7</v>
      </c>
      <c r="G25" s="17">
        <v>1.4588988940000001</v>
      </c>
      <c r="H25" s="17">
        <v>0.14461828500000001</v>
      </c>
      <c r="I25" s="2">
        <v>9.0371369782603406</v>
      </c>
      <c r="J25" s="2">
        <f t="shared" si="2"/>
        <v>9.0371369782603406E-2</v>
      </c>
      <c r="K25" s="19">
        <f t="shared" si="3"/>
        <v>4.5185684891301703E-2</v>
      </c>
    </row>
    <row r="26" spans="1:11" ht="15" hidden="1" x14ac:dyDescent="0.2">
      <c r="A26" s="16" t="s">
        <v>20</v>
      </c>
      <c r="B26" s="16"/>
      <c r="C26" s="17">
        <v>-4.7397299999999998E-4</v>
      </c>
      <c r="D26" s="17"/>
      <c r="E26" s="17"/>
      <c r="F26" s="17">
        <v>6.6526599999999997E-4</v>
      </c>
      <c r="G26" s="17">
        <v>-0.71245589499999995</v>
      </c>
      <c r="H26" s="17">
        <v>0.47619592799999999</v>
      </c>
      <c r="I26" s="2">
        <v>8.9550541509408408</v>
      </c>
      <c r="J26" s="2">
        <f t="shared" si="2"/>
        <v>8.9550541509408402E-2</v>
      </c>
      <c r="K26" s="2">
        <f t="shared" si="3"/>
        <v>4.4775270754704201E-2</v>
      </c>
    </row>
    <row r="27" spans="1:11" ht="15" hidden="1" x14ac:dyDescent="0.2">
      <c r="A27" s="16" t="s">
        <v>22</v>
      </c>
      <c r="B27" s="16"/>
      <c r="C27" s="18">
        <v>1.1599999999999999E-6</v>
      </c>
      <c r="D27" s="18"/>
      <c r="E27" s="18"/>
      <c r="F27" s="18">
        <v>1.44E-6</v>
      </c>
      <c r="G27" s="17">
        <v>0.803246126</v>
      </c>
      <c r="H27" s="17">
        <v>0.42184789700000003</v>
      </c>
      <c r="I27" s="2">
        <v>8.6815318534939401</v>
      </c>
      <c r="J27" s="2">
        <f t="shared" si="2"/>
        <v>8.6815318534939401E-2</v>
      </c>
      <c r="K27" s="19">
        <f t="shared" si="3"/>
        <v>4.34076592674697E-2</v>
      </c>
    </row>
    <row r="28" spans="1:11" ht="15" x14ac:dyDescent="0.2">
      <c r="A28" s="16" t="s">
        <v>17</v>
      </c>
      <c r="B28" s="16" t="str">
        <f ca="1">IFERROR(__xludf.DUMMYFUNCTION("GOOGLETRANSLATE(SUBSTITUTE(A28,""_"","" ""),""nl"",""en"")"),"Appointment result filled unique")</f>
        <v>Appointment result filled unique</v>
      </c>
      <c r="C28" s="17">
        <v>2.7556E-3</v>
      </c>
      <c r="D28" s="17">
        <f t="shared" ref="D28:D33" si="12">ABS(C28)</f>
        <v>2.7556E-3</v>
      </c>
      <c r="E28" s="17">
        <f t="shared" ref="E28:E33" si="13">D28/MAX($D$3:$D$317)</f>
        <v>4.2640993351310344E-3</v>
      </c>
      <c r="F28" s="17">
        <v>0</v>
      </c>
      <c r="G28" s="17">
        <v>2.4</v>
      </c>
      <c r="H28" s="17">
        <v>1.6378200999999998E-2</v>
      </c>
      <c r="I28" s="2">
        <v>8.1824528893146908</v>
      </c>
      <c r="J28" s="2">
        <f t="shared" si="2"/>
        <v>8.1824528893146911E-2</v>
      </c>
      <c r="K28" s="2">
        <f t="shared" si="3"/>
        <v>4.3044314114138976E-2</v>
      </c>
    </row>
    <row r="29" spans="1:11" ht="15" x14ac:dyDescent="0.2">
      <c r="A29" s="16" t="s">
        <v>35</v>
      </c>
      <c r="B29" s="16" t="str">
        <f ca="1">IFERROR(__xludf.DUMMYFUNCTION("GOOGLETRANSLATE(SUBSTITUTE(A29,""_"","" ""),""nl"",""en"")"),"Instrument Reason Understanding History Successful")</f>
        <v>Instrument Reason Understanding History Successful</v>
      </c>
      <c r="C29" s="17">
        <v>-7.3442000000000004E-3</v>
      </c>
      <c r="D29" s="17">
        <f t="shared" si="12"/>
        <v>7.3442000000000004E-3</v>
      </c>
      <c r="E29" s="17">
        <f t="shared" si="13"/>
        <v>1.1364638676538447E-2</v>
      </c>
      <c r="F29" s="17">
        <v>0</v>
      </c>
      <c r="G29" s="17">
        <v>-7.62</v>
      </c>
      <c r="H29" s="18">
        <v>2.6299999999999999E-14</v>
      </c>
      <c r="I29" s="2">
        <v>7.3793685912712901</v>
      </c>
      <c r="J29" s="2">
        <f t="shared" si="2"/>
        <v>7.3793685912712903E-2</v>
      </c>
      <c r="K29" s="2">
        <f t="shared" si="3"/>
        <v>4.2579162294625675E-2</v>
      </c>
    </row>
    <row r="30" spans="1:11" ht="15" x14ac:dyDescent="0.2">
      <c r="A30" s="16" t="s">
        <v>19</v>
      </c>
      <c r="B30" s="16" t="str">
        <f ca="1">IFERROR(__xludf.DUMMYFUNCTION("GOOGLETRANSLATE(SUBSTITUTE(A30,""_"","" ""),""nl"",""en"")"),"Relationship Other History Form Other resident")</f>
        <v>Relationship Other History Form Other resident</v>
      </c>
      <c r="C30" s="17">
        <v>8.8413999999999993E-3</v>
      </c>
      <c r="D30" s="17">
        <f t="shared" si="12"/>
        <v>8.8413999999999993E-3</v>
      </c>
      <c r="E30" s="17">
        <f t="shared" si="13"/>
        <v>1.3681451539275484E-2</v>
      </c>
      <c r="F30" s="17">
        <v>0</v>
      </c>
      <c r="G30" s="17">
        <v>8.17</v>
      </c>
      <c r="H30" s="18">
        <v>3.2600000000000002E-16</v>
      </c>
      <c r="I30" s="2">
        <v>6.9906170475014102</v>
      </c>
      <c r="J30" s="2">
        <f t="shared" si="2"/>
        <v>6.9906170475014101E-2</v>
      </c>
      <c r="K30" s="2">
        <f t="shared" si="3"/>
        <v>4.1793811007144792E-2</v>
      </c>
    </row>
    <row r="31" spans="1:11" ht="15" x14ac:dyDescent="0.2">
      <c r="A31" s="16" t="s">
        <v>80</v>
      </c>
      <c r="B31" s="16" t="str">
        <f ca="1">IFERROR(__xludf.DUMMYFUNCTION("GOOGLETRANSLATE(SUBSTITUTE(A31,""_"","" ""),""nl"",""en"")"),"address most recent neighborhood Groot IJsselmonde")</f>
        <v>address most recent neighborhood Groot IJsselmonde</v>
      </c>
      <c r="C31" s="17">
        <v>-2.7592100000000001E-2</v>
      </c>
      <c r="D31" s="17">
        <f t="shared" si="12"/>
        <v>2.7592100000000001E-2</v>
      </c>
      <c r="E31" s="17">
        <f t="shared" si="13"/>
        <v>4.2696855590386495E-2</v>
      </c>
      <c r="F31" s="17">
        <v>0</v>
      </c>
      <c r="G31" s="17">
        <v>-6.76</v>
      </c>
      <c r="H31" s="18">
        <v>1.46E-11</v>
      </c>
      <c r="I31" s="2">
        <v>3.69234624081815</v>
      </c>
      <c r="J31" s="2">
        <f t="shared" si="2"/>
        <v>3.69234624081815E-2</v>
      </c>
      <c r="K31" s="2">
        <f t="shared" si="3"/>
        <v>3.9810158999284001E-2</v>
      </c>
    </row>
    <row r="32" spans="1:11" ht="15" x14ac:dyDescent="0.2">
      <c r="A32" s="16" t="s">
        <v>45</v>
      </c>
      <c r="B32" s="16" t="str">
        <f ca="1">IFERROR(__xludf.DUMMYFUNCTION("GOOGLETRANSLATE(SUBSTITUTE(A32,""_"","" ""),""nl"",""en"")"),"Appointment last year result filled unique")</f>
        <v>Appointment last year result filled unique</v>
      </c>
      <c r="C32" s="17">
        <v>2.6887999999999999E-3</v>
      </c>
      <c r="D32" s="17">
        <f t="shared" si="12"/>
        <v>2.6887999999999999E-3</v>
      </c>
      <c r="E32" s="17">
        <f t="shared" si="13"/>
        <v>4.1607309813834828E-3</v>
      </c>
      <c r="F32" s="17">
        <v>0</v>
      </c>
      <c r="G32" s="17">
        <v>2.7</v>
      </c>
      <c r="H32" s="17">
        <v>7.0258309999999997E-3</v>
      </c>
      <c r="I32" s="2">
        <v>7.04025299680087</v>
      </c>
      <c r="J32" s="2">
        <f t="shared" si="2"/>
        <v>7.0402529968008706E-2</v>
      </c>
      <c r="K32" s="2">
        <f t="shared" si="3"/>
        <v>3.7281630474696098E-2</v>
      </c>
    </row>
    <row r="33" spans="1:11" ht="15" x14ac:dyDescent="0.2">
      <c r="A33" s="16" t="s">
        <v>24</v>
      </c>
      <c r="B33" s="16" t="str">
        <f ca="1">IFERROR(__xludf.DUMMYFUNCTION("GOOGLETRANSLATE(SUBSTITUTE(A33,""_"","" ""),""nl"",""en"")"),"address number of BRP address")</f>
        <v>address number of BRP address</v>
      </c>
      <c r="C33" s="17">
        <v>6.2202999999999998E-3</v>
      </c>
      <c r="D33" s="17">
        <f t="shared" si="12"/>
        <v>6.2202999999999998E-3</v>
      </c>
      <c r="E33" s="17">
        <f t="shared" si="13"/>
        <v>9.6254815990403451E-3</v>
      </c>
      <c r="F33" s="17">
        <v>0</v>
      </c>
      <c r="G33" s="17">
        <v>8.08</v>
      </c>
      <c r="H33" s="18">
        <v>7.0000000000000003E-16</v>
      </c>
      <c r="I33" s="2">
        <v>6.3707922210249004</v>
      </c>
      <c r="J33" s="2">
        <f t="shared" si="2"/>
        <v>6.3707922210248999E-2</v>
      </c>
      <c r="K33" s="2">
        <f t="shared" si="3"/>
        <v>3.6666701904644675E-2</v>
      </c>
    </row>
    <row r="34" spans="1:11" ht="15" hidden="1" x14ac:dyDescent="0.2">
      <c r="A34" s="16" t="s">
        <v>18</v>
      </c>
      <c r="B34" s="16"/>
      <c r="C34" s="18">
        <v>-2.0999999999999999E-8</v>
      </c>
      <c r="D34" s="18"/>
      <c r="E34" s="18"/>
      <c r="F34" s="18">
        <v>5.8199999999999998E-8</v>
      </c>
      <c r="G34" s="17">
        <v>-0.36042828500000001</v>
      </c>
      <c r="H34" s="17">
        <v>0.71853302100000005</v>
      </c>
      <c r="I34" s="2">
        <v>7.3309532019588399</v>
      </c>
      <c r="J34" s="2">
        <f t="shared" si="2"/>
        <v>7.3309532019588397E-2</v>
      </c>
      <c r="K34" s="19">
        <f t="shared" si="3"/>
        <v>3.6654766009794199E-2</v>
      </c>
    </row>
    <row r="35" spans="1:11" ht="15" x14ac:dyDescent="0.2">
      <c r="A35" s="16" t="s">
        <v>34</v>
      </c>
      <c r="B35" s="16" t="str">
        <f ca="1">IFERROR(__xludf.DUMMYFUNCTION("GOOGLETRANSLATE(SUBSTITUTE(A35,""_"","" ""),""nl"",""en"")"),"appointment last year number of words")</f>
        <v>appointment last year number of words</v>
      </c>
      <c r="C35" s="17">
        <v>-4.85E-5</v>
      </c>
      <c r="D35" s="17">
        <f t="shared" ref="D35:D38" si="14">ABS(C35)</f>
        <v>4.85E-5</v>
      </c>
      <c r="E35" s="17">
        <f t="shared" ref="E35:E38" si="15">D35/MAX($D$3:$D$317)</f>
        <v>7.5050376598147478E-5</v>
      </c>
      <c r="F35" s="17">
        <v>0</v>
      </c>
      <c r="G35" s="17">
        <v>-4.05</v>
      </c>
      <c r="H35" s="18">
        <v>5.1100000000000002E-5</v>
      </c>
      <c r="I35" s="2">
        <v>7.28602944282368</v>
      </c>
      <c r="J35" s="2">
        <f t="shared" si="2"/>
        <v>7.2860294428236799E-2</v>
      </c>
      <c r="K35" s="2">
        <f t="shared" si="3"/>
        <v>3.6467672402417474E-2</v>
      </c>
    </row>
    <row r="36" spans="1:11" ht="15" x14ac:dyDescent="0.2">
      <c r="A36" s="16" t="s">
        <v>28</v>
      </c>
      <c r="B36" s="16" t="str">
        <f ca="1">IFERROR(__xludf.DUMMYFUNCTION("GOOGLETRANSLATE(SUBSTITUTE(A36,""_"","" ""),""nl"",""en"")"),"Contacts Subject Document Type Agreement")</f>
        <v>Contacts Subject Document Type Agreement</v>
      </c>
      <c r="C36" s="17">
        <v>-5.6283000000000001E-3</v>
      </c>
      <c r="D36" s="17">
        <f t="shared" si="14"/>
        <v>5.6283000000000001E-3</v>
      </c>
      <c r="E36" s="17">
        <f t="shared" si="15"/>
        <v>8.7094027754093493E-3</v>
      </c>
      <c r="F36" s="17">
        <v>0</v>
      </c>
      <c r="G36" s="17">
        <v>-7.54</v>
      </c>
      <c r="H36" s="18">
        <v>5.1700000000000003E-14</v>
      </c>
      <c r="I36" s="2">
        <v>6.4135271224320203</v>
      </c>
      <c r="J36" s="2">
        <f t="shared" si="2"/>
        <v>6.4135271224320209E-2</v>
      </c>
      <c r="K36" s="2">
        <f t="shared" si="3"/>
        <v>3.6422336999864781E-2</v>
      </c>
    </row>
    <row r="37" spans="1:11" ht="15" x14ac:dyDescent="0.2">
      <c r="A37" s="16" t="s">
        <v>47</v>
      </c>
      <c r="B37" s="16" t="str">
        <f ca="1">IFERROR(__xludf.DUMMYFUNCTION("GOOGLETRANSLATE(SUBSTITUTE(A37,""_"","" ""),""nl"",""en"")"),"appointment signal for employee")</f>
        <v>appointment signal for employee</v>
      </c>
      <c r="C37" s="17">
        <v>1.3653000000000001E-3</v>
      </c>
      <c r="D37" s="17">
        <f t="shared" si="14"/>
        <v>1.3653000000000001E-3</v>
      </c>
      <c r="E37" s="17">
        <f t="shared" si="15"/>
        <v>2.1127067869989844E-3</v>
      </c>
      <c r="F37" s="17">
        <v>0</v>
      </c>
      <c r="G37" s="17">
        <v>3.66</v>
      </c>
      <c r="H37" s="17">
        <v>2.5695699999999999E-4</v>
      </c>
      <c r="I37" s="2">
        <v>6.7610831210873803</v>
      </c>
      <c r="J37" s="2">
        <f t="shared" si="2"/>
        <v>6.7610831210873801E-2</v>
      </c>
      <c r="K37" s="2">
        <f t="shared" si="3"/>
        <v>3.4861768998936393E-2</v>
      </c>
    </row>
    <row r="38" spans="1:11" ht="15" x14ac:dyDescent="0.2">
      <c r="A38" s="16" t="s">
        <v>32</v>
      </c>
      <c r="B38" s="16" t="str">
        <f ca="1">IFERROR(__xludf.DUMMYFUNCTION("GOOGLETRANSLATE(SUBSTITUTE(A38,""_"","" ""),""nl"",""en"")"),"Contacts Type of document Incoming")</f>
        <v>Contacts Type of document Incoming</v>
      </c>
      <c r="C38" s="17">
        <v>-1.1146000000000001E-3</v>
      </c>
      <c r="D38" s="17">
        <f t="shared" si="14"/>
        <v>1.1146000000000001E-3</v>
      </c>
      <c r="E38" s="17">
        <f t="shared" si="15"/>
        <v>1.7247659743566018E-3</v>
      </c>
      <c r="F38" s="17">
        <v>0</v>
      </c>
      <c r="G38" s="17">
        <v>-3.88</v>
      </c>
      <c r="H38" s="17">
        <v>1.05023E-4</v>
      </c>
      <c r="I38" s="2">
        <v>6.7875919525693602</v>
      </c>
      <c r="J38" s="2">
        <f t="shared" si="2"/>
        <v>6.7875919525693607E-2</v>
      </c>
      <c r="K38" s="2">
        <f t="shared" si="3"/>
        <v>3.4800342750025103E-2</v>
      </c>
    </row>
    <row r="39" spans="1:11" ht="15" hidden="1" x14ac:dyDescent="0.2">
      <c r="A39" s="16" t="s">
        <v>23</v>
      </c>
      <c r="B39" s="16"/>
      <c r="C39" s="18">
        <v>-1.26E-5</v>
      </c>
      <c r="D39" s="18"/>
      <c r="E39" s="18"/>
      <c r="F39" s="18">
        <v>7.2200000000000003E-6</v>
      </c>
      <c r="G39" s="17">
        <v>-1.742555209</v>
      </c>
      <c r="H39" s="17">
        <v>8.1436148E-2</v>
      </c>
      <c r="I39" s="2">
        <v>6.92486460480748</v>
      </c>
      <c r="J39" s="2">
        <f t="shared" si="2"/>
        <v>6.9248646048074805E-2</v>
      </c>
      <c r="K39" s="19">
        <f t="shared" si="3"/>
        <v>3.4624323024037403E-2</v>
      </c>
    </row>
    <row r="40" spans="1:11" ht="15" x14ac:dyDescent="0.2">
      <c r="A40" s="16" t="s">
        <v>276</v>
      </c>
      <c r="B40" s="16" t="str">
        <f ca="1">IFERROR(__xludf.DUMMYFUNCTION("GOOGLETRANSLATE(SUBSTITUTE(A40,""_"","" ""),""nl"",""en"")"),"Contacts Subject Boolean Consultation with Income")</f>
        <v>Contacts Subject Boolean Consultation with Income</v>
      </c>
      <c r="C40" s="17">
        <v>4.4702100000000002E-2</v>
      </c>
      <c r="D40" s="17">
        <f t="shared" ref="D40:D50" si="16">ABS(C40)</f>
        <v>4.4702100000000002E-2</v>
      </c>
      <c r="E40" s="17">
        <f t="shared" ref="E40:E50" si="17">D40/MAX($D$3:$D$317)</f>
        <v>6.9173390509856672E-2</v>
      </c>
      <c r="F40" s="17">
        <v>0</v>
      </c>
      <c r="G40" s="17">
        <v>21.72</v>
      </c>
      <c r="H40" s="18">
        <v>9.9599999999999993E-103</v>
      </c>
      <c r="I40" s="2">
        <v>0</v>
      </c>
      <c r="J40" s="2">
        <f t="shared" si="2"/>
        <v>0</v>
      </c>
      <c r="K40" s="2">
        <f t="shared" si="3"/>
        <v>3.4586695254928336E-2</v>
      </c>
    </row>
    <row r="41" spans="1:11" ht="15" x14ac:dyDescent="0.2">
      <c r="A41" s="16" t="s">
        <v>42</v>
      </c>
      <c r="B41" s="16" t="str">
        <f ca="1">IFERROR(__xludf.DUMMYFUNCTION("GOOGLETRANSLATE(SUBSTITUTE(A41,""_"","" ""),""nl"",""en"")"),"pla end outflow other than follow education regular work or as a self -employed person")</f>
        <v>pla end outflow other than follow education regular work or as a self -employed person</v>
      </c>
      <c r="C41" s="17">
        <v>8.4414999999999994E-3</v>
      </c>
      <c r="D41" s="17">
        <f t="shared" si="16"/>
        <v>8.4414999999999994E-3</v>
      </c>
      <c r="E41" s="17">
        <f t="shared" si="17"/>
        <v>1.3062634104190967E-2</v>
      </c>
      <c r="F41" s="17">
        <v>0</v>
      </c>
      <c r="G41" s="17">
        <v>4.1100000000000003</v>
      </c>
      <c r="H41" s="18">
        <v>3.8999999999999999E-5</v>
      </c>
      <c r="I41" s="2">
        <v>4.6626867352788599</v>
      </c>
      <c r="J41" s="2">
        <f t="shared" si="2"/>
        <v>4.6626867352788599E-2</v>
      </c>
      <c r="K41" s="2">
        <f t="shared" si="3"/>
        <v>2.9844750728489782E-2</v>
      </c>
    </row>
    <row r="42" spans="1:11" ht="15" x14ac:dyDescent="0.2">
      <c r="A42" s="16" t="s">
        <v>37</v>
      </c>
      <c r="B42" s="16" t="str">
        <f ca="1">IFERROR(__xludf.DUMMYFUNCTION("GOOGLETRANSLATE(SUBSTITUTE(A42,""_"","" ""),""nl"",""en"")"),"Contacts Subject Income")</f>
        <v>Contacts Subject Income</v>
      </c>
      <c r="C42" s="17">
        <v>2.9156999999999998E-3</v>
      </c>
      <c r="D42" s="17">
        <f t="shared" si="16"/>
        <v>2.9156999999999998E-3</v>
      </c>
      <c r="E42" s="17">
        <f t="shared" si="17"/>
        <v>4.5118429494271873E-3</v>
      </c>
      <c r="F42" s="17">
        <v>0</v>
      </c>
      <c r="G42" s="17">
        <v>3.75</v>
      </c>
      <c r="H42" s="17">
        <v>1.78548E-4</v>
      </c>
      <c r="I42" s="2">
        <v>5.2877337151271497</v>
      </c>
      <c r="J42" s="2">
        <f t="shared" si="2"/>
        <v>5.2877337151271499E-2</v>
      </c>
      <c r="K42" s="2">
        <f t="shared" si="3"/>
        <v>2.8694590050349342E-2</v>
      </c>
    </row>
    <row r="43" spans="1:11" ht="15" x14ac:dyDescent="0.2">
      <c r="A43" s="16" t="s">
        <v>274</v>
      </c>
      <c r="B43" s="16" t="str">
        <f ca="1">IFERROR(__xludf.DUMMYFUNCTION("GOOGLETRANSLATE(SUBSTITUTE(A43,""_"","" ""),""nl"",""en"")"),"Contacts Subject Boolean No Show")</f>
        <v>Contacts Subject Boolean No Show</v>
      </c>
      <c r="C43" s="17">
        <v>3.70698E-2</v>
      </c>
      <c r="D43" s="17">
        <f t="shared" si="16"/>
        <v>3.70698E-2</v>
      </c>
      <c r="E43" s="17">
        <f t="shared" si="17"/>
        <v>5.7362937122020764E-2</v>
      </c>
      <c r="F43" s="17">
        <v>0</v>
      </c>
      <c r="G43" s="17">
        <v>19.93</v>
      </c>
      <c r="H43" s="18">
        <v>4.76E-87</v>
      </c>
      <c r="I43" s="2">
        <v>0</v>
      </c>
      <c r="J43" s="2">
        <f t="shared" si="2"/>
        <v>0</v>
      </c>
      <c r="K43" s="2">
        <f t="shared" si="3"/>
        <v>2.8681468561010382E-2</v>
      </c>
    </row>
    <row r="44" spans="1:11" ht="15" x14ac:dyDescent="0.2">
      <c r="A44" s="16" t="s">
        <v>74</v>
      </c>
      <c r="B44" s="16" t="str">
        <f ca="1">IFERROR(__xludf.DUMMYFUNCTION("GOOGLETRANSLATE(SUBSTITUTE(A44,""_"","" ""),""nl"",""en"")"),"Appointment last year Monitoring Insp the Language requirement after 12 months N a v taa04 no measure")</f>
        <v>Appointment last year Monitoring Insp the Language requirement after 12 months N a v taa04 no measure</v>
      </c>
      <c r="C44" s="17">
        <v>-2.18368E-2</v>
      </c>
      <c r="D44" s="17">
        <f t="shared" si="16"/>
        <v>2.18368E-2</v>
      </c>
      <c r="E44" s="17">
        <f t="shared" si="17"/>
        <v>3.3790929148421169E-2</v>
      </c>
      <c r="F44" s="17">
        <v>0</v>
      </c>
      <c r="G44" s="17">
        <v>-5.78</v>
      </c>
      <c r="H44" s="18">
        <v>7.4999999999999993E-9</v>
      </c>
      <c r="I44" s="2">
        <v>2.2439837571160202</v>
      </c>
      <c r="J44" s="2">
        <f t="shared" si="2"/>
        <v>2.2439837571160203E-2</v>
      </c>
      <c r="K44" s="2">
        <f t="shared" si="3"/>
        <v>2.8115383359790684E-2</v>
      </c>
    </row>
    <row r="45" spans="1:11" ht="15" x14ac:dyDescent="0.2">
      <c r="A45" s="16" t="s">
        <v>36</v>
      </c>
      <c r="B45" s="16" t="str">
        <f ca="1">IFERROR(__xludf.DUMMYFUNCTION("GOOGLETRANSLATE(SUBSTITUTE(A45,""_"","" ""),""nl"",""en"")"),"address number of shipping address")</f>
        <v>address number of shipping address</v>
      </c>
      <c r="C45" s="17">
        <v>-5.5868000000000003E-3</v>
      </c>
      <c r="D45" s="17">
        <f t="shared" si="16"/>
        <v>5.5868000000000003E-3</v>
      </c>
      <c r="E45" s="17">
        <f t="shared" si="17"/>
        <v>8.6451844119284603E-3</v>
      </c>
      <c r="F45" s="17">
        <v>0</v>
      </c>
      <c r="G45" s="17">
        <v>-3.95</v>
      </c>
      <c r="H45" s="18">
        <v>7.9200000000000001E-5</v>
      </c>
      <c r="I45" s="2">
        <v>4.6796384845890797</v>
      </c>
      <c r="J45" s="2">
        <f t="shared" si="2"/>
        <v>4.6796384845890798E-2</v>
      </c>
      <c r="K45" s="2">
        <f t="shared" si="3"/>
        <v>2.7720784628909631E-2</v>
      </c>
    </row>
    <row r="46" spans="1:11" ht="15" x14ac:dyDescent="0.2">
      <c r="A46" s="16" t="s">
        <v>212</v>
      </c>
      <c r="B46" s="16" t="str">
        <f ca="1">IFERROR(__xludf.DUMMYFUNCTION("GOOGLETRANSLATE(SUBSTITUTE(A46,""_"","" ""),""nl"",""en"")"),"Hind financial problems")</f>
        <v>Hind financial problems</v>
      </c>
      <c r="C46" s="17">
        <v>2.1901400000000001E-2</v>
      </c>
      <c r="D46" s="17">
        <f t="shared" si="16"/>
        <v>2.1901400000000001E-2</v>
      </c>
      <c r="E46" s="17">
        <f t="shared" si="17"/>
        <v>3.3890893155189013E-2</v>
      </c>
      <c r="F46" s="17">
        <v>0</v>
      </c>
      <c r="G46" s="17">
        <v>10.75</v>
      </c>
      <c r="H46" s="18">
        <v>7.7399999999999993E-27</v>
      </c>
      <c r="I46" s="2">
        <v>2.0781087233213502</v>
      </c>
      <c r="J46" s="2">
        <f t="shared" si="2"/>
        <v>2.0781087233213501E-2</v>
      </c>
      <c r="K46" s="2">
        <f t="shared" si="3"/>
        <v>2.7335990194201257E-2</v>
      </c>
    </row>
    <row r="47" spans="1:11" ht="15" x14ac:dyDescent="0.2">
      <c r="A47" s="16" t="s">
        <v>68</v>
      </c>
      <c r="B47" s="16" t="str">
        <f ca="1">IFERROR(__xludf.DUMMYFUNCTION("GOOGLETRANSLATE(SUBSTITUTE(A47,""_"","" ""),""nl"",""en"")"),"address most recent district of Feijenoord")</f>
        <v>address most recent district of Feijenoord</v>
      </c>
      <c r="C47" s="17">
        <v>-1.9596499999999999E-2</v>
      </c>
      <c r="D47" s="17">
        <f t="shared" si="16"/>
        <v>1.9596499999999999E-2</v>
      </c>
      <c r="E47" s="17">
        <f t="shared" si="17"/>
        <v>3.0324220721764883E-2</v>
      </c>
      <c r="F47" s="17">
        <v>0</v>
      </c>
      <c r="G47" s="17">
        <v>-4.68</v>
      </c>
      <c r="H47" s="18">
        <v>2.9299999999999999E-6</v>
      </c>
      <c r="I47" s="2">
        <v>2.3855676598967999</v>
      </c>
      <c r="J47" s="2">
        <f t="shared" si="2"/>
        <v>2.3855676598967999E-2</v>
      </c>
      <c r="K47" s="2">
        <f t="shared" si="3"/>
        <v>2.7089948660366441E-2</v>
      </c>
    </row>
    <row r="48" spans="1:11" ht="15" x14ac:dyDescent="0.2">
      <c r="A48" s="16" t="s">
        <v>136</v>
      </c>
      <c r="B48" s="16" t="str">
        <f ca="1">IFERROR(__xludf.DUMMYFUNCTION("GOOGLETRANSLATE(SUBSTITUTE(A48,""_"","" ""),""nl"",""en"")"),"Address unique district ratio")</f>
        <v>Address unique district ratio</v>
      </c>
      <c r="C48" s="17">
        <v>2.7714099999999998E-2</v>
      </c>
      <c r="D48" s="17">
        <f t="shared" si="16"/>
        <v>2.7714099999999998E-2</v>
      </c>
      <c r="E48" s="17">
        <f t="shared" si="17"/>
        <v>4.2885642104715849E-2</v>
      </c>
      <c r="F48" s="17">
        <v>0</v>
      </c>
      <c r="G48" s="17">
        <v>6.11</v>
      </c>
      <c r="H48" s="18">
        <v>1.03E-9</v>
      </c>
      <c r="I48" s="2">
        <v>1.08605203075762</v>
      </c>
      <c r="J48" s="2">
        <f t="shared" si="2"/>
        <v>1.0860520307576201E-2</v>
      </c>
      <c r="K48" s="2">
        <f t="shared" si="3"/>
        <v>2.6873081206146024E-2</v>
      </c>
    </row>
    <row r="49" spans="1:11" ht="15" x14ac:dyDescent="0.2">
      <c r="A49" s="16" t="s">
        <v>46</v>
      </c>
      <c r="B49" s="16" t="str">
        <f ca="1">IFERROR(__xludf.DUMMYFUNCTION("GOOGLETRANSLATE(SUBSTITUTE(A49,""_"","" ""),""nl"",""en"")"),"Relationship Other History Form authorized representative")</f>
        <v>Relationship Other History Form authorized representative</v>
      </c>
      <c r="C49" s="17">
        <v>9.1094999999999995E-3</v>
      </c>
      <c r="D49" s="17">
        <f t="shared" si="16"/>
        <v>9.1094999999999995E-3</v>
      </c>
      <c r="E49" s="17">
        <f t="shared" si="17"/>
        <v>1.4096317641666483E-2</v>
      </c>
      <c r="F49" s="17">
        <v>0</v>
      </c>
      <c r="G49" s="17">
        <v>5.08</v>
      </c>
      <c r="H49" s="18">
        <v>3.9000000000000002E-7</v>
      </c>
      <c r="I49" s="2">
        <v>3.9507106203993998</v>
      </c>
      <c r="J49" s="2">
        <f t="shared" si="2"/>
        <v>3.9507106203993995E-2</v>
      </c>
      <c r="K49" s="2">
        <f t="shared" si="3"/>
        <v>2.6801711922830238E-2</v>
      </c>
    </row>
    <row r="50" spans="1:11" ht="15" x14ac:dyDescent="0.2">
      <c r="A50" s="16" t="s">
        <v>60</v>
      </c>
      <c r="B50" s="16" t="str">
        <f ca="1">IFERROR(__xludf.DUMMYFUNCTION("GOOGLETRANSLATE(SUBSTITUTE(A50,""_"","" ""),""nl"",""en"")"),"Personal qualities of language requires satisfied")</f>
        <v>Personal qualities of language requires satisfied</v>
      </c>
      <c r="C50" s="17">
        <v>-6.7162999999999997E-3</v>
      </c>
      <c r="D50" s="17">
        <f t="shared" si="16"/>
        <v>6.7162999999999997E-3</v>
      </c>
      <c r="E50" s="17">
        <f t="shared" si="17"/>
        <v>1.0393007099920368E-2</v>
      </c>
      <c r="F50" s="17">
        <v>0</v>
      </c>
      <c r="G50" s="17">
        <v>-4.83</v>
      </c>
      <c r="H50" s="18">
        <v>1.39E-6</v>
      </c>
      <c r="I50" s="2">
        <v>4.17954060342782</v>
      </c>
      <c r="J50" s="2">
        <f t="shared" si="2"/>
        <v>4.1795406034278199E-2</v>
      </c>
      <c r="K50" s="2">
        <f t="shared" si="3"/>
        <v>2.6094206567099282E-2</v>
      </c>
    </row>
    <row r="51" spans="1:11" ht="15" hidden="1" x14ac:dyDescent="0.2">
      <c r="A51" s="16" t="s">
        <v>26</v>
      </c>
      <c r="B51" s="16"/>
      <c r="C51" s="18">
        <v>2.22E-7</v>
      </c>
      <c r="D51" s="18"/>
      <c r="E51" s="18"/>
      <c r="F51" s="18">
        <v>1.74E-7</v>
      </c>
      <c r="G51" s="17">
        <v>1.2720553240000001</v>
      </c>
      <c r="H51" s="17">
        <v>0.20337733499999999</v>
      </c>
      <c r="I51" s="2">
        <v>5.0681362255168798</v>
      </c>
      <c r="J51" s="2">
        <f t="shared" si="2"/>
        <v>5.0681362255168796E-2</v>
      </c>
      <c r="K51" s="19">
        <f t="shared" si="3"/>
        <v>2.5340681127584398E-2</v>
      </c>
    </row>
    <row r="52" spans="1:11" ht="15" x14ac:dyDescent="0.2">
      <c r="A52" s="16" t="s">
        <v>31</v>
      </c>
      <c r="B52" s="16" t="str">
        <f ca="1">IFERROR(__xludf.DUMMYFUNCTION("GOOGLETRANSLATE(SUBSTITUTE(A52,""_"","" ""),""nl"",""en"")"),"Contacts Subject Work Intake")</f>
        <v>Contacts Subject Work Intake</v>
      </c>
      <c r="C52" s="17">
        <v>-4.3737999999999997E-3</v>
      </c>
      <c r="D52" s="17">
        <f t="shared" ref="D52:D64" si="18">ABS(C52)</f>
        <v>4.3737999999999997E-3</v>
      </c>
      <c r="E52" s="17">
        <f t="shared" ref="E52:E64" si="19">D52/MAX($D$3:$D$317)</f>
        <v>6.7681512817521113E-3</v>
      </c>
      <c r="F52" s="17">
        <v>0</v>
      </c>
      <c r="G52" s="17">
        <v>-2.42</v>
      </c>
      <c r="H52" s="17">
        <v>1.5619832E-2</v>
      </c>
      <c r="I52" s="2">
        <v>4.0904419027201904</v>
      </c>
      <c r="J52" s="2">
        <f t="shared" si="2"/>
        <v>4.0904419027201905E-2</v>
      </c>
      <c r="K52" s="2">
        <f t="shared" si="3"/>
        <v>2.3836285154477006E-2</v>
      </c>
    </row>
    <row r="53" spans="1:11" ht="15" x14ac:dyDescent="0.2">
      <c r="A53" s="16" t="s">
        <v>41</v>
      </c>
      <c r="B53" s="16" t="str">
        <f ca="1">IFERROR(__xludf.DUMMYFUNCTION("GOOGLETRANSLATE(SUBSTITUTE(A53,""_"","" ""),""nl"",""en"")"),"contacts kind of last year different")</f>
        <v>contacts kind of last year different</v>
      </c>
      <c r="C53" s="17">
        <v>3.5228999999999998E-3</v>
      </c>
      <c r="D53" s="17">
        <f t="shared" si="18"/>
        <v>3.5228999999999998E-3</v>
      </c>
      <c r="E53" s="17">
        <f t="shared" si="19"/>
        <v>5.4514427158270868E-3</v>
      </c>
      <c r="F53" s="17">
        <v>0</v>
      </c>
      <c r="G53" s="17">
        <v>5.47</v>
      </c>
      <c r="H53" s="18">
        <v>4.6700000000000001E-8</v>
      </c>
      <c r="I53" s="2">
        <v>4.0162836688298604</v>
      </c>
      <c r="J53" s="2">
        <f t="shared" si="2"/>
        <v>4.0162836688298606E-2</v>
      </c>
      <c r="K53" s="2">
        <f t="shared" si="3"/>
        <v>2.2807139702062846E-2</v>
      </c>
    </row>
    <row r="54" spans="1:11" ht="15" x14ac:dyDescent="0.2">
      <c r="A54" s="16" t="s">
        <v>51</v>
      </c>
      <c r="B54" s="16" t="str">
        <f ca="1">IFERROR(__xludf.DUMMYFUNCTION("GOOGLETRANSLATE(SUBSTITUTE(A54,""_"","" ""),""nl"",""en"")"),"Personal characteristics outflow before the following")</f>
        <v>Personal characteristics outflow before the following</v>
      </c>
      <c r="C54" s="17">
        <v>-2.0068999999999998E-3</v>
      </c>
      <c r="D54" s="17">
        <f t="shared" si="18"/>
        <v>2.0068999999999998E-3</v>
      </c>
      <c r="E54" s="17">
        <f t="shared" si="19"/>
        <v>3.1055381607179825E-3</v>
      </c>
      <c r="F54" s="17">
        <v>0</v>
      </c>
      <c r="G54" s="17">
        <v>-5.16</v>
      </c>
      <c r="H54" s="18">
        <v>2.5499999999999999E-7</v>
      </c>
      <c r="I54" s="2">
        <v>4.2460627582855803</v>
      </c>
      <c r="J54" s="2">
        <f t="shared" si="2"/>
        <v>4.2460627582855806E-2</v>
      </c>
      <c r="K54" s="2">
        <f t="shared" si="3"/>
        <v>2.2783082871786896E-2</v>
      </c>
    </row>
    <row r="55" spans="1:11" ht="15" x14ac:dyDescent="0.2">
      <c r="A55" s="16" t="s">
        <v>62</v>
      </c>
      <c r="B55" s="16" t="str">
        <f ca="1">IFERROR(__xludf.DUMMYFUNCTION("GOOGLETRANSLATE(SUBSTITUTE(A55,""_"","" ""),""nl"",""en"")"),"address most recent Charlois district")</f>
        <v>address most recent Charlois district</v>
      </c>
      <c r="C55" s="17">
        <v>-2.2074199999999999E-2</v>
      </c>
      <c r="D55" s="17">
        <f t="shared" si="18"/>
        <v>2.2074199999999999E-2</v>
      </c>
      <c r="E55" s="17">
        <f t="shared" si="19"/>
        <v>3.415828913614076E-2</v>
      </c>
      <c r="F55" s="17">
        <v>0</v>
      </c>
      <c r="G55" s="17">
        <v>-5.19</v>
      </c>
      <c r="H55" s="18">
        <v>2.0900000000000001E-7</v>
      </c>
      <c r="I55" s="2">
        <v>1.09252962067599</v>
      </c>
      <c r="J55" s="2">
        <f t="shared" si="2"/>
        <v>1.09252962067599E-2</v>
      </c>
      <c r="K55" s="2">
        <f t="shared" si="3"/>
        <v>2.2541792671450331E-2</v>
      </c>
    </row>
    <row r="56" spans="1:11" ht="15" x14ac:dyDescent="0.2">
      <c r="A56" s="16" t="s">
        <v>40</v>
      </c>
      <c r="B56" s="16" t="str">
        <f ca="1">IFERROR(__xludf.DUMMYFUNCTION("GOOGLETRANSLATE(SUBSTITUTE(A56,""_"","" ""),""nl"",""en"")"),"Contacts Type Document outgoing")</f>
        <v>Contacts Type Document outgoing</v>
      </c>
      <c r="C56" s="17">
        <v>3.1690000000000001E-4</v>
      </c>
      <c r="D56" s="17">
        <f t="shared" si="18"/>
        <v>3.1690000000000001E-4</v>
      </c>
      <c r="E56" s="17">
        <f t="shared" si="19"/>
        <v>4.903807081227409E-4</v>
      </c>
      <c r="F56" s="17">
        <v>0</v>
      </c>
      <c r="G56" s="17">
        <v>2.97</v>
      </c>
      <c r="H56" s="17">
        <v>3.0036659999999999E-3</v>
      </c>
      <c r="I56" s="2">
        <v>4.4334551895357697</v>
      </c>
      <c r="J56" s="2">
        <f t="shared" si="2"/>
        <v>4.4334551895357698E-2</v>
      </c>
      <c r="K56" s="2">
        <f t="shared" si="3"/>
        <v>2.2412466301740219E-2</v>
      </c>
    </row>
    <row r="57" spans="1:11" ht="15" x14ac:dyDescent="0.2">
      <c r="A57" s="16" t="s">
        <v>54</v>
      </c>
      <c r="B57" s="16" t="str">
        <f ca="1">IFERROR(__xludf.DUMMYFUNCTION("GOOGLETRANSLATE(SUBSTITUTE(A57,""_"","" ""),""nl"",""en"")"),"Appointment last year exemption from language requirement")</f>
        <v>Appointment last year exemption from language requirement</v>
      </c>
      <c r="C57" s="17">
        <v>-1.0603400000000001E-2</v>
      </c>
      <c r="D57" s="17">
        <f t="shared" si="18"/>
        <v>1.0603400000000001E-2</v>
      </c>
      <c r="E57" s="17">
        <f t="shared" si="19"/>
        <v>1.6408023983933959E-2</v>
      </c>
      <c r="F57" s="17">
        <v>0</v>
      </c>
      <c r="G57" s="17">
        <v>-3.95</v>
      </c>
      <c r="H57" s="18">
        <v>7.9699999999999999E-5</v>
      </c>
      <c r="I57" s="2">
        <v>2.7925497482664698</v>
      </c>
      <c r="J57" s="2">
        <f t="shared" si="2"/>
        <v>2.7925497482664697E-2</v>
      </c>
      <c r="K57" s="2">
        <f t="shared" si="3"/>
        <v>2.2166760733299328E-2</v>
      </c>
    </row>
    <row r="58" spans="1:11" ht="15" x14ac:dyDescent="0.2">
      <c r="A58" s="16" t="s">
        <v>81</v>
      </c>
      <c r="B58" s="16" t="str">
        <f ca="1">IFERROR(__xludf.DUMMYFUNCTION("GOOGLETRANSLATE(SUBSTITUTE(A58,""_"","" ""),""nl"",""en"")"),"address most recent")</f>
        <v>address most recent</v>
      </c>
      <c r="C58" s="17">
        <v>-2.27488E-2</v>
      </c>
      <c r="D58" s="17">
        <f t="shared" si="18"/>
        <v>2.27488E-2</v>
      </c>
      <c r="E58" s="17">
        <f t="shared" si="19"/>
        <v>3.5202185714555405E-2</v>
      </c>
      <c r="F58" s="17">
        <v>0</v>
      </c>
      <c r="G58" s="17">
        <v>-5.07</v>
      </c>
      <c r="H58" s="18">
        <v>4.0600000000000001E-7</v>
      </c>
      <c r="I58" s="2">
        <v>0.90174698383864005</v>
      </c>
      <c r="J58" s="2">
        <f t="shared" si="2"/>
        <v>9.0174698383864004E-3</v>
      </c>
      <c r="K58" s="2">
        <f t="shared" si="3"/>
        <v>2.2109827776470903E-2</v>
      </c>
    </row>
    <row r="59" spans="1:11" ht="15" x14ac:dyDescent="0.2">
      <c r="A59" s="16" t="s">
        <v>53</v>
      </c>
      <c r="B59" s="16" t="str">
        <f ca="1">IFERROR(__xludf.DUMMYFUNCTION("GOOGLETRANSLATE(SUBSTITUTE(A59,""_"","" ""),""nl"",""en"")"),"Relationship Other Current Form Other")</f>
        <v>Relationship Other Current Form Other</v>
      </c>
      <c r="C59" s="17">
        <v>8.5298000000000006E-3</v>
      </c>
      <c r="D59" s="17">
        <f t="shared" si="18"/>
        <v>8.5298000000000006E-3</v>
      </c>
      <c r="E59" s="17">
        <f t="shared" si="19"/>
        <v>1.3199272212512957E-2</v>
      </c>
      <c r="F59" s="17">
        <v>0</v>
      </c>
      <c r="G59" s="17">
        <v>4.49</v>
      </c>
      <c r="H59" s="18">
        <v>7.2799999999999998E-6</v>
      </c>
      <c r="I59" s="2">
        <v>3.0378415844403399</v>
      </c>
      <c r="J59" s="2">
        <f t="shared" si="2"/>
        <v>3.03784158444034E-2</v>
      </c>
      <c r="K59" s="2">
        <f t="shared" si="3"/>
        <v>2.1788844028458178E-2</v>
      </c>
    </row>
    <row r="60" spans="1:11" ht="15" x14ac:dyDescent="0.2">
      <c r="A60" s="16" t="s">
        <v>117</v>
      </c>
      <c r="B60" s="16" t="str">
        <f ca="1">IFERROR(__xludf.DUMMYFUNCTION("GOOGLETRANSLATE(SUBSTITUTE(A60,""_"","" ""),""nl"",""en"")"),"Obstitution Hist addiction problems")</f>
        <v>Obstitution Hist addiction problems</v>
      </c>
      <c r="C60" s="17">
        <v>1.29277E-2</v>
      </c>
      <c r="D60" s="17">
        <f t="shared" si="18"/>
        <v>1.29277E-2</v>
      </c>
      <c r="E60" s="17">
        <f t="shared" si="19"/>
        <v>2.0004716567997342E-2</v>
      </c>
      <c r="F60" s="17">
        <v>0</v>
      </c>
      <c r="G60" s="17">
        <v>5.26</v>
      </c>
      <c r="H60" s="18">
        <v>1.49E-7</v>
      </c>
      <c r="I60" s="2">
        <v>2.2193086276580498</v>
      </c>
      <c r="J60" s="2">
        <f t="shared" si="2"/>
        <v>2.2193086276580499E-2</v>
      </c>
      <c r="K60" s="2">
        <f t="shared" si="3"/>
        <v>2.1098901422288922E-2</v>
      </c>
    </row>
    <row r="61" spans="1:11" ht="15" x14ac:dyDescent="0.2">
      <c r="A61" s="16" t="s">
        <v>109</v>
      </c>
      <c r="B61" s="16" t="str">
        <f ca="1">IFERROR(__xludf.DUMMYFUNCTION("GOOGLETRANSLATE(SUBSTITUTE(A61,""_"","" ""),""nl"",""en"")"),"Relationship Partner Current Partner Partner Married")</f>
        <v>Relationship Partner Current Partner Partner Married</v>
      </c>
      <c r="C61" s="17">
        <v>2.0032299999999999E-2</v>
      </c>
      <c r="D61" s="17">
        <f t="shared" si="18"/>
        <v>2.0032299999999999E-2</v>
      </c>
      <c r="E61" s="17">
        <f t="shared" si="19"/>
        <v>3.0998590909836487E-2</v>
      </c>
      <c r="F61" s="17">
        <v>0</v>
      </c>
      <c r="G61" s="17">
        <v>5.4</v>
      </c>
      <c r="H61" s="18">
        <v>6.7399999999999995E-8</v>
      </c>
      <c r="I61" s="2">
        <v>1.10108936267979</v>
      </c>
      <c r="J61" s="2">
        <f t="shared" si="2"/>
        <v>1.1010893626797899E-2</v>
      </c>
      <c r="K61" s="2">
        <f t="shared" si="3"/>
        <v>2.1004742268317195E-2</v>
      </c>
    </row>
    <row r="62" spans="1:11" ht="15" x14ac:dyDescent="0.2">
      <c r="A62" s="16" t="s">
        <v>302</v>
      </c>
      <c r="B62" s="16" t="str">
        <f ca="1">IFERROR(__xludf.DUMMYFUNCTION("GOOGLETRANSLATE(SUBSTITUTE(A62,""_"","" ""),""nl"",""en"")"),"relationship child has children")</f>
        <v>relationship child has children</v>
      </c>
      <c r="C62" s="17">
        <v>2.7062800000000001E-2</v>
      </c>
      <c r="D62" s="17">
        <f t="shared" si="18"/>
        <v>2.7062800000000001E-2</v>
      </c>
      <c r="E62" s="17">
        <f t="shared" si="19"/>
        <v>4.1877800655677228E-2</v>
      </c>
      <c r="F62" s="17">
        <v>0</v>
      </c>
      <c r="G62" s="17">
        <v>8.8800000000000008</v>
      </c>
      <c r="H62" s="18">
        <v>7.4699999999999995E-19</v>
      </c>
      <c r="I62" s="2">
        <v>0</v>
      </c>
      <c r="J62" s="2">
        <f t="shared" si="2"/>
        <v>0</v>
      </c>
      <c r="K62" s="2">
        <f t="shared" si="3"/>
        <v>2.0938900327838614E-2</v>
      </c>
    </row>
    <row r="63" spans="1:11" ht="15" x14ac:dyDescent="0.2">
      <c r="A63" s="16" t="s">
        <v>84</v>
      </c>
      <c r="B63" s="16" t="str">
        <f ca="1">IFERROR(__xludf.DUMMYFUNCTION("GOOGLETRANSLATE(SUBSTITUTE(A63,""_"","" ""),""nl"",""en"")"),"Appointment control announcement measure")</f>
        <v>Appointment control announcement measure</v>
      </c>
      <c r="C63" s="17">
        <v>6.7242999999999999E-3</v>
      </c>
      <c r="D63" s="17">
        <f t="shared" si="18"/>
        <v>6.7242999999999999E-3</v>
      </c>
      <c r="E63" s="17">
        <f t="shared" si="19"/>
        <v>1.0405386543482949E-2</v>
      </c>
      <c r="F63" s="17">
        <v>0</v>
      </c>
      <c r="G63" s="17">
        <v>4.12</v>
      </c>
      <c r="H63" s="18">
        <v>3.7799999999999997E-5</v>
      </c>
      <c r="I63" s="2">
        <v>3.12078187357376</v>
      </c>
      <c r="J63" s="2">
        <f t="shared" si="2"/>
        <v>3.1207818735737601E-2</v>
      </c>
      <c r="K63" s="2">
        <f t="shared" si="3"/>
        <v>2.0806602639610275E-2</v>
      </c>
    </row>
    <row r="64" spans="1:11" ht="15" x14ac:dyDescent="0.2">
      <c r="A64" s="16" t="s">
        <v>130</v>
      </c>
      <c r="B64" s="16" t="str">
        <f ca="1">IFERROR(__xludf.DUMMYFUNCTION("GOOGLETRANSLATE(SUBSTITUTE(A64,""_"","" ""),""nl"",""en"")"),"Contacts Type of conversation on location")</f>
        <v>Contacts Type of conversation on location</v>
      </c>
      <c r="C64" s="17">
        <v>-5.0971000000000002E-3</v>
      </c>
      <c r="D64" s="17">
        <f t="shared" si="18"/>
        <v>5.0971000000000002E-3</v>
      </c>
      <c r="E64" s="17">
        <f t="shared" si="19"/>
        <v>7.8874077228539684E-3</v>
      </c>
      <c r="F64" s="17">
        <v>0</v>
      </c>
      <c r="G64" s="17">
        <v>-2.09</v>
      </c>
      <c r="H64" s="17">
        <v>3.6520562999999999E-2</v>
      </c>
      <c r="I64" s="2">
        <v>3.2590095158897601</v>
      </c>
      <c r="J64" s="2">
        <f t="shared" si="2"/>
        <v>3.2590095158897603E-2</v>
      </c>
      <c r="K64" s="2">
        <f t="shared" si="3"/>
        <v>2.0238751440875787E-2</v>
      </c>
    </row>
    <row r="65" spans="1:11" ht="15" hidden="1" x14ac:dyDescent="0.2">
      <c r="A65" s="16" t="s">
        <v>44</v>
      </c>
      <c r="B65" s="16"/>
      <c r="C65" s="18">
        <v>-2.9999999999999997E-8</v>
      </c>
      <c r="D65" s="18"/>
      <c r="E65" s="18"/>
      <c r="F65" s="18">
        <v>8.6099999999999997E-8</v>
      </c>
      <c r="G65" s="17">
        <v>-0.34831070800000002</v>
      </c>
      <c r="H65" s="17">
        <v>0.72761277000000002</v>
      </c>
      <c r="I65" s="2">
        <v>3.9373078485382802</v>
      </c>
      <c r="J65" s="2">
        <f t="shared" si="2"/>
        <v>3.9373078485382802E-2</v>
      </c>
      <c r="K65" s="19">
        <f t="shared" si="3"/>
        <v>1.9686539242691401E-2</v>
      </c>
    </row>
    <row r="66" spans="1:11" ht="15" x14ac:dyDescent="0.2">
      <c r="A66" s="16" t="s">
        <v>71</v>
      </c>
      <c r="B66" s="16" t="str">
        <f ca="1">IFERROR(__xludf.DUMMYFUNCTION("GOOGLETRANSLATE(SUBSTITUTE(A66,""_"","" ""),""nl"",""en"")"),"Personal qualities of spoken language")</f>
        <v>Personal qualities of spoken language</v>
      </c>
      <c r="C66" s="17">
        <v>-1.918E-4</v>
      </c>
      <c r="D66" s="17">
        <f t="shared" ref="D66:D67" si="20">ABS(C66)</f>
        <v>1.918E-4</v>
      </c>
      <c r="E66" s="17">
        <f t="shared" ref="E66:E67" si="21">D66/MAX($D$3:$D$317)</f>
        <v>2.967971594128801E-4</v>
      </c>
      <c r="F66" s="17">
        <v>0</v>
      </c>
      <c r="G66" s="17">
        <v>-7.37</v>
      </c>
      <c r="H66" s="18">
        <v>1.8599999999999999E-13</v>
      </c>
      <c r="I66" s="2">
        <v>3.8364064105503801</v>
      </c>
      <c r="J66" s="2">
        <f t="shared" si="2"/>
        <v>3.8364064105503803E-2</v>
      </c>
      <c r="K66" s="2">
        <f t="shared" si="3"/>
        <v>1.9330430632458342E-2</v>
      </c>
    </row>
    <row r="67" spans="1:11" ht="15" x14ac:dyDescent="0.2">
      <c r="A67" s="16" t="s">
        <v>111</v>
      </c>
      <c r="B67" s="16" t="str">
        <f ca="1">IFERROR(__xludf.DUMMYFUNCTION("GOOGLETRANSLATE(SUBSTITUTE(A67,""_"","" ""),""nl"",""en"")"),"PLA End of objective reaches new route plan")</f>
        <v>PLA End of objective reaches new route plan</v>
      </c>
      <c r="C67" s="17">
        <v>-8.2036999999999995E-3</v>
      </c>
      <c r="D67" s="17">
        <f t="shared" si="20"/>
        <v>8.2036999999999995E-3</v>
      </c>
      <c r="E67" s="17">
        <f t="shared" si="21"/>
        <v>1.2694655144293245E-2</v>
      </c>
      <c r="F67" s="17">
        <v>0</v>
      </c>
      <c r="G67" s="17">
        <v>-5.96</v>
      </c>
      <c r="H67" s="18">
        <v>2.5500000000000001E-9</v>
      </c>
      <c r="I67" s="2">
        <v>2.5579296518428398</v>
      </c>
      <c r="J67" s="2">
        <f t="shared" si="2"/>
        <v>2.5579296518428399E-2</v>
      </c>
      <c r="K67" s="2">
        <f t="shared" si="3"/>
        <v>1.9136975831360821E-2</v>
      </c>
    </row>
    <row r="68" spans="1:11" ht="15" hidden="1" x14ac:dyDescent="0.2">
      <c r="A68" s="16" t="s">
        <v>48</v>
      </c>
      <c r="B68" s="16"/>
      <c r="C68" s="17">
        <v>-4.1302199999999998E-4</v>
      </c>
      <c r="D68" s="17"/>
      <c r="E68" s="17"/>
      <c r="F68" s="17">
        <v>2.1083300000000001E-4</v>
      </c>
      <c r="G68" s="17">
        <v>-1.95899563</v>
      </c>
      <c r="H68" s="17">
        <v>5.0135692000000003E-2</v>
      </c>
      <c r="I68" s="2">
        <v>3.49066301271841</v>
      </c>
      <c r="J68" s="2">
        <f t="shared" si="2"/>
        <v>3.4906630127184098E-2</v>
      </c>
      <c r="K68" s="2">
        <f t="shared" si="3"/>
        <v>1.7453315063592049E-2</v>
      </c>
    </row>
    <row r="69" spans="1:11" ht="15" x14ac:dyDescent="0.2">
      <c r="A69" s="16" t="s">
        <v>105</v>
      </c>
      <c r="B69" s="16" t="str">
        <f ca="1">IFERROR(__xludf.DUMMYFUNCTION("GOOGLETRANSLATE(SUBSTITUTE(A69,""_"","" ""),""nl"",""en"")"),"Relationship Partner Number of Partner Partner Unmarried")</f>
        <v>Relationship Partner Number of Partner Partner Unmarried</v>
      </c>
      <c r="C69" s="17">
        <v>1.95678E-2</v>
      </c>
      <c r="D69" s="17">
        <f>ABS(C69)</f>
        <v>1.95678E-2</v>
      </c>
      <c r="E69" s="17">
        <f>D69/MAX($D$3:$D$317)</f>
        <v>3.0279809467984125E-2</v>
      </c>
      <c r="F69" s="17">
        <v>0</v>
      </c>
      <c r="G69" s="17">
        <v>8.9600000000000009</v>
      </c>
      <c r="H69" s="18">
        <v>3.6000000000000001E-19</v>
      </c>
      <c r="I69" s="2">
        <v>0.45426078515181501</v>
      </c>
      <c r="J69" s="2">
        <f t="shared" si="2"/>
        <v>4.54260785151815E-3</v>
      </c>
      <c r="K69" s="2">
        <f t="shared" si="3"/>
        <v>1.7411208659751137E-2</v>
      </c>
    </row>
    <row r="70" spans="1:11" ht="15" hidden="1" x14ac:dyDescent="0.2">
      <c r="A70" s="16" t="s">
        <v>38</v>
      </c>
      <c r="B70" s="16"/>
      <c r="C70" s="17">
        <v>6.59091E-4</v>
      </c>
      <c r="D70" s="17"/>
      <c r="E70" s="17"/>
      <c r="F70" s="17">
        <v>3.4926899999999998E-4</v>
      </c>
      <c r="G70" s="17">
        <v>1.8870591379999999</v>
      </c>
      <c r="H70" s="17">
        <v>5.9175725999999998E-2</v>
      </c>
      <c r="I70" s="2">
        <v>3.3198268158737099</v>
      </c>
      <c r="J70" s="2">
        <f t="shared" si="2"/>
        <v>3.3198268158737096E-2</v>
      </c>
      <c r="K70" s="2">
        <f t="shared" si="3"/>
        <v>1.6599134079368548E-2</v>
      </c>
    </row>
    <row r="71" spans="1:11" ht="15" x14ac:dyDescent="0.2">
      <c r="A71" s="16" t="s">
        <v>154</v>
      </c>
      <c r="B71" s="16" t="str">
        <f ca="1">IFERROR(__xludf.DUMMYFUNCTION("GOOGLETRANSLATE(SUBSTITUTE(A71,""_"","" ""),""nl"",""en"")"),"Relationship other administrator")</f>
        <v>Relationship other administrator</v>
      </c>
      <c r="C71" s="17">
        <v>-1.25241E-2</v>
      </c>
      <c r="D71" s="17">
        <f t="shared" ref="D71:D74" si="22">ABS(C71)</f>
        <v>1.25241E-2</v>
      </c>
      <c r="E71" s="17">
        <f t="shared" ref="E71:E74" si="23">D71/MAX($D$3:$D$317)</f>
        <v>1.938017364026513E-2</v>
      </c>
      <c r="F71" s="17">
        <v>0</v>
      </c>
      <c r="G71" s="17">
        <v>-3.86</v>
      </c>
      <c r="H71" s="17">
        <v>1.1539099999999999E-4</v>
      </c>
      <c r="I71" s="2">
        <v>1.33541278196271</v>
      </c>
      <c r="J71" s="2">
        <f t="shared" si="2"/>
        <v>1.3354127819627099E-2</v>
      </c>
      <c r="K71" s="2">
        <f t="shared" si="3"/>
        <v>1.6367150729946114E-2</v>
      </c>
    </row>
    <row r="72" spans="1:11" ht="15" x14ac:dyDescent="0.2">
      <c r="A72" s="16" t="s">
        <v>103</v>
      </c>
      <c r="B72" s="16" t="str">
        <f ca="1">IFERROR(__xludf.DUMMYFUNCTION("GOOGLETRANSLATE(SUBSTITUTE(A72,""_"","" ""),""nl"",""en"")"),"address number of home address manually")</f>
        <v>address number of home address manually</v>
      </c>
      <c r="C72" s="17">
        <v>5.4301000000000002E-3</v>
      </c>
      <c r="D72" s="17">
        <f t="shared" si="22"/>
        <v>5.4301000000000002E-3</v>
      </c>
      <c r="E72" s="17">
        <f t="shared" si="23"/>
        <v>8.4027020611464037E-3</v>
      </c>
      <c r="F72" s="17">
        <v>0</v>
      </c>
      <c r="G72" s="17">
        <v>4.57</v>
      </c>
      <c r="H72" s="18">
        <v>5.0300000000000001E-6</v>
      </c>
      <c r="I72" s="2">
        <v>2.38551409019807</v>
      </c>
      <c r="J72" s="2">
        <f t="shared" si="2"/>
        <v>2.3855140901980699E-2</v>
      </c>
      <c r="K72" s="2">
        <f t="shared" si="3"/>
        <v>1.612892148156355E-2</v>
      </c>
    </row>
    <row r="73" spans="1:11" ht="15" x14ac:dyDescent="0.2">
      <c r="A73" s="16" t="s">
        <v>217</v>
      </c>
      <c r="B73" s="16" t="str">
        <f ca="1">IFERROR(__xludf.DUMMYFUNCTION("GOOGLETRANSLATE(SUBSTITUTE(A73,""_"","" ""),""nl"",""en"")"),"address most recent neighborhood other")</f>
        <v>address most recent neighborhood other</v>
      </c>
      <c r="C73" s="17">
        <v>5.3571000000000001E-3</v>
      </c>
      <c r="D73" s="17">
        <f t="shared" si="22"/>
        <v>5.3571000000000001E-3</v>
      </c>
      <c r="E73" s="17">
        <f t="shared" si="23"/>
        <v>8.2897396386378518E-3</v>
      </c>
      <c r="F73" s="17">
        <v>0</v>
      </c>
      <c r="G73" s="17">
        <v>3.23</v>
      </c>
      <c r="H73" s="17">
        <v>1.23003E-3</v>
      </c>
      <c r="I73" s="2">
        <v>2.3539577963782401</v>
      </c>
      <c r="J73" s="2">
        <f t="shared" si="2"/>
        <v>2.35395779637824E-2</v>
      </c>
      <c r="K73" s="2">
        <f t="shared" si="3"/>
        <v>1.5914658801210124E-2</v>
      </c>
    </row>
    <row r="74" spans="1:11" ht="15" x14ac:dyDescent="0.2">
      <c r="A74" s="16" t="s">
        <v>260</v>
      </c>
      <c r="B74" s="16" t="str">
        <f ca="1">IFERROR(__xludf.DUMMYFUNCTION("GOOGLETRANSLATE(SUBSTITUTE(A74,""_"","" ""),""nl"",""en"")"),"Contacts Subject Boolean Work Intake")</f>
        <v>Contacts Subject Boolean Work Intake</v>
      </c>
      <c r="C74" s="17">
        <v>1.94795E-2</v>
      </c>
      <c r="D74" s="17">
        <f t="shared" si="22"/>
        <v>1.94795E-2</v>
      </c>
      <c r="E74" s="17">
        <f t="shared" si="23"/>
        <v>3.014317135966214E-2</v>
      </c>
      <c r="F74" s="17">
        <v>0</v>
      </c>
      <c r="G74" s="17">
        <v>6.65</v>
      </c>
      <c r="H74" s="18">
        <v>2.9699999999999998E-11</v>
      </c>
      <c r="I74" s="2">
        <v>0</v>
      </c>
      <c r="J74" s="2">
        <f t="shared" si="2"/>
        <v>0</v>
      </c>
      <c r="K74" s="2">
        <f t="shared" si="3"/>
        <v>1.507158567983107E-2</v>
      </c>
    </row>
    <row r="75" spans="1:11" ht="15" hidden="1" x14ac:dyDescent="0.2">
      <c r="A75" s="16" t="s">
        <v>39</v>
      </c>
      <c r="B75" s="16"/>
      <c r="C75" s="18">
        <v>-1.0499999999999999E-5</v>
      </c>
      <c r="D75" s="18"/>
      <c r="E75" s="17"/>
      <c r="F75" s="17">
        <v>6.5103100000000005E-4</v>
      </c>
      <c r="G75" s="17">
        <v>-1.6080883000000001E-2</v>
      </c>
      <c r="H75" s="17">
        <v>0.98717012400000004</v>
      </c>
      <c r="I75" s="2">
        <v>3.0025189660834601</v>
      </c>
      <c r="J75" s="2">
        <f t="shared" si="2"/>
        <v>3.0025189660834603E-2</v>
      </c>
      <c r="K75" s="2">
        <f t="shared" si="3"/>
        <v>1.5012594830417302E-2</v>
      </c>
    </row>
    <row r="76" spans="1:11" ht="15" x14ac:dyDescent="0.2">
      <c r="A76" s="16" t="s">
        <v>153</v>
      </c>
      <c r="B76" s="16" t="str">
        <f ca="1">IFERROR(__xludf.DUMMYFUNCTION("GOOGLETRANSLATE(SUBSTITUTE(A76,""_"","" ""),""nl"",""en"")"),"address most recent")</f>
        <v>address most recent</v>
      </c>
      <c r="C76" s="17">
        <v>-1.52876E-2</v>
      </c>
      <c r="D76" s="17">
        <f t="shared" ref="D76:D77" si="24">ABS(C76)</f>
        <v>1.52876E-2</v>
      </c>
      <c r="E76" s="17">
        <f t="shared" ref="E76:E77" si="25">D76/MAX($D$3:$D$317)</f>
        <v>2.3656497675914212E-2</v>
      </c>
      <c r="F76" s="17">
        <v>0</v>
      </c>
      <c r="G76" s="17">
        <v>-3.7</v>
      </c>
      <c r="H76" s="17">
        <v>2.12442E-4</v>
      </c>
      <c r="I76" s="2">
        <v>0.55847303994970698</v>
      </c>
      <c r="J76" s="2">
        <f t="shared" si="2"/>
        <v>5.5847303994970695E-3</v>
      </c>
      <c r="K76" s="2">
        <f t="shared" si="3"/>
        <v>1.4620614037705641E-2</v>
      </c>
    </row>
    <row r="77" spans="1:11" ht="15" x14ac:dyDescent="0.2">
      <c r="A77" s="16" t="s">
        <v>106</v>
      </c>
      <c r="B77" s="16" t="str">
        <f ca="1">IFERROR(__xludf.DUMMYFUNCTION("GOOGLETRANSLATE(SUBSTITUTE(A77,""_"","" ""),""nl"",""en"")"),"Appointment Participation Speed ​​follow -up measurement")</f>
        <v>Appointment Participation Speed ​​follow -up measurement</v>
      </c>
      <c r="C77" s="17">
        <v>-7.6048000000000001E-3</v>
      </c>
      <c r="D77" s="17">
        <f t="shared" si="24"/>
        <v>7.6048000000000001E-3</v>
      </c>
      <c r="E77" s="17">
        <f t="shared" si="25"/>
        <v>1.1767899050589524E-2</v>
      </c>
      <c r="F77" s="17">
        <v>0</v>
      </c>
      <c r="G77" s="17">
        <v>-6.81</v>
      </c>
      <c r="H77" s="18">
        <v>1.0399999999999999E-11</v>
      </c>
      <c r="I77" s="2">
        <v>1.7184423739103101</v>
      </c>
      <c r="J77" s="2">
        <f t="shared" si="2"/>
        <v>1.7184423739103102E-2</v>
      </c>
      <c r="K77" s="2">
        <f t="shared" si="3"/>
        <v>1.4476161394846313E-2</v>
      </c>
    </row>
    <row r="78" spans="1:11" ht="15" hidden="1" x14ac:dyDescent="0.2">
      <c r="A78" s="16" t="s">
        <v>56</v>
      </c>
      <c r="B78" s="16"/>
      <c r="C78" s="17">
        <v>-4.8848399999999997E-4</v>
      </c>
      <c r="D78" s="17"/>
      <c r="E78" s="17"/>
      <c r="F78" s="17">
        <v>1.3680649999999999E-3</v>
      </c>
      <c r="G78" s="17">
        <v>-0.35706180199999998</v>
      </c>
      <c r="H78" s="17">
        <v>0.72105162</v>
      </c>
      <c r="I78" s="2">
        <v>2.6821814010026199</v>
      </c>
      <c r="J78" s="2">
        <f t="shared" si="2"/>
        <v>2.6821814010026198E-2</v>
      </c>
      <c r="K78" s="2">
        <f t="shared" si="3"/>
        <v>1.3410907005013099E-2</v>
      </c>
    </row>
    <row r="79" spans="1:11" ht="15" x14ac:dyDescent="0.2">
      <c r="A79" s="16" t="s">
        <v>61</v>
      </c>
      <c r="B79" s="16" t="str">
        <f ca="1">IFERROR(__xludf.DUMMYFUNCTION("GOOGLETRANSLATE(SUBSTITUTE(A79,""_"","" ""),""nl"",""en"")"),"Appointment.")</f>
        <v>Appointment.</v>
      </c>
      <c r="C79" s="17">
        <v>-9.2194000000000009E-3</v>
      </c>
      <c r="D79" s="17">
        <f t="shared" ref="D79:D80" si="26">ABS(C79)</f>
        <v>9.2194000000000009E-3</v>
      </c>
      <c r="E79" s="17">
        <f t="shared" ref="E79:E80" si="27">D79/MAX($D$3:$D$317)</f>
        <v>1.426638024760744E-2</v>
      </c>
      <c r="F79" s="17">
        <v>0</v>
      </c>
      <c r="G79" s="17">
        <v>-3.09</v>
      </c>
      <c r="H79" s="17">
        <v>1.9895780000000001E-3</v>
      </c>
      <c r="I79" s="2">
        <v>1.2552993612069401</v>
      </c>
      <c r="J79" s="2">
        <f t="shared" si="2"/>
        <v>1.2552993612069401E-2</v>
      </c>
      <c r="K79" s="2">
        <f t="shared" si="3"/>
        <v>1.340968692983842E-2</v>
      </c>
    </row>
    <row r="80" spans="1:11" ht="15" x14ac:dyDescent="0.2">
      <c r="A80" s="16" t="s">
        <v>142</v>
      </c>
      <c r="B80" s="16" t="str">
        <f ca="1">IFERROR(__xludf.DUMMYFUNCTION("GOOGLETRANSLATE(SUBSTITUTE(A80,""_"","" ""),""nl"",""en"")"),"appointment last year appointment plan")</f>
        <v>appointment last year appointment plan</v>
      </c>
      <c r="C80" s="17">
        <v>-3.826E-3</v>
      </c>
      <c r="D80" s="17">
        <f t="shared" si="26"/>
        <v>3.826E-3</v>
      </c>
      <c r="E80" s="17">
        <f t="shared" si="27"/>
        <v>5.9204688838043759E-3</v>
      </c>
      <c r="F80" s="17">
        <v>0</v>
      </c>
      <c r="G80" s="17">
        <v>-2.36</v>
      </c>
      <c r="H80" s="17">
        <v>1.8400161000000002E-2</v>
      </c>
      <c r="I80" s="2">
        <v>2.0063695818016898</v>
      </c>
      <c r="J80" s="2">
        <f t="shared" si="2"/>
        <v>2.0063695818016897E-2</v>
      </c>
      <c r="K80" s="2">
        <f t="shared" si="3"/>
        <v>1.2992082350910636E-2</v>
      </c>
    </row>
    <row r="81" spans="1:11" ht="15" hidden="1" x14ac:dyDescent="0.2">
      <c r="A81" s="16" t="s">
        <v>93</v>
      </c>
      <c r="B81" s="16"/>
      <c r="C81" s="17">
        <v>8.7008400000000003E-4</v>
      </c>
      <c r="D81" s="17"/>
      <c r="E81" s="17"/>
      <c r="F81" s="17">
        <v>5.0976699999999995E-4</v>
      </c>
      <c r="G81" s="17">
        <v>1.7068256980000001</v>
      </c>
      <c r="H81" s="17">
        <v>8.7879509999999994E-2</v>
      </c>
      <c r="I81" s="2">
        <v>2.5539309191897601</v>
      </c>
      <c r="J81" s="2">
        <f t="shared" si="2"/>
        <v>2.5539309191897602E-2</v>
      </c>
      <c r="K81" s="2">
        <f t="shared" si="3"/>
        <v>1.2769654595948801E-2</v>
      </c>
    </row>
    <row r="82" spans="1:11" ht="15" hidden="1" x14ac:dyDescent="0.2">
      <c r="A82" s="16" t="s">
        <v>59</v>
      </c>
      <c r="B82" s="16"/>
      <c r="C82" s="17">
        <v>6.4122799999999998E-4</v>
      </c>
      <c r="D82" s="17"/>
      <c r="E82" s="17"/>
      <c r="F82" s="17">
        <v>5.7025700000000001E-4</v>
      </c>
      <c r="G82" s="17">
        <v>1.1244546710000001</v>
      </c>
      <c r="H82" s="17">
        <v>0.26084197199999998</v>
      </c>
      <c r="I82" s="2">
        <v>2.5411930488416501</v>
      </c>
      <c r="J82" s="2">
        <f t="shared" si="2"/>
        <v>2.5411930488416501E-2</v>
      </c>
      <c r="K82" s="2">
        <f t="shared" si="3"/>
        <v>1.270596524420825E-2</v>
      </c>
    </row>
    <row r="83" spans="1:11" ht="15" x14ac:dyDescent="0.2">
      <c r="A83" s="16" t="s">
        <v>94</v>
      </c>
      <c r="B83" s="16" t="str">
        <f ca="1">IFERROR(__xludf.DUMMYFUNCTION("GOOGLETRANSLATE(SUBSTITUTE(A83,""_"","" ""),""nl"",""en"")"),"Instrument Reason Understanding History Customer WZ AFTER OFFER")</f>
        <v>Instrument Reason Understanding History Customer WZ AFTER OFFER</v>
      </c>
      <c r="C83" s="17">
        <v>3.9135999999999997E-3</v>
      </c>
      <c r="D83" s="17">
        <f t="shared" ref="D83:D84" si="28">ABS(C83)</f>
        <v>3.9135999999999997E-3</v>
      </c>
      <c r="E83" s="17">
        <f t="shared" ref="E83:E84" si="29">D83/MAX($D$3:$D$317)</f>
        <v>6.0560237908146375E-3</v>
      </c>
      <c r="F83" s="17">
        <v>0</v>
      </c>
      <c r="G83" s="17">
        <v>2.2200000000000002</v>
      </c>
      <c r="H83" s="17">
        <v>2.6558746000000001E-2</v>
      </c>
      <c r="I83" s="2">
        <v>1.8980661127223999</v>
      </c>
      <c r="J83" s="2">
        <f t="shared" si="2"/>
        <v>1.8980661127223998E-2</v>
      </c>
      <c r="K83" s="2">
        <f t="shared" si="3"/>
        <v>1.2518342459019317E-2</v>
      </c>
    </row>
    <row r="84" spans="1:11" ht="15" x14ac:dyDescent="0.2">
      <c r="A84" s="16" t="s">
        <v>124</v>
      </c>
      <c r="B84" s="16" t="str">
        <f ca="1">IFERROR(__xludf.DUMMYFUNCTION("GOOGLETRANSLATE(SUBSTITUTE(A84,""_"","" ""),""nl"",""en"")"),"Contacts Subject Boolean Document Type Diplomas and certificates")</f>
        <v>Contacts Subject Boolean Document Type Diplomas and certificates</v>
      </c>
      <c r="C84" s="17">
        <v>-1.1602100000000001E-2</v>
      </c>
      <c r="D84" s="17">
        <f t="shared" si="28"/>
        <v>1.1602100000000001E-2</v>
      </c>
      <c r="E84" s="17">
        <f t="shared" si="29"/>
        <v>1.7953442769677665E-2</v>
      </c>
      <c r="F84" s="17">
        <v>0</v>
      </c>
      <c r="G84" s="17">
        <v>-6.43</v>
      </c>
      <c r="H84" s="18">
        <v>1.2899999999999999E-10</v>
      </c>
      <c r="I84" s="2">
        <v>0.70482998953036102</v>
      </c>
      <c r="J84" s="2">
        <f t="shared" si="2"/>
        <v>7.04829989530361E-3</v>
      </c>
      <c r="K84" s="2">
        <f t="shared" si="3"/>
        <v>1.2500871332490638E-2</v>
      </c>
    </row>
    <row r="85" spans="1:11" ht="15" hidden="1" x14ac:dyDescent="0.2">
      <c r="A85" s="16" t="s">
        <v>63</v>
      </c>
      <c r="B85" s="16"/>
      <c r="C85" s="17">
        <v>-3.5925099999999999E-4</v>
      </c>
      <c r="D85" s="17"/>
      <c r="E85" s="17"/>
      <c r="F85" s="17">
        <v>3.2456299999999999E-4</v>
      </c>
      <c r="G85" s="17">
        <v>-1.1068747750000001</v>
      </c>
      <c r="H85" s="17">
        <v>0.26836956099999998</v>
      </c>
      <c r="I85" s="2">
        <v>2.4952934284220101</v>
      </c>
      <c r="J85" s="2">
        <f t="shared" si="2"/>
        <v>2.4952934284220102E-2</v>
      </c>
      <c r="K85" s="2">
        <f t="shared" si="3"/>
        <v>1.2476467142110051E-2</v>
      </c>
    </row>
    <row r="86" spans="1:11" ht="15" x14ac:dyDescent="0.2">
      <c r="A86" s="16" t="s">
        <v>33</v>
      </c>
      <c r="B86" s="16" t="str">
        <f ca="1">IFERROR(__xludf.DUMMYFUNCTION("GOOGLETRANSLATE(SUBSTITUTE(A86,""_"","" ""),""nl"",""en"")"),"address number of different neighborhoods")</f>
        <v>address number of different neighborhoods</v>
      </c>
      <c r="C86" s="17">
        <v>-3.7872000000000001E-3</v>
      </c>
      <c r="D86" s="17">
        <f t="shared" ref="D86:D87" si="30">ABS(C86)</f>
        <v>3.7872000000000001E-3</v>
      </c>
      <c r="E86" s="17">
        <f t="shared" ref="E86:E87" si="31">D86/MAX($D$3:$D$317)</f>
        <v>5.8604285825258583E-3</v>
      </c>
      <c r="F86" s="17">
        <v>0</v>
      </c>
      <c r="G86" s="17">
        <v>-2.98</v>
      </c>
      <c r="H86" s="17">
        <v>2.9323589999999998E-3</v>
      </c>
      <c r="I86" s="2">
        <v>1.8642036491968199</v>
      </c>
      <c r="J86" s="2">
        <f t="shared" si="2"/>
        <v>1.86420364919682E-2</v>
      </c>
      <c r="K86" s="2">
        <f t="shared" si="3"/>
        <v>1.2251232537247029E-2</v>
      </c>
    </row>
    <row r="87" spans="1:11" ht="15" x14ac:dyDescent="0.2">
      <c r="A87" s="16" t="s">
        <v>102</v>
      </c>
      <c r="B87" s="16" t="str">
        <f ca="1">IFERROR(__xludf.DUMMYFUNCTION("GOOGLETRANSLATE(SUBSTITUTE(A87,""_"","" ""),""nl"",""en"")"),"Exemption up -to -date IND")</f>
        <v>Exemption up -to -date IND</v>
      </c>
      <c r="C87" s="17">
        <v>-9.1362000000000006E-3</v>
      </c>
      <c r="D87" s="17">
        <f t="shared" si="30"/>
        <v>9.1362000000000006E-3</v>
      </c>
      <c r="E87" s="17">
        <f t="shared" si="31"/>
        <v>1.4137634034556597E-2</v>
      </c>
      <c r="F87" s="17">
        <v>0</v>
      </c>
      <c r="G87" s="17">
        <v>-2.5099999999999998</v>
      </c>
      <c r="H87" s="17">
        <v>1.2227459E-2</v>
      </c>
      <c r="I87" s="2">
        <v>0.99694491210988401</v>
      </c>
      <c r="J87" s="2">
        <f t="shared" si="2"/>
        <v>9.9694491210988393E-3</v>
      </c>
      <c r="K87" s="2">
        <f t="shared" si="3"/>
        <v>1.2053541577827717E-2</v>
      </c>
    </row>
    <row r="88" spans="1:11" ht="15" hidden="1" x14ac:dyDescent="0.2">
      <c r="A88" s="16" t="s">
        <v>58</v>
      </c>
      <c r="B88" s="16"/>
      <c r="C88" s="17">
        <v>4.3195499999999998E-4</v>
      </c>
      <c r="D88" s="17"/>
      <c r="E88" s="17"/>
      <c r="F88" s="17">
        <v>4.0854800000000001E-4</v>
      </c>
      <c r="G88" s="17">
        <v>1.0572944150000001</v>
      </c>
      <c r="H88" s="17">
        <v>0.29039785299999998</v>
      </c>
      <c r="I88" s="2">
        <v>2.4045293768274898</v>
      </c>
      <c r="J88" s="2">
        <f t="shared" si="2"/>
        <v>2.4045293768274897E-2</v>
      </c>
      <c r="K88" s="2">
        <f t="shared" si="3"/>
        <v>1.2022646884137449E-2</v>
      </c>
    </row>
    <row r="89" spans="1:11" ht="15" x14ac:dyDescent="0.2">
      <c r="A89" s="16" t="s">
        <v>293</v>
      </c>
      <c r="B89" s="16" t="str">
        <f ca="1">IFERROR(__xludf.DUMMYFUNCTION("GOOGLETRANSLATE(SUBSTITUTE(A89,""_"","" ""),""nl"",""en"")"),"Exemption Hist IND")</f>
        <v>Exemption Hist IND</v>
      </c>
      <c r="C89" s="17">
        <v>-1.3547500000000001E-2</v>
      </c>
      <c r="D89" s="17">
        <f t="shared" ref="D89:D90" si="32">ABS(C89)</f>
        <v>1.3547500000000001E-2</v>
      </c>
      <c r="E89" s="17">
        <f t="shared" ref="E89:E90" si="33">D89/MAX($D$3:$D$317)</f>
        <v>2.0963813958008309E-2</v>
      </c>
      <c r="F89" s="17">
        <v>0</v>
      </c>
      <c r="G89" s="17">
        <v>-4.33</v>
      </c>
      <c r="H89" s="18">
        <v>1.4800000000000001E-5</v>
      </c>
      <c r="I89" s="2">
        <v>0.28255175946828998</v>
      </c>
      <c r="J89" s="2">
        <f t="shared" si="2"/>
        <v>2.8255175946828998E-3</v>
      </c>
      <c r="K89" s="2">
        <f t="shared" si="3"/>
        <v>1.1894665776345605E-2</v>
      </c>
    </row>
    <row r="90" spans="1:11" ht="15" x14ac:dyDescent="0.2">
      <c r="A90" s="16" t="s">
        <v>191</v>
      </c>
      <c r="B90" s="16" t="str">
        <f ca="1">IFERROR(__xludf.DUMMYFUNCTION("GOOGLETRANSLATE(SUBSTITUTE(A90,""_"","" ""),""nl"",""en"")"),"PLA Current PLA Category Objective 16")</f>
        <v>PLA Current PLA Category Objective 16</v>
      </c>
      <c r="C90" s="17">
        <v>-1.3871700000000001E-2</v>
      </c>
      <c r="D90" s="17">
        <f t="shared" si="32"/>
        <v>1.3871700000000001E-2</v>
      </c>
      <c r="E90" s="17">
        <f t="shared" si="33"/>
        <v>2.1465490908381905E-2</v>
      </c>
      <c r="F90" s="17">
        <v>0</v>
      </c>
      <c r="G90" s="17">
        <v>-4.13</v>
      </c>
      <c r="H90" s="18">
        <v>3.6100000000000003E-5</v>
      </c>
      <c r="I90" s="2">
        <v>0.13840146211846099</v>
      </c>
      <c r="J90" s="2">
        <f t="shared" si="2"/>
        <v>1.3840146211846099E-3</v>
      </c>
      <c r="K90" s="2">
        <f t="shared" si="3"/>
        <v>1.1424752764783257E-2</v>
      </c>
    </row>
    <row r="91" spans="1:11" ht="15" hidden="1" x14ac:dyDescent="0.2">
      <c r="A91" s="16" t="s">
        <v>83</v>
      </c>
      <c r="B91" s="16"/>
      <c r="C91" s="17">
        <v>1.6843399999999999E-4</v>
      </c>
      <c r="D91" s="17"/>
      <c r="E91" s="17"/>
      <c r="F91" s="17">
        <v>3.5523100000000001E-4</v>
      </c>
      <c r="G91" s="17">
        <v>0.474153985</v>
      </c>
      <c r="H91" s="17">
        <v>0.63539845900000003</v>
      </c>
      <c r="I91" s="2">
        <v>2.2745216158615902</v>
      </c>
      <c r="J91" s="2">
        <f t="shared" si="2"/>
        <v>2.27452161586159E-2</v>
      </c>
      <c r="K91" s="2">
        <f t="shared" si="3"/>
        <v>1.137260807930795E-2</v>
      </c>
    </row>
    <row r="92" spans="1:11" ht="15" hidden="1" x14ac:dyDescent="0.2">
      <c r="A92" s="16" t="s">
        <v>52</v>
      </c>
      <c r="B92" s="16"/>
      <c r="C92" s="17">
        <v>-5.0401700000000005E-4</v>
      </c>
      <c r="D92" s="17"/>
      <c r="E92" s="17"/>
      <c r="F92" s="17">
        <v>2.6625970000000001E-3</v>
      </c>
      <c r="G92" s="17">
        <v>-0.189295139</v>
      </c>
      <c r="H92" s="17">
        <v>0.84985999999999995</v>
      </c>
      <c r="I92" s="2">
        <v>2.2562602940642198</v>
      </c>
      <c r="J92" s="2">
        <f t="shared" si="2"/>
        <v>2.2562602940642197E-2</v>
      </c>
      <c r="K92" s="2">
        <f t="shared" si="3"/>
        <v>1.1281301470321099E-2</v>
      </c>
    </row>
    <row r="93" spans="1:11" ht="15" x14ac:dyDescent="0.2">
      <c r="A93" s="16" t="s">
        <v>211</v>
      </c>
      <c r="B93" s="16" t="str">
        <f ca="1">IFERROR(__xludf.DUMMYFUNCTION("GOOGLETRANSLATE(SUBSTITUTE(A93,""_"","" ""),""nl"",""en"")"),"Hind residential situation")</f>
        <v>Hind residential situation</v>
      </c>
      <c r="C93" s="17">
        <v>-1.3623E-2</v>
      </c>
      <c r="D93" s="17">
        <f t="shared" ref="D93:D94" si="34">ABS(C93)</f>
        <v>1.3623E-2</v>
      </c>
      <c r="E93" s="17">
        <f t="shared" ref="E93:E94" si="35">D93/MAX($D$3:$D$317)</f>
        <v>2.1080644956630167E-2</v>
      </c>
      <c r="F93" s="17">
        <v>0</v>
      </c>
      <c r="G93" s="17">
        <v>-3.8</v>
      </c>
      <c r="H93" s="17">
        <v>1.43172E-4</v>
      </c>
      <c r="I93" s="2">
        <v>8.2465482246508098E-2</v>
      </c>
      <c r="J93" s="2">
        <f t="shared" si="2"/>
        <v>8.2465482246508104E-4</v>
      </c>
      <c r="K93" s="2">
        <f t="shared" si="3"/>
        <v>1.0952649889547623E-2</v>
      </c>
    </row>
    <row r="94" spans="1:11" ht="15" x14ac:dyDescent="0.2">
      <c r="A94" s="16" t="s">
        <v>149</v>
      </c>
      <c r="B94" s="16" t="str">
        <f ca="1">IFERROR(__xludf.DUMMYFUNCTION("GOOGLETRANSLATE(SUBSTITUTE(A94,""_"","" ""),""nl"",""en"")"),"PLA History Work")</f>
        <v>PLA History Work</v>
      </c>
      <c r="C94" s="17">
        <v>-1.25092E-2</v>
      </c>
      <c r="D94" s="17">
        <f t="shared" si="34"/>
        <v>1.25092E-2</v>
      </c>
      <c r="E94" s="17">
        <f t="shared" si="35"/>
        <v>1.9357116926629822E-2</v>
      </c>
      <c r="F94" s="17">
        <v>0</v>
      </c>
      <c r="G94" s="17">
        <v>-6</v>
      </c>
      <c r="H94" s="18">
        <v>2.0200000000000001E-9</v>
      </c>
      <c r="I94" s="2">
        <v>0.209301301857205</v>
      </c>
      <c r="J94" s="2">
        <f t="shared" si="2"/>
        <v>2.0930130185720501E-3</v>
      </c>
      <c r="K94" s="2">
        <f t="shared" si="3"/>
        <v>1.0725064972600937E-2</v>
      </c>
    </row>
    <row r="95" spans="1:11" ht="15" hidden="1" x14ac:dyDescent="0.2">
      <c r="A95" s="16" t="s">
        <v>69</v>
      </c>
      <c r="B95" s="16"/>
      <c r="C95" s="18">
        <v>-5.7000000000000003E-5</v>
      </c>
      <c r="D95" s="18"/>
      <c r="E95" s="17"/>
      <c r="F95" s="17">
        <v>6.5306700000000001E-4</v>
      </c>
      <c r="G95" s="17">
        <v>-8.7272437999999994E-2</v>
      </c>
      <c r="H95" s="17">
        <v>0.93045637199999998</v>
      </c>
      <c r="I95" s="2">
        <v>2.13112094501856</v>
      </c>
      <c r="J95" s="2">
        <f t="shared" si="2"/>
        <v>2.1311209450185598E-2</v>
      </c>
      <c r="K95" s="2">
        <f t="shared" si="3"/>
        <v>1.0655604725092799E-2</v>
      </c>
    </row>
    <row r="96" spans="1:11" ht="15" x14ac:dyDescent="0.2">
      <c r="A96" s="16" t="s">
        <v>206</v>
      </c>
      <c r="B96" s="16" t="str">
        <f ca="1">IFERROR(__xludf.DUMMYFUNCTION("GOOGLETRANSLATE(SUBSTITUTE(A96,""_"","" ""),""nl"",""en"")"),"Contacts Subject Boolean Language requires satisfactory")</f>
        <v>Contacts Subject Boolean Language requires satisfactory</v>
      </c>
      <c r="C96" s="17">
        <v>-1.33591E-2</v>
      </c>
      <c r="D96" s="17">
        <f t="shared" ref="D96:D98" si="36">ABS(C96)</f>
        <v>1.33591E-2</v>
      </c>
      <c r="E96" s="17">
        <f t="shared" ref="E96:E98" si="37">D96/MAX($D$3:$D$317)</f>
        <v>2.0672278062109525E-2</v>
      </c>
      <c r="F96" s="17">
        <v>0</v>
      </c>
      <c r="G96" s="17">
        <v>-5.58</v>
      </c>
      <c r="H96" s="18">
        <v>2.48E-8</v>
      </c>
      <c r="I96" s="2">
        <v>0</v>
      </c>
      <c r="J96" s="2">
        <f t="shared" si="2"/>
        <v>0</v>
      </c>
      <c r="K96" s="2">
        <f t="shared" si="3"/>
        <v>1.0336139031054762E-2</v>
      </c>
    </row>
    <row r="97" spans="1:11" ht="15" x14ac:dyDescent="0.2">
      <c r="A97" s="16" t="s">
        <v>141</v>
      </c>
      <c r="B97" s="16" t="str">
        <f ca="1">IFERROR(__xludf.DUMMYFUNCTION("GOOGLETRANSLATE(SUBSTITUTE(A97,""_"","" ""),""nl"",""en"")"),"Obstacking Ind Hist")</f>
        <v>Obstacking Ind Hist</v>
      </c>
      <c r="C97" s="17">
        <v>-8.5932000000000005E-3</v>
      </c>
      <c r="D97" s="17">
        <f t="shared" si="36"/>
        <v>8.5932000000000005E-3</v>
      </c>
      <c r="E97" s="17">
        <f t="shared" si="37"/>
        <v>1.3297379302746411E-2</v>
      </c>
      <c r="F97" s="17">
        <v>0</v>
      </c>
      <c r="G97" s="17">
        <v>-3.31</v>
      </c>
      <c r="H97" s="17">
        <v>9.40236E-4</v>
      </c>
      <c r="I97" s="2">
        <v>0.73097480601602305</v>
      </c>
      <c r="J97" s="2">
        <f t="shared" si="2"/>
        <v>7.3097480601602306E-3</v>
      </c>
      <c r="K97" s="2">
        <f t="shared" si="3"/>
        <v>1.0303563681453321E-2</v>
      </c>
    </row>
    <row r="98" spans="1:11" ht="15" x14ac:dyDescent="0.2">
      <c r="A98" s="16" t="s">
        <v>99</v>
      </c>
      <c r="B98" s="16" t="str">
        <f ca="1">IFERROR(__xludf.DUMMYFUNCTION("GOOGLETRANSLATE(SUBSTITUTE(A98,""_"","" ""),""nl"",""en"")"),"Personal characteristics outflow before the customer's customer")</f>
        <v>Personal characteristics outflow before the customer's customer</v>
      </c>
      <c r="C98" s="17">
        <v>-7.8779999999999996E-4</v>
      </c>
      <c r="D98" s="17">
        <f t="shared" si="36"/>
        <v>7.8779999999999996E-4</v>
      </c>
      <c r="E98" s="17">
        <f t="shared" si="37"/>
        <v>1.2190657048251664E-3</v>
      </c>
      <c r="F98" s="17">
        <v>0</v>
      </c>
      <c r="G98" s="17">
        <v>-2.0099999999999998</v>
      </c>
      <c r="H98" s="17">
        <v>4.4982273000000003E-2</v>
      </c>
      <c r="I98" s="2">
        <v>1.93590796746875</v>
      </c>
      <c r="J98" s="2">
        <f t="shared" si="2"/>
        <v>1.9359079674687502E-2</v>
      </c>
      <c r="K98" s="2">
        <f t="shared" si="3"/>
        <v>1.0289072689756333E-2</v>
      </c>
    </row>
    <row r="99" spans="1:11" ht="15" hidden="1" x14ac:dyDescent="0.2">
      <c r="A99" s="16" t="s">
        <v>82</v>
      </c>
      <c r="B99" s="16"/>
      <c r="C99" s="17">
        <v>1.9212400000000001E-4</v>
      </c>
      <c r="D99" s="17"/>
      <c r="E99" s="17"/>
      <c r="F99" s="17">
        <v>2.37228E-4</v>
      </c>
      <c r="G99" s="17">
        <v>0.80987245699999999</v>
      </c>
      <c r="H99" s="17">
        <v>0.41802903499999999</v>
      </c>
      <c r="I99" s="2">
        <v>2.0493008135958699</v>
      </c>
      <c r="J99" s="2">
        <f t="shared" si="2"/>
        <v>2.0493008135958699E-2</v>
      </c>
      <c r="K99" s="2">
        <f t="shared" si="3"/>
        <v>1.024650406797935E-2</v>
      </c>
    </row>
    <row r="100" spans="1:11" ht="15" x14ac:dyDescent="0.2">
      <c r="A100" s="16" t="s">
        <v>112</v>
      </c>
      <c r="B100" s="16" t="str">
        <f ca="1">IFERROR(__xludf.DUMMYFUNCTION("GOOGLETRANSLATE(SUBSTITUTE(A100,""_"","" ""),""nl"",""en"")"),"PLA signs Actueel")</f>
        <v>PLA signs Actueel</v>
      </c>
      <c r="C100" s="17">
        <v>-8.8406999999999999E-3</v>
      </c>
      <c r="D100" s="17">
        <f t="shared" ref="D100:D108" si="38">ABS(C100)</f>
        <v>8.8406999999999999E-3</v>
      </c>
      <c r="E100" s="17">
        <f t="shared" ref="E100:E108" si="39">D100/MAX($D$3:$D$317)</f>
        <v>1.3680368337963759E-2</v>
      </c>
      <c r="F100" s="17">
        <v>0</v>
      </c>
      <c r="G100" s="17">
        <v>-3.81</v>
      </c>
      <c r="H100" s="17">
        <v>1.3700100000000001E-4</v>
      </c>
      <c r="I100" s="2">
        <v>0.61653293557576505</v>
      </c>
      <c r="J100" s="2">
        <f t="shared" si="2"/>
        <v>6.1653293557576505E-3</v>
      </c>
      <c r="K100" s="2">
        <f t="shared" si="3"/>
        <v>9.9228488468607046E-3</v>
      </c>
    </row>
    <row r="101" spans="1:11" ht="15" x14ac:dyDescent="0.2">
      <c r="A101" s="16" t="s">
        <v>185</v>
      </c>
      <c r="B101" s="16" t="str">
        <f ca="1">IFERROR(__xludf.DUMMYFUNCTION("GOOGLETRANSLATE(SUBSTITUTE(A101,""_"","" ""),""nl"",""en"")"),"Appointment Discuss End Looking For Galo Interview")</f>
        <v>Appointment Discuss End Looking For Galo Interview</v>
      </c>
      <c r="C101" s="17">
        <v>5.5436000000000001E-3</v>
      </c>
      <c r="D101" s="17">
        <f t="shared" si="38"/>
        <v>5.5436000000000001E-3</v>
      </c>
      <c r="E101" s="17">
        <f t="shared" si="39"/>
        <v>8.5783354166905218E-3</v>
      </c>
      <c r="F101" s="17">
        <v>0</v>
      </c>
      <c r="G101" s="17">
        <v>2.08</v>
      </c>
      <c r="H101" s="17">
        <v>3.7301828000000002E-2</v>
      </c>
      <c r="I101" s="2">
        <v>1.0924312604234601</v>
      </c>
      <c r="J101" s="2">
        <f t="shared" si="2"/>
        <v>1.09243126042346E-2</v>
      </c>
      <c r="K101" s="2">
        <f t="shared" si="3"/>
        <v>9.7513240104625601E-3</v>
      </c>
    </row>
    <row r="102" spans="1:11" ht="15" x14ac:dyDescent="0.2">
      <c r="A102" s="16" t="s">
        <v>166</v>
      </c>
      <c r="B102" s="16" t="str">
        <f ca="1">IFERROR(__xludf.DUMMYFUNCTION("GOOGLETRANSLATE(SUBSTITUTE(A102,""_"","" ""),""nl"",""en"")"),"Delivering competence quality")</f>
        <v>Delivering competence quality</v>
      </c>
      <c r="C102" s="17">
        <v>4.1957000000000001E-3</v>
      </c>
      <c r="D102" s="17">
        <f t="shared" si="38"/>
        <v>4.1957000000000001E-3</v>
      </c>
      <c r="E102" s="17">
        <f t="shared" si="39"/>
        <v>6.4925539194401515E-3</v>
      </c>
      <c r="F102" s="17">
        <v>0</v>
      </c>
      <c r="G102" s="17">
        <v>2.14</v>
      </c>
      <c r="H102" s="17">
        <v>3.2129999999999999E-2</v>
      </c>
      <c r="I102" s="2">
        <v>1.2731939216288</v>
      </c>
      <c r="J102" s="2">
        <f t="shared" si="2"/>
        <v>1.2731939216287999E-2</v>
      </c>
      <c r="K102" s="2">
        <f t="shared" si="3"/>
        <v>9.6122465678640748E-3</v>
      </c>
    </row>
    <row r="103" spans="1:11" ht="15" x14ac:dyDescent="0.2">
      <c r="A103" s="16" t="s">
        <v>173</v>
      </c>
      <c r="B103" s="16" t="str">
        <f ca="1">IFERROR(__xludf.DUMMYFUNCTION("GOOGLETRANSLATE(SUBSTITUTE(A103,""_"","" ""),""nl"",""en"")"),"Personal qualities NL Write 0")</f>
        <v>Personal qualities NL Write 0</v>
      </c>
      <c r="C103" s="17">
        <v>1.13033E-2</v>
      </c>
      <c r="D103" s="17">
        <f t="shared" si="38"/>
        <v>1.13033E-2</v>
      </c>
      <c r="E103" s="17">
        <f t="shared" si="39"/>
        <v>1.7491070552615267E-2</v>
      </c>
      <c r="F103" s="17">
        <v>0</v>
      </c>
      <c r="G103" s="17">
        <v>3.68</v>
      </c>
      <c r="H103" s="17">
        <v>2.33262E-4</v>
      </c>
      <c r="I103" s="2">
        <v>0.142233570993167</v>
      </c>
      <c r="J103" s="2">
        <f t="shared" si="2"/>
        <v>1.4223357099316699E-3</v>
      </c>
      <c r="K103" s="2">
        <f t="shared" si="3"/>
        <v>9.4567031312734681E-3</v>
      </c>
    </row>
    <row r="104" spans="1:11" ht="15" x14ac:dyDescent="0.2">
      <c r="A104" s="16" t="s">
        <v>114</v>
      </c>
      <c r="B104" s="16" t="str">
        <f ca="1">IFERROR(__xludf.DUMMYFUNCTION("GOOGLETRANSLATE(SUBSTITUTE(A104,""_"","" ""),""nl"",""en"")"),"PLA HIST PLA Category Objective 3")</f>
        <v>PLA HIST PLA Category Objective 3</v>
      </c>
      <c r="C104" s="17">
        <v>5.1082000000000002E-3</v>
      </c>
      <c r="D104" s="17">
        <f t="shared" si="38"/>
        <v>5.1082000000000002E-3</v>
      </c>
      <c r="E104" s="17">
        <f t="shared" si="39"/>
        <v>7.9045842007970501E-3</v>
      </c>
      <c r="F104" s="17">
        <v>0</v>
      </c>
      <c r="G104" s="17">
        <v>3.83</v>
      </c>
      <c r="H104" s="17">
        <v>1.28138E-4</v>
      </c>
      <c r="I104" s="2">
        <v>1.08978622296932</v>
      </c>
      <c r="J104" s="2">
        <f t="shared" si="2"/>
        <v>1.08978622296932E-2</v>
      </c>
      <c r="K104" s="2">
        <f t="shared" si="3"/>
        <v>9.401223215245124E-3</v>
      </c>
    </row>
    <row r="105" spans="1:11" ht="15" x14ac:dyDescent="0.2">
      <c r="A105" s="16" t="s">
        <v>161</v>
      </c>
      <c r="B105" s="16" t="str">
        <f ca="1">IFERROR(__xludf.DUMMYFUNCTION("GOOGLETRANSLATE(SUBSTITUTE(A105,""_"","" ""),""nl"",""en"")"),"Contacts Subject Boolean Motivation")</f>
        <v>Contacts Subject Boolean Motivation</v>
      </c>
      <c r="C105" s="17">
        <v>8.5733000000000007E-3</v>
      </c>
      <c r="D105" s="17">
        <f t="shared" si="38"/>
        <v>8.5733000000000007E-3</v>
      </c>
      <c r="E105" s="17">
        <f t="shared" si="39"/>
        <v>1.326658543688449E-2</v>
      </c>
      <c r="F105" s="17">
        <v>0</v>
      </c>
      <c r="G105" s="17">
        <v>2.78</v>
      </c>
      <c r="H105" s="17">
        <v>5.444656E-3</v>
      </c>
      <c r="I105" s="2">
        <v>0.529114934593644</v>
      </c>
      <c r="J105" s="2">
        <f t="shared" si="2"/>
        <v>5.2911493459364403E-3</v>
      </c>
      <c r="K105" s="2">
        <f t="shared" si="3"/>
        <v>9.2788673914104645E-3</v>
      </c>
    </row>
    <row r="106" spans="1:11" ht="15" x14ac:dyDescent="0.2">
      <c r="A106" s="16" t="s">
        <v>268</v>
      </c>
      <c r="B106" s="16" t="str">
        <f ca="1">IFERROR(__xludf.DUMMYFUNCTION("GOOGLETRANSLATE(SUBSTITUTE(A106,""_"","" ""),""nl"",""en"")"),"Contacts subject Boolean financial situation")</f>
        <v>Contacts subject Boolean financial situation</v>
      </c>
      <c r="C106" s="17">
        <v>1.19706E-2</v>
      </c>
      <c r="D106" s="17">
        <f t="shared" si="38"/>
        <v>1.19706E-2</v>
      </c>
      <c r="E106" s="17">
        <f t="shared" si="39"/>
        <v>1.8523670888779053E-2</v>
      </c>
      <c r="F106" s="17">
        <v>0</v>
      </c>
      <c r="G106" s="17">
        <v>5.86</v>
      </c>
      <c r="H106" s="18">
        <v>4.6399999999999997E-9</v>
      </c>
      <c r="I106" s="2">
        <v>0</v>
      </c>
      <c r="J106" s="2">
        <f t="shared" si="2"/>
        <v>0</v>
      </c>
      <c r="K106" s="2">
        <f t="shared" si="3"/>
        <v>9.2618354443895264E-3</v>
      </c>
    </row>
    <row r="107" spans="1:11" ht="15" x14ac:dyDescent="0.2">
      <c r="A107" s="16" t="s">
        <v>223</v>
      </c>
      <c r="B107" s="16" t="str">
        <f ca="1">IFERROR(__xludf.DUMMYFUNCTION("GOOGLETRANSLATE(SUBSTITUTE(A107,""_"","" ""),""nl"",""en"")"),"address most recent neighborhood Vreewijk")</f>
        <v>address most recent neighborhood Vreewijk</v>
      </c>
      <c r="C107" s="17">
        <v>-8.7909000000000008E-3</v>
      </c>
      <c r="D107" s="17">
        <f t="shared" si="38"/>
        <v>8.7909000000000008E-3</v>
      </c>
      <c r="E107" s="17">
        <f t="shared" si="39"/>
        <v>1.3603306301786694E-2</v>
      </c>
      <c r="F107" s="17">
        <v>0</v>
      </c>
      <c r="G107" s="17">
        <v>-2.5499999999999998</v>
      </c>
      <c r="H107" s="17">
        <v>1.0726006999999999E-2</v>
      </c>
      <c r="I107" s="2">
        <v>0.46287700116002101</v>
      </c>
      <c r="J107" s="2">
        <f t="shared" si="2"/>
        <v>4.6287700116002103E-3</v>
      </c>
      <c r="K107" s="2">
        <f t="shared" si="3"/>
        <v>9.1160381566934515E-3</v>
      </c>
    </row>
    <row r="108" spans="1:11" ht="15" x14ac:dyDescent="0.2">
      <c r="A108" s="16" t="s">
        <v>196</v>
      </c>
      <c r="B108" s="16" t="str">
        <f ca="1">IFERROR(__xludf.DUMMYFUNCTION("GOOGLETRANSLATE(SUBSTITUTE(A108,""_"","" ""),""nl"",""en"")"),"Availability current deviating due to medical conditions")</f>
        <v>Availability current deviating due to medical conditions</v>
      </c>
      <c r="C108" s="17">
        <v>9.8616999999999993E-3</v>
      </c>
      <c r="D108" s="17">
        <f t="shared" si="38"/>
        <v>9.8616999999999993E-3</v>
      </c>
      <c r="E108" s="17">
        <f t="shared" si="39"/>
        <v>1.5260294822638163E-2</v>
      </c>
      <c r="F108" s="17">
        <v>0</v>
      </c>
      <c r="G108" s="17">
        <v>2.5099999999999998</v>
      </c>
      <c r="H108" s="17">
        <v>1.1968529E-2</v>
      </c>
      <c r="I108" s="2">
        <v>0.296643702967606</v>
      </c>
      <c r="J108" s="2">
        <f t="shared" si="2"/>
        <v>2.9664370296760599E-3</v>
      </c>
      <c r="K108" s="2">
        <f t="shared" si="3"/>
        <v>9.1133659261571111E-3</v>
      </c>
    </row>
    <row r="109" spans="1:11" ht="15" hidden="1" x14ac:dyDescent="0.2">
      <c r="A109" s="16" t="s">
        <v>85</v>
      </c>
      <c r="B109" s="16"/>
      <c r="C109" s="17">
        <v>-1.796771E-3</v>
      </c>
      <c r="D109" s="17"/>
      <c r="E109" s="17"/>
      <c r="F109" s="17">
        <v>1.4512699999999999E-3</v>
      </c>
      <c r="G109" s="17">
        <v>-1.238067671</v>
      </c>
      <c r="H109" s="17">
        <v>0.21571442699999999</v>
      </c>
      <c r="I109" s="2">
        <v>1.8064331273202801</v>
      </c>
      <c r="J109" s="2">
        <f t="shared" si="2"/>
        <v>1.80643312732028E-2</v>
      </c>
      <c r="K109" s="2">
        <f t="shared" si="3"/>
        <v>9.0321656366014001E-3</v>
      </c>
    </row>
    <row r="110" spans="1:11" ht="15" x14ac:dyDescent="0.2">
      <c r="A110" s="16" t="s">
        <v>232</v>
      </c>
      <c r="B110" s="16" t="str">
        <f ca="1">IFERROR(__xludf.DUMMYFUNCTION("GOOGLETRANSLATE(SUBSTITUTE(A110,""_"","" ""),""nl"",""en"")"),"address most recent IJsselmonde district")</f>
        <v>address most recent IJsselmonde district</v>
      </c>
      <c r="C110" s="17">
        <v>-1.10031E-2</v>
      </c>
      <c r="D110" s="17">
        <f>ABS(C110)</f>
        <v>1.10031E-2</v>
      </c>
      <c r="E110" s="17">
        <f>D110/MAX($D$3:$D$317)</f>
        <v>1.7026531932929412E-2</v>
      </c>
      <c r="F110" s="17">
        <v>0</v>
      </c>
      <c r="G110" s="17">
        <v>-2.31</v>
      </c>
      <c r="H110" s="17">
        <v>2.1160729E-2</v>
      </c>
      <c r="I110" s="2">
        <v>9.1141905495905201E-2</v>
      </c>
      <c r="J110" s="2">
        <f t="shared" si="2"/>
        <v>9.1141905495905197E-4</v>
      </c>
      <c r="K110" s="2">
        <f t="shared" si="3"/>
        <v>8.9689754939442316E-3</v>
      </c>
    </row>
    <row r="111" spans="1:11" ht="15" hidden="1" x14ac:dyDescent="0.2">
      <c r="A111" s="16" t="s">
        <v>928</v>
      </c>
      <c r="B111" s="16"/>
      <c r="C111" s="17">
        <v>7.80593E-4</v>
      </c>
      <c r="D111" s="17"/>
      <c r="E111" s="17"/>
      <c r="F111" s="17">
        <v>4.2013700000000001E-4</v>
      </c>
      <c r="G111" s="17">
        <v>1.8579461399999999</v>
      </c>
      <c r="H111" s="17">
        <v>6.3200364999999994E-2</v>
      </c>
      <c r="I111" s="2">
        <v>1.7846873232652101</v>
      </c>
      <c r="J111" s="2">
        <f t="shared" si="2"/>
        <v>1.7846873232652102E-2</v>
      </c>
      <c r="K111" s="2">
        <f t="shared" si="3"/>
        <v>8.9234366163260508E-3</v>
      </c>
    </row>
    <row r="112" spans="1:11" ht="15" hidden="1" x14ac:dyDescent="0.2">
      <c r="A112" s="16" t="s">
        <v>65</v>
      </c>
      <c r="B112" s="16"/>
      <c r="C112" s="17">
        <v>8.7742699999999996E-4</v>
      </c>
      <c r="D112" s="17"/>
      <c r="E112" s="17"/>
      <c r="F112" s="17">
        <v>1.5600900000000001E-3</v>
      </c>
      <c r="G112" s="17">
        <v>0.562420382</v>
      </c>
      <c r="H112" s="17">
        <v>0.57383980899999998</v>
      </c>
      <c r="I112" s="2">
        <v>1.7803209591551199</v>
      </c>
      <c r="J112" s="2">
        <f t="shared" si="2"/>
        <v>1.7803209591551197E-2</v>
      </c>
      <c r="K112" s="2">
        <f t="shared" si="3"/>
        <v>8.9016047957755987E-3</v>
      </c>
    </row>
    <row r="113" spans="1:11" ht="15" x14ac:dyDescent="0.2">
      <c r="A113" s="16" t="s">
        <v>180</v>
      </c>
      <c r="B113" s="16" t="str">
        <f ca="1">IFERROR(__xludf.DUMMYFUNCTION("GOOGLETRANSLATE(SUBSTITUTE(A113,""_"","" ""),""nl"",""en"")"),"Personal qualities Language requirement Write OK")</f>
        <v>Personal qualities Language requirement Write OK</v>
      </c>
      <c r="C113" s="17">
        <v>-9.9944999999999999E-3</v>
      </c>
      <c r="D113" s="17">
        <f t="shared" ref="D113:D116" si="40">ABS(C113)</f>
        <v>9.9944999999999999E-3</v>
      </c>
      <c r="E113" s="17">
        <f t="shared" ref="E113:E116" si="41">D113/MAX($D$3:$D$317)</f>
        <v>1.5465793585777009E-2</v>
      </c>
      <c r="F113" s="17">
        <v>0</v>
      </c>
      <c r="G113" s="17">
        <v>-4.96</v>
      </c>
      <c r="H113" s="18">
        <v>7.23E-7</v>
      </c>
      <c r="I113" s="2">
        <v>0.231916985269289</v>
      </c>
      <c r="J113" s="2">
        <f t="shared" si="2"/>
        <v>2.3191698526928901E-3</v>
      </c>
      <c r="K113" s="2">
        <f t="shared" si="3"/>
        <v>8.8924817192349501E-3</v>
      </c>
    </row>
    <row r="114" spans="1:11" ht="15" x14ac:dyDescent="0.2">
      <c r="A114" s="16" t="s">
        <v>303</v>
      </c>
      <c r="B114" s="16" t="str">
        <f ca="1">IFERROR(__xludf.DUMMYFUNCTION("GOOGLETRANSLATE(SUBSTITUTE(A114,""_"","" ""),""nl"",""en"")"),"Relationship Other Current Form Parents Carers")</f>
        <v>Relationship Other Current Form Parents Carers</v>
      </c>
      <c r="C114" s="17">
        <v>-9.8817999999999996E-3</v>
      </c>
      <c r="D114" s="17">
        <f t="shared" si="40"/>
        <v>9.8817999999999996E-3</v>
      </c>
      <c r="E114" s="17">
        <f t="shared" si="41"/>
        <v>1.5291398174589148E-2</v>
      </c>
      <c r="F114" s="17">
        <v>0</v>
      </c>
      <c r="G114" s="17">
        <v>-4.6399999999999997</v>
      </c>
      <c r="H114" s="18">
        <v>3.4699999999999998E-6</v>
      </c>
      <c r="I114" s="2">
        <v>0.24382869597058601</v>
      </c>
      <c r="J114" s="2">
        <f t="shared" si="2"/>
        <v>2.4382869597058599E-3</v>
      </c>
      <c r="K114" s="2">
        <f t="shared" si="3"/>
        <v>8.8648425671475038E-3</v>
      </c>
    </row>
    <row r="115" spans="1:11" ht="15" x14ac:dyDescent="0.2">
      <c r="A115" s="16" t="s">
        <v>163</v>
      </c>
      <c r="B115" s="16" t="str">
        <f ca="1">IFERROR(__xludf.DUMMYFUNCTION("GOOGLETRANSLATE(SUBSTITUTE(A115,""_"","" ""),""nl"",""en"")"),"Obstacle Hist Psychological Problems")</f>
        <v>Obstacle Hist Psychological Problems</v>
      </c>
      <c r="C115" s="17">
        <v>-1.06502E-2</v>
      </c>
      <c r="D115" s="17">
        <f t="shared" si="40"/>
        <v>1.06502E-2</v>
      </c>
      <c r="E115" s="17">
        <f t="shared" si="41"/>
        <v>1.6480443728775055E-2</v>
      </c>
      <c r="F115" s="17">
        <v>0</v>
      </c>
      <c r="G115" s="17">
        <v>-4.67</v>
      </c>
      <c r="H115" s="18">
        <v>3.01E-6</v>
      </c>
      <c r="I115" s="2">
        <v>0.12096244570817601</v>
      </c>
      <c r="J115" s="2">
        <f t="shared" si="2"/>
        <v>1.2096244570817601E-3</v>
      </c>
      <c r="K115" s="2">
        <f t="shared" si="3"/>
        <v>8.8450340929284079E-3</v>
      </c>
    </row>
    <row r="116" spans="1:11" ht="15" x14ac:dyDescent="0.2">
      <c r="A116" s="16" t="s">
        <v>100</v>
      </c>
      <c r="B116" s="16" t="str">
        <f ca="1">IFERROR(__xludf.DUMMYFUNCTION("GOOGLETRANSLATE(SUBSTITUTE(A116,""_"","" ""),""nl"",""en"")"),"Add appointment UWVWB Registration")</f>
        <v>Add appointment UWVWB Registration</v>
      </c>
      <c r="C116" s="17">
        <v>4.3762999999999996E-3</v>
      </c>
      <c r="D116" s="17">
        <f t="shared" si="40"/>
        <v>4.3762999999999996E-3</v>
      </c>
      <c r="E116" s="17">
        <f t="shared" si="41"/>
        <v>6.7720198578654174E-3</v>
      </c>
      <c r="F116" s="17">
        <v>0</v>
      </c>
      <c r="G116" s="17">
        <v>3.6</v>
      </c>
      <c r="H116" s="17">
        <v>3.1408299999999999E-4</v>
      </c>
      <c r="I116" s="2">
        <v>1.0819755610139601</v>
      </c>
      <c r="J116" s="2">
        <f t="shared" si="2"/>
        <v>1.0819755610139601E-2</v>
      </c>
      <c r="K116" s="2">
        <f t="shared" si="3"/>
        <v>8.7958877340025086E-3</v>
      </c>
    </row>
    <row r="117" spans="1:11" ht="15" hidden="1" x14ac:dyDescent="0.2">
      <c r="A117" s="16" t="s">
        <v>55</v>
      </c>
      <c r="B117" s="16"/>
      <c r="C117" s="17">
        <v>-1.4673299999999999E-4</v>
      </c>
      <c r="D117" s="17"/>
      <c r="E117" s="17"/>
      <c r="F117" s="17">
        <v>3.4589899999999999E-4</v>
      </c>
      <c r="G117" s="17">
        <v>-0.42420865600000002</v>
      </c>
      <c r="H117" s="17">
        <v>0.67142101300000001</v>
      </c>
      <c r="I117" s="2">
        <v>1.7522316329702201</v>
      </c>
      <c r="J117" s="2">
        <f t="shared" si="2"/>
        <v>1.7522316329702203E-2</v>
      </c>
      <c r="K117" s="2">
        <f t="shared" si="3"/>
        <v>8.7611581648511013E-3</v>
      </c>
    </row>
    <row r="118" spans="1:11" ht="15" x14ac:dyDescent="0.2">
      <c r="A118" s="16" t="s">
        <v>248</v>
      </c>
      <c r="B118" s="16" t="str">
        <f ca="1">IFERROR(__xludf.DUMMYFUNCTION("GOOGLETRANSLATE(SUBSTITUTE(A118,""_"","" ""),""nl"",""en"")"),"address most recent neighborhood Oude Noorden")</f>
        <v>address most recent neighborhood Oude Noorden</v>
      </c>
      <c r="C118" s="17">
        <v>-1.11311E-2</v>
      </c>
      <c r="D118" s="17">
        <f t="shared" ref="D118:D126" si="42">ABS(C118)</f>
        <v>1.11311E-2</v>
      </c>
      <c r="E118" s="17">
        <f t="shared" ref="E118:E126" si="43">D118/MAX($D$3:$D$317)</f>
        <v>1.7224603029930709E-2</v>
      </c>
      <c r="F118" s="17">
        <v>0</v>
      </c>
      <c r="G118" s="17">
        <v>-2.2799999999999998</v>
      </c>
      <c r="H118" s="17">
        <v>2.2691055000000002E-2</v>
      </c>
      <c r="I118" s="2">
        <v>0</v>
      </c>
      <c r="J118" s="2">
        <f t="shared" si="2"/>
        <v>0</v>
      </c>
      <c r="K118" s="2">
        <f t="shared" si="3"/>
        <v>8.6123015149653544E-3</v>
      </c>
    </row>
    <row r="119" spans="1:11" ht="15" x14ac:dyDescent="0.2">
      <c r="A119" s="16" t="s">
        <v>139</v>
      </c>
      <c r="B119" s="16" t="str">
        <f ca="1">IFERROR(__xludf.DUMMYFUNCTION("GOOGLETRANSLATE(SUBSTITUTE(A119,""_"","" ""),""nl"",""en"")"),"PLA End of objective not achieved new route plan")</f>
        <v>PLA End of objective not achieved new route plan</v>
      </c>
      <c r="C119" s="17">
        <v>-3.5782000000000001E-3</v>
      </c>
      <c r="D119" s="17">
        <f t="shared" si="42"/>
        <v>3.5782000000000001E-3</v>
      </c>
      <c r="E119" s="17">
        <f t="shared" si="43"/>
        <v>5.5370156194534288E-3</v>
      </c>
      <c r="F119" s="17">
        <v>0</v>
      </c>
      <c r="G119" s="17">
        <v>-2.77</v>
      </c>
      <c r="H119" s="17">
        <v>5.6512050000000003E-3</v>
      </c>
      <c r="I119" s="2">
        <v>1.16756067239928</v>
      </c>
      <c r="J119" s="2">
        <f t="shared" si="2"/>
        <v>1.16756067239928E-2</v>
      </c>
      <c r="K119" s="2">
        <f t="shared" si="3"/>
        <v>8.6063111717231133E-3</v>
      </c>
    </row>
    <row r="120" spans="1:11" ht="15" x14ac:dyDescent="0.2">
      <c r="A120" s="16" t="s">
        <v>273</v>
      </c>
      <c r="B120" s="16" t="str">
        <f ca="1">IFERROR(__xludf.DUMMYFUNCTION("GOOGLETRANSLATE(SUBSTITUTE(A120,""_"","" ""),""nl"",""en"")"),"Contacts Subject Boolean mutation")</f>
        <v>Contacts Subject Boolean mutation</v>
      </c>
      <c r="C120" s="17">
        <v>1.1088300000000001E-2</v>
      </c>
      <c r="D120" s="17">
        <f t="shared" si="42"/>
        <v>1.1088300000000001E-2</v>
      </c>
      <c r="E120" s="17">
        <f t="shared" si="43"/>
        <v>1.7158373006870901E-2</v>
      </c>
      <c r="F120" s="17">
        <v>0</v>
      </c>
      <c r="G120" s="17">
        <v>2.69</v>
      </c>
      <c r="H120" s="17">
        <v>7.1232689999999998E-3</v>
      </c>
      <c r="I120" s="2">
        <v>0</v>
      </c>
      <c r="J120" s="2">
        <f t="shared" si="2"/>
        <v>0</v>
      </c>
      <c r="K120" s="2">
        <f t="shared" si="3"/>
        <v>8.5791865034354504E-3</v>
      </c>
    </row>
    <row r="121" spans="1:11" ht="15" x14ac:dyDescent="0.2">
      <c r="A121" s="16" t="s">
        <v>294</v>
      </c>
      <c r="B121" s="16" t="str">
        <f ca="1">IFERROR(__xludf.DUMMYFUNCTION("GOOGLETRANSLATE(SUBSTITUTE(A121,""_"","" ""),""nl"",""en"")"),"Exemption reason Hist temporary exemption for labor obligations")</f>
        <v>Exemption reason Hist temporary exemption for labor obligations</v>
      </c>
      <c r="C121" s="17">
        <v>1.10709E-2</v>
      </c>
      <c r="D121" s="17">
        <f t="shared" si="42"/>
        <v>1.10709E-2</v>
      </c>
      <c r="E121" s="17">
        <f t="shared" si="43"/>
        <v>1.7131447717122286E-2</v>
      </c>
      <c r="F121" s="17">
        <v>0</v>
      </c>
      <c r="G121" s="17">
        <v>3.52</v>
      </c>
      <c r="H121" s="17">
        <v>4.2795499999999999E-4</v>
      </c>
      <c r="I121" s="2">
        <v>0</v>
      </c>
      <c r="J121" s="2">
        <f t="shared" si="2"/>
        <v>0</v>
      </c>
      <c r="K121" s="2">
        <f t="shared" si="3"/>
        <v>8.5657238585611431E-3</v>
      </c>
    </row>
    <row r="122" spans="1:11" ht="15" x14ac:dyDescent="0.2">
      <c r="A122" s="16" t="s">
        <v>198</v>
      </c>
      <c r="B122" s="16" t="str">
        <f ca="1">IFERROR(__xludf.DUMMYFUNCTION("GOOGLETRANSLATE(SUBSTITUTE(A122,""_"","" ""),""nl"",""en"")"),"relationship child teen")</f>
        <v>relationship child teen</v>
      </c>
      <c r="C122" s="17">
        <v>4.4025000000000002E-3</v>
      </c>
      <c r="D122" s="17">
        <f t="shared" si="42"/>
        <v>4.4025000000000002E-3</v>
      </c>
      <c r="E122" s="17">
        <f t="shared" si="43"/>
        <v>6.812562535532871E-3</v>
      </c>
      <c r="F122" s="17">
        <v>0</v>
      </c>
      <c r="G122" s="17">
        <v>2.59</v>
      </c>
      <c r="H122" s="17">
        <v>9.5719080000000005E-3</v>
      </c>
      <c r="I122" s="2">
        <v>1.0295659215497599</v>
      </c>
      <c r="J122" s="2">
        <f t="shared" si="2"/>
        <v>1.0295659215497599E-2</v>
      </c>
      <c r="K122" s="2">
        <f t="shared" si="3"/>
        <v>8.5541108755152351E-3</v>
      </c>
    </row>
    <row r="123" spans="1:11" ht="15" x14ac:dyDescent="0.2">
      <c r="A123" s="16" t="s">
        <v>297</v>
      </c>
      <c r="B123" s="16" t="str">
        <f ca="1">IFERROR(__xludf.DUMMYFUNCTION("GOOGLETRANSLATE(SUBSTITUTE(A123,""_"","" ""),""nl"",""en"")"),"Personal qualities NL Write 1")</f>
        <v>Personal qualities NL Write 1</v>
      </c>
      <c r="C123" s="17">
        <v>1.0935500000000001E-2</v>
      </c>
      <c r="D123" s="17">
        <f t="shared" si="42"/>
        <v>1.0935500000000001E-2</v>
      </c>
      <c r="E123" s="17">
        <f t="shared" si="43"/>
        <v>1.6921925634825603E-2</v>
      </c>
      <c r="F123" s="17">
        <v>0</v>
      </c>
      <c r="G123" s="17">
        <v>2.41</v>
      </c>
      <c r="H123" s="17">
        <v>1.5941608999999999E-2</v>
      </c>
      <c r="I123" s="2">
        <v>0</v>
      </c>
      <c r="J123" s="2">
        <f t="shared" si="2"/>
        <v>0</v>
      </c>
      <c r="K123" s="2">
        <f t="shared" si="3"/>
        <v>8.4609628174128013E-3</v>
      </c>
    </row>
    <row r="124" spans="1:11" ht="15" x14ac:dyDescent="0.2">
      <c r="A124" s="16" t="s">
        <v>259</v>
      </c>
      <c r="B124" s="16" t="str">
        <f ca="1">IFERROR(__xludf.DUMMYFUNCTION("GOOGLETRANSLATE(SUBSTITUTE(A124,""_"","" ""),""nl"",""en"")"),"Contacts Subject Boolean Pre Intake")</f>
        <v>Contacts Subject Boolean Pre Intake</v>
      </c>
      <c r="C124" s="17">
        <v>1.08472E-2</v>
      </c>
      <c r="D124" s="17">
        <f t="shared" si="42"/>
        <v>1.08472E-2</v>
      </c>
      <c r="E124" s="17">
        <f t="shared" si="43"/>
        <v>1.6785287526503614E-2</v>
      </c>
      <c r="F124" s="17">
        <v>0</v>
      </c>
      <c r="G124" s="17">
        <v>3.91</v>
      </c>
      <c r="H124" s="18">
        <v>9.1700000000000006E-5</v>
      </c>
      <c r="I124" s="2">
        <v>0</v>
      </c>
      <c r="J124" s="2">
        <f t="shared" si="2"/>
        <v>0</v>
      </c>
      <c r="K124" s="2">
        <f t="shared" si="3"/>
        <v>8.3926437632518072E-3</v>
      </c>
    </row>
    <row r="125" spans="1:11" ht="15" x14ac:dyDescent="0.2">
      <c r="A125" s="16" t="s">
        <v>270</v>
      </c>
      <c r="B125" s="16" t="str">
        <f ca="1">IFERROR(__xludf.DUMMYFUNCTION("GOOGLETRANSLATE(SUBSTITUTE(A125,""_"","" ""),""nl"",""en"")"),"Contacts Subject Boolean Income")</f>
        <v>Contacts Subject Boolean Income</v>
      </c>
      <c r="C125" s="17">
        <v>1.08415E-2</v>
      </c>
      <c r="D125" s="17">
        <f t="shared" si="42"/>
        <v>1.08415E-2</v>
      </c>
      <c r="E125" s="17">
        <f t="shared" si="43"/>
        <v>1.6776467172965274E-2</v>
      </c>
      <c r="F125" s="17">
        <v>0</v>
      </c>
      <c r="G125" s="17">
        <v>5.05</v>
      </c>
      <c r="H125" s="18">
        <v>4.4400000000000001E-7</v>
      </c>
      <c r="I125" s="2">
        <v>0</v>
      </c>
      <c r="J125" s="2">
        <f t="shared" si="2"/>
        <v>0</v>
      </c>
      <c r="K125" s="2">
        <f t="shared" si="3"/>
        <v>8.3882335864826369E-3</v>
      </c>
    </row>
    <row r="126" spans="1:11" ht="15" x14ac:dyDescent="0.2">
      <c r="A126" s="16" t="s">
        <v>132</v>
      </c>
      <c r="B126" s="16" t="str">
        <f ca="1">IFERROR(__xludf.DUMMYFUNCTION("GOOGLETRANSLATE(SUBSTITUTE(A126,""_"","" ""),""nl"",""en"")"),"address most recent district of Stadscentru")</f>
        <v>address most recent district of Stadscentru</v>
      </c>
      <c r="C126" s="17">
        <v>-1.01006E-2</v>
      </c>
      <c r="D126" s="17">
        <f t="shared" si="42"/>
        <v>1.01006E-2</v>
      </c>
      <c r="E126" s="17">
        <f t="shared" si="43"/>
        <v>1.5629975956025739E-2</v>
      </c>
      <c r="F126" s="17">
        <v>0</v>
      </c>
      <c r="G126" s="17">
        <v>-2.1800000000000002</v>
      </c>
      <c r="H126" s="17">
        <v>2.8947607E-2</v>
      </c>
      <c r="I126" s="2">
        <v>8.7876283088846305E-2</v>
      </c>
      <c r="J126" s="2">
        <f t="shared" si="2"/>
        <v>8.7876283088846301E-4</v>
      </c>
      <c r="K126" s="2">
        <f t="shared" si="3"/>
        <v>8.2543693934571012E-3</v>
      </c>
    </row>
    <row r="127" spans="1:11" ht="15" hidden="1" x14ac:dyDescent="0.2">
      <c r="A127" s="16" t="s">
        <v>73</v>
      </c>
      <c r="B127" s="16"/>
      <c r="C127" s="18">
        <v>-2.5000000000000001E-5</v>
      </c>
      <c r="D127" s="18"/>
      <c r="E127" s="17"/>
      <c r="F127" s="17">
        <v>3.3080000000000002E-4</v>
      </c>
      <c r="G127" s="17">
        <v>-7.5568448999999996E-2</v>
      </c>
      <c r="H127" s="17">
        <v>0.93976365900000003</v>
      </c>
      <c r="I127" s="2">
        <v>1.64420367321448</v>
      </c>
      <c r="J127" s="2">
        <f t="shared" si="2"/>
        <v>1.64420367321448E-2</v>
      </c>
      <c r="K127" s="2">
        <f t="shared" si="3"/>
        <v>8.2210183660723999E-3</v>
      </c>
    </row>
    <row r="128" spans="1:11" ht="15" x14ac:dyDescent="0.2">
      <c r="A128" s="16" t="s">
        <v>158</v>
      </c>
      <c r="B128" s="16" t="str">
        <f ca="1">IFERROR(__xludf.DUMMYFUNCTION("GOOGLETRANSLATE(SUBSTITUTE(A128,""_"","" ""),""nl"",""en"")"),"PLA History Other")</f>
        <v>PLA History Other</v>
      </c>
      <c r="C128" s="17">
        <v>6.7780000000000002E-3</v>
      </c>
      <c r="D128" s="17">
        <f t="shared" ref="D128:D130" si="44">ABS(C128)</f>
        <v>6.7780000000000002E-3</v>
      </c>
      <c r="E128" s="17">
        <f t="shared" ref="E128:E130" si="45">D128/MAX($D$3:$D$317)</f>
        <v>1.0488483558396775E-2</v>
      </c>
      <c r="F128" s="17">
        <v>0</v>
      </c>
      <c r="G128" s="17">
        <v>2.99</v>
      </c>
      <c r="H128" s="17">
        <v>2.7658090000000001E-3</v>
      </c>
      <c r="I128" s="2">
        <v>0.58391702123017697</v>
      </c>
      <c r="J128" s="2">
        <f t="shared" si="2"/>
        <v>5.8391702123017693E-3</v>
      </c>
      <c r="K128" s="2">
        <f t="shared" si="3"/>
        <v>8.1638268853492721E-3</v>
      </c>
    </row>
    <row r="129" spans="1:11" ht="15" x14ac:dyDescent="0.2">
      <c r="A129" s="16" t="s">
        <v>221</v>
      </c>
      <c r="B129" s="16" t="str">
        <f ca="1">IFERROR(__xludf.DUMMYFUNCTION("GOOGLETRANSLATE(SUBSTITUTE(A129,""_"","" ""),""nl"",""en"")"),"relationship partner number partner partner married")</f>
        <v>relationship partner number partner partner married</v>
      </c>
      <c r="C129" s="17">
        <v>9.8907000000000005E-3</v>
      </c>
      <c r="D129" s="17">
        <f t="shared" si="44"/>
        <v>9.8907000000000005E-3</v>
      </c>
      <c r="E129" s="17">
        <f t="shared" si="45"/>
        <v>1.5305170305552521E-2</v>
      </c>
      <c r="F129" s="17">
        <v>0</v>
      </c>
      <c r="G129" s="17">
        <v>3.99</v>
      </c>
      <c r="H129" s="18">
        <v>6.7799999999999995E-5</v>
      </c>
      <c r="I129" s="2">
        <v>0.100737398212232</v>
      </c>
      <c r="J129" s="2">
        <f t="shared" si="2"/>
        <v>1.0073739821223201E-3</v>
      </c>
      <c r="K129" s="2">
        <f t="shared" si="3"/>
        <v>8.1562721438374203E-3</v>
      </c>
    </row>
    <row r="130" spans="1:11" ht="15" x14ac:dyDescent="0.2">
      <c r="A130" s="16" t="s">
        <v>133</v>
      </c>
      <c r="B130" s="16" t="str">
        <f ca="1">IFERROR(__xludf.DUMMYFUNCTION("GOOGLETRANSLATE(SUBSTITUTE(A130,""_"","" ""),""nl"",""en"")"),"Appointment signal from the provider")</f>
        <v>Appointment signal from the provider</v>
      </c>
      <c r="C130" s="17">
        <v>-2.5360000000000001E-3</v>
      </c>
      <c r="D130" s="17">
        <f t="shared" si="44"/>
        <v>2.5360000000000001E-3</v>
      </c>
      <c r="E130" s="17">
        <f t="shared" si="45"/>
        <v>3.9242836093381856E-3</v>
      </c>
      <c r="F130" s="17">
        <v>0</v>
      </c>
      <c r="G130" s="17">
        <v>-3.67</v>
      </c>
      <c r="H130" s="17">
        <v>2.4377900000000001E-4</v>
      </c>
      <c r="I130" s="2">
        <v>1.22269276729816</v>
      </c>
      <c r="J130" s="2">
        <f t="shared" si="2"/>
        <v>1.22269276729816E-2</v>
      </c>
      <c r="K130" s="2">
        <f t="shared" si="3"/>
        <v>8.0756056411598921E-3</v>
      </c>
    </row>
    <row r="131" spans="1:11" ht="15" hidden="1" x14ac:dyDescent="0.2">
      <c r="A131" s="16" t="s">
        <v>120</v>
      </c>
      <c r="B131" s="16"/>
      <c r="C131" s="17">
        <v>-1.059478E-3</v>
      </c>
      <c r="D131" s="17"/>
      <c r="E131" s="17"/>
      <c r="F131" s="17">
        <v>1.1491680000000001E-3</v>
      </c>
      <c r="G131" s="17">
        <v>-0.92195205999999996</v>
      </c>
      <c r="H131" s="17">
        <v>0.35657153200000002</v>
      </c>
      <c r="I131" s="2">
        <v>1.60878388300451</v>
      </c>
      <c r="J131" s="2">
        <f t="shared" si="2"/>
        <v>1.6087838830045099E-2</v>
      </c>
      <c r="K131" s="2">
        <f t="shared" si="3"/>
        <v>8.0439194150225494E-3</v>
      </c>
    </row>
    <row r="132" spans="1:11" ht="15" hidden="1" x14ac:dyDescent="0.2">
      <c r="A132" s="16" t="s">
        <v>78</v>
      </c>
      <c r="B132" s="16"/>
      <c r="C132" s="17">
        <v>-5.6489599999999995E-4</v>
      </c>
      <c r="D132" s="17"/>
      <c r="E132" s="17"/>
      <c r="F132" s="17">
        <v>3.10107E-4</v>
      </c>
      <c r="G132" s="17">
        <v>-1.8216147680000001</v>
      </c>
      <c r="H132" s="17">
        <v>6.8537556999999999E-2</v>
      </c>
      <c r="I132" s="2">
        <v>1.59617937666932</v>
      </c>
      <c r="J132" s="2">
        <f t="shared" si="2"/>
        <v>1.59617937666932E-2</v>
      </c>
      <c r="K132" s="2">
        <f t="shared" si="3"/>
        <v>7.9808968833466002E-3</v>
      </c>
    </row>
    <row r="133" spans="1:11" ht="15" x14ac:dyDescent="0.2">
      <c r="A133" s="16" t="s">
        <v>271</v>
      </c>
      <c r="B133" s="16" t="str">
        <f ca="1">IFERROR(__xludf.DUMMYFUNCTION("GOOGLETRANSLATE(SUBSTITUTE(A133,""_"","" ""),""nl"",""en"")"),"Contacts Subject Boolean Measure consideration")</f>
        <v>Contacts Subject Boolean Measure consideration</v>
      </c>
      <c r="C133" s="17">
        <v>1.0297199999999999E-2</v>
      </c>
      <c r="D133" s="17">
        <f>ABS(C133)</f>
        <v>1.0297199999999999E-2</v>
      </c>
      <c r="E133" s="17">
        <f>D133/MAX($D$3:$D$317)</f>
        <v>1.5934200781576167E-2</v>
      </c>
      <c r="F133" s="17">
        <v>0</v>
      </c>
      <c r="G133" s="17">
        <v>3.84</v>
      </c>
      <c r="H133" s="17">
        <v>1.23101E-4</v>
      </c>
      <c r="I133" s="2">
        <v>0</v>
      </c>
      <c r="J133" s="2">
        <f t="shared" si="2"/>
        <v>0</v>
      </c>
      <c r="K133" s="2">
        <f t="shared" si="3"/>
        <v>7.9671003907880837E-3</v>
      </c>
    </row>
    <row r="134" spans="1:11" ht="15" hidden="1" x14ac:dyDescent="0.2">
      <c r="A134" s="16" t="s">
        <v>70</v>
      </c>
      <c r="B134" s="16"/>
      <c r="C134" s="17">
        <v>1.5000699999999999E-4</v>
      </c>
      <c r="D134" s="17"/>
      <c r="E134" s="17"/>
      <c r="F134" s="17">
        <v>2.1841499999999999E-4</v>
      </c>
      <c r="G134" s="17">
        <v>0.68679690900000001</v>
      </c>
      <c r="H134" s="17">
        <v>0.49222357</v>
      </c>
      <c r="I134" s="2">
        <v>1.5930780167232099</v>
      </c>
      <c r="J134" s="2">
        <f t="shared" si="2"/>
        <v>1.5930780167232098E-2</v>
      </c>
      <c r="K134" s="2">
        <f t="shared" si="3"/>
        <v>7.9653900836160491E-3</v>
      </c>
    </row>
    <row r="135" spans="1:11" ht="15" hidden="1" x14ac:dyDescent="0.2">
      <c r="A135" s="16" t="s">
        <v>77</v>
      </c>
      <c r="B135" s="16"/>
      <c r="C135" s="18">
        <v>-4.18E-5</v>
      </c>
      <c r="D135" s="18"/>
      <c r="E135" s="17"/>
      <c r="F135" s="17">
        <v>3.9694900000000001E-4</v>
      </c>
      <c r="G135" s="17">
        <v>-0.105239125</v>
      </c>
      <c r="H135" s="17">
        <v>0.91618776899999999</v>
      </c>
      <c r="I135" s="2">
        <v>1.5841733073930999</v>
      </c>
      <c r="J135" s="2">
        <f t="shared" si="2"/>
        <v>1.5841733073931E-2</v>
      </c>
      <c r="K135" s="2">
        <f t="shared" si="3"/>
        <v>7.9208665369655002E-3</v>
      </c>
    </row>
    <row r="136" spans="1:11" ht="15" x14ac:dyDescent="0.2">
      <c r="A136" s="16" t="s">
        <v>184</v>
      </c>
      <c r="B136" s="16" t="str">
        <f ca="1">IFERROR(__xludf.DUMMYFUNCTION("GOOGLETRANSLATE(SUBSTITUTE(A136,""_"","" ""),""nl"",""en"")"),"Instrument Reason termination History Diagnosis")</f>
        <v>Instrument Reason termination History Diagnosis</v>
      </c>
      <c r="C136" s="17">
        <v>-1.0181300000000001E-2</v>
      </c>
      <c r="D136" s="17">
        <f t="shared" ref="D136:D146" si="46">ABS(C136)</f>
        <v>1.0181300000000001E-2</v>
      </c>
      <c r="E136" s="17">
        <f t="shared" ref="E136:E146" si="47">D136/MAX($D$3:$D$317)</f>
        <v>1.5754853592963278E-2</v>
      </c>
      <c r="F136" s="17">
        <v>0</v>
      </c>
      <c r="G136" s="17">
        <v>-3.24</v>
      </c>
      <c r="H136" s="17">
        <v>1.194687E-3</v>
      </c>
      <c r="I136" s="2">
        <v>0</v>
      </c>
      <c r="J136" s="2">
        <f t="shared" si="2"/>
        <v>0</v>
      </c>
      <c r="K136" s="2">
        <f t="shared" si="3"/>
        <v>7.8774267964816392E-3</v>
      </c>
    </row>
    <row r="137" spans="1:11" ht="15" x14ac:dyDescent="0.2">
      <c r="A137" s="16" t="s">
        <v>308</v>
      </c>
      <c r="B137" s="16" t="str">
        <f ca="1">IFERROR(__xludf.DUMMYFUNCTION("GOOGLETRANSLATE(SUBSTITUTE(A137,""_"","" ""),""nl"",""en"")"),"Typing Care Cleaning Welfare")</f>
        <v>Typing Care Cleaning Welfare</v>
      </c>
      <c r="C137" s="17">
        <v>-1.0003400000000001E-2</v>
      </c>
      <c r="D137" s="17">
        <f t="shared" si="46"/>
        <v>1.0003400000000001E-2</v>
      </c>
      <c r="E137" s="17">
        <f t="shared" si="47"/>
        <v>1.5479565716740381E-2</v>
      </c>
      <c r="F137" s="17">
        <v>0</v>
      </c>
      <c r="G137" s="17">
        <v>-2.91</v>
      </c>
      <c r="H137" s="17">
        <v>3.572488E-3</v>
      </c>
      <c r="I137" s="2">
        <v>0</v>
      </c>
      <c r="J137" s="2">
        <f t="shared" si="2"/>
        <v>0</v>
      </c>
      <c r="K137" s="2">
        <f t="shared" si="3"/>
        <v>7.7397828583701906E-3</v>
      </c>
    </row>
    <row r="138" spans="1:11" ht="15" x14ac:dyDescent="0.2">
      <c r="A138" s="16" t="s">
        <v>97</v>
      </c>
      <c r="B138" s="16" t="str">
        <f ca="1">IFERROR(__xludf.DUMMYFUNCTION("GOOGLETRANSLATE(SUBSTITUTE(A138,""_"","" ""),""nl"",""en"")"),"Contacts Type Last year Conversation on location")</f>
        <v>Contacts Type Last year Conversation on location</v>
      </c>
      <c r="C138" s="17">
        <v>-7.6626000000000003E-3</v>
      </c>
      <c r="D138" s="17">
        <f t="shared" si="46"/>
        <v>7.6626000000000003E-3</v>
      </c>
      <c r="E138" s="17">
        <f t="shared" si="47"/>
        <v>1.1857340530329172E-2</v>
      </c>
      <c r="F138" s="17">
        <v>0</v>
      </c>
      <c r="G138" s="17">
        <v>-2.4</v>
      </c>
      <c r="H138" s="17">
        <v>1.6536680000000002E-2</v>
      </c>
      <c r="I138" s="2">
        <v>0.35518462248132199</v>
      </c>
      <c r="J138" s="2">
        <f t="shared" si="2"/>
        <v>3.5518462248132197E-3</v>
      </c>
      <c r="K138" s="2">
        <f t="shared" si="3"/>
        <v>7.7045933775711957E-3</v>
      </c>
    </row>
    <row r="139" spans="1:11" ht="15" x14ac:dyDescent="0.2">
      <c r="A139" s="16" t="s">
        <v>152</v>
      </c>
      <c r="B139" s="16" t="str">
        <f ca="1">IFERROR(__xludf.DUMMYFUNCTION("GOOGLETRANSLATE(SUBSTITUTE(A139,""_"","" ""),""nl"",""en"")"),"PLA HIST PLA Category Objective 27")</f>
        <v>PLA HIST PLA Category Objective 27</v>
      </c>
      <c r="C139" s="17">
        <v>-8.4556000000000006E-3</v>
      </c>
      <c r="D139" s="17">
        <f t="shared" si="46"/>
        <v>8.4556000000000006E-3</v>
      </c>
      <c r="E139" s="17">
        <f t="shared" si="47"/>
        <v>1.3084452873470017E-2</v>
      </c>
      <c r="F139" s="17">
        <v>0</v>
      </c>
      <c r="G139" s="17">
        <v>-2.96</v>
      </c>
      <c r="H139" s="17">
        <v>3.1255329999999998E-3</v>
      </c>
      <c r="I139" s="2">
        <v>0.19978946265445799</v>
      </c>
      <c r="J139" s="2">
        <f t="shared" si="2"/>
        <v>1.9978946265445797E-3</v>
      </c>
      <c r="K139" s="2">
        <f t="shared" si="3"/>
        <v>7.5411737500072984E-3</v>
      </c>
    </row>
    <row r="140" spans="1:11" ht="15" x14ac:dyDescent="0.2">
      <c r="A140" s="16" t="s">
        <v>261</v>
      </c>
      <c r="B140" s="16" t="str">
        <f ca="1">IFERROR(__xludf.DUMMYFUNCTION("GOOGLETRANSLATE(SUBSTITUTE(A140,""_"","" ""),""nl"",""en"")"),"Contacts subject Boolean assess Language Reis")</f>
        <v>Contacts subject Boolean assess Language Reis</v>
      </c>
      <c r="C140" s="17">
        <v>-9.6995999999999992E-3</v>
      </c>
      <c r="D140" s="17">
        <f t="shared" si="46"/>
        <v>9.6995999999999992E-3</v>
      </c>
      <c r="E140" s="17">
        <f t="shared" si="47"/>
        <v>1.5009456347451364E-2</v>
      </c>
      <c r="F140" s="17">
        <v>0</v>
      </c>
      <c r="G140" s="17">
        <v>-3.8</v>
      </c>
      <c r="H140" s="17">
        <v>1.4654100000000001E-4</v>
      </c>
      <c r="I140" s="2">
        <v>0</v>
      </c>
      <c r="J140" s="2">
        <f t="shared" si="2"/>
        <v>0</v>
      </c>
      <c r="K140" s="2">
        <f t="shared" si="3"/>
        <v>7.5047281737256819E-3</v>
      </c>
    </row>
    <row r="141" spans="1:11" ht="15" x14ac:dyDescent="0.2">
      <c r="A141" s="16" t="s">
        <v>90</v>
      </c>
      <c r="B141" s="16" t="str">
        <f ca="1">IFERROR(__xludf.DUMMYFUNCTION("GOOGLETRANSLATE(SUBSTITUTE(A141,""_"","" ""),""nl"",""en"")"),"PLA HIST PLA Category Objective 5")</f>
        <v>PLA HIST PLA Category Objective 5</v>
      </c>
      <c r="C141" s="17">
        <v>5.0654000000000003E-3</v>
      </c>
      <c r="D141" s="17">
        <f t="shared" si="46"/>
        <v>5.0654000000000003E-3</v>
      </c>
      <c r="E141" s="17">
        <f t="shared" si="47"/>
        <v>7.8383541777372421E-3</v>
      </c>
      <c r="F141" s="17">
        <v>0</v>
      </c>
      <c r="G141" s="17">
        <v>3.76</v>
      </c>
      <c r="H141" s="17">
        <v>1.6892799999999999E-4</v>
      </c>
      <c r="I141" s="2">
        <v>0.71505243888968695</v>
      </c>
      <c r="J141" s="2">
        <f t="shared" si="2"/>
        <v>7.1505243888968697E-3</v>
      </c>
      <c r="K141" s="2">
        <f t="shared" si="3"/>
        <v>7.4944392833170559E-3</v>
      </c>
    </row>
    <row r="142" spans="1:11" ht="15" x14ac:dyDescent="0.2">
      <c r="A142" s="16" t="s">
        <v>208</v>
      </c>
      <c r="B142" s="16" t="str">
        <f ca="1">IFERROR(__xludf.DUMMYFUNCTION("GOOGLETRANSLATE(SUBSTITUTE(A142,""_"","" ""),""nl"",""en"")"),"Personal qualities NL Write 2")</f>
        <v>Personal qualities NL Write 2</v>
      </c>
      <c r="C142" s="17">
        <v>8.9498000000000008E-3</v>
      </c>
      <c r="D142" s="17">
        <f t="shared" si="46"/>
        <v>8.9498000000000008E-3</v>
      </c>
      <c r="E142" s="17">
        <f t="shared" si="47"/>
        <v>1.3849192999548459E-2</v>
      </c>
      <c r="F142" s="17">
        <v>0</v>
      </c>
      <c r="G142" s="17">
        <v>2.34</v>
      </c>
      <c r="H142" s="17">
        <v>1.9478550000000001E-2</v>
      </c>
      <c r="I142" s="2">
        <v>0.105778359033252</v>
      </c>
      <c r="J142" s="2">
        <f t="shared" si="2"/>
        <v>1.0577835903325199E-3</v>
      </c>
      <c r="K142" s="2">
        <f t="shared" si="3"/>
        <v>7.4534882949404899E-3</v>
      </c>
    </row>
    <row r="143" spans="1:11" ht="15" x14ac:dyDescent="0.2">
      <c r="A143" s="16" t="s">
        <v>165</v>
      </c>
      <c r="B143" s="16" t="str">
        <f ca="1">IFERROR(__xludf.DUMMYFUNCTION("GOOGLETRANSLATE(SUBSTITUTE(A143,""_"","" ""),""nl"",""en"")"),"address most recent neighborhood Nieuwe Westen")</f>
        <v>address most recent neighborhood Nieuwe Westen</v>
      </c>
      <c r="C143" s="17">
        <v>-9.5546999999999993E-3</v>
      </c>
      <c r="D143" s="17">
        <f t="shared" si="46"/>
        <v>9.5546999999999993E-3</v>
      </c>
      <c r="E143" s="17">
        <f t="shared" si="47"/>
        <v>1.4785233675924115E-2</v>
      </c>
      <c r="F143" s="17">
        <v>0</v>
      </c>
      <c r="G143" s="17">
        <v>-2.5499999999999998</v>
      </c>
      <c r="H143" s="17">
        <v>1.0899503E-2</v>
      </c>
      <c r="I143" s="2">
        <v>0</v>
      </c>
      <c r="J143" s="2">
        <f t="shared" si="2"/>
        <v>0</v>
      </c>
      <c r="K143" s="2">
        <f t="shared" si="3"/>
        <v>7.3926168379620577E-3</v>
      </c>
    </row>
    <row r="144" spans="1:11" ht="15" x14ac:dyDescent="0.2">
      <c r="A144" s="16" t="s">
        <v>167</v>
      </c>
      <c r="B144" s="16" t="str">
        <f ca="1">IFERROR(__xludf.DUMMYFUNCTION("GOOGLETRANSLATE(SUBSTITUTE(A144,""_"","" ""),""nl"",""en"")"),"Exemption reasons for social grounds")</f>
        <v>Exemption reasons for social grounds</v>
      </c>
      <c r="C144" s="17">
        <v>8.0499999999999999E-3</v>
      </c>
      <c r="D144" s="17">
        <f t="shared" si="46"/>
        <v>8.0499999999999999E-3</v>
      </c>
      <c r="E144" s="17">
        <f t="shared" si="47"/>
        <v>1.2456815084847158E-2</v>
      </c>
      <c r="F144" s="17">
        <v>0</v>
      </c>
      <c r="G144" s="17">
        <v>3.4</v>
      </c>
      <c r="H144" s="17">
        <v>6.8684799999999999E-4</v>
      </c>
      <c r="I144" s="2">
        <v>0.22314286290885599</v>
      </c>
      <c r="J144" s="2">
        <f t="shared" si="2"/>
        <v>2.23142862908856E-3</v>
      </c>
      <c r="K144" s="2">
        <f t="shared" si="3"/>
        <v>7.344121856967859E-3</v>
      </c>
    </row>
    <row r="145" spans="1:11" ht="15" x14ac:dyDescent="0.2">
      <c r="A145" s="16" t="s">
        <v>96</v>
      </c>
      <c r="B145" s="16" t="str">
        <f ca="1">IFERROR(__xludf.DUMMYFUNCTION("GOOGLETRANSLATE(SUBSTITUTE(A145,""_"","" ""),""nl"",""en"")"),"Contacts Subject Invitation")</f>
        <v>Contacts Subject Invitation</v>
      </c>
      <c r="C145" s="17">
        <v>-2.3159000000000001E-3</v>
      </c>
      <c r="D145" s="17">
        <f t="shared" si="46"/>
        <v>2.3159000000000001E-3</v>
      </c>
      <c r="E145" s="17">
        <f t="shared" si="47"/>
        <v>3.5836941683226749E-3</v>
      </c>
      <c r="F145" s="17">
        <v>0</v>
      </c>
      <c r="G145" s="17">
        <v>-3.67</v>
      </c>
      <c r="H145" s="17">
        <v>2.4753900000000002E-4</v>
      </c>
      <c r="I145" s="2">
        <v>1.1052819232833899</v>
      </c>
      <c r="J145" s="2">
        <f t="shared" si="2"/>
        <v>1.10528192328339E-2</v>
      </c>
      <c r="K145" s="2">
        <f t="shared" si="3"/>
        <v>7.3182567005782876E-3</v>
      </c>
    </row>
    <row r="146" spans="1:11" ht="15" x14ac:dyDescent="0.2">
      <c r="A146" s="16" t="s">
        <v>134</v>
      </c>
      <c r="B146" s="16" t="str">
        <f ca="1">IFERROR(__xludf.DUMMYFUNCTION("GOOGLETRANSLATE(SUBSTITUTE(A146,""_"","" ""),""nl"",""en"")"),"pla end planned end date exceeded without further notice")</f>
        <v>pla end planned end date exceeded without further notice</v>
      </c>
      <c r="C146" s="17">
        <v>-7.6293999999999997E-3</v>
      </c>
      <c r="D146" s="17">
        <f t="shared" si="46"/>
        <v>7.6293999999999997E-3</v>
      </c>
      <c r="E146" s="17">
        <f t="shared" si="47"/>
        <v>1.180596583954446E-2</v>
      </c>
      <c r="F146" s="17">
        <v>0</v>
      </c>
      <c r="G146" s="17">
        <v>-4.13</v>
      </c>
      <c r="H146" s="18">
        <v>3.6699999999999998E-5</v>
      </c>
      <c r="I146" s="2">
        <v>0.27994178877581699</v>
      </c>
      <c r="J146" s="2">
        <f t="shared" si="2"/>
        <v>2.7994178877581697E-3</v>
      </c>
      <c r="K146" s="2">
        <f t="shared" si="3"/>
        <v>7.3026918636513146E-3</v>
      </c>
    </row>
    <row r="147" spans="1:11" ht="15" hidden="1" x14ac:dyDescent="0.2">
      <c r="A147" s="16" t="s">
        <v>98</v>
      </c>
      <c r="B147" s="16"/>
      <c r="C147" s="18">
        <v>-2.8900000000000001E-5</v>
      </c>
      <c r="D147" s="18"/>
      <c r="E147" s="17"/>
      <c r="F147" s="17">
        <v>6.3464800000000003E-4</v>
      </c>
      <c r="G147" s="17">
        <v>-4.5573468999999998E-2</v>
      </c>
      <c r="H147" s="17">
        <v>0.96365095000000001</v>
      </c>
      <c r="I147" s="2">
        <v>1.4594708194707799</v>
      </c>
      <c r="J147" s="2">
        <f t="shared" si="2"/>
        <v>1.45947081947078E-2</v>
      </c>
      <c r="K147" s="2">
        <f t="shared" si="3"/>
        <v>7.2973540973538999E-3</v>
      </c>
    </row>
    <row r="148" spans="1:11" ht="15" hidden="1" x14ac:dyDescent="0.2">
      <c r="A148" s="16" t="s">
        <v>76</v>
      </c>
      <c r="B148" s="16"/>
      <c r="C148" s="17">
        <v>-3.5013169999999999E-3</v>
      </c>
      <c r="D148" s="17"/>
      <c r="E148" s="17"/>
      <c r="F148" s="17">
        <v>2.11371E-3</v>
      </c>
      <c r="G148" s="17">
        <v>-1.6564793870000001</v>
      </c>
      <c r="H148" s="17">
        <v>9.7650095000000006E-2</v>
      </c>
      <c r="I148" s="2">
        <v>1.4493443759986</v>
      </c>
      <c r="J148" s="2">
        <f t="shared" si="2"/>
        <v>1.4493443759985999E-2</v>
      </c>
      <c r="K148" s="2">
        <f t="shared" si="3"/>
        <v>7.2467218799929997E-3</v>
      </c>
    </row>
    <row r="149" spans="1:11" ht="15" x14ac:dyDescent="0.2">
      <c r="A149" s="16" t="s">
        <v>110</v>
      </c>
      <c r="B149" s="16" t="str">
        <f ca="1">IFERROR(__xludf.DUMMYFUNCTION("GOOGLETRANSLATE(SUBSTITUTE(A149,""_"","" ""),""nl"",""en"")"),"Contacts Type Reporting RIB")</f>
        <v>Contacts Type Reporting RIB</v>
      </c>
      <c r="C149" s="17">
        <v>2.9608999999999998E-3</v>
      </c>
      <c r="D149" s="17">
        <f t="shared" ref="D149:D151" si="48">ABS(C149)</f>
        <v>2.9608999999999998E-3</v>
      </c>
      <c r="E149" s="17">
        <f t="shared" ref="E149:E151" si="49">D149/MAX($D$3:$D$317)</f>
        <v>4.5817868055557697E-3</v>
      </c>
      <c r="F149" s="17">
        <v>0</v>
      </c>
      <c r="G149" s="17">
        <v>3.19</v>
      </c>
      <c r="H149" s="17">
        <v>1.4353530000000001E-3</v>
      </c>
      <c r="I149" s="2">
        <v>0.98073261234539</v>
      </c>
      <c r="J149" s="2">
        <f t="shared" si="2"/>
        <v>9.8073261234538998E-3</v>
      </c>
      <c r="K149" s="2">
        <f t="shared" si="3"/>
        <v>7.1945564645048352E-3</v>
      </c>
    </row>
    <row r="150" spans="1:11" ht="15" x14ac:dyDescent="0.2">
      <c r="A150" s="16" t="s">
        <v>140</v>
      </c>
      <c r="B150" s="16" t="str">
        <f ca="1">IFERROR(__xludf.DUMMYFUNCTION("GOOGLETRANSLATE(SUBSTITUTE(A150,""_"","" ""),""nl"",""en"")"),"Contacts Subject Pre Intake")</f>
        <v>Contacts Subject Pre Intake</v>
      </c>
      <c r="C150" s="17">
        <v>-9.1652000000000001E-3</v>
      </c>
      <c r="D150" s="17">
        <f t="shared" si="48"/>
        <v>9.1652000000000001E-3</v>
      </c>
      <c r="E150" s="17">
        <f t="shared" si="49"/>
        <v>1.4182509517470953E-2</v>
      </c>
      <c r="F150" s="17">
        <v>0</v>
      </c>
      <c r="G150" s="17">
        <v>-4.72</v>
      </c>
      <c r="H150" s="18">
        <v>2.39E-6</v>
      </c>
      <c r="I150" s="2">
        <v>0</v>
      </c>
      <c r="J150" s="2">
        <f t="shared" si="2"/>
        <v>0</v>
      </c>
      <c r="K150" s="2">
        <f t="shared" si="3"/>
        <v>7.0912547587354763E-3</v>
      </c>
    </row>
    <row r="151" spans="1:11" ht="15" x14ac:dyDescent="0.2">
      <c r="A151" s="16" t="s">
        <v>251</v>
      </c>
      <c r="B151" s="16" t="str">
        <f ca="1">IFERROR(__xludf.DUMMYFUNCTION("GOOGLETRANSLATE(SUBSTITUTE(A151,""_"","" ""),""nl"",""en"")"),"Histed Hist Language")</f>
        <v>Histed Hist Language</v>
      </c>
      <c r="C151" s="17">
        <v>9.1102000000000006E-3</v>
      </c>
      <c r="D151" s="17">
        <f t="shared" si="48"/>
        <v>9.1102000000000006E-3</v>
      </c>
      <c r="E151" s="17">
        <f t="shared" si="49"/>
        <v>1.4097400842978209E-2</v>
      </c>
      <c r="F151" s="17">
        <v>0</v>
      </c>
      <c r="G151" s="17">
        <v>3.25</v>
      </c>
      <c r="H151" s="17">
        <v>1.15646E-3</v>
      </c>
      <c r="I151" s="2">
        <v>0</v>
      </c>
      <c r="J151" s="2">
        <f t="shared" si="2"/>
        <v>0</v>
      </c>
      <c r="K151" s="2">
        <f t="shared" si="3"/>
        <v>7.0487004214891047E-3</v>
      </c>
    </row>
    <row r="152" spans="1:11" ht="15" hidden="1" x14ac:dyDescent="0.2">
      <c r="A152" s="16" t="s">
        <v>929</v>
      </c>
      <c r="B152" s="16"/>
      <c r="C152" s="17">
        <v>4.2975210000000003E-3</v>
      </c>
      <c r="D152" s="17"/>
      <c r="E152" s="17"/>
      <c r="F152" s="17">
        <v>4.250467E-3</v>
      </c>
      <c r="G152" s="17">
        <v>1.0110704720000001</v>
      </c>
      <c r="H152" s="17">
        <v>0.31200244399999999</v>
      </c>
      <c r="I152" s="2">
        <v>1.4039055739013799</v>
      </c>
      <c r="J152" s="2">
        <f t="shared" si="2"/>
        <v>1.40390557390138E-2</v>
      </c>
      <c r="K152" s="2">
        <f t="shared" si="3"/>
        <v>7.0195278695068999E-3</v>
      </c>
    </row>
    <row r="153" spans="1:11" ht="15" hidden="1" x14ac:dyDescent="0.2">
      <c r="A153" s="16" t="s">
        <v>72</v>
      </c>
      <c r="B153" s="16"/>
      <c r="C153" s="17">
        <v>-6.081538E-3</v>
      </c>
      <c r="D153" s="17"/>
      <c r="E153" s="17"/>
      <c r="F153" s="17">
        <v>4.1239040000000003E-3</v>
      </c>
      <c r="G153" s="17">
        <v>-1.474704239</v>
      </c>
      <c r="H153" s="17">
        <v>0.14031748199999999</v>
      </c>
      <c r="I153" s="2">
        <v>1.37830382988484</v>
      </c>
      <c r="J153" s="2">
        <f t="shared" si="2"/>
        <v>1.37830382988484E-2</v>
      </c>
      <c r="K153" s="2">
        <f t="shared" si="3"/>
        <v>6.8915191494242E-3</v>
      </c>
    </row>
    <row r="154" spans="1:11" ht="15" x14ac:dyDescent="0.2">
      <c r="A154" s="16" t="s">
        <v>135</v>
      </c>
      <c r="B154" s="16" t="str">
        <f ca="1">IFERROR(__xludf.DUMMYFUNCTION("GOOGLETRANSLATE(SUBSTITUTE(A154,""_"","" ""),""nl"",""en"")"),"Appointment last year result filled in")</f>
        <v>Appointment last year result filled in</v>
      </c>
      <c r="C154" s="17">
        <v>2.6920999999999998E-3</v>
      </c>
      <c r="D154" s="17">
        <f>ABS(C154)</f>
        <v>2.6920999999999998E-3</v>
      </c>
      <c r="E154" s="17">
        <f>D154/MAX($D$3:$D$317)</f>
        <v>4.1658375018530473E-3</v>
      </c>
      <c r="F154" s="17">
        <v>0</v>
      </c>
      <c r="G154" s="17">
        <v>3.79</v>
      </c>
      <c r="H154" s="17">
        <v>1.5066100000000001E-4</v>
      </c>
      <c r="I154" s="2">
        <v>0.95519570053875602</v>
      </c>
      <c r="J154" s="2">
        <f t="shared" si="2"/>
        <v>9.55195700538756E-3</v>
      </c>
      <c r="K154" s="2">
        <f t="shared" si="3"/>
        <v>6.8588972536203037E-3</v>
      </c>
    </row>
    <row r="155" spans="1:11" ht="15" hidden="1" x14ac:dyDescent="0.2">
      <c r="A155" s="16" t="s">
        <v>67</v>
      </c>
      <c r="B155" s="16"/>
      <c r="C155" s="18">
        <v>-9.6500000000000001E-5</v>
      </c>
      <c r="D155" s="18"/>
      <c r="E155" s="17"/>
      <c r="F155" s="17">
        <v>5.9940199999999996E-4</v>
      </c>
      <c r="G155" s="17">
        <v>-0.160977859</v>
      </c>
      <c r="H155" s="17">
        <v>0.872113464</v>
      </c>
      <c r="I155" s="2">
        <v>1.3652166858116399</v>
      </c>
      <c r="J155" s="2">
        <f t="shared" si="2"/>
        <v>1.3652166858116399E-2</v>
      </c>
      <c r="K155" s="2">
        <f t="shared" si="3"/>
        <v>6.8260834290581997E-3</v>
      </c>
    </row>
    <row r="156" spans="1:11" ht="15" hidden="1" x14ac:dyDescent="0.2">
      <c r="A156" s="16" t="s">
        <v>127</v>
      </c>
      <c r="B156" s="16"/>
      <c r="C156" s="17">
        <v>4.2514899999999999E-4</v>
      </c>
      <c r="D156" s="17"/>
      <c r="E156" s="17"/>
      <c r="F156" s="17">
        <v>4.6511799999999999E-4</v>
      </c>
      <c r="G156" s="17">
        <v>0.91406811700000001</v>
      </c>
      <c r="H156" s="17">
        <v>0.36069884000000002</v>
      </c>
      <c r="I156" s="2">
        <v>1.3279859384209001</v>
      </c>
      <c r="J156" s="2">
        <f t="shared" si="2"/>
        <v>1.3279859384209001E-2</v>
      </c>
      <c r="K156" s="2">
        <f t="shared" si="3"/>
        <v>6.6399296921045006E-3</v>
      </c>
    </row>
    <row r="157" spans="1:11" ht="15" x14ac:dyDescent="0.2">
      <c r="A157" s="16" t="s">
        <v>91</v>
      </c>
      <c r="B157" s="16" t="str">
        <f ca="1">IFERROR(__xludf.DUMMYFUNCTION("GOOGLETRANSLATE(SUBSTITUTE(A157,""_"","" ""),""nl"",""en"")"),"Participation Act Reintegration Ladder Supporting Instruments")</f>
        <v>Participation Act Reintegration Ladder Supporting Instruments</v>
      </c>
      <c r="C157" s="17">
        <v>1.1655999999999999E-3</v>
      </c>
      <c r="D157" s="17">
        <f>ABS(C157)</f>
        <v>1.1655999999999999E-3</v>
      </c>
      <c r="E157" s="17">
        <f>D157/MAX($D$3:$D$317)</f>
        <v>1.8036849270680554E-3</v>
      </c>
      <c r="F157" s="17">
        <v>0</v>
      </c>
      <c r="G157" s="17">
        <v>2.5</v>
      </c>
      <c r="H157" s="17">
        <v>1.2340711000000001E-2</v>
      </c>
      <c r="I157" s="2">
        <v>1.1464770862962499</v>
      </c>
      <c r="J157" s="2">
        <f t="shared" si="2"/>
        <v>1.1464770862962499E-2</v>
      </c>
      <c r="K157" s="2">
        <f t="shared" si="3"/>
        <v>6.6342278950152775E-3</v>
      </c>
    </row>
    <row r="158" spans="1:11" ht="15" hidden="1" x14ac:dyDescent="0.2">
      <c r="A158" s="16" t="s">
        <v>239</v>
      </c>
      <c r="B158" s="16"/>
      <c r="C158" s="17">
        <v>5.6861070000000001E-3</v>
      </c>
      <c r="D158" s="17"/>
      <c r="E158" s="17"/>
      <c r="F158" s="17">
        <v>4.2641670000000001E-3</v>
      </c>
      <c r="G158" s="17">
        <v>1.3334624879999999</v>
      </c>
      <c r="H158" s="17">
        <v>0.18240459000000001</v>
      </c>
      <c r="I158" s="2">
        <v>1.3207768325327001</v>
      </c>
      <c r="J158" s="2">
        <f t="shared" si="2"/>
        <v>1.3207768325327001E-2</v>
      </c>
      <c r="K158" s="2">
        <f t="shared" si="3"/>
        <v>6.6038841626635007E-3</v>
      </c>
    </row>
    <row r="159" spans="1:11" ht="15" x14ac:dyDescent="0.2">
      <c r="A159" s="16" t="s">
        <v>275</v>
      </c>
      <c r="B159" s="16" t="str">
        <f ca="1">IFERROR(__xludf.DUMMYFUNCTION("GOOGLETRANSLATE(SUBSTITUTE(A159,""_"","" ""),""nl"",""en"")"),"Contacts Subject Boolean Other")</f>
        <v>Contacts Subject Boolean Other</v>
      </c>
      <c r="C159" s="17">
        <v>8.5240999999999997E-3</v>
      </c>
      <c r="D159" s="17">
        <f t="shared" ref="D159:D161" si="50">ABS(C159)</f>
        <v>8.5240999999999997E-3</v>
      </c>
      <c r="E159" s="17">
        <f t="shared" ref="E159:E161" si="51">D159/MAX($D$3:$D$317)</f>
        <v>1.3190451858974616E-2</v>
      </c>
      <c r="F159" s="17">
        <v>0</v>
      </c>
      <c r="G159" s="17">
        <v>4.8600000000000003</v>
      </c>
      <c r="H159" s="18">
        <v>1.1999999999999999E-6</v>
      </c>
      <c r="I159" s="2">
        <v>0</v>
      </c>
      <c r="J159" s="2">
        <f t="shared" si="2"/>
        <v>0</v>
      </c>
      <c r="K159" s="2">
        <f t="shared" si="3"/>
        <v>6.595225929487308E-3</v>
      </c>
    </row>
    <row r="160" spans="1:11" ht="15" x14ac:dyDescent="0.2">
      <c r="A160" s="16" t="s">
        <v>79</v>
      </c>
      <c r="B160" s="16" t="str">
        <f ca="1">IFERROR(__xludf.DUMMYFUNCTION("GOOGLETRANSLATE(SUBSTITUTE(A160,""_"","" ""),""nl"",""en"")"),"Aim competence on customer needs and expectations")</f>
        <v>Aim competence on customer needs and expectations</v>
      </c>
      <c r="C160" s="17">
        <v>4.9109000000000002E-3</v>
      </c>
      <c r="D160" s="17">
        <f t="shared" si="50"/>
        <v>4.9109000000000002E-3</v>
      </c>
      <c r="E160" s="17">
        <f t="shared" si="51"/>
        <v>7.5992761739348954E-3</v>
      </c>
      <c r="F160" s="17">
        <v>0</v>
      </c>
      <c r="G160" s="17">
        <v>2.21</v>
      </c>
      <c r="H160" s="17">
        <v>2.6790000000000001E-2</v>
      </c>
      <c r="I160" s="2">
        <v>0.55755946853558602</v>
      </c>
      <c r="J160" s="2">
        <f t="shared" si="2"/>
        <v>5.5755946853558603E-3</v>
      </c>
      <c r="K160" s="2">
        <f t="shared" si="3"/>
        <v>6.5874354296453774E-3</v>
      </c>
    </row>
    <row r="161" spans="1:11" ht="15" x14ac:dyDescent="0.2">
      <c r="A161" s="16" t="s">
        <v>177</v>
      </c>
      <c r="B161" s="16" t="str">
        <f ca="1">IFERROR(__xludf.DUMMYFUNCTION("GOOGLETRANSLATE(SUBSTITUTE(A161,""_"","" ""),""nl"",""en"")"),"Bet competence materials and resources")</f>
        <v>Bet competence materials and resources</v>
      </c>
      <c r="C161" s="17">
        <v>6.5608000000000003E-3</v>
      </c>
      <c r="D161" s="17">
        <f t="shared" si="50"/>
        <v>6.5608000000000003E-3</v>
      </c>
      <c r="E161" s="17">
        <f t="shared" si="51"/>
        <v>1.01523816656727E-2</v>
      </c>
      <c r="F161" s="17">
        <v>0</v>
      </c>
      <c r="G161" s="17">
        <v>2.37</v>
      </c>
      <c r="H161" s="17">
        <v>1.7579999999999998E-2</v>
      </c>
      <c r="I161" s="2">
        <v>0.28267288973692101</v>
      </c>
      <c r="J161" s="2">
        <f t="shared" si="2"/>
        <v>2.8267288973692099E-3</v>
      </c>
      <c r="K161" s="2">
        <f t="shared" si="3"/>
        <v>6.4895552815209551E-3</v>
      </c>
    </row>
    <row r="162" spans="1:11" ht="15" hidden="1" x14ac:dyDescent="0.2">
      <c r="A162" s="16" t="s">
        <v>107</v>
      </c>
      <c r="B162" s="16"/>
      <c r="C162" s="17">
        <v>-8.6645199999999998E-4</v>
      </c>
      <c r="D162" s="17"/>
      <c r="E162" s="17"/>
      <c r="F162" s="17">
        <v>2.0098239999999999E-3</v>
      </c>
      <c r="G162" s="17">
        <v>-0.431108343</v>
      </c>
      <c r="H162" s="17">
        <v>0.66639709400000002</v>
      </c>
      <c r="I162" s="2">
        <v>1.2900910394379601</v>
      </c>
      <c r="J162" s="2">
        <f t="shared" si="2"/>
        <v>1.2900910394379602E-2</v>
      </c>
      <c r="K162" s="2">
        <f t="shared" si="3"/>
        <v>6.4504551971898009E-3</v>
      </c>
    </row>
    <row r="163" spans="1:11" ht="15" x14ac:dyDescent="0.2">
      <c r="A163" s="16" t="s">
        <v>218</v>
      </c>
      <c r="B163" s="16" t="str">
        <f ca="1">IFERROR(__xludf.DUMMYFUNCTION("GOOGLETRANSLATE(SUBSTITUTE(A163,""_"","" ""),""nl"",""en"")"),"relationship child adult")</f>
        <v>relationship child adult</v>
      </c>
      <c r="C163" s="17">
        <v>6.1472999999999996E-3</v>
      </c>
      <c r="D163" s="17">
        <f>ABS(C163)</f>
        <v>6.1472999999999996E-3</v>
      </c>
      <c r="E163" s="17">
        <f>D163/MAX($D$3:$D$317)</f>
        <v>9.5125191765317932E-3</v>
      </c>
      <c r="F163" s="17">
        <v>0</v>
      </c>
      <c r="G163" s="17">
        <v>4.75</v>
      </c>
      <c r="H163" s="18">
        <v>2.0899999999999999E-6</v>
      </c>
      <c r="I163" s="2">
        <v>0.323936860496158</v>
      </c>
      <c r="J163" s="2">
        <f t="shared" si="2"/>
        <v>3.2393686049615798E-3</v>
      </c>
      <c r="K163" s="2">
        <f t="shared" si="3"/>
        <v>6.3759438907466867E-3</v>
      </c>
    </row>
    <row r="164" spans="1:11" ht="15" hidden="1" x14ac:dyDescent="0.2">
      <c r="A164" s="16" t="s">
        <v>128</v>
      </c>
      <c r="B164" s="16"/>
      <c r="C164" s="17">
        <v>1.8028599999999999E-4</v>
      </c>
      <c r="D164" s="17"/>
      <c r="E164" s="17"/>
      <c r="F164" s="17">
        <v>5.8419899999999998E-4</v>
      </c>
      <c r="G164" s="17">
        <v>0.30860388999999999</v>
      </c>
      <c r="H164" s="17">
        <v>0.75762804900000003</v>
      </c>
      <c r="I164" s="2">
        <v>1.2746754369323099</v>
      </c>
      <c r="J164" s="2">
        <f t="shared" si="2"/>
        <v>1.2746754369323099E-2</v>
      </c>
      <c r="K164" s="2">
        <f t="shared" si="3"/>
        <v>6.3733771846615495E-3</v>
      </c>
    </row>
    <row r="165" spans="1:11" ht="15" x14ac:dyDescent="0.2">
      <c r="A165" s="16" t="s">
        <v>930</v>
      </c>
      <c r="B165" s="16" t="str">
        <f ca="1">IFERROR(__xludf.DUMMYFUNCTION("GOOGLETRANSLATE(SUBSTITUTE(A165,""_"","" ""),""nl"",""en"")"),"Obstitution Psychological problems")</f>
        <v>Obstitution Psychological problems</v>
      </c>
      <c r="C165" s="17">
        <v>-6.3937000000000004E-3</v>
      </c>
      <c r="D165" s="17">
        <f t="shared" ref="D165:D171" si="52">ABS(C165)</f>
        <v>6.3937000000000004E-3</v>
      </c>
      <c r="E165" s="17">
        <f t="shared" ref="E165:E171" si="53">D165/MAX($D$3:$D$317)</f>
        <v>9.8938060382592896E-3</v>
      </c>
      <c r="F165" s="17">
        <v>0</v>
      </c>
      <c r="G165" s="17">
        <v>-2.23</v>
      </c>
      <c r="H165" s="17">
        <v>2.5714351E-2</v>
      </c>
      <c r="I165" s="2">
        <v>0.279030354985911</v>
      </c>
      <c r="J165" s="2">
        <f t="shared" si="2"/>
        <v>2.7903035498591101E-3</v>
      </c>
      <c r="K165" s="2">
        <f t="shared" si="3"/>
        <v>6.3420547940592001E-3</v>
      </c>
    </row>
    <row r="166" spans="1:11" ht="15" x14ac:dyDescent="0.2">
      <c r="A166" s="16" t="s">
        <v>253</v>
      </c>
      <c r="B166" s="16" t="str">
        <f ca="1">IFERROR(__xludf.DUMMYFUNCTION("GOOGLETRANSLATE(SUBSTITUTE(A166,""_"","" ""),""nl"",""en"")"),"Availability current known")</f>
        <v>Availability current known</v>
      </c>
      <c r="C166" s="17">
        <v>-7.5554999999999997E-3</v>
      </c>
      <c r="D166" s="17">
        <f t="shared" si="52"/>
        <v>7.5554999999999997E-3</v>
      </c>
      <c r="E166" s="17">
        <f t="shared" si="53"/>
        <v>1.1691610729635118E-2</v>
      </c>
      <c r="F166" s="17">
        <v>0</v>
      </c>
      <c r="G166" s="17">
        <v>-2.0699999999999998</v>
      </c>
      <c r="H166" s="17">
        <v>3.8412558999999999E-2</v>
      </c>
      <c r="I166" s="2">
        <v>8.1560903505943194E-2</v>
      </c>
      <c r="J166" s="2">
        <f t="shared" si="2"/>
        <v>8.1560903505943194E-4</v>
      </c>
      <c r="K166" s="2">
        <f t="shared" si="3"/>
        <v>6.2536098823472745E-3</v>
      </c>
    </row>
    <row r="167" spans="1:11" ht="15" x14ac:dyDescent="0.2">
      <c r="A167" s="16" t="s">
        <v>150</v>
      </c>
      <c r="B167" s="16" t="str">
        <f ca="1">IFERROR(__xludf.DUMMYFUNCTION("GOOGLETRANSLATE(SUBSTITUTE(A167,""_"","" ""),""nl"",""en"")"),"PLA HIST PLA Category Objective 1")</f>
        <v>PLA HIST PLA Category Objective 1</v>
      </c>
      <c r="C167" s="17">
        <v>4.1276999999999998E-3</v>
      </c>
      <c r="D167" s="17">
        <f t="shared" si="52"/>
        <v>4.1276999999999998E-3</v>
      </c>
      <c r="E167" s="17">
        <f t="shared" si="53"/>
        <v>6.3873286491582127E-3</v>
      </c>
      <c r="F167" s="17">
        <v>0</v>
      </c>
      <c r="G167" s="17">
        <v>2.8</v>
      </c>
      <c r="H167" s="17">
        <v>5.1148849999999996E-3</v>
      </c>
      <c r="I167" s="2">
        <v>0.606763074713904</v>
      </c>
      <c r="J167" s="2">
        <f t="shared" si="2"/>
        <v>6.0676307471390399E-3</v>
      </c>
      <c r="K167" s="2">
        <f t="shared" si="3"/>
        <v>6.2274796981486268E-3</v>
      </c>
    </row>
    <row r="168" spans="1:11" ht="15" x14ac:dyDescent="0.2">
      <c r="A168" s="16" t="s">
        <v>147</v>
      </c>
      <c r="B168" s="16" t="str">
        <f ca="1">IFERROR(__xludf.DUMMYFUNCTION("GOOGLETRANSLATE(SUBSTITUTE(A168,""_"","" ""),""nl"",""en"")"),"Contacts Subject QuickScan")</f>
        <v>Contacts Subject QuickScan</v>
      </c>
      <c r="C168" s="17">
        <v>3.3982000000000001E-3</v>
      </c>
      <c r="D168" s="17">
        <f t="shared" si="52"/>
        <v>3.3982000000000001E-3</v>
      </c>
      <c r="E168" s="17">
        <f t="shared" si="53"/>
        <v>5.2584781392953552E-3</v>
      </c>
      <c r="F168" s="17">
        <v>0</v>
      </c>
      <c r="G168" s="17">
        <v>2.16</v>
      </c>
      <c r="H168" s="17">
        <v>3.1038718E-2</v>
      </c>
      <c r="I168" s="2">
        <v>0.69772910067953398</v>
      </c>
      <c r="J168" s="2">
        <f t="shared" si="2"/>
        <v>6.9772910067953395E-3</v>
      </c>
      <c r="K168" s="2">
        <f t="shared" si="3"/>
        <v>6.1178845730453478E-3</v>
      </c>
    </row>
    <row r="169" spans="1:11" ht="15" x14ac:dyDescent="0.2">
      <c r="A169" s="16" t="s">
        <v>92</v>
      </c>
      <c r="B169" s="16" t="str">
        <f ca="1">IFERROR(__xludf.DUMMYFUNCTION("GOOGLETRANSLATE(SUBSTITUTE(A169,""_"","" ""),""nl"",""en"")"),"availability recently deviating due to medical conditions")</f>
        <v>availability recently deviating due to medical conditions</v>
      </c>
      <c r="C169" s="17">
        <v>-5.5230000000000001E-3</v>
      </c>
      <c r="D169" s="17">
        <f t="shared" si="52"/>
        <v>5.5230000000000001E-3</v>
      </c>
      <c r="E169" s="17">
        <f t="shared" si="53"/>
        <v>8.5464583495168771E-3</v>
      </c>
      <c r="F169" s="17">
        <v>0</v>
      </c>
      <c r="G169" s="17">
        <v>-2.0499999999999998</v>
      </c>
      <c r="H169" s="17">
        <v>4.0861435000000002E-2</v>
      </c>
      <c r="I169" s="2">
        <v>0.36800076351887501</v>
      </c>
      <c r="J169" s="2">
        <f t="shared" si="2"/>
        <v>3.68000763518875E-3</v>
      </c>
      <c r="K169" s="2">
        <f t="shared" si="3"/>
        <v>6.1132329923528133E-3</v>
      </c>
    </row>
    <row r="170" spans="1:11" ht="15" x14ac:dyDescent="0.2">
      <c r="A170" s="16" t="s">
        <v>228</v>
      </c>
      <c r="B170" s="16" t="str">
        <f ca="1">IFERROR(__xludf.DUMMYFUNCTION("GOOGLETRANSLATE(SUBSTITUTE(A170,""_"","" ""),""nl"",""en"")"),"obstacle not computer -skilled")</f>
        <v>obstacle not computer -skilled</v>
      </c>
      <c r="C170" s="17">
        <v>-7.4773000000000001E-3</v>
      </c>
      <c r="D170" s="17">
        <f t="shared" si="52"/>
        <v>7.4773000000000001E-3</v>
      </c>
      <c r="E170" s="17">
        <f t="shared" si="53"/>
        <v>1.1570601668810888E-2</v>
      </c>
      <c r="F170" s="17">
        <v>0</v>
      </c>
      <c r="G170" s="17">
        <v>-2.15</v>
      </c>
      <c r="H170" s="17">
        <v>3.1603988E-2</v>
      </c>
      <c r="I170" s="2">
        <v>0</v>
      </c>
      <c r="J170" s="2">
        <f t="shared" si="2"/>
        <v>0</v>
      </c>
      <c r="K170" s="2">
        <f t="shared" si="3"/>
        <v>5.7853008344054442E-3</v>
      </c>
    </row>
    <row r="171" spans="1:11" ht="15" x14ac:dyDescent="0.2">
      <c r="A171" s="16" t="s">
        <v>49</v>
      </c>
      <c r="B171" s="16" t="str">
        <f ca="1">IFERROR(__xludf.DUMMYFUNCTION("GOOGLETRANSLATE(SUBSTITUTE(A171,""_"","" ""),""nl"",""en"")"),"Appointment last year Progress Registration and participation")</f>
        <v>Appointment last year Progress Registration and participation</v>
      </c>
      <c r="C171" s="17">
        <v>-3.2845000000000001E-3</v>
      </c>
      <c r="D171" s="17">
        <f t="shared" si="52"/>
        <v>3.2845000000000001E-3</v>
      </c>
      <c r="E171" s="17">
        <f t="shared" si="53"/>
        <v>5.0825352976621727E-3</v>
      </c>
      <c r="F171" s="17">
        <v>0</v>
      </c>
      <c r="G171" s="17">
        <v>-3.84</v>
      </c>
      <c r="H171" s="17">
        <v>1.2215699999999999E-4</v>
      </c>
      <c r="I171" s="2">
        <v>0.63808763936093504</v>
      </c>
      <c r="J171" s="2">
        <f t="shared" si="2"/>
        <v>6.3808763936093506E-3</v>
      </c>
      <c r="K171" s="2">
        <f t="shared" si="3"/>
        <v>5.7317058456357612E-3</v>
      </c>
    </row>
    <row r="172" spans="1:11" ht="15" hidden="1" x14ac:dyDescent="0.2">
      <c r="A172" s="16" t="s">
        <v>121</v>
      </c>
      <c r="B172" s="16"/>
      <c r="C172" s="17">
        <v>3.66399E-4</v>
      </c>
      <c r="D172" s="17"/>
      <c r="E172" s="17"/>
      <c r="F172" s="17">
        <v>2.3980529999999998E-3</v>
      </c>
      <c r="G172" s="17">
        <v>0.15279035799999999</v>
      </c>
      <c r="H172" s="17">
        <v>0.87856999999999996</v>
      </c>
      <c r="I172" s="2">
        <v>1.1199336444219301</v>
      </c>
      <c r="J172" s="2">
        <f t="shared" si="2"/>
        <v>1.1199336444219301E-2</v>
      </c>
      <c r="K172" s="2">
        <f t="shared" si="3"/>
        <v>5.5996682221096505E-3</v>
      </c>
    </row>
    <row r="173" spans="1:11" ht="15" x14ac:dyDescent="0.2">
      <c r="A173" s="16" t="s">
        <v>57</v>
      </c>
      <c r="B173" s="16" t="str">
        <f ca="1">IFERROR(__xludf.DUMMYFUNCTION("GOOGLETRANSLATE(SUBSTITUTE(A173,""_"","" ""),""nl"",""en"")"),"PLA History Social Exercise")</f>
        <v>PLA History Social Exercise</v>
      </c>
      <c r="C173" s="17">
        <v>-4.4483999999999999E-3</v>
      </c>
      <c r="D173" s="17">
        <f>ABS(C173)</f>
        <v>4.4483999999999999E-3</v>
      </c>
      <c r="E173" s="17">
        <f>D173/MAX($D$3:$D$317)</f>
        <v>6.88358959297318E-3</v>
      </c>
      <c r="F173" s="17">
        <v>0</v>
      </c>
      <c r="G173" s="17">
        <v>-2.02</v>
      </c>
      <c r="H173" s="17">
        <v>4.3001878E-2</v>
      </c>
      <c r="I173" s="2">
        <v>0.426314858516946</v>
      </c>
      <c r="J173" s="2">
        <f t="shared" si="2"/>
        <v>4.2631485851694602E-3</v>
      </c>
      <c r="K173" s="2">
        <f t="shared" si="3"/>
        <v>5.5733690890713197E-3</v>
      </c>
    </row>
    <row r="174" spans="1:11" ht="15" hidden="1" x14ac:dyDescent="0.2">
      <c r="A174" s="16" t="s">
        <v>186</v>
      </c>
      <c r="B174" s="16"/>
      <c r="C174" s="17">
        <v>2.0836800000000001E-3</v>
      </c>
      <c r="D174" s="17"/>
      <c r="E174" s="17"/>
      <c r="F174" s="17">
        <v>2.7838720000000002E-3</v>
      </c>
      <c r="G174" s="17">
        <v>0.74848252000000004</v>
      </c>
      <c r="H174" s="17">
        <v>0.45417999999999997</v>
      </c>
      <c r="I174" s="2">
        <v>1.1142924012822499</v>
      </c>
      <c r="J174" s="2">
        <f t="shared" si="2"/>
        <v>1.1142924012822499E-2</v>
      </c>
      <c r="K174" s="2">
        <f t="shared" si="3"/>
        <v>5.5714620064112493E-3</v>
      </c>
    </row>
    <row r="175" spans="1:11" ht="15" hidden="1" x14ac:dyDescent="0.2">
      <c r="A175" s="16" t="s">
        <v>66</v>
      </c>
      <c r="B175" s="16"/>
      <c r="C175" s="17">
        <v>-5.9636900000000002E-4</v>
      </c>
      <c r="D175" s="17"/>
      <c r="E175" s="17"/>
      <c r="F175" s="17">
        <v>5.2960400000000003E-4</v>
      </c>
      <c r="G175" s="17">
        <v>-1.126067261</v>
      </c>
      <c r="H175" s="17">
        <v>0.26015885900000002</v>
      </c>
      <c r="I175" s="2">
        <v>1.0745730744041899</v>
      </c>
      <c r="J175" s="2">
        <f t="shared" si="2"/>
        <v>1.0745730744041899E-2</v>
      </c>
      <c r="K175" s="2">
        <f t="shared" si="3"/>
        <v>5.3728653720209497E-3</v>
      </c>
    </row>
    <row r="176" spans="1:11" ht="15" x14ac:dyDescent="0.2">
      <c r="A176" s="16" t="s">
        <v>145</v>
      </c>
      <c r="B176" s="16" t="str">
        <f ca="1">IFERROR(__xludf.DUMMYFUNCTION("GOOGLETRANSLATE(SUBSTITUTE(A176,""_"","" ""),""nl"",""en"")"),"instrument number of last year")</f>
        <v>instrument number of last year</v>
      </c>
      <c r="C176" s="17">
        <v>2.8825999999999999E-3</v>
      </c>
      <c r="D176" s="17">
        <f t="shared" ref="D176:D177" si="54">ABS(C176)</f>
        <v>2.8825999999999999E-3</v>
      </c>
      <c r="E176" s="17">
        <f t="shared" ref="E176:E177" si="55">D176/MAX($D$3:$D$317)</f>
        <v>4.4606230016870085E-3</v>
      </c>
      <c r="F176" s="17">
        <v>0</v>
      </c>
      <c r="G176" s="17">
        <v>2.58</v>
      </c>
      <c r="H176" s="17">
        <v>9.7759490000000008E-3</v>
      </c>
      <c r="I176" s="2">
        <v>0.59917000286831501</v>
      </c>
      <c r="J176" s="2">
        <f t="shared" si="2"/>
        <v>5.9917000286831505E-3</v>
      </c>
      <c r="K176" s="2">
        <f t="shared" si="3"/>
        <v>5.2261615151850795E-3</v>
      </c>
    </row>
    <row r="177" spans="1:11" ht="15" x14ac:dyDescent="0.2">
      <c r="A177" s="16" t="s">
        <v>179</v>
      </c>
      <c r="B177" s="16" t="str">
        <f ca="1">IFERROR(__xludf.DUMMYFUNCTION("GOOGLETRANSLATE(SUBSTITUTE(A177,""_"","" ""),""nl"",""en"")"),"Dealing competence with pressure and setbacks")</f>
        <v>Dealing competence with pressure and setbacks</v>
      </c>
      <c r="C177" s="17">
        <v>5.7023000000000004E-3</v>
      </c>
      <c r="D177" s="17">
        <f t="shared" si="54"/>
        <v>5.7023000000000004E-3</v>
      </c>
      <c r="E177" s="17">
        <f t="shared" si="55"/>
        <v>8.823912628363224E-3</v>
      </c>
      <c r="F177" s="17">
        <v>0</v>
      </c>
      <c r="G177" s="17">
        <v>1.99</v>
      </c>
      <c r="H177" s="17">
        <v>4.6210000000000001E-2</v>
      </c>
      <c r="I177" s="2">
        <v>0.13305649732136701</v>
      </c>
      <c r="J177" s="2">
        <f t="shared" si="2"/>
        <v>1.33056497321367E-3</v>
      </c>
      <c r="K177" s="2">
        <f t="shared" si="3"/>
        <v>5.0772388007884472E-3</v>
      </c>
    </row>
    <row r="178" spans="1:11" ht="15" hidden="1" x14ac:dyDescent="0.2">
      <c r="A178" s="16" t="s">
        <v>169</v>
      </c>
      <c r="B178" s="16"/>
      <c r="C178" s="17">
        <v>3.9649800000000001E-4</v>
      </c>
      <c r="D178" s="17"/>
      <c r="E178" s="17"/>
      <c r="F178" s="17">
        <v>3.2302399999999999E-4</v>
      </c>
      <c r="G178" s="17">
        <v>1.22745561</v>
      </c>
      <c r="H178" s="17">
        <v>0.21967471499999999</v>
      </c>
      <c r="I178" s="2">
        <v>1.0154280125178199</v>
      </c>
      <c r="J178" s="2">
        <f t="shared" si="2"/>
        <v>1.0154280125178199E-2</v>
      </c>
      <c r="K178" s="2">
        <f t="shared" si="3"/>
        <v>5.0771400625890997E-3</v>
      </c>
    </row>
    <row r="179" spans="1:11" ht="15" hidden="1" x14ac:dyDescent="0.2">
      <c r="A179" s="16" t="s">
        <v>250</v>
      </c>
      <c r="B179" s="16"/>
      <c r="C179" s="17">
        <v>3.832635E-3</v>
      </c>
      <c r="D179" s="17"/>
      <c r="E179" s="17"/>
      <c r="F179" s="17">
        <v>4.8849829999999999E-3</v>
      </c>
      <c r="G179" s="17">
        <v>0.78457488099999995</v>
      </c>
      <c r="H179" s="17">
        <v>0.43271786099999998</v>
      </c>
      <c r="I179" s="2">
        <v>1.0117448999324301</v>
      </c>
      <c r="J179" s="2">
        <f t="shared" si="2"/>
        <v>1.0117448999324302E-2</v>
      </c>
      <c r="K179" s="2">
        <f t="shared" si="3"/>
        <v>5.0587244996621508E-3</v>
      </c>
    </row>
    <row r="180" spans="1:11" ht="15" x14ac:dyDescent="0.2">
      <c r="A180" s="16" t="s">
        <v>138</v>
      </c>
      <c r="B180" s="16" t="str">
        <f ca="1">IFERROR(__xludf.DUMMYFUNCTION("GOOGLETRANSLATE(SUBSTITUTE(A180,""_"","" ""),""nl"",""en"")"),"instrument reason Under termination History not successful")</f>
        <v>instrument reason Under termination History not successful</v>
      </c>
      <c r="C180" s="17">
        <v>-2.3048000000000001E-3</v>
      </c>
      <c r="D180" s="17">
        <f t="shared" ref="D180:D181" si="56">ABS(C180)</f>
        <v>2.3048000000000001E-3</v>
      </c>
      <c r="E180" s="17">
        <f t="shared" ref="E180:E181" si="57">D180/MAX($D$3:$D$317)</f>
        <v>3.5665176903795937E-3</v>
      </c>
      <c r="F180" s="17">
        <v>0</v>
      </c>
      <c r="G180" s="17">
        <v>-2.02</v>
      </c>
      <c r="H180" s="17">
        <v>4.3757641E-2</v>
      </c>
      <c r="I180" s="2">
        <v>0.64648197678013297</v>
      </c>
      <c r="J180" s="2">
        <f t="shared" si="2"/>
        <v>6.4648197678013296E-3</v>
      </c>
      <c r="K180" s="2">
        <f t="shared" si="3"/>
        <v>5.0156687290904617E-3</v>
      </c>
    </row>
    <row r="181" spans="1:11" ht="15" x14ac:dyDescent="0.2">
      <c r="A181" s="16" t="s">
        <v>280</v>
      </c>
      <c r="B181" s="16" t="str">
        <f ca="1">IFERROR(__xludf.DUMMYFUNCTION("GOOGLETRANSLATE(SUBSTITUTE(A181,""_"","" ""),""nl"",""en"")"),"Contacts Subject Boolean process")</f>
        <v>Contacts Subject Boolean process</v>
      </c>
      <c r="C181" s="17">
        <v>-6.3772999999999998E-3</v>
      </c>
      <c r="D181" s="17">
        <f t="shared" si="56"/>
        <v>6.3772999999999998E-3</v>
      </c>
      <c r="E181" s="17">
        <f t="shared" si="57"/>
        <v>9.8684281789559979E-3</v>
      </c>
      <c r="F181" s="17">
        <v>0</v>
      </c>
      <c r="G181" s="17">
        <v>-3.91</v>
      </c>
      <c r="H181" s="18">
        <v>9.3599999999999998E-5</v>
      </c>
      <c r="I181" s="2">
        <v>0</v>
      </c>
      <c r="J181" s="2">
        <f t="shared" si="2"/>
        <v>0</v>
      </c>
      <c r="K181" s="2">
        <f t="shared" si="3"/>
        <v>4.9342140894779989E-3</v>
      </c>
    </row>
    <row r="182" spans="1:11" ht="15" hidden="1" x14ac:dyDescent="0.2">
      <c r="A182" s="16" t="s">
        <v>931</v>
      </c>
      <c r="B182" s="16"/>
      <c r="C182" s="17">
        <v>8.5222300000000004E-4</v>
      </c>
      <c r="D182" s="17"/>
      <c r="E182" s="17"/>
      <c r="F182" s="17">
        <v>1.8482489999999999E-3</v>
      </c>
      <c r="G182" s="17">
        <v>0.46109746200000001</v>
      </c>
      <c r="H182" s="17">
        <v>0.64473677600000001</v>
      </c>
      <c r="I182" s="2">
        <v>0.97750642067956495</v>
      </c>
      <c r="J182" s="2">
        <f t="shared" si="2"/>
        <v>9.77506420679565E-3</v>
      </c>
      <c r="K182" s="2">
        <f t="shared" si="3"/>
        <v>4.887532103397825E-3</v>
      </c>
    </row>
    <row r="183" spans="1:11" ht="15" x14ac:dyDescent="0.2">
      <c r="A183" s="16" t="s">
        <v>301</v>
      </c>
      <c r="B183" s="16" t="str">
        <f ca="1">IFERROR(__xludf.DUMMYFUNCTION("GOOGLETRANSLATE(SUBSTITUTE(A183,""_"","" ""),""nl"",""en"")"),"PLA End of objective reaches transfer")</f>
        <v>PLA End of objective reaches transfer</v>
      </c>
      <c r="C183" s="17">
        <v>-5.6148999999999999E-3</v>
      </c>
      <c r="D183" s="17">
        <f>ABS(C183)</f>
        <v>5.6148999999999999E-3</v>
      </c>
      <c r="E183" s="17">
        <f>D183/MAX($D$3:$D$317)</f>
        <v>8.688667207442026E-3</v>
      </c>
      <c r="F183" s="17">
        <v>0</v>
      </c>
      <c r="G183" s="17">
        <v>-2.64</v>
      </c>
      <c r="H183" s="17">
        <v>8.2442990000000001E-3</v>
      </c>
      <c r="I183" s="2">
        <v>0.10339153314862499</v>
      </c>
      <c r="J183" s="2">
        <f t="shared" si="2"/>
        <v>1.03391533148625E-3</v>
      </c>
      <c r="K183" s="2">
        <f t="shared" si="3"/>
        <v>4.8612912694641379E-3</v>
      </c>
    </row>
    <row r="184" spans="1:11" ht="15" hidden="1" x14ac:dyDescent="0.2">
      <c r="A184" s="16" t="s">
        <v>241</v>
      </c>
      <c r="B184" s="16"/>
      <c r="C184" s="17">
        <v>4.4784550000000001E-3</v>
      </c>
      <c r="D184" s="17"/>
      <c r="E184" s="17"/>
      <c r="F184" s="17">
        <v>2.567031E-3</v>
      </c>
      <c r="G184" s="17">
        <v>1.7446047730000001</v>
      </c>
      <c r="H184" s="17">
        <v>8.1079999999999999E-2</v>
      </c>
      <c r="I184" s="2">
        <v>0.96331627360467098</v>
      </c>
      <c r="J184" s="2">
        <f t="shared" si="2"/>
        <v>9.6331627360467104E-3</v>
      </c>
      <c r="K184" s="2">
        <f t="shared" si="3"/>
        <v>4.8165813680233552E-3</v>
      </c>
    </row>
    <row r="185" spans="1:11" ht="15" x14ac:dyDescent="0.2">
      <c r="A185" s="16" t="s">
        <v>87</v>
      </c>
      <c r="B185" s="16" t="str">
        <f ca="1">IFERROR(__xludf.DUMMYFUNCTION("GOOGLETRANSLATE(SUBSTITUTE(A185,""_"","" ""),""nl"",""en"")"),"relationship child primary school child")</f>
        <v>relationship child primary school child</v>
      </c>
      <c r="C185" s="17">
        <v>4.8085000000000003E-3</v>
      </c>
      <c r="D185" s="17">
        <f t="shared" ref="D185:D188" si="58">ABS(C185)</f>
        <v>4.8085000000000003E-3</v>
      </c>
      <c r="E185" s="17">
        <f t="shared" ref="E185:E188" si="59">D185/MAX($D$3:$D$317)</f>
        <v>7.4408192963338589E-3</v>
      </c>
      <c r="F185" s="17">
        <v>0</v>
      </c>
      <c r="G185" s="17">
        <v>2.52</v>
      </c>
      <c r="H185" s="17">
        <v>1.1913999999999999E-2</v>
      </c>
      <c r="I185" s="2">
        <v>0.198268561708072</v>
      </c>
      <c r="J185" s="2">
        <f t="shared" si="2"/>
        <v>1.9826856170807199E-3</v>
      </c>
      <c r="K185" s="2">
        <f t="shared" si="3"/>
        <v>4.7117524567072896E-3</v>
      </c>
    </row>
    <row r="186" spans="1:11" ht="15" x14ac:dyDescent="0.2">
      <c r="A186" s="16" t="s">
        <v>175</v>
      </c>
      <c r="B186" s="16" t="str">
        <f ca="1">IFERROR(__xludf.DUMMYFUNCTION("GOOGLETRANSLATE(SUBSTITUTE(A186,""_"","" ""),""nl"",""en"")"),"Instrument Reason termination History Central Action Wigo4it")</f>
        <v>Instrument Reason termination History Central Action Wigo4it</v>
      </c>
      <c r="C186" s="17">
        <v>-2.8256000000000002E-3</v>
      </c>
      <c r="D186" s="17">
        <f t="shared" si="58"/>
        <v>2.8256000000000002E-3</v>
      </c>
      <c r="E186" s="17">
        <f t="shared" si="59"/>
        <v>4.3724194663036188E-3</v>
      </c>
      <c r="F186" s="17">
        <v>0</v>
      </c>
      <c r="G186" s="17">
        <v>-2.74</v>
      </c>
      <c r="H186" s="17">
        <v>6.210419E-3</v>
      </c>
      <c r="I186" s="2">
        <v>0.49620721499196202</v>
      </c>
      <c r="J186" s="2">
        <f t="shared" si="2"/>
        <v>4.9620721499196198E-3</v>
      </c>
      <c r="K186" s="2">
        <f t="shared" si="3"/>
        <v>4.6672458081116197E-3</v>
      </c>
    </row>
    <row r="187" spans="1:11" ht="15" x14ac:dyDescent="0.2">
      <c r="A187" s="16" t="s">
        <v>272</v>
      </c>
      <c r="B187" s="16" t="str">
        <f ca="1">IFERROR(__xludf.DUMMYFUNCTION("GOOGLETRANSLATE(SUBSTITUTE(A187,""_"","" ""),""nl"",""en"")"),"Contacts Subject Boolean Matching")</f>
        <v>Contacts Subject Boolean Matching</v>
      </c>
      <c r="C187" s="17">
        <v>6.0017999999999998E-3</v>
      </c>
      <c r="D187" s="17">
        <f t="shared" si="58"/>
        <v>6.0017999999999998E-3</v>
      </c>
      <c r="E187" s="17">
        <f t="shared" si="59"/>
        <v>9.2873680467373508E-3</v>
      </c>
      <c r="F187" s="17">
        <v>0</v>
      </c>
      <c r="G187" s="17">
        <v>2.87</v>
      </c>
      <c r="H187" s="17">
        <v>4.1347129999999999E-3</v>
      </c>
      <c r="I187" s="2">
        <v>0</v>
      </c>
      <c r="J187" s="2">
        <f t="shared" si="2"/>
        <v>0</v>
      </c>
      <c r="K187" s="2">
        <f t="shared" si="3"/>
        <v>4.6436840233686754E-3</v>
      </c>
    </row>
    <row r="188" spans="1:11" ht="15" x14ac:dyDescent="0.2">
      <c r="A188" s="16" t="s">
        <v>285</v>
      </c>
      <c r="B188" s="16" t="str">
        <f ca="1">IFERROR(__xludf.DUMMYFUNCTION("GOOGLETRANSLATE(SUBSTITUTE(A188,""_"","" ""),""nl"",""en"")"),"Contacts Subject work intake did not appear")</f>
        <v>Contacts Subject work intake did not appear</v>
      </c>
      <c r="C188" s="17">
        <v>-4.0302999999999997E-3</v>
      </c>
      <c r="D188" s="17">
        <f t="shared" si="58"/>
        <v>4.0302999999999997E-3</v>
      </c>
      <c r="E188" s="17">
        <f t="shared" si="59"/>
        <v>6.2366089237837884E-3</v>
      </c>
      <c r="F188" s="17">
        <v>0</v>
      </c>
      <c r="G188" s="17">
        <v>-2.2400000000000002</v>
      </c>
      <c r="H188" s="17">
        <v>2.4827985E-2</v>
      </c>
      <c r="I188" s="2">
        <v>0.296434634054702</v>
      </c>
      <c r="J188" s="2">
        <f t="shared" si="2"/>
        <v>2.9643463405470199E-3</v>
      </c>
      <c r="K188" s="2">
        <f t="shared" si="3"/>
        <v>4.6004776321654037E-3</v>
      </c>
    </row>
    <row r="189" spans="1:11" ht="15" hidden="1" x14ac:dyDescent="0.2">
      <c r="A189" s="16" t="s">
        <v>118</v>
      </c>
      <c r="B189" s="16"/>
      <c r="C189" s="17">
        <v>-1.2665899999999999E-3</v>
      </c>
      <c r="D189" s="17"/>
      <c r="E189" s="17"/>
      <c r="F189" s="17">
        <v>8.9419300000000005E-4</v>
      </c>
      <c r="G189" s="17">
        <v>-1.4164617260000001</v>
      </c>
      <c r="H189" s="17">
        <v>0.15666550100000001</v>
      </c>
      <c r="I189" s="2">
        <v>0.88199144816368003</v>
      </c>
      <c r="J189" s="2">
        <f t="shared" si="2"/>
        <v>8.8199144816367998E-3</v>
      </c>
      <c r="K189" s="2">
        <f t="shared" si="3"/>
        <v>4.4099572408183999E-3</v>
      </c>
    </row>
    <row r="190" spans="1:11" ht="15" x14ac:dyDescent="0.2">
      <c r="A190" s="16" t="s">
        <v>307</v>
      </c>
      <c r="B190" s="16" t="str">
        <f ca="1">IFERROR(__xludf.DUMMYFUNCTION("GOOGLETRANSLATE(SUBSTITUTE(A190,""_"","" ""),""nl"",""en"")"),"Typering Other")</f>
        <v>Typering Other</v>
      </c>
      <c r="C190" s="17">
        <v>-4.2104999999999998E-3</v>
      </c>
      <c r="D190" s="17">
        <f t="shared" ref="D190:D192" si="60">ABS(C190)</f>
        <v>4.2104999999999998E-3</v>
      </c>
      <c r="E190" s="17">
        <f t="shared" ref="E190:E192" si="61">D190/MAX($D$3:$D$317)</f>
        <v>6.5154558900309264E-3</v>
      </c>
      <c r="F190" s="17">
        <v>0</v>
      </c>
      <c r="G190" s="17">
        <v>-2.25</v>
      </c>
      <c r="H190" s="17">
        <v>2.4527363E-2</v>
      </c>
      <c r="I190" s="2">
        <v>0.21493965578634999</v>
      </c>
      <c r="J190" s="2">
        <f t="shared" si="2"/>
        <v>2.1493965578634998E-3</v>
      </c>
      <c r="K190" s="2">
        <f t="shared" si="3"/>
        <v>4.3324262239472135E-3</v>
      </c>
    </row>
    <row r="191" spans="1:11" ht="15" x14ac:dyDescent="0.2">
      <c r="A191" s="16" t="s">
        <v>195</v>
      </c>
      <c r="B191" s="16" t="str">
        <f ca="1">IFERROR(__xludf.DUMMYFUNCTION("GOOGLETRANSLATE(SUBSTITUTE(A191,""_"","" ""),""nl"",""en"")"),"appointment last year exemption")</f>
        <v>appointment last year exemption</v>
      </c>
      <c r="C191" s="17">
        <v>-4.1603999999999999E-3</v>
      </c>
      <c r="D191" s="17">
        <f t="shared" si="60"/>
        <v>4.1603999999999999E-3</v>
      </c>
      <c r="E191" s="17">
        <f t="shared" si="61"/>
        <v>6.4379296247202627E-3</v>
      </c>
      <c r="F191" s="17">
        <v>0</v>
      </c>
      <c r="G191" s="17">
        <v>-2.12</v>
      </c>
      <c r="H191" s="17">
        <v>3.3929536000000003E-2</v>
      </c>
      <c r="I191" s="2">
        <v>0.20994369825001499</v>
      </c>
      <c r="J191" s="2">
        <f t="shared" si="2"/>
        <v>2.0994369825001499E-3</v>
      </c>
      <c r="K191" s="2">
        <f t="shared" si="3"/>
        <v>4.2686833036102061E-3</v>
      </c>
    </row>
    <row r="192" spans="1:11" ht="15" x14ac:dyDescent="0.2">
      <c r="A192" s="16" t="s">
        <v>125</v>
      </c>
      <c r="B192" s="16" t="str">
        <f ca="1">IFERROR(__xludf.DUMMYFUNCTION("GOOGLETRANSLATE(SUBSTITUTE(A192,""_"","" ""),""nl"",""en"")"),"instrument reason Under termination History Objective does not reach no outflow")</f>
        <v>instrument reason Under termination History Objective does not reach no outflow</v>
      </c>
      <c r="C192" s="17">
        <v>-1.8468E-3</v>
      </c>
      <c r="D192" s="17">
        <f t="shared" si="60"/>
        <v>1.8468E-3</v>
      </c>
      <c r="E192" s="17">
        <f t="shared" si="61"/>
        <v>2.85779454642183E-3</v>
      </c>
      <c r="F192" s="17">
        <v>0</v>
      </c>
      <c r="G192" s="17">
        <v>-2.0299999999999998</v>
      </c>
      <c r="H192" s="17">
        <v>4.2609648999999999E-2</v>
      </c>
      <c r="I192" s="2">
        <v>0.54180960042156801</v>
      </c>
      <c r="J192" s="2">
        <f t="shared" si="2"/>
        <v>5.4180960042156797E-3</v>
      </c>
      <c r="K192" s="2">
        <f t="shared" si="3"/>
        <v>4.1379452753187544E-3</v>
      </c>
    </row>
    <row r="193" spans="1:11" ht="15" hidden="1" x14ac:dyDescent="0.2">
      <c r="A193" s="16" t="s">
        <v>242</v>
      </c>
      <c r="B193" s="16"/>
      <c r="C193" s="17">
        <v>-1.8556379999999999E-3</v>
      </c>
      <c r="D193" s="17"/>
      <c r="E193" s="17"/>
      <c r="F193" s="17">
        <v>2.0000399999999998E-3</v>
      </c>
      <c r="G193" s="17">
        <v>-0.92780027300000001</v>
      </c>
      <c r="H193" s="17">
        <v>0.35352925400000001</v>
      </c>
      <c r="I193" s="2">
        <v>0.826972792561666</v>
      </c>
      <c r="J193" s="2">
        <f t="shared" si="2"/>
        <v>8.2697279256166607E-3</v>
      </c>
      <c r="K193" s="2">
        <f t="shared" si="3"/>
        <v>4.1348639628083304E-3</v>
      </c>
    </row>
    <row r="194" spans="1:11" ht="15" hidden="1" x14ac:dyDescent="0.2">
      <c r="A194" s="16" t="s">
        <v>115</v>
      </c>
      <c r="B194" s="16"/>
      <c r="C194" s="17">
        <v>2.559829E-3</v>
      </c>
      <c r="D194" s="17"/>
      <c r="E194" s="17"/>
      <c r="F194" s="17">
        <v>2.866539E-3</v>
      </c>
      <c r="G194" s="17">
        <v>0.89300321599999999</v>
      </c>
      <c r="H194" s="17">
        <v>0.37186999999999998</v>
      </c>
      <c r="I194" s="2">
        <v>0.76942670426415605</v>
      </c>
      <c r="J194" s="2">
        <f t="shared" si="2"/>
        <v>7.6942670426415607E-3</v>
      </c>
      <c r="K194" s="2">
        <f t="shared" si="3"/>
        <v>3.8471335213207804E-3</v>
      </c>
    </row>
    <row r="195" spans="1:11" ht="15" x14ac:dyDescent="0.2">
      <c r="A195" s="16" t="s">
        <v>279</v>
      </c>
      <c r="B195" s="16" t="str">
        <f ca="1">IFERROR(__xludf.DUMMYFUNCTION("GOOGLETRANSLATE(SUBSTITUTE(A195,""_"","" ""),""nl"",""en"")"),"Contacts Subject Boolean recall request")</f>
        <v>Contacts Subject Boolean recall request</v>
      </c>
      <c r="C195" s="17">
        <v>-4.8354000000000001E-3</v>
      </c>
      <c r="D195" s="17">
        <f t="shared" ref="D195:D196" si="62">ABS(C195)</f>
        <v>4.8354000000000001E-3</v>
      </c>
      <c r="E195" s="17">
        <f t="shared" ref="E195:E196" si="63">D195/MAX($D$3:$D$317)</f>
        <v>7.4824451753130374E-3</v>
      </c>
      <c r="F195" s="17">
        <v>0</v>
      </c>
      <c r="G195" s="17">
        <v>-3.24</v>
      </c>
      <c r="H195" s="17">
        <v>1.1846739999999999E-3</v>
      </c>
      <c r="I195" s="2">
        <v>0</v>
      </c>
      <c r="J195" s="2">
        <f t="shared" si="2"/>
        <v>0</v>
      </c>
      <c r="K195" s="2">
        <f t="shared" si="3"/>
        <v>3.7412225876565187E-3</v>
      </c>
    </row>
    <row r="196" spans="1:11" ht="15" x14ac:dyDescent="0.2">
      <c r="A196" s="16" t="s">
        <v>229</v>
      </c>
      <c r="B196" s="16" t="str">
        <f ca="1">IFERROR(__xludf.DUMMYFUNCTION("GOOGLETRANSLATE(SUBSTITUTE(A196,""_"","" ""),""nl"",""en"")"),"Contacts subject Sick or cancellation")</f>
        <v>Contacts subject Sick or cancellation</v>
      </c>
      <c r="C196" s="17">
        <v>-1.4132000000000001E-3</v>
      </c>
      <c r="D196" s="17">
        <f t="shared" si="62"/>
        <v>1.4132000000000001E-3</v>
      </c>
      <c r="E196" s="17">
        <f t="shared" si="63"/>
        <v>2.1868287053299386E-3</v>
      </c>
      <c r="F196" s="17">
        <v>0</v>
      </c>
      <c r="G196" s="17">
        <v>-2.59</v>
      </c>
      <c r="H196" s="17">
        <v>9.5436649999999998E-3</v>
      </c>
      <c r="I196" s="2">
        <v>0.52029780182457996</v>
      </c>
      <c r="J196" s="2">
        <f t="shared" si="2"/>
        <v>5.2029780182457994E-3</v>
      </c>
      <c r="K196" s="2">
        <f t="shared" si="3"/>
        <v>3.694903361787869E-3</v>
      </c>
    </row>
    <row r="197" spans="1:11" ht="15" hidden="1" x14ac:dyDescent="0.2">
      <c r="A197" s="16" t="s">
        <v>64</v>
      </c>
      <c r="B197" s="16"/>
      <c r="C197" s="17">
        <v>5.0148900000000004E-4</v>
      </c>
      <c r="D197" s="17"/>
      <c r="E197" s="17"/>
      <c r="F197" s="17">
        <v>3.2410400000000003E-4</v>
      </c>
      <c r="G197" s="17">
        <v>1.5473053910000001</v>
      </c>
      <c r="H197" s="17">
        <v>0.12181516100000001</v>
      </c>
      <c r="I197" s="2">
        <v>0.73837279081333396</v>
      </c>
      <c r="J197" s="2">
        <f t="shared" si="2"/>
        <v>7.3837279081333399E-3</v>
      </c>
      <c r="K197" s="2">
        <f t="shared" si="3"/>
        <v>3.6918639540666699E-3</v>
      </c>
    </row>
    <row r="198" spans="1:11" ht="15" x14ac:dyDescent="0.2">
      <c r="A198" s="16" t="s">
        <v>201</v>
      </c>
      <c r="B198" s="16" t="str">
        <f ca="1">IFERROR(__xludf.DUMMYFUNCTION("GOOGLETRANSLATE(SUBSTITUTE(A198,""_"","" ""),""nl"",""en"")"),"Instrument Reason termination History Objective achieves outflow Other")</f>
        <v>Instrument Reason termination History Objective achieves outflow Other</v>
      </c>
      <c r="C198" s="17">
        <v>-4.7292999999999996E-3</v>
      </c>
      <c r="D198" s="17">
        <f t="shared" ref="D198:D199" si="64">ABS(C198)</f>
        <v>4.7292999999999996E-3</v>
      </c>
      <c r="E198" s="17">
        <f t="shared" ref="E198:E199" si="65">D198/MAX($D$3:$D$317)</f>
        <v>7.3182628050643059E-3</v>
      </c>
      <c r="F198" s="17">
        <v>0</v>
      </c>
      <c r="G198" s="17">
        <v>-2.19</v>
      </c>
      <c r="H198" s="17">
        <v>2.8726793E-2</v>
      </c>
      <c r="I198" s="2">
        <v>0</v>
      </c>
      <c r="J198" s="2">
        <f t="shared" si="2"/>
        <v>0</v>
      </c>
      <c r="K198" s="2">
        <f t="shared" si="3"/>
        <v>3.6591314025321529E-3</v>
      </c>
    </row>
    <row r="199" spans="1:11" ht="15" x14ac:dyDescent="0.2">
      <c r="A199" s="16" t="s">
        <v>281</v>
      </c>
      <c r="B199" s="16" t="str">
        <f ca="1">IFERROR(__xludf.DUMMYFUNCTION("GOOGLETRANSLATE(SUBSTITUTE(A199,""_"","" ""),""nl"",""en"")"),"Contacts Subject Boolean Invitation")</f>
        <v>Contacts Subject Boolean Invitation</v>
      </c>
      <c r="C199" s="17">
        <v>4.7058999999999998E-3</v>
      </c>
      <c r="D199" s="17">
        <f t="shared" si="64"/>
        <v>4.7058999999999998E-3</v>
      </c>
      <c r="E199" s="17">
        <f t="shared" si="65"/>
        <v>7.2820529326437563E-3</v>
      </c>
      <c r="F199" s="17">
        <v>0</v>
      </c>
      <c r="G199" s="17">
        <v>2.88</v>
      </c>
      <c r="H199" s="17">
        <v>3.9481530000000003E-3</v>
      </c>
      <c r="I199" s="2">
        <v>0</v>
      </c>
      <c r="J199" s="2">
        <f t="shared" si="2"/>
        <v>0</v>
      </c>
      <c r="K199" s="2">
        <f t="shared" si="3"/>
        <v>3.6410264663218781E-3</v>
      </c>
    </row>
    <row r="200" spans="1:11" ht="15" hidden="1" x14ac:dyDescent="0.2">
      <c r="A200" s="16" t="s">
        <v>155</v>
      </c>
      <c r="B200" s="16"/>
      <c r="C200" s="17">
        <v>3.763228E-3</v>
      </c>
      <c r="D200" s="17"/>
      <c r="E200" s="17"/>
      <c r="F200" s="17">
        <v>1.9817670000000002E-3</v>
      </c>
      <c r="G200" s="17">
        <v>1.8989253429999999</v>
      </c>
      <c r="H200" s="17">
        <v>5.7597497999999997E-2</v>
      </c>
      <c r="I200" s="2">
        <v>0.71687434909261205</v>
      </c>
      <c r="J200" s="2">
        <f t="shared" si="2"/>
        <v>7.1687434909261209E-3</v>
      </c>
      <c r="K200" s="2">
        <f t="shared" si="3"/>
        <v>3.5843717454630605E-3</v>
      </c>
    </row>
    <row r="201" spans="1:11" ht="15" x14ac:dyDescent="0.2">
      <c r="A201" s="16" t="s">
        <v>216</v>
      </c>
      <c r="B201" s="16" t="str">
        <f ca="1">IFERROR(__xludf.DUMMYFUNCTION("GOOGLETRANSLATE(SUBSTITUTE(A201,""_"","" ""),""nl"",""en"")"),"Instrument Ladder Current Work Re Integration")</f>
        <v>Instrument Ladder Current Work Re Integration</v>
      </c>
      <c r="C201" s="17">
        <v>3.6064000000000001E-3</v>
      </c>
      <c r="D201" s="17">
        <f>ABS(C201)</f>
        <v>3.6064000000000001E-3</v>
      </c>
      <c r="E201" s="17">
        <f>D201/MAX($D$3:$D$317)</f>
        <v>5.5806531580115271E-3</v>
      </c>
      <c r="F201" s="17">
        <v>0</v>
      </c>
      <c r="G201" s="17">
        <v>2.77</v>
      </c>
      <c r="H201" s="17">
        <v>5.6297880000000002E-3</v>
      </c>
      <c r="I201" s="2">
        <v>0.13468748136014799</v>
      </c>
      <c r="J201" s="2">
        <f t="shared" si="2"/>
        <v>1.3468748136014799E-3</v>
      </c>
      <c r="K201" s="2">
        <f t="shared" si="3"/>
        <v>3.4637639858065036E-3</v>
      </c>
    </row>
    <row r="202" spans="1:11" ht="15" hidden="1" x14ac:dyDescent="0.2">
      <c r="A202" s="16" t="s">
        <v>215</v>
      </c>
      <c r="B202" s="16"/>
      <c r="C202" s="17">
        <v>-1.2893799999999999E-3</v>
      </c>
      <c r="D202" s="17"/>
      <c r="E202" s="17"/>
      <c r="F202" s="17">
        <v>2.121075E-3</v>
      </c>
      <c r="G202" s="17">
        <v>-0.60788967599999999</v>
      </c>
      <c r="H202" s="17">
        <v>0.54327000000000003</v>
      </c>
      <c r="I202" s="2">
        <v>0.68715106001561199</v>
      </c>
      <c r="J202" s="2">
        <f t="shared" si="2"/>
        <v>6.8715106001561201E-3</v>
      </c>
      <c r="K202" s="2">
        <f t="shared" si="3"/>
        <v>3.43575530007806E-3</v>
      </c>
    </row>
    <row r="203" spans="1:11" ht="15" hidden="1" x14ac:dyDescent="0.2">
      <c r="A203" s="16" t="s">
        <v>101</v>
      </c>
      <c r="B203" s="16"/>
      <c r="C203" s="17">
        <v>3.8130500000000002E-4</v>
      </c>
      <c r="D203" s="17"/>
      <c r="E203" s="17"/>
      <c r="F203" s="17">
        <v>4.3625700000000001E-4</v>
      </c>
      <c r="G203" s="17">
        <v>0.87403840700000002</v>
      </c>
      <c r="H203" s="17">
        <v>0.382114277</v>
      </c>
      <c r="I203" s="2">
        <v>0.68363765787878605</v>
      </c>
      <c r="J203" s="2">
        <f t="shared" si="2"/>
        <v>6.8363765787878604E-3</v>
      </c>
      <c r="K203" s="2">
        <f t="shared" si="3"/>
        <v>3.4181882893939302E-3</v>
      </c>
    </row>
    <row r="204" spans="1:11" ht="15" hidden="1" x14ac:dyDescent="0.2">
      <c r="A204" s="16" t="s">
        <v>203</v>
      </c>
      <c r="B204" s="16"/>
      <c r="C204" s="17">
        <v>1.5171E-3</v>
      </c>
      <c r="D204" s="17"/>
      <c r="E204" s="17"/>
      <c r="F204" s="17">
        <v>1.7483990000000001E-3</v>
      </c>
      <c r="G204" s="17">
        <v>0.86770813400000002</v>
      </c>
      <c r="H204" s="17">
        <v>0.38557093599999998</v>
      </c>
      <c r="I204" s="2">
        <v>0.68174332974392404</v>
      </c>
      <c r="J204" s="2">
        <f t="shared" si="2"/>
        <v>6.8174332974392403E-3</v>
      </c>
      <c r="K204" s="2">
        <f t="shared" si="3"/>
        <v>3.4087166487196201E-3</v>
      </c>
    </row>
    <row r="205" spans="1:11" ht="15" x14ac:dyDescent="0.2">
      <c r="A205" s="16" t="s">
        <v>182</v>
      </c>
      <c r="B205" s="16" t="str">
        <f ca="1">IFERROR(__xludf.DUMMYFUNCTION("GOOGLETRANSLATE(SUBSTITUTE(A205,""_"","" ""),""nl"",""en"")"),"Instrument Reason termination History Other")</f>
        <v>Instrument Reason termination History Other</v>
      </c>
      <c r="C205" s="17">
        <v>-2.8495E-3</v>
      </c>
      <c r="D205" s="17">
        <f>ABS(C205)</f>
        <v>2.8495E-3</v>
      </c>
      <c r="E205" s="17">
        <f>D205/MAX($D$3:$D$317)</f>
        <v>4.4094030539468297E-3</v>
      </c>
      <c r="F205" s="17">
        <v>0</v>
      </c>
      <c r="G205" s="17">
        <v>-2.58</v>
      </c>
      <c r="H205" s="17">
        <v>9.9124680000000007E-3</v>
      </c>
      <c r="I205" s="2">
        <v>0.22941724791602999</v>
      </c>
      <c r="J205" s="2">
        <f t="shared" si="2"/>
        <v>2.2941724791603001E-3</v>
      </c>
      <c r="K205" s="2">
        <f t="shared" si="3"/>
        <v>3.3517877665535647E-3</v>
      </c>
    </row>
    <row r="206" spans="1:11" ht="15" hidden="1" x14ac:dyDescent="0.2">
      <c r="A206" s="16" t="s">
        <v>86</v>
      </c>
      <c r="B206" s="16"/>
      <c r="C206" s="17">
        <v>6.01876E-4</v>
      </c>
      <c r="D206" s="17"/>
      <c r="E206" s="17"/>
      <c r="F206" s="17">
        <v>5.0628299999999995E-4</v>
      </c>
      <c r="G206" s="17">
        <v>1.1888131129999999</v>
      </c>
      <c r="H206" s="17">
        <v>0.23454</v>
      </c>
      <c r="I206" s="2">
        <v>0.646965587040634</v>
      </c>
      <c r="J206" s="2">
        <f t="shared" si="2"/>
        <v>6.4696558704063403E-3</v>
      </c>
      <c r="K206" s="2">
        <f t="shared" si="3"/>
        <v>3.2348279352031701E-3</v>
      </c>
    </row>
    <row r="207" spans="1:11" ht="15" hidden="1" x14ac:dyDescent="0.2">
      <c r="A207" s="16" t="s">
        <v>220</v>
      </c>
      <c r="B207" s="16"/>
      <c r="C207" s="17">
        <v>-4.2779100000000001E-4</v>
      </c>
      <c r="D207" s="17"/>
      <c r="E207" s="17"/>
      <c r="F207" s="17">
        <v>3.5494989999999998E-3</v>
      </c>
      <c r="G207" s="17">
        <v>-0.120521561</v>
      </c>
      <c r="H207" s="17">
        <v>0.90407195500000004</v>
      </c>
      <c r="I207" s="2">
        <v>0.64650468721771803</v>
      </c>
      <c r="J207" s="2">
        <f t="shared" si="2"/>
        <v>6.4650468721771806E-3</v>
      </c>
      <c r="K207" s="2">
        <f t="shared" si="3"/>
        <v>3.2325234360885903E-3</v>
      </c>
    </row>
    <row r="208" spans="1:11" ht="15" x14ac:dyDescent="0.2">
      <c r="A208" s="16" t="s">
        <v>265</v>
      </c>
      <c r="B208" s="16" t="str">
        <f ca="1">IFERROR(__xludf.DUMMYFUNCTION("GOOGLETRANSLATE(SUBSTITUTE(A208,""_"","" ""),""nl"",""en"")"),"Take contacts subject Boolean documents")</f>
        <v>Take contacts subject Boolean documents</v>
      </c>
      <c r="C208" s="17">
        <v>-4.0178000000000002E-3</v>
      </c>
      <c r="D208" s="17">
        <f>ABS(C208)</f>
        <v>4.0178000000000002E-3</v>
      </c>
      <c r="E208" s="17">
        <f>D208/MAX($D$3:$D$317)</f>
        <v>6.2172660432172561E-3</v>
      </c>
      <c r="F208" s="17">
        <v>0</v>
      </c>
      <c r="G208" s="17">
        <v>-2.09</v>
      </c>
      <c r="H208" s="17">
        <v>3.6847684999999998E-2</v>
      </c>
      <c r="I208" s="2">
        <v>0</v>
      </c>
      <c r="J208" s="2">
        <f t="shared" si="2"/>
        <v>0</v>
      </c>
      <c r="K208" s="2">
        <f t="shared" si="3"/>
        <v>3.1086330216086281E-3</v>
      </c>
    </row>
    <row r="209" spans="1:11" ht="15" hidden="1" x14ac:dyDescent="0.2">
      <c r="A209" s="16" t="s">
        <v>75</v>
      </c>
      <c r="B209" s="16"/>
      <c r="C209" s="17">
        <v>-2.1375249999999999E-3</v>
      </c>
      <c r="D209" s="17"/>
      <c r="E209" s="17"/>
      <c r="F209" s="17">
        <v>1.539005E-3</v>
      </c>
      <c r="G209" s="17">
        <v>-1.3889009619999999</v>
      </c>
      <c r="H209" s="17">
        <v>0.16488783000000001</v>
      </c>
      <c r="I209" s="2">
        <v>0.61819691573297597</v>
      </c>
      <c r="J209" s="2">
        <f t="shared" si="2"/>
        <v>6.1819691573297593E-3</v>
      </c>
      <c r="K209" s="2">
        <f t="shared" si="3"/>
        <v>3.0909845786648796E-3</v>
      </c>
    </row>
    <row r="210" spans="1:11" ht="15" hidden="1" x14ac:dyDescent="0.2">
      <c r="A210" s="16" t="s">
        <v>131</v>
      </c>
      <c r="B210" s="16"/>
      <c r="C210" s="17">
        <v>-2.4064949999999998E-3</v>
      </c>
      <c r="D210" s="17"/>
      <c r="E210" s="17"/>
      <c r="F210" s="17">
        <v>2.1715559999999998E-3</v>
      </c>
      <c r="G210" s="17">
        <v>-1.1081890059999999</v>
      </c>
      <c r="H210" s="17">
        <v>0.26780170800000003</v>
      </c>
      <c r="I210" s="2">
        <v>0.610088578998771</v>
      </c>
      <c r="J210" s="2">
        <f t="shared" si="2"/>
        <v>6.1008857899877101E-3</v>
      </c>
      <c r="K210" s="2">
        <f t="shared" si="3"/>
        <v>3.0504428949938551E-3</v>
      </c>
    </row>
    <row r="211" spans="1:11" ht="15" hidden="1" x14ac:dyDescent="0.2">
      <c r="A211" s="16" t="s">
        <v>129</v>
      </c>
      <c r="B211" s="16"/>
      <c r="C211" s="17">
        <v>-3.7045999999999997E-4</v>
      </c>
      <c r="D211" s="17"/>
      <c r="E211" s="17"/>
      <c r="F211" s="17">
        <v>1.2827369999999999E-3</v>
      </c>
      <c r="G211" s="17">
        <v>-0.288804281</v>
      </c>
      <c r="H211" s="17">
        <v>0.77273598700000001</v>
      </c>
      <c r="I211" s="2">
        <v>0.60467515608031597</v>
      </c>
      <c r="J211" s="2">
        <f t="shared" si="2"/>
        <v>6.0467515608031595E-3</v>
      </c>
      <c r="K211" s="2">
        <f t="shared" si="3"/>
        <v>3.0233757804015798E-3</v>
      </c>
    </row>
    <row r="212" spans="1:11" ht="15" hidden="1" x14ac:dyDescent="0.2">
      <c r="A212" s="16" t="s">
        <v>119</v>
      </c>
      <c r="B212" s="16"/>
      <c r="C212" s="17">
        <v>1.0019969999999999E-3</v>
      </c>
      <c r="D212" s="17"/>
      <c r="E212" s="17"/>
      <c r="F212" s="17">
        <v>2.426152E-3</v>
      </c>
      <c r="G212" s="17">
        <v>0.41299823200000002</v>
      </c>
      <c r="H212" s="17">
        <v>0.67961505499999997</v>
      </c>
      <c r="I212" s="2">
        <v>0.60135224140113797</v>
      </c>
      <c r="J212" s="2">
        <f t="shared" si="2"/>
        <v>6.0135224140113793E-3</v>
      </c>
      <c r="K212" s="2">
        <f t="shared" si="3"/>
        <v>3.0067612070056897E-3</v>
      </c>
    </row>
    <row r="213" spans="1:11" ht="15" hidden="1" x14ac:dyDescent="0.2">
      <c r="A213" s="16" t="s">
        <v>245</v>
      </c>
      <c r="B213" s="16"/>
      <c r="C213" s="17">
        <v>2.0985399999999999E-3</v>
      </c>
      <c r="D213" s="17"/>
      <c r="E213" s="17"/>
      <c r="F213" s="17">
        <v>1.396609E-3</v>
      </c>
      <c r="G213" s="17">
        <v>1.5025963339999999</v>
      </c>
      <c r="H213" s="17">
        <v>0.13296865299999999</v>
      </c>
      <c r="I213" s="2">
        <v>0.59933769660162795</v>
      </c>
      <c r="J213" s="2">
        <f t="shared" si="2"/>
        <v>5.993376966016279E-3</v>
      </c>
      <c r="K213" s="2">
        <f t="shared" si="3"/>
        <v>2.9966884830081395E-3</v>
      </c>
    </row>
    <row r="214" spans="1:11" ht="15" hidden="1" x14ac:dyDescent="0.2">
      <c r="A214" s="16" t="s">
        <v>95</v>
      </c>
      <c r="B214" s="16"/>
      <c r="C214" s="17">
        <v>-3.1380999999999998E-4</v>
      </c>
      <c r="D214" s="17"/>
      <c r="E214" s="17"/>
      <c r="F214" s="17">
        <v>3.2144999999999998E-4</v>
      </c>
      <c r="G214" s="17">
        <v>-0.97623353899999998</v>
      </c>
      <c r="H214" s="17">
        <v>0.328967805</v>
      </c>
      <c r="I214" s="2">
        <v>0.58943799402529096</v>
      </c>
      <c r="J214" s="2">
        <f t="shared" si="2"/>
        <v>5.8943799402529093E-3</v>
      </c>
      <c r="K214" s="2">
        <f t="shared" si="3"/>
        <v>2.9471899701264547E-3</v>
      </c>
    </row>
    <row r="215" spans="1:11" ht="15" x14ac:dyDescent="0.2">
      <c r="A215" s="16" t="s">
        <v>224</v>
      </c>
      <c r="B215" s="16" t="str">
        <f ca="1">IFERROR(__xludf.DUMMYFUNCTION("GOOGLETRANSLATE(SUBSTITUTE(A215,""_"","" ""),""nl"",""en"")"),"Exemption Reason Hist Medical Grounds")</f>
        <v>Exemption Reason Hist Medical Grounds</v>
      </c>
      <c r="C215" s="17">
        <v>3.7894999999999999E-3</v>
      </c>
      <c r="D215" s="17">
        <f>ABS(C215)</f>
        <v>3.7894999999999999E-3</v>
      </c>
      <c r="E215" s="17">
        <f>D215/MAX($D$3:$D$317)</f>
        <v>5.8639876725501E-3</v>
      </c>
      <c r="F215" s="17">
        <v>0</v>
      </c>
      <c r="G215" s="17">
        <v>2.16</v>
      </c>
      <c r="H215" s="17">
        <v>3.0433885000000001E-2</v>
      </c>
      <c r="I215" s="2">
        <v>0</v>
      </c>
      <c r="J215" s="2">
        <f t="shared" si="2"/>
        <v>0</v>
      </c>
      <c r="K215" s="2">
        <f t="shared" si="3"/>
        <v>2.93199383627505E-3</v>
      </c>
    </row>
    <row r="216" spans="1:11" ht="15" hidden="1" x14ac:dyDescent="0.2">
      <c r="A216" s="16" t="s">
        <v>156</v>
      </c>
      <c r="B216" s="16"/>
      <c r="C216" s="17">
        <v>-3.1019179999999999E-3</v>
      </c>
      <c r="D216" s="17"/>
      <c r="E216" s="17"/>
      <c r="F216" s="17">
        <v>2.5486269999999999E-3</v>
      </c>
      <c r="G216" s="17">
        <v>-1.217093625</v>
      </c>
      <c r="H216" s="17">
        <v>0.22359177599999999</v>
      </c>
      <c r="I216" s="2">
        <v>0.57455807005256199</v>
      </c>
      <c r="J216" s="2">
        <f t="shared" si="2"/>
        <v>5.7455807005256203E-3</v>
      </c>
      <c r="K216" s="2">
        <f t="shared" si="3"/>
        <v>2.8727903502628101E-3</v>
      </c>
    </row>
    <row r="217" spans="1:11" ht="15" x14ac:dyDescent="0.2">
      <c r="A217" s="16" t="s">
        <v>205</v>
      </c>
      <c r="B217" s="16" t="str">
        <f ca="1">IFERROR(__xludf.DUMMYFUNCTION("GOOGLETRANSLATE(SUBSTITUTE(A217,""_"","" ""),""nl"",""en"")"),"PLA End of objective not reached transfer")</f>
        <v>PLA End of objective not reached transfer</v>
      </c>
      <c r="C217" s="17">
        <v>-3.7027000000000002E-3</v>
      </c>
      <c r="D217" s="17">
        <f>ABS(C217)</f>
        <v>3.7027000000000002E-3</v>
      </c>
      <c r="E217" s="17">
        <f>D217/MAX($D$3:$D$317)</f>
        <v>5.729670709896096E-3</v>
      </c>
      <c r="F217" s="17">
        <v>0</v>
      </c>
      <c r="G217" s="17">
        <v>-2.1</v>
      </c>
      <c r="H217" s="17">
        <v>3.5386007999999997E-2</v>
      </c>
      <c r="I217" s="2">
        <v>0</v>
      </c>
      <c r="J217" s="2">
        <f t="shared" si="2"/>
        <v>0</v>
      </c>
      <c r="K217" s="2">
        <f t="shared" si="3"/>
        <v>2.864835354948048E-3</v>
      </c>
    </row>
    <row r="218" spans="1:11" ht="15" hidden="1" x14ac:dyDescent="0.2">
      <c r="A218" s="16" t="s">
        <v>144</v>
      </c>
      <c r="B218" s="16"/>
      <c r="C218" s="17">
        <v>8.5187700000000002E-4</v>
      </c>
      <c r="D218" s="17"/>
      <c r="E218" s="17"/>
      <c r="F218" s="17">
        <v>7.7832300000000004E-4</v>
      </c>
      <c r="G218" s="17">
        <v>1.0945023410000001</v>
      </c>
      <c r="H218" s="17">
        <v>0.273755996</v>
      </c>
      <c r="I218" s="2">
        <v>0.57293929828139201</v>
      </c>
      <c r="J218" s="2">
        <f t="shared" si="2"/>
        <v>5.7293929828139203E-3</v>
      </c>
      <c r="K218" s="2">
        <f t="shared" si="3"/>
        <v>2.8646964914069602E-3</v>
      </c>
    </row>
    <row r="219" spans="1:11" ht="15" hidden="1" x14ac:dyDescent="0.2">
      <c r="A219" s="16" t="s">
        <v>126</v>
      </c>
      <c r="B219" s="16"/>
      <c r="C219" s="17">
        <v>1.490248E-3</v>
      </c>
      <c r="D219" s="17"/>
      <c r="E219" s="17"/>
      <c r="F219" s="17">
        <v>1.081577E-3</v>
      </c>
      <c r="G219" s="17">
        <v>1.3778474249999999</v>
      </c>
      <c r="H219" s="17">
        <v>0.168275282</v>
      </c>
      <c r="I219" s="2">
        <v>0.57244173257123898</v>
      </c>
      <c r="J219" s="2">
        <f t="shared" si="2"/>
        <v>5.7244173257123901E-3</v>
      </c>
      <c r="K219" s="2">
        <f t="shared" si="3"/>
        <v>2.862208662856195E-3</v>
      </c>
    </row>
    <row r="220" spans="1:11" ht="15" hidden="1" x14ac:dyDescent="0.2">
      <c r="A220" s="16" t="s">
        <v>237</v>
      </c>
      <c r="B220" s="16"/>
      <c r="C220" s="17">
        <v>4.33936E-4</v>
      </c>
      <c r="D220" s="17"/>
      <c r="E220" s="17"/>
      <c r="F220" s="17">
        <v>1.9929119999999999E-3</v>
      </c>
      <c r="G220" s="17">
        <v>0.21773986300000001</v>
      </c>
      <c r="H220" s="17">
        <v>0.82763538800000003</v>
      </c>
      <c r="I220" s="2">
        <v>0.54414988146551602</v>
      </c>
      <c r="J220" s="2">
        <f t="shared" si="2"/>
        <v>5.4414988146551605E-3</v>
      </c>
      <c r="K220" s="2">
        <f t="shared" si="3"/>
        <v>2.7207494073275803E-3</v>
      </c>
    </row>
    <row r="221" spans="1:11" ht="15" hidden="1" x14ac:dyDescent="0.2">
      <c r="A221" s="16" t="s">
        <v>226</v>
      </c>
      <c r="B221" s="16"/>
      <c r="C221" s="17">
        <v>-1.3048440000000001E-3</v>
      </c>
      <c r="D221" s="17"/>
      <c r="E221" s="17"/>
      <c r="F221" s="17">
        <v>2.2931890000000002E-3</v>
      </c>
      <c r="G221" s="17">
        <v>-0.56900850300000005</v>
      </c>
      <c r="H221" s="17">
        <v>0.56936068299999998</v>
      </c>
      <c r="I221" s="2">
        <v>0.54125580155166997</v>
      </c>
      <c r="J221" s="2">
        <f t="shared" si="2"/>
        <v>5.4125580155166995E-3</v>
      </c>
      <c r="K221" s="2">
        <f t="shared" si="3"/>
        <v>2.7062790077583498E-3</v>
      </c>
    </row>
    <row r="222" spans="1:11" ht="15" hidden="1" x14ac:dyDescent="0.2">
      <c r="A222" s="16" t="s">
        <v>113</v>
      </c>
      <c r="B222" s="16"/>
      <c r="C222" s="17">
        <v>2.2698200000000001E-3</v>
      </c>
      <c r="D222" s="17"/>
      <c r="E222" s="17"/>
      <c r="F222" s="17">
        <v>1.855209E-3</v>
      </c>
      <c r="G222" s="17">
        <v>1.223484867</v>
      </c>
      <c r="H222" s="17">
        <v>0.22116988200000001</v>
      </c>
      <c r="I222" s="2">
        <v>0.535187296122829</v>
      </c>
      <c r="J222" s="2">
        <f t="shared" si="2"/>
        <v>5.3518729612282902E-3</v>
      </c>
      <c r="K222" s="2">
        <f t="shared" si="3"/>
        <v>2.6759364806141451E-3</v>
      </c>
    </row>
    <row r="223" spans="1:11" ht="15" x14ac:dyDescent="0.2">
      <c r="A223" s="16" t="s">
        <v>146</v>
      </c>
      <c r="B223" s="16" t="str">
        <f ca="1">IFERROR(__xludf.DUMMYFUNCTION("GOOGLETRANSLATE(SUBSTITUTE(A223,""_"","" ""),""nl"",""en"")"),"Appointment other")</f>
        <v>Appointment other</v>
      </c>
      <c r="C223" s="17">
        <v>-1.5386E-3</v>
      </c>
      <c r="D223" s="17">
        <f>ABS(C223)</f>
        <v>1.5386E-3</v>
      </c>
      <c r="E223" s="17">
        <f>D223/MAX($D$3:$D$317)</f>
        <v>2.3808764831733959E-3</v>
      </c>
      <c r="F223" s="17">
        <v>0</v>
      </c>
      <c r="G223" s="17">
        <v>-2.73</v>
      </c>
      <c r="H223" s="17">
        <v>6.4259720000000003E-3</v>
      </c>
      <c r="I223" s="2">
        <v>0.29516852050957598</v>
      </c>
      <c r="J223" s="2">
        <f t="shared" si="2"/>
        <v>2.9516852050957597E-3</v>
      </c>
      <c r="K223" s="2">
        <f t="shared" si="3"/>
        <v>2.6662808441345778E-3</v>
      </c>
    </row>
    <row r="224" spans="1:11" ht="15" hidden="1" x14ac:dyDescent="0.2">
      <c r="A224" s="16" t="s">
        <v>108</v>
      </c>
      <c r="B224" s="16"/>
      <c r="C224" s="17">
        <v>3.2437999999999998E-4</v>
      </c>
      <c r="D224" s="17"/>
      <c r="E224" s="17"/>
      <c r="F224" s="17">
        <v>3.45242E-4</v>
      </c>
      <c r="G224" s="17">
        <v>0.93957424300000003</v>
      </c>
      <c r="H224" s="17">
        <v>0.34745430799999999</v>
      </c>
      <c r="I224" s="2">
        <v>0.51566881350721105</v>
      </c>
      <c r="J224" s="2">
        <f t="shared" si="2"/>
        <v>5.1566881350721102E-3</v>
      </c>
      <c r="K224" s="2">
        <f t="shared" si="3"/>
        <v>2.5783440675360551E-3</v>
      </c>
    </row>
    <row r="225" spans="1:11" ht="15" hidden="1" x14ac:dyDescent="0.2">
      <c r="A225" s="16" t="s">
        <v>159</v>
      </c>
      <c r="B225" s="16"/>
      <c r="C225" s="17">
        <v>7.7815899999999995E-4</v>
      </c>
      <c r="D225" s="17"/>
      <c r="E225" s="17"/>
      <c r="F225" s="17">
        <v>1.8392149999999999E-3</v>
      </c>
      <c r="G225" s="17">
        <v>0.42309333900000001</v>
      </c>
      <c r="H225" s="17">
        <v>0.67223450399999995</v>
      </c>
      <c r="I225" s="2">
        <v>0.50827353432264399</v>
      </c>
      <c r="J225" s="2">
        <f t="shared" si="2"/>
        <v>5.08273534322644E-3</v>
      </c>
      <c r="K225" s="2">
        <f t="shared" si="3"/>
        <v>2.54136767161322E-3</v>
      </c>
    </row>
    <row r="226" spans="1:11" ht="15" hidden="1" x14ac:dyDescent="0.2">
      <c r="A226" s="16" t="s">
        <v>89</v>
      </c>
      <c r="B226" s="16"/>
      <c r="C226" s="17">
        <v>1.023869E-3</v>
      </c>
      <c r="D226" s="17"/>
      <c r="E226" s="17"/>
      <c r="F226" s="17">
        <v>9.9177000000000011E-4</v>
      </c>
      <c r="G226" s="17">
        <v>1.0323656329999999</v>
      </c>
      <c r="H226" s="17">
        <v>0.30192101399999999</v>
      </c>
      <c r="I226" s="2">
        <v>0.494891127329391</v>
      </c>
      <c r="J226" s="2">
        <f t="shared" si="2"/>
        <v>4.9489112732939104E-3</v>
      </c>
      <c r="K226" s="2">
        <f t="shared" si="3"/>
        <v>2.4744556366469552E-3</v>
      </c>
    </row>
    <row r="227" spans="1:11" ht="15" hidden="1" x14ac:dyDescent="0.2">
      <c r="A227" s="16" t="s">
        <v>230</v>
      </c>
      <c r="B227" s="16"/>
      <c r="C227" s="17">
        <v>-2.6584270000000001E-3</v>
      </c>
      <c r="D227" s="17"/>
      <c r="E227" s="17"/>
      <c r="F227" s="17">
        <v>3.3794039999999999E-3</v>
      </c>
      <c r="G227" s="17">
        <v>-0.786655718</v>
      </c>
      <c r="H227" s="17">
        <v>0.43149847800000002</v>
      </c>
      <c r="I227" s="2">
        <v>0.481296749160181</v>
      </c>
      <c r="J227" s="2">
        <f t="shared" si="2"/>
        <v>4.8129674916018101E-3</v>
      </c>
      <c r="K227" s="2">
        <f t="shared" si="3"/>
        <v>2.406483745800905E-3</v>
      </c>
    </row>
    <row r="228" spans="1:11" ht="15" hidden="1" x14ac:dyDescent="0.2">
      <c r="A228" s="16" t="s">
        <v>143</v>
      </c>
      <c r="B228" s="16"/>
      <c r="C228" s="17">
        <v>7.0356100000000001E-4</v>
      </c>
      <c r="D228" s="17"/>
      <c r="E228" s="17"/>
      <c r="F228" s="17">
        <v>6.2781899999999995E-4</v>
      </c>
      <c r="G228" s="17">
        <v>1.120642873</v>
      </c>
      <c r="H228" s="17">
        <v>0.26246162699999998</v>
      </c>
      <c r="I228" s="2">
        <v>0.48125931181227199</v>
      </c>
      <c r="J228" s="2">
        <f t="shared" si="2"/>
        <v>4.8125931181227204E-3</v>
      </c>
      <c r="K228" s="2">
        <f t="shared" si="3"/>
        <v>2.4062965590613602E-3</v>
      </c>
    </row>
    <row r="229" spans="1:11" ht="15" x14ac:dyDescent="0.2">
      <c r="A229" s="16" t="s">
        <v>283</v>
      </c>
      <c r="B229" s="16" t="str">
        <f ca="1">IFERROR(__xludf.DUMMYFUNCTION("GOOGLETRANSLATE(SUBSTITUTE(A229,""_"","" ""),""nl"",""en"")"),"Contacts Subject Boolean Zorg")</f>
        <v>Contacts Subject Boolean Zorg</v>
      </c>
      <c r="C229" s="17">
        <v>-3.0477E-3</v>
      </c>
      <c r="D229" s="17">
        <f>ABS(C229)</f>
        <v>3.0477E-3</v>
      </c>
      <c r="E229" s="17">
        <f>D229/MAX($D$3:$D$317)</f>
        <v>4.7161037682097746E-3</v>
      </c>
      <c r="F229" s="17">
        <v>0</v>
      </c>
      <c r="G229" s="17">
        <v>-2.08</v>
      </c>
      <c r="H229" s="17">
        <v>3.7600449000000001E-2</v>
      </c>
      <c r="I229" s="2">
        <v>0</v>
      </c>
      <c r="J229" s="2">
        <f t="shared" si="2"/>
        <v>0</v>
      </c>
      <c r="K229" s="2">
        <f t="shared" si="3"/>
        <v>2.3580518841048873E-3</v>
      </c>
    </row>
    <row r="230" spans="1:11" ht="15" hidden="1" x14ac:dyDescent="0.2">
      <c r="A230" s="16" t="s">
        <v>178</v>
      </c>
      <c r="B230" s="16"/>
      <c r="C230" s="17">
        <v>-2.2835600000000001E-4</v>
      </c>
      <c r="D230" s="17"/>
      <c r="E230" s="17"/>
      <c r="F230" s="17">
        <v>1.3088830000000001E-3</v>
      </c>
      <c r="G230" s="17">
        <v>-0.174466445</v>
      </c>
      <c r="H230" s="17">
        <v>0.86150174899999998</v>
      </c>
      <c r="I230" s="2">
        <v>0.47082815527805</v>
      </c>
      <c r="J230" s="2">
        <f t="shared" si="2"/>
        <v>4.7082815527805001E-3</v>
      </c>
      <c r="K230" s="2">
        <f t="shared" si="3"/>
        <v>2.3541407763902501E-3</v>
      </c>
    </row>
    <row r="231" spans="1:11" ht="15" hidden="1" x14ac:dyDescent="0.2">
      <c r="A231" s="16" t="s">
        <v>197</v>
      </c>
      <c r="B231" s="16"/>
      <c r="C231" s="17">
        <v>5.7388700000000003E-4</v>
      </c>
      <c r="D231" s="17"/>
      <c r="E231" s="17"/>
      <c r="F231" s="17">
        <v>1.121721E-3</v>
      </c>
      <c r="G231" s="17">
        <v>0.51161333499999995</v>
      </c>
      <c r="H231" s="17">
        <v>0.60893076800000001</v>
      </c>
      <c r="I231" s="2">
        <v>0.46635917093283702</v>
      </c>
      <c r="J231" s="2">
        <f t="shared" si="2"/>
        <v>4.6635917093283703E-3</v>
      </c>
      <c r="K231" s="2">
        <f t="shared" si="3"/>
        <v>2.3317958546641851E-3</v>
      </c>
    </row>
    <row r="232" spans="1:11" ht="15" hidden="1" x14ac:dyDescent="0.2">
      <c r="A232" s="16" t="s">
        <v>164</v>
      </c>
      <c r="B232" s="16"/>
      <c r="C232" s="17">
        <v>-4.5649319999999998E-3</v>
      </c>
      <c r="D232" s="17"/>
      <c r="E232" s="17"/>
      <c r="F232" s="17">
        <v>2.34564E-3</v>
      </c>
      <c r="G232" s="17">
        <v>-1.946135256</v>
      </c>
      <c r="H232" s="17">
        <v>5.1661070000000003E-2</v>
      </c>
      <c r="I232" s="2">
        <v>0.457083693524511</v>
      </c>
      <c r="J232" s="2">
        <f t="shared" si="2"/>
        <v>4.5708369352451097E-3</v>
      </c>
      <c r="K232" s="2">
        <f t="shared" si="3"/>
        <v>2.2854184676225548E-3</v>
      </c>
    </row>
    <row r="233" spans="1:11" ht="15" hidden="1" x14ac:dyDescent="0.2">
      <c r="A233" s="16" t="s">
        <v>171</v>
      </c>
      <c r="B233" s="16"/>
      <c r="C233" s="17">
        <v>6.8581999999999996E-4</v>
      </c>
      <c r="D233" s="17"/>
      <c r="E233" s="17"/>
      <c r="F233" s="17">
        <v>5.8750499999999999E-4</v>
      </c>
      <c r="G233" s="17">
        <v>1.1673417859999999</v>
      </c>
      <c r="H233" s="17">
        <v>0.24309483300000001</v>
      </c>
      <c r="I233" s="2">
        <v>0.45055795282462302</v>
      </c>
      <c r="J233" s="2">
        <f t="shared" si="2"/>
        <v>4.5055795282462306E-3</v>
      </c>
      <c r="K233" s="2">
        <f t="shared" si="3"/>
        <v>2.2527897641231153E-3</v>
      </c>
    </row>
    <row r="234" spans="1:11" ht="15" hidden="1" x14ac:dyDescent="0.2">
      <c r="A234" s="16" t="s">
        <v>176</v>
      </c>
      <c r="B234" s="16"/>
      <c r="C234" s="17">
        <v>-1.4841699999999999E-3</v>
      </c>
      <c r="D234" s="17"/>
      <c r="E234" s="17"/>
      <c r="F234" s="17">
        <v>1.600406E-3</v>
      </c>
      <c r="G234" s="17">
        <v>-0.92737097800000001</v>
      </c>
      <c r="H234" s="17">
        <v>0.35375201699999997</v>
      </c>
      <c r="I234" s="2">
        <v>0.44444676137350098</v>
      </c>
      <c r="J234" s="2">
        <f t="shared" si="2"/>
        <v>4.4444676137350096E-3</v>
      </c>
      <c r="K234" s="2">
        <f t="shared" si="3"/>
        <v>2.2222338068675048E-3</v>
      </c>
    </row>
    <row r="235" spans="1:11" ht="15" hidden="1" x14ac:dyDescent="0.2">
      <c r="A235" s="16" t="s">
        <v>299</v>
      </c>
      <c r="B235" s="16"/>
      <c r="C235" s="17">
        <v>1.0911600000000001E-3</v>
      </c>
      <c r="D235" s="17"/>
      <c r="E235" s="17"/>
      <c r="F235" s="17">
        <v>4.0792470000000003E-3</v>
      </c>
      <c r="G235" s="17">
        <v>0.26749065799999999</v>
      </c>
      <c r="H235" s="17">
        <v>0.78909585800000004</v>
      </c>
      <c r="I235" s="2">
        <v>0.436337455050888</v>
      </c>
      <c r="J235" s="2">
        <f t="shared" si="2"/>
        <v>4.3633745505088804E-3</v>
      </c>
      <c r="K235" s="2">
        <f t="shared" si="3"/>
        <v>2.1816872752544402E-3</v>
      </c>
    </row>
    <row r="236" spans="1:11" ht="15" hidden="1" x14ac:dyDescent="0.2">
      <c r="A236" s="16" t="s">
        <v>193</v>
      </c>
      <c r="B236" s="16"/>
      <c r="C236" s="17">
        <v>2.8487100000000002E-4</v>
      </c>
      <c r="D236" s="17"/>
      <c r="E236" s="17"/>
      <c r="F236" s="17">
        <v>1.776943E-3</v>
      </c>
      <c r="G236" s="17">
        <v>0.16031490700000001</v>
      </c>
      <c r="H236" s="17">
        <v>0.87263563</v>
      </c>
      <c r="I236" s="2">
        <v>0.42170485245170303</v>
      </c>
      <c r="J236" s="2">
        <f t="shared" si="2"/>
        <v>4.2170485245170307E-3</v>
      </c>
      <c r="K236" s="2">
        <f t="shared" si="3"/>
        <v>2.1085242622585153E-3</v>
      </c>
    </row>
    <row r="237" spans="1:11" ht="15" hidden="1" x14ac:dyDescent="0.2">
      <c r="A237" s="16" t="s">
        <v>104</v>
      </c>
      <c r="B237" s="16"/>
      <c r="C237" s="17">
        <v>-1.4455850000000001E-3</v>
      </c>
      <c r="D237" s="17"/>
      <c r="E237" s="17"/>
      <c r="F237" s="17">
        <v>1.169198E-3</v>
      </c>
      <c r="G237" s="17">
        <v>-1.2363903300000001</v>
      </c>
      <c r="H237" s="17">
        <v>0.216336944</v>
      </c>
      <c r="I237" s="2">
        <v>0.410628086467904</v>
      </c>
      <c r="J237" s="2">
        <f t="shared" si="2"/>
        <v>4.1062808646790397E-3</v>
      </c>
      <c r="K237" s="2">
        <f t="shared" si="3"/>
        <v>2.0531404323395198E-3</v>
      </c>
    </row>
    <row r="238" spans="1:11" ht="15" hidden="1" x14ac:dyDescent="0.2">
      <c r="A238" s="16" t="s">
        <v>162</v>
      </c>
      <c r="B238" s="16"/>
      <c r="C238" s="17">
        <v>-3.651156E-3</v>
      </c>
      <c r="D238" s="17"/>
      <c r="E238" s="17"/>
      <c r="F238" s="17">
        <v>2.2083570000000002E-3</v>
      </c>
      <c r="G238" s="17">
        <v>-1.6533355199999999</v>
      </c>
      <c r="H238" s="17">
        <v>9.8287929999999996E-2</v>
      </c>
      <c r="I238" s="2">
        <v>0.38759728615717998</v>
      </c>
      <c r="J238" s="2">
        <f t="shared" si="2"/>
        <v>3.8759728615717997E-3</v>
      </c>
      <c r="K238" s="2">
        <f t="shared" si="3"/>
        <v>1.9379864307858998E-3</v>
      </c>
    </row>
    <row r="239" spans="1:11" ht="15" hidden="1" x14ac:dyDescent="0.2">
      <c r="A239" s="16" t="s">
        <v>116</v>
      </c>
      <c r="B239" s="16"/>
      <c r="C239" s="17">
        <v>-3.6404499999999999E-3</v>
      </c>
      <c r="D239" s="17"/>
      <c r="E239" s="17"/>
      <c r="F239" s="17">
        <v>4.2977019999999996E-3</v>
      </c>
      <c r="G239" s="17">
        <v>-0.84706899700000005</v>
      </c>
      <c r="H239" s="17">
        <v>0.39697302400000001</v>
      </c>
      <c r="I239" s="2">
        <v>0.37396231669442798</v>
      </c>
      <c r="J239" s="2">
        <f t="shared" si="2"/>
        <v>3.7396231669442797E-3</v>
      </c>
      <c r="K239" s="2">
        <f t="shared" si="3"/>
        <v>1.8698115834721398E-3</v>
      </c>
    </row>
    <row r="240" spans="1:11" ht="15" hidden="1" x14ac:dyDescent="0.2">
      <c r="A240" s="16" t="s">
        <v>231</v>
      </c>
      <c r="B240" s="16"/>
      <c r="C240" s="17">
        <v>-1.626995E-3</v>
      </c>
      <c r="D240" s="17"/>
      <c r="E240" s="17"/>
      <c r="F240" s="17">
        <v>1.2228009999999999E-3</v>
      </c>
      <c r="G240" s="17">
        <v>-1.3305471659999999</v>
      </c>
      <c r="H240" s="17">
        <v>0.18336254199999999</v>
      </c>
      <c r="I240" s="2">
        <v>0.35638768299728402</v>
      </c>
      <c r="J240" s="2">
        <f t="shared" si="2"/>
        <v>3.5638768299728401E-3</v>
      </c>
      <c r="K240" s="2">
        <f t="shared" si="3"/>
        <v>1.7819384149864201E-3</v>
      </c>
    </row>
    <row r="241" spans="1:11" ht="15" hidden="1" x14ac:dyDescent="0.2">
      <c r="A241" s="16" t="s">
        <v>88</v>
      </c>
      <c r="B241" s="16"/>
      <c r="C241" s="17">
        <v>-9.8029600000000008E-4</v>
      </c>
      <c r="D241" s="17"/>
      <c r="E241" s="17"/>
      <c r="F241" s="17">
        <v>9.4040699999999998E-4</v>
      </c>
      <c r="G241" s="17">
        <v>-1.0424172709999999</v>
      </c>
      <c r="H241" s="17">
        <v>0.29723860000000002</v>
      </c>
      <c r="I241" s="2">
        <v>0.35213907169493203</v>
      </c>
      <c r="J241" s="2">
        <f t="shared" si="2"/>
        <v>3.5213907169493203E-3</v>
      </c>
      <c r="K241" s="2">
        <f t="shared" si="3"/>
        <v>1.7606953584746602E-3</v>
      </c>
    </row>
    <row r="242" spans="1:11" ht="15" hidden="1" x14ac:dyDescent="0.2">
      <c r="A242" s="16" t="s">
        <v>214</v>
      </c>
      <c r="B242" s="16"/>
      <c r="C242" s="17">
        <v>-4.87677E-4</v>
      </c>
      <c r="D242" s="17"/>
      <c r="E242" s="17"/>
      <c r="F242" s="17">
        <v>8.0336899999999996E-4</v>
      </c>
      <c r="G242" s="17">
        <v>-0.60703915900000005</v>
      </c>
      <c r="H242" s="17">
        <v>0.54383604699999999</v>
      </c>
      <c r="I242" s="2">
        <v>0.34878408453780302</v>
      </c>
      <c r="J242" s="2">
        <f t="shared" si="2"/>
        <v>3.48784084537803E-3</v>
      </c>
      <c r="K242" s="2">
        <f t="shared" si="3"/>
        <v>1.743920422689015E-3</v>
      </c>
    </row>
    <row r="243" spans="1:11" ht="15" hidden="1" x14ac:dyDescent="0.2">
      <c r="A243" s="16" t="s">
        <v>204</v>
      </c>
      <c r="B243" s="16"/>
      <c r="C243" s="17">
        <v>-1.505316E-3</v>
      </c>
      <c r="D243" s="17"/>
      <c r="E243" s="17"/>
      <c r="F243" s="17">
        <v>1.5808650000000001E-3</v>
      </c>
      <c r="G243" s="17">
        <v>-0.95221014199999998</v>
      </c>
      <c r="H243" s="17">
        <v>0.34100899200000001</v>
      </c>
      <c r="I243" s="2">
        <v>0.33385140983534201</v>
      </c>
      <c r="J243" s="2">
        <f t="shared" si="2"/>
        <v>3.3385140983534199E-3</v>
      </c>
      <c r="K243" s="2">
        <f t="shared" si="3"/>
        <v>1.66925704917671E-3</v>
      </c>
    </row>
    <row r="244" spans="1:11" ht="15" hidden="1" x14ac:dyDescent="0.2">
      <c r="A244" s="16" t="s">
        <v>151</v>
      </c>
      <c r="B244" s="16"/>
      <c r="C244" s="17">
        <v>3.8834450000000001E-3</v>
      </c>
      <c r="D244" s="17"/>
      <c r="E244" s="17"/>
      <c r="F244" s="17">
        <v>2.2631690000000002E-3</v>
      </c>
      <c r="G244" s="17">
        <v>1.7159326640000001</v>
      </c>
      <c r="H244" s="17">
        <v>8.6199364000000001E-2</v>
      </c>
      <c r="I244" s="2">
        <v>0.30899016437940402</v>
      </c>
      <c r="J244" s="2">
        <f t="shared" si="2"/>
        <v>3.0899016437940401E-3</v>
      </c>
      <c r="K244" s="2">
        <f t="shared" si="3"/>
        <v>1.5449508218970201E-3</v>
      </c>
    </row>
    <row r="245" spans="1:11" ht="15" hidden="1" x14ac:dyDescent="0.2">
      <c r="A245" s="16" t="s">
        <v>296</v>
      </c>
      <c r="B245" s="16"/>
      <c r="C245" s="17">
        <v>2.2609549999999998E-3</v>
      </c>
      <c r="D245" s="17"/>
      <c r="E245" s="17"/>
      <c r="F245" s="17">
        <v>3.61401E-3</v>
      </c>
      <c r="G245" s="17">
        <v>0.62560845200000004</v>
      </c>
      <c r="H245" s="17">
        <v>0.531583315</v>
      </c>
      <c r="I245" s="2">
        <v>0.30697607485698902</v>
      </c>
      <c r="J245" s="2">
        <f t="shared" si="2"/>
        <v>3.06976074856989E-3</v>
      </c>
      <c r="K245" s="2">
        <f t="shared" si="3"/>
        <v>1.534880374284945E-3</v>
      </c>
    </row>
    <row r="246" spans="1:11" ht="15" hidden="1" x14ac:dyDescent="0.2">
      <c r="A246" s="16" t="s">
        <v>122</v>
      </c>
      <c r="B246" s="16"/>
      <c r="C246" s="17">
        <v>6.7217709999999996E-3</v>
      </c>
      <c r="D246" s="17"/>
      <c r="E246" s="17"/>
      <c r="F246" s="17">
        <v>4.2113389999999997E-3</v>
      </c>
      <c r="G246" s="17">
        <v>1.596112602</v>
      </c>
      <c r="H246" s="17">
        <v>0.110489157</v>
      </c>
      <c r="I246" s="2">
        <v>0.30305006419823399</v>
      </c>
      <c r="J246" s="2">
        <f t="shared" si="2"/>
        <v>3.0305006419823399E-3</v>
      </c>
      <c r="K246" s="2">
        <f t="shared" si="3"/>
        <v>1.5152503209911699E-3</v>
      </c>
    </row>
    <row r="247" spans="1:11" ht="15" hidden="1" x14ac:dyDescent="0.2">
      <c r="A247" s="16" t="s">
        <v>148</v>
      </c>
      <c r="B247" s="16"/>
      <c r="C247" s="17">
        <v>-5.9400100000000003E-4</v>
      </c>
      <c r="D247" s="17"/>
      <c r="E247" s="17"/>
      <c r="F247" s="17">
        <v>1.7627369999999999E-3</v>
      </c>
      <c r="G247" s="17">
        <v>-0.33697624799999998</v>
      </c>
      <c r="H247" s="17">
        <v>0.73614051300000005</v>
      </c>
      <c r="I247" s="2">
        <v>0.29783935556595298</v>
      </c>
      <c r="J247" s="2">
        <f t="shared" si="2"/>
        <v>2.9783935556595299E-3</v>
      </c>
      <c r="K247" s="2">
        <f t="shared" si="3"/>
        <v>1.4891967778297649E-3</v>
      </c>
    </row>
    <row r="248" spans="1:11" ht="15" hidden="1" x14ac:dyDescent="0.2">
      <c r="A248" s="16" t="s">
        <v>289</v>
      </c>
      <c r="B248" s="16"/>
      <c r="C248" s="17">
        <v>4.3548579999999996E-3</v>
      </c>
      <c r="D248" s="17"/>
      <c r="E248" s="17"/>
      <c r="F248" s="17">
        <v>2.2830760000000002E-3</v>
      </c>
      <c r="G248" s="17">
        <v>1.9074520500000001</v>
      </c>
      <c r="H248" s="17">
        <v>5.6485171000000001E-2</v>
      </c>
      <c r="I248" s="2">
        <v>0.28479989281416102</v>
      </c>
      <c r="J248" s="2">
        <f t="shared" si="2"/>
        <v>2.84799892814161E-3</v>
      </c>
      <c r="K248" s="2">
        <f t="shared" si="3"/>
        <v>1.423999464070805E-3</v>
      </c>
    </row>
    <row r="249" spans="1:11" ht="15" hidden="1" x14ac:dyDescent="0.2">
      <c r="A249" s="16" t="s">
        <v>249</v>
      </c>
      <c r="B249" s="16"/>
      <c r="C249" s="17">
        <v>-6.339506E-3</v>
      </c>
      <c r="D249" s="17"/>
      <c r="E249" s="17"/>
      <c r="F249" s="17">
        <v>4.2766030000000003E-3</v>
      </c>
      <c r="G249" s="17">
        <v>-1.482369498</v>
      </c>
      <c r="H249" s="17">
        <v>0.13826743599999999</v>
      </c>
      <c r="I249" s="2">
        <v>0.281590185450663</v>
      </c>
      <c r="J249" s="2">
        <f t="shared" si="2"/>
        <v>2.8159018545066299E-3</v>
      </c>
      <c r="K249" s="2">
        <f t="shared" si="3"/>
        <v>1.407950927253315E-3</v>
      </c>
    </row>
    <row r="250" spans="1:11" ht="15" hidden="1" x14ac:dyDescent="0.2">
      <c r="A250" s="16" t="s">
        <v>932</v>
      </c>
      <c r="B250" s="16"/>
      <c r="C250" s="17">
        <v>-1.012048E-3</v>
      </c>
      <c r="D250" s="17"/>
      <c r="E250" s="17"/>
      <c r="F250" s="17">
        <v>1.2894460000000001E-3</v>
      </c>
      <c r="G250" s="17">
        <v>-0.78486991699999997</v>
      </c>
      <c r="H250" s="17">
        <v>0.43254484700000001</v>
      </c>
      <c r="I250" s="2">
        <v>0.27824879557949</v>
      </c>
      <c r="J250" s="2">
        <f t="shared" si="2"/>
        <v>2.7824879557949E-3</v>
      </c>
      <c r="K250" s="2">
        <f t="shared" si="3"/>
        <v>1.39124397789745E-3</v>
      </c>
    </row>
    <row r="251" spans="1:11" ht="15" hidden="1" x14ac:dyDescent="0.2">
      <c r="A251" s="16" t="s">
        <v>240</v>
      </c>
      <c r="B251" s="16"/>
      <c r="C251" s="17">
        <v>-2.1919259999999999E-3</v>
      </c>
      <c r="D251" s="17"/>
      <c r="E251" s="17"/>
      <c r="F251" s="17">
        <v>1.79021E-3</v>
      </c>
      <c r="G251" s="17">
        <v>-1.224396515</v>
      </c>
      <c r="H251" s="17">
        <v>0.22082596099999999</v>
      </c>
      <c r="I251" s="2">
        <v>0.27225200031819702</v>
      </c>
      <c r="J251" s="2">
        <f t="shared" si="2"/>
        <v>2.7225200031819703E-3</v>
      </c>
      <c r="K251" s="2">
        <f t="shared" si="3"/>
        <v>1.3612600015909851E-3</v>
      </c>
    </row>
    <row r="252" spans="1:11" ht="15" hidden="1" x14ac:dyDescent="0.2">
      <c r="A252" s="16" t="s">
        <v>192</v>
      </c>
      <c r="B252" s="16"/>
      <c r="C252" s="17">
        <v>1.395451E-3</v>
      </c>
      <c r="D252" s="17"/>
      <c r="E252" s="17"/>
      <c r="F252" s="17">
        <v>2.0137670000000001E-3</v>
      </c>
      <c r="G252" s="17">
        <v>0.69295568100000005</v>
      </c>
      <c r="H252" s="17">
        <v>0.48835035199999999</v>
      </c>
      <c r="I252" s="2">
        <v>0.26128402648278798</v>
      </c>
      <c r="J252" s="2">
        <f t="shared" si="2"/>
        <v>2.6128402648278796E-3</v>
      </c>
      <c r="K252" s="2">
        <f t="shared" si="3"/>
        <v>1.3064201324139398E-3</v>
      </c>
    </row>
    <row r="253" spans="1:11" ht="15" hidden="1" x14ac:dyDescent="0.2">
      <c r="A253" s="16" t="s">
        <v>137</v>
      </c>
      <c r="B253" s="16"/>
      <c r="C253" s="17">
        <v>-7.9564299999999996E-4</v>
      </c>
      <c r="D253" s="17"/>
      <c r="E253" s="17"/>
      <c r="F253" s="17">
        <v>1.182408E-3</v>
      </c>
      <c r="G253" s="17">
        <v>-0.67290110199999997</v>
      </c>
      <c r="H253" s="17">
        <v>0.50102276000000001</v>
      </c>
      <c r="I253" s="2">
        <v>0.24607005939697099</v>
      </c>
      <c r="J253" s="2">
        <f t="shared" si="2"/>
        <v>2.4607005939697099E-3</v>
      </c>
      <c r="K253" s="2">
        <f t="shared" si="3"/>
        <v>1.230350296984855E-3</v>
      </c>
    </row>
    <row r="254" spans="1:11" ht="15" hidden="1" x14ac:dyDescent="0.2">
      <c r="A254" s="16" t="s">
        <v>246</v>
      </c>
      <c r="B254" s="16"/>
      <c r="C254" s="17">
        <v>1.4779859999999999E-3</v>
      </c>
      <c r="D254" s="17"/>
      <c r="E254" s="17"/>
      <c r="F254" s="17">
        <v>2.6688879999999999E-3</v>
      </c>
      <c r="G254" s="17">
        <v>0.55378340699999995</v>
      </c>
      <c r="H254" s="17">
        <v>0.57974000000000003</v>
      </c>
      <c r="I254" s="2">
        <v>0.209640577527266</v>
      </c>
      <c r="J254" s="2">
        <f t="shared" si="2"/>
        <v>2.0964057752726598E-3</v>
      </c>
      <c r="K254" s="2">
        <f t="shared" si="3"/>
        <v>1.0482028876363299E-3</v>
      </c>
    </row>
    <row r="255" spans="1:11" ht="15" hidden="1" x14ac:dyDescent="0.2">
      <c r="A255" s="16" t="s">
        <v>291</v>
      </c>
      <c r="B255" s="16"/>
      <c r="C255" s="17">
        <v>7.3544500000000004E-4</v>
      </c>
      <c r="D255" s="17"/>
      <c r="E255" s="17"/>
      <c r="F255" s="17">
        <v>3.2914060000000002E-3</v>
      </c>
      <c r="G255" s="17">
        <v>0.223444008</v>
      </c>
      <c r="H255" s="17">
        <v>0.82319363999999995</v>
      </c>
      <c r="I255" s="2">
        <v>0.20302323288249699</v>
      </c>
      <c r="J255" s="2">
        <f t="shared" si="2"/>
        <v>2.0302323288249697E-3</v>
      </c>
      <c r="K255" s="2">
        <f t="shared" si="3"/>
        <v>1.0151161644124849E-3</v>
      </c>
    </row>
    <row r="256" spans="1:11" ht="15" hidden="1" x14ac:dyDescent="0.2">
      <c r="A256" s="16" t="s">
        <v>222</v>
      </c>
      <c r="B256" s="16"/>
      <c r="C256" s="17">
        <v>-4.4223400000000001E-4</v>
      </c>
      <c r="D256" s="17"/>
      <c r="E256" s="17"/>
      <c r="F256" s="17">
        <v>1.9456160000000001E-3</v>
      </c>
      <c r="G256" s="17">
        <v>-0.22729767200000001</v>
      </c>
      <c r="H256" s="17">
        <v>0.82019603299999999</v>
      </c>
      <c r="I256" s="2">
        <v>0.20026033383703901</v>
      </c>
      <c r="J256" s="2">
        <f t="shared" si="2"/>
        <v>2.0026033383703902E-3</v>
      </c>
      <c r="K256" s="2">
        <f t="shared" si="3"/>
        <v>1.0013016691851951E-3</v>
      </c>
    </row>
    <row r="257" spans="1:11" ht="15" hidden="1" x14ac:dyDescent="0.2">
      <c r="A257" s="16" t="s">
        <v>123</v>
      </c>
      <c r="B257" s="16"/>
      <c r="C257" s="17">
        <v>-1.2791219999999999E-3</v>
      </c>
      <c r="D257" s="17"/>
      <c r="E257" s="17"/>
      <c r="F257" s="17">
        <v>9.0319499999999997E-4</v>
      </c>
      <c r="G257" s="17">
        <v>-1.4162193679999999</v>
      </c>
      <c r="H257" s="17">
        <v>0.15673642400000001</v>
      </c>
      <c r="I257" s="2">
        <v>0.19668557648600399</v>
      </c>
      <c r="J257" s="2">
        <f t="shared" ref="J257:J316" si="66">I257/MAX($I$2:$I$316)</f>
        <v>1.9668557648600399E-3</v>
      </c>
      <c r="K257" s="2">
        <f t="shared" ref="K257:K316" si="67">(E257+J257)/2</f>
        <v>9.8342788243001994E-4</v>
      </c>
    </row>
    <row r="258" spans="1:11" ht="15" hidden="1" x14ac:dyDescent="0.2">
      <c r="A258" s="16" t="s">
        <v>187</v>
      </c>
      <c r="B258" s="16"/>
      <c r="C258" s="17">
        <v>-3.0663230000000001E-3</v>
      </c>
      <c r="D258" s="17"/>
      <c r="E258" s="17"/>
      <c r="F258" s="17">
        <v>3.1732489999999999E-3</v>
      </c>
      <c r="G258" s="17">
        <v>-0.96630386800000001</v>
      </c>
      <c r="H258" s="17">
        <v>0.33391101000000001</v>
      </c>
      <c r="I258" s="2">
        <v>0.183548795931814</v>
      </c>
      <c r="J258" s="2">
        <f t="shared" si="66"/>
        <v>1.8354879593181399E-3</v>
      </c>
      <c r="K258" s="2">
        <f t="shared" si="67"/>
        <v>9.1774397965906996E-4</v>
      </c>
    </row>
    <row r="259" spans="1:11" ht="15" hidden="1" x14ac:dyDescent="0.2">
      <c r="A259" s="16" t="s">
        <v>194</v>
      </c>
      <c r="B259" s="16"/>
      <c r="C259" s="17">
        <v>5.663693E-3</v>
      </c>
      <c r="D259" s="17"/>
      <c r="E259" s="17"/>
      <c r="F259" s="17">
        <v>3.4314580000000001E-3</v>
      </c>
      <c r="G259" s="17">
        <v>1.6505211630000001</v>
      </c>
      <c r="H259" s="17">
        <v>9.8861731999999994E-2</v>
      </c>
      <c r="I259" s="2">
        <v>0.17860946536809699</v>
      </c>
      <c r="J259" s="2">
        <f t="shared" si="66"/>
        <v>1.7860946536809698E-3</v>
      </c>
      <c r="K259" s="2">
        <f t="shared" si="67"/>
        <v>8.9304732684048491E-4</v>
      </c>
    </row>
    <row r="260" spans="1:11" ht="15" hidden="1" x14ac:dyDescent="0.2">
      <c r="A260" s="16" t="s">
        <v>257</v>
      </c>
      <c r="B260" s="16"/>
      <c r="C260" s="18">
        <v>6.3600000000000001E-5</v>
      </c>
      <c r="D260" s="18"/>
      <c r="E260" s="17"/>
      <c r="F260" s="17">
        <v>2.8957829999999999E-3</v>
      </c>
      <c r="G260" s="17">
        <v>2.1957186E-2</v>
      </c>
      <c r="H260" s="17">
        <v>0.98248000000000002</v>
      </c>
      <c r="I260" s="2">
        <v>0.17636332316680201</v>
      </c>
      <c r="J260" s="2">
        <f t="shared" si="66"/>
        <v>1.76363323166802E-3</v>
      </c>
      <c r="K260" s="2">
        <f t="shared" si="67"/>
        <v>8.8181661583400998E-4</v>
      </c>
    </row>
    <row r="261" spans="1:11" ht="15" hidden="1" x14ac:dyDescent="0.2">
      <c r="A261" s="16" t="s">
        <v>288</v>
      </c>
      <c r="B261" s="16"/>
      <c r="C261" s="17">
        <v>-1.0563899999999999E-3</v>
      </c>
      <c r="D261" s="17"/>
      <c r="E261" s="17"/>
      <c r="F261" s="17">
        <v>2.1405040000000001E-3</v>
      </c>
      <c r="G261" s="17">
        <v>-0.493524193</v>
      </c>
      <c r="H261" s="17">
        <v>0.62165099700000004</v>
      </c>
      <c r="I261" s="2">
        <v>0.17404842281793101</v>
      </c>
      <c r="J261" s="2">
        <f t="shared" si="66"/>
        <v>1.7404842281793101E-3</v>
      </c>
      <c r="K261" s="2">
        <f t="shared" si="67"/>
        <v>8.7024211408965506E-4</v>
      </c>
    </row>
    <row r="262" spans="1:11" ht="15" hidden="1" x14ac:dyDescent="0.2">
      <c r="A262" s="16" t="s">
        <v>227</v>
      </c>
      <c r="B262" s="16"/>
      <c r="C262" s="17">
        <v>-4.9763539999999997E-3</v>
      </c>
      <c r="D262" s="17"/>
      <c r="E262" s="17"/>
      <c r="F262" s="17">
        <v>3.261889E-3</v>
      </c>
      <c r="G262" s="17">
        <v>-1.5256049439999999</v>
      </c>
      <c r="H262" s="17">
        <v>0.12712999999999999</v>
      </c>
      <c r="I262" s="2">
        <v>0.172962976010446</v>
      </c>
      <c r="J262" s="2">
        <f t="shared" si="66"/>
        <v>1.7296297601044599E-3</v>
      </c>
      <c r="K262" s="2">
        <f t="shared" si="67"/>
        <v>8.6481488005222997E-4</v>
      </c>
    </row>
    <row r="263" spans="1:11" ht="15" hidden="1" x14ac:dyDescent="0.2">
      <c r="A263" s="16" t="s">
        <v>188</v>
      </c>
      <c r="B263" s="16"/>
      <c r="C263" s="17">
        <v>2.3415099999999999E-4</v>
      </c>
      <c r="D263" s="17"/>
      <c r="E263" s="17"/>
      <c r="F263" s="17">
        <v>1.458165E-3</v>
      </c>
      <c r="G263" s="17">
        <v>0.16057908600000001</v>
      </c>
      <c r="H263" s="17">
        <v>0.87242754499999997</v>
      </c>
      <c r="I263" s="2">
        <v>0.16449137903147901</v>
      </c>
      <c r="J263" s="2">
        <f t="shared" si="66"/>
        <v>1.64491379031479E-3</v>
      </c>
      <c r="K263" s="2">
        <f t="shared" si="67"/>
        <v>8.2245689515739499E-4</v>
      </c>
    </row>
    <row r="264" spans="1:11" ht="15" hidden="1" x14ac:dyDescent="0.2">
      <c r="A264" s="16" t="s">
        <v>247</v>
      </c>
      <c r="B264" s="16"/>
      <c r="C264" s="17">
        <v>5.2987800000000003E-3</v>
      </c>
      <c r="D264" s="17"/>
      <c r="E264" s="17"/>
      <c r="F264" s="17">
        <v>2.7517959999999999E-3</v>
      </c>
      <c r="G264" s="17">
        <v>1.9255717919999999</v>
      </c>
      <c r="H264" s="17">
        <v>5.4180721000000001E-2</v>
      </c>
      <c r="I264" s="2">
        <v>0.16136326971987</v>
      </c>
      <c r="J264" s="2">
        <f t="shared" si="66"/>
        <v>1.6136326971987001E-3</v>
      </c>
      <c r="K264" s="2">
        <f t="shared" si="67"/>
        <v>8.0681634859935004E-4</v>
      </c>
    </row>
    <row r="265" spans="1:11" ht="15" hidden="1" x14ac:dyDescent="0.2">
      <c r="A265" s="16" t="s">
        <v>300</v>
      </c>
      <c r="B265" s="16"/>
      <c r="C265" s="17">
        <v>2.0618519999999999E-3</v>
      </c>
      <c r="D265" s="17"/>
      <c r="E265" s="17"/>
      <c r="F265" s="17">
        <v>2.128062E-3</v>
      </c>
      <c r="G265" s="17">
        <v>0.96888705200000003</v>
      </c>
      <c r="H265" s="17">
        <v>0.33262045699999998</v>
      </c>
      <c r="I265" s="2">
        <v>0.15305296518359199</v>
      </c>
      <c r="J265" s="2">
        <f t="shared" si="66"/>
        <v>1.53052965183592E-3</v>
      </c>
      <c r="K265" s="2">
        <f t="shared" si="67"/>
        <v>7.6526482591795998E-4</v>
      </c>
    </row>
    <row r="266" spans="1:11" ht="15" hidden="1" x14ac:dyDescent="0.2">
      <c r="A266" s="16" t="s">
        <v>190</v>
      </c>
      <c r="B266" s="16"/>
      <c r="C266" s="17">
        <v>1.70841E-4</v>
      </c>
      <c r="D266" s="17"/>
      <c r="E266" s="17"/>
      <c r="F266" s="17">
        <v>2.1764509999999998E-3</v>
      </c>
      <c r="G266" s="17">
        <v>7.8495016000000001E-2</v>
      </c>
      <c r="H266" s="17">
        <v>0.937435562</v>
      </c>
      <c r="I266" s="2">
        <v>0.141302823297283</v>
      </c>
      <c r="J266" s="2">
        <f t="shared" si="66"/>
        <v>1.41302823297283E-3</v>
      </c>
      <c r="K266" s="2">
        <f t="shared" si="67"/>
        <v>7.0651411648641502E-4</v>
      </c>
    </row>
    <row r="267" spans="1:11" ht="15" hidden="1" x14ac:dyDescent="0.2">
      <c r="A267" s="16" t="s">
        <v>225</v>
      </c>
      <c r="B267" s="16"/>
      <c r="C267" s="17">
        <v>-1.4161029999999999E-3</v>
      </c>
      <c r="D267" s="17"/>
      <c r="E267" s="17"/>
      <c r="F267" s="17">
        <v>1.9687720000000001E-3</v>
      </c>
      <c r="G267" s="17">
        <v>-0.71928235799999996</v>
      </c>
      <c r="H267" s="17">
        <v>0.47198052800000001</v>
      </c>
      <c r="I267" s="2">
        <v>0.134874390943897</v>
      </c>
      <c r="J267" s="2">
        <f t="shared" si="66"/>
        <v>1.34874390943897E-3</v>
      </c>
      <c r="K267" s="2">
        <f t="shared" si="67"/>
        <v>6.74371954719485E-4</v>
      </c>
    </row>
    <row r="268" spans="1:11" ht="15" hidden="1" x14ac:dyDescent="0.2">
      <c r="A268" s="16" t="s">
        <v>295</v>
      </c>
      <c r="B268" s="16"/>
      <c r="C268" s="17">
        <v>4.1910599999999998E-4</v>
      </c>
      <c r="D268" s="17"/>
      <c r="E268" s="17"/>
      <c r="F268" s="17">
        <v>1.8869830000000001E-3</v>
      </c>
      <c r="G268" s="17">
        <v>0.22210379399999999</v>
      </c>
      <c r="H268" s="17">
        <v>0.82423674499999999</v>
      </c>
      <c r="I268" s="2">
        <v>0.121273338079672</v>
      </c>
      <c r="J268" s="2">
        <f t="shared" si="66"/>
        <v>1.21273338079672E-3</v>
      </c>
      <c r="K268" s="2">
        <f t="shared" si="67"/>
        <v>6.0636669039836001E-4</v>
      </c>
    </row>
    <row r="269" spans="1:11" ht="15" hidden="1" x14ac:dyDescent="0.2">
      <c r="A269" s="16" t="s">
        <v>181</v>
      </c>
      <c r="B269" s="16"/>
      <c r="C269" s="17">
        <v>1.5659809999999999E-3</v>
      </c>
      <c r="D269" s="17"/>
      <c r="E269" s="17"/>
      <c r="F269" s="17">
        <v>2.3143209999999998E-3</v>
      </c>
      <c r="G269" s="17">
        <v>0.67664838100000002</v>
      </c>
      <c r="H269" s="17">
        <v>0.49864170499999999</v>
      </c>
      <c r="I269" s="2">
        <v>0.10923264448238799</v>
      </c>
      <c r="J269" s="2">
        <f t="shared" si="66"/>
        <v>1.09232644482388E-3</v>
      </c>
      <c r="K269" s="2">
        <f t="shared" si="67"/>
        <v>5.4616322241194E-4</v>
      </c>
    </row>
    <row r="270" spans="1:11" ht="15" hidden="1" x14ac:dyDescent="0.2">
      <c r="A270" s="16" t="s">
        <v>200</v>
      </c>
      <c r="B270" s="16"/>
      <c r="C270" s="17">
        <v>8.3964200000000004E-4</v>
      </c>
      <c r="D270" s="17"/>
      <c r="E270" s="17"/>
      <c r="F270" s="17">
        <v>1.5532409999999999E-3</v>
      </c>
      <c r="G270" s="17">
        <v>0.54057395799999997</v>
      </c>
      <c r="H270" s="17">
        <v>0.58881098799999998</v>
      </c>
      <c r="I270" s="2">
        <v>0.10825707532083401</v>
      </c>
      <c r="J270" s="2">
        <f t="shared" si="66"/>
        <v>1.08257075320834E-3</v>
      </c>
      <c r="K270" s="2">
        <f t="shared" si="67"/>
        <v>5.4128537660417001E-4</v>
      </c>
    </row>
    <row r="271" spans="1:11" ht="15" hidden="1" x14ac:dyDescent="0.2">
      <c r="A271" s="16" t="s">
        <v>207</v>
      </c>
      <c r="B271" s="16"/>
      <c r="C271" s="17">
        <v>-2.1994969999999999E-3</v>
      </c>
      <c r="D271" s="17"/>
      <c r="E271" s="17"/>
      <c r="F271" s="17">
        <v>2.3417239999999999E-3</v>
      </c>
      <c r="G271" s="17">
        <v>-0.93926394199999996</v>
      </c>
      <c r="H271" s="17">
        <v>0.34761355500000002</v>
      </c>
      <c r="I271" s="2">
        <v>0.10676556902302201</v>
      </c>
      <c r="J271" s="2">
        <f t="shared" si="66"/>
        <v>1.06765569023022E-3</v>
      </c>
      <c r="K271" s="2">
        <f t="shared" si="67"/>
        <v>5.3382784511511001E-4</v>
      </c>
    </row>
    <row r="272" spans="1:11" ht="15" hidden="1" x14ac:dyDescent="0.2">
      <c r="A272" s="16" t="s">
        <v>244</v>
      </c>
      <c r="B272" s="16"/>
      <c r="C272" s="17">
        <v>1.806193E-3</v>
      </c>
      <c r="D272" s="17"/>
      <c r="E272" s="17"/>
      <c r="F272" s="17">
        <v>2.6768149999999999E-3</v>
      </c>
      <c r="G272" s="17">
        <v>0.67475454199999996</v>
      </c>
      <c r="H272" s="17">
        <v>0.49984431499999998</v>
      </c>
      <c r="I272" s="2">
        <v>0.102769682873582</v>
      </c>
      <c r="J272" s="2">
        <f t="shared" si="66"/>
        <v>1.02769682873582E-3</v>
      </c>
      <c r="K272" s="2">
        <f t="shared" si="67"/>
        <v>5.1384841436791001E-4</v>
      </c>
    </row>
    <row r="273" spans="1:11" ht="15" hidden="1" x14ac:dyDescent="0.2">
      <c r="A273" s="16" t="s">
        <v>168</v>
      </c>
      <c r="B273" s="16"/>
      <c r="C273" s="17">
        <v>-3.3346679999999998E-3</v>
      </c>
      <c r="D273" s="17"/>
      <c r="E273" s="17"/>
      <c r="F273" s="17">
        <v>2.3982819999999998E-3</v>
      </c>
      <c r="G273" s="17">
        <v>-1.3904404889999999</v>
      </c>
      <c r="H273" s="17">
        <v>0.164420131</v>
      </c>
      <c r="I273" s="2">
        <v>9.7508434023908797E-2</v>
      </c>
      <c r="J273" s="2">
        <f t="shared" si="66"/>
        <v>9.7508434023908797E-4</v>
      </c>
      <c r="K273" s="2">
        <f t="shared" si="67"/>
        <v>4.8754217011954398E-4</v>
      </c>
    </row>
    <row r="274" spans="1:11" ht="15" hidden="1" x14ac:dyDescent="0.2">
      <c r="A274" s="16" t="s">
        <v>234</v>
      </c>
      <c r="B274" s="16"/>
      <c r="C274" s="17">
        <v>5.23778E-3</v>
      </c>
      <c r="D274" s="17"/>
      <c r="E274" s="17"/>
      <c r="F274" s="17">
        <v>3.025205E-3</v>
      </c>
      <c r="G274" s="17">
        <v>1.7313801129999999</v>
      </c>
      <c r="H274" s="17">
        <v>8.3408882000000004E-2</v>
      </c>
      <c r="I274" s="2">
        <v>9.7258246469993107E-2</v>
      </c>
      <c r="J274" s="2">
        <f t="shared" si="66"/>
        <v>9.7258246469993103E-4</v>
      </c>
      <c r="K274" s="2">
        <f t="shared" si="67"/>
        <v>4.8629123234996552E-4</v>
      </c>
    </row>
    <row r="275" spans="1:11" ht="15" hidden="1" x14ac:dyDescent="0.2">
      <c r="A275" s="16" t="s">
        <v>210</v>
      </c>
      <c r="B275" s="16"/>
      <c r="C275" s="17">
        <v>-2.6125269999999999E-3</v>
      </c>
      <c r="D275" s="17"/>
      <c r="E275" s="17"/>
      <c r="F275" s="17">
        <v>1.489198E-3</v>
      </c>
      <c r="G275" s="17">
        <v>-1.7543183440000001</v>
      </c>
      <c r="H275" s="17">
        <v>7.9400690999999995E-2</v>
      </c>
      <c r="I275" s="2">
        <v>9.4076916263989702E-2</v>
      </c>
      <c r="J275" s="2">
        <f t="shared" si="66"/>
        <v>9.4076916263989704E-4</v>
      </c>
      <c r="K275" s="2">
        <f t="shared" si="67"/>
        <v>4.7038458131994852E-4</v>
      </c>
    </row>
    <row r="276" spans="1:11" ht="15" hidden="1" x14ac:dyDescent="0.2">
      <c r="A276" s="16" t="s">
        <v>235</v>
      </c>
      <c r="B276" s="16"/>
      <c r="C276" s="17">
        <v>-5.2347600000000004E-4</v>
      </c>
      <c r="D276" s="17"/>
      <c r="E276" s="17"/>
      <c r="F276" s="17">
        <v>3.1970670000000001E-3</v>
      </c>
      <c r="G276" s="17">
        <v>-0.16373627700000001</v>
      </c>
      <c r="H276" s="17">
        <v>0.86994142799999996</v>
      </c>
      <c r="I276" s="2">
        <v>8.9770718221529794E-2</v>
      </c>
      <c r="J276" s="2">
        <f t="shared" si="66"/>
        <v>8.9770718221529795E-4</v>
      </c>
      <c r="K276" s="2">
        <f t="shared" si="67"/>
        <v>4.4885359110764897E-4</v>
      </c>
    </row>
    <row r="277" spans="1:11" ht="15" hidden="1" x14ac:dyDescent="0.2">
      <c r="A277" s="16" t="s">
        <v>243</v>
      </c>
      <c r="B277" s="16"/>
      <c r="C277" s="17">
        <v>-1.7143E-4</v>
      </c>
      <c r="D277" s="17"/>
      <c r="E277" s="17"/>
      <c r="F277" s="17">
        <v>2.6456180000000002E-3</v>
      </c>
      <c r="G277" s="17">
        <v>-6.4797840999999995E-2</v>
      </c>
      <c r="H277" s="17">
        <v>0.94833600500000004</v>
      </c>
      <c r="I277" s="2">
        <v>8.94439591693557E-2</v>
      </c>
      <c r="J277" s="2">
        <f t="shared" si="66"/>
        <v>8.9443959169355702E-4</v>
      </c>
      <c r="K277" s="2">
        <f t="shared" si="67"/>
        <v>4.4721979584677851E-4</v>
      </c>
    </row>
    <row r="278" spans="1:11" ht="15" hidden="1" x14ac:dyDescent="0.2">
      <c r="A278" s="16" t="s">
        <v>933</v>
      </c>
      <c r="B278" s="16"/>
      <c r="C278" s="17">
        <v>2.2878080000000001E-3</v>
      </c>
      <c r="D278" s="17"/>
      <c r="E278" s="17"/>
      <c r="F278" s="17">
        <v>1.9370819999999999E-3</v>
      </c>
      <c r="G278" s="17">
        <v>1.181059026</v>
      </c>
      <c r="H278" s="17">
        <v>0.23760194400000001</v>
      </c>
      <c r="I278" s="2">
        <v>8.6735410855510606E-2</v>
      </c>
      <c r="J278" s="2">
        <f t="shared" si="66"/>
        <v>8.6735410855510607E-4</v>
      </c>
      <c r="K278" s="2">
        <f t="shared" si="67"/>
        <v>4.3367705427755303E-4</v>
      </c>
    </row>
    <row r="279" spans="1:11" ht="15" hidden="1" x14ac:dyDescent="0.2">
      <c r="A279" s="16" t="s">
        <v>292</v>
      </c>
      <c r="B279" s="16"/>
      <c r="C279" s="17">
        <v>-1.227052E-3</v>
      </c>
      <c r="D279" s="17"/>
      <c r="E279" s="17"/>
      <c r="F279" s="17">
        <v>2.6953379999999998E-3</v>
      </c>
      <c r="G279" s="17">
        <v>-0.45524966700000002</v>
      </c>
      <c r="H279" s="17">
        <v>0.64893760899999997</v>
      </c>
      <c r="I279" s="2">
        <v>8.4308946930591197E-2</v>
      </c>
      <c r="J279" s="2">
        <f t="shared" si="66"/>
        <v>8.4308946930591194E-4</v>
      </c>
      <c r="K279" s="2">
        <f t="shared" si="67"/>
        <v>4.2154473465295597E-4</v>
      </c>
    </row>
    <row r="280" spans="1:11" ht="15" hidden="1" x14ac:dyDescent="0.2">
      <c r="A280" s="16" t="s">
        <v>160</v>
      </c>
      <c r="B280" s="16"/>
      <c r="C280" s="17">
        <v>1.3468810000000001E-3</v>
      </c>
      <c r="D280" s="17"/>
      <c r="E280" s="17"/>
      <c r="F280" s="17">
        <v>1.731331E-3</v>
      </c>
      <c r="G280" s="17">
        <v>0.77794562599999995</v>
      </c>
      <c r="H280" s="17">
        <v>0.43661592199999999</v>
      </c>
      <c r="I280" s="2">
        <v>8.3928196137827094E-2</v>
      </c>
      <c r="J280" s="2">
        <f t="shared" si="66"/>
        <v>8.3928196137827093E-4</v>
      </c>
      <c r="K280" s="2">
        <f t="shared" si="67"/>
        <v>4.1964098068913546E-4</v>
      </c>
    </row>
    <row r="281" spans="1:11" ht="15" hidden="1" x14ac:dyDescent="0.2">
      <c r="A281" s="16" t="s">
        <v>213</v>
      </c>
      <c r="B281" s="16"/>
      <c r="C281" s="17">
        <v>3.6157530000000002E-3</v>
      </c>
      <c r="D281" s="17"/>
      <c r="E281" s="17"/>
      <c r="F281" s="17">
        <v>2.2502749999999999E-3</v>
      </c>
      <c r="G281" s="17">
        <v>1.606805303</v>
      </c>
      <c r="H281" s="17">
        <v>0.108122565</v>
      </c>
      <c r="I281" s="2">
        <v>8.3442633450062406E-2</v>
      </c>
      <c r="J281" s="2">
        <f t="shared" si="66"/>
        <v>8.3442633450062401E-4</v>
      </c>
      <c r="K281" s="2">
        <f t="shared" si="67"/>
        <v>4.1721316725031201E-4</v>
      </c>
    </row>
    <row r="282" spans="1:11" ht="15" hidden="1" x14ac:dyDescent="0.2">
      <c r="A282" s="16" t="s">
        <v>254</v>
      </c>
      <c r="B282" s="16"/>
      <c r="C282" s="17">
        <v>2.3306070000000002E-3</v>
      </c>
      <c r="D282" s="17"/>
      <c r="E282" s="17"/>
      <c r="F282" s="17">
        <v>3.4257350000000001E-3</v>
      </c>
      <c r="G282" s="17">
        <v>0.68032313700000002</v>
      </c>
      <c r="H282" s="17">
        <v>0.496312588</v>
      </c>
      <c r="I282" s="2">
        <v>8.2325837171601093E-2</v>
      </c>
      <c r="J282" s="2">
        <f t="shared" si="66"/>
        <v>8.2325837171601094E-4</v>
      </c>
      <c r="K282" s="2">
        <f t="shared" si="67"/>
        <v>4.1162918585800547E-4</v>
      </c>
    </row>
    <row r="283" spans="1:11" ht="15" hidden="1" x14ac:dyDescent="0.2">
      <c r="A283" s="16" t="s">
        <v>170</v>
      </c>
      <c r="B283" s="16"/>
      <c r="C283" s="17">
        <v>2.641071E-3</v>
      </c>
      <c r="D283" s="17"/>
      <c r="E283" s="17"/>
      <c r="F283" s="17">
        <v>1.8856560000000001E-3</v>
      </c>
      <c r="G283" s="17">
        <v>1.4006111670000001</v>
      </c>
      <c r="H283" s="17">
        <v>0.16135542</v>
      </c>
      <c r="I283" s="2">
        <v>7.38474260910814E-2</v>
      </c>
      <c r="J283" s="2">
        <f t="shared" si="66"/>
        <v>7.3847426091081404E-4</v>
      </c>
      <c r="K283" s="2">
        <f t="shared" si="67"/>
        <v>3.6923713045540702E-4</v>
      </c>
    </row>
    <row r="284" spans="1:11" ht="15" hidden="1" x14ac:dyDescent="0.2">
      <c r="A284" s="16" t="s">
        <v>202</v>
      </c>
      <c r="B284" s="16"/>
      <c r="C284" s="17">
        <v>6.8420750000000004E-3</v>
      </c>
      <c r="D284" s="17"/>
      <c r="E284" s="17"/>
      <c r="F284" s="17">
        <v>4.4006219999999999E-3</v>
      </c>
      <c r="G284" s="17">
        <v>1.5547972910000001</v>
      </c>
      <c r="H284" s="17">
        <v>0.120019894</v>
      </c>
      <c r="I284" s="2">
        <v>0</v>
      </c>
      <c r="J284" s="2">
        <f t="shared" si="66"/>
        <v>0</v>
      </c>
      <c r="K284" s="2">
        <f t="shared" si="67"/>
        <v>0</v>
      </c>
    </row>
    <row r="285" spans="1:11" ht="15" hidden="1" x14ac:dyDescent="0.2">
      <c r="A285" s="16" t="s">
        <v>298</v>
      </c>
      <c r="B285" s="16"/>
      <c r="C285" s="17">
        <v>6.1019660000000003E-3</v>
      </c>
      <c r="D285" s="17"/>
      <c r="E285" s="17"/>
      <c r="F285" s="17">
        <v>4.5662949999999997E-3</v>
      </c>
      <c r="G285" s="17">
        <v>1.336305724</v>
      </c>
      <c r="H285" s="17">
        <v>0.18147390499999999</v>
      </c>
      <c r="I285" s="2">
        <v>0</v>
      </c>
      <c r="J285" s="2">
        <f t="shared" si="66"/>
        <v>0</v>
      </c>
      <c r="K285" s="2">
        <f t="shared" si="67"/>
        <v>0</v>
      </c>
    </row>
    <row r="286" spans="1:11" ht="15" hidden="1" x14ac:dyDescent="0.2">
      <c r="A286" s="16" t="s">
        <v>278</v>
      </c>
      <c r="B286" s="16"/>
      <c r="C286" s="17">
        <v>4.033114E-3</v>
      </c>
      <c r="D286" s="17"/>
      <c r="E286" s="17"/>
      <c r="F286" s="17">
        <v>2.7802339999999999E-3</v>
      </c>
      <c r="G286" s="17">
        <v>1.450638192</v>
      </c>
      <c r="H286" s="17">
        <v>0.14690594700000001</v>
      </c>
      <c r="I286" s="2">
        <v>0</v>
      </c>
      <c r="J286" s="2">
        <f t="shared" si="66"/>
        <v>0</v>
      </c>
      <c r="K286" s="2">
        <f t="shared" si="67"/>
        <v>0</v>
      </c>
    </row>
    <row r="287" spans="1:11" ht="15" hidden="1" x14ac:dyDescent="0.2">
      <c r="A287" s="16" t="s">
        <v>172</v>
      </c>
      <c r="B287" s="16"/>
      <c r="C287" s="17">
        <v>3.4064260000000002E-3</v>
      </c>
      <c r="D287" s="17"/>
      <c r="E287" s="17"/>
      <c r="F287" s="17">
        <v>2.4396180000000002E-3</v>
      </c>
      <c r="G287" s="17">
        <v>1.396294696</v>
      </c>
      <c r="H287" s="17">
        <v>0.16265078299999999</v>
      </c>
      <c r="I287" s="2">
        <v>0</v>
      </c>
      <c r="J287" s="2">
        <f t="shared" si="66"/>
        <v>0</v>
      </c>
      <c r="K287" s="2">
        <f t="shared" si="67"/>
        <v>0</v>
      </c>
    </row>
    <row r="288" spans="1:11" ht="15" hidden="1" x14ac:dyDescent="0.2">
      <c r="A288" s="16" t="s">
        <v>304</v>
      </c>
      <c r="B288" s="16"/>
      <c r="C288" s="17">
        <v>3.3630520000000001E-3</v>
      </c>
      <c r="D288" s="17"/>
      <c r="E288" s="17"/>
      <c r="F288" s="17">
        <v>2.607935E-3</v>
      </c>
      <c r="G288" s="17">
        <v>1.2895458339999999</v>
      </c>
      <c r="H288" s="17">
        <v>0.197232462</v>
      </c>
      <c r="I288" s="2">
        <v>0</v>
      </c>
      <c r="J288" s="2">
        <f t="shared" si="66"/>
        <v>0</v>
      </c>
      <c r="K288" s="2">
        <f t="shared" si="67"/>
        <v>0</v>
      </c>
    </row>
    <row r="289" spans="1:11" ht="15" hidden="1" x14ac:dyDescent="0.2">
      <c r="A289" s="16" t="s">
        <v>284</v>
      </c>
      <c r="B289" s="16"/>
      <c r="C289" s="17">
        <v>3.3379960000000002E-3</v>
      </c>
      <c r="D289" s="17"/>
      <c r="E289" s="17"/>
      <c r="F289" s="17">
        <v>1.9073950000000001E-3</v>
      </c>
      <c r="G289" s="17">
        <v>1.7500289250000001</v>
      </c>
      <c r="H289" s="17">
        <v>8.0138074000000004E-2</v>
      </c>
      <c r="I289" s="2">
        <v>0</v>
      </c>
      <c r="J289" s="2">
        <f t="shared" si="66"/>
        <v>0</v>
      </c>
      <c r="K289" s="2">
        <f t="shared" si="67"/>
        <v>0</v>
      </c>
    </row>
    <row r="290" spans="1:11" ht="15" hidden="1" x14ac:dyDescent="0.2">
      <c r="A290" s="16" t="s">
        <v>183</v>
      </c>
      <c r="B290" s="16"/>
      <c r="C290" s="17">
        <v>2.8931669999999999E-3</v>
      </c>
      <c r="D290" s="17"/>
      <c r="E290" s="17"/>
      <c r="F290" s="17">
        <v>4.0492009999999997E-3</v>
      </c>
      <c r="G290" s="17">
        <v>0.71450330299999998</v>
      </c>
      <c r="H290" s="17">
        <v>0.47492947400000002</v>
      </c>
      <c r="I290" s="2">
        <v>0</v>
      </c>
      <c r="J290" s="2">
        <f t="shared" si="66"/>
        <v>0</v>
      </c>
      <c r="K290" s="2">
        <f t="shared" si="67"/>
        <v>0</v>
      </c>
    </row>
    <row r="291" spans="1:11" ht="15" hidden="1" x14ac:dyDescent="0.2">
      <c r="A291" s="16" t="s">
        <v>199</v>
      </c>
      <c r="B291" s="16"/>
      <c r="C291" s="17">
        <v>2.6506020000000002E-3</v>
      </c>
      <c r="D291" s="17"/>
      <c r="E291" s="17"/>
      <c r="F291" s="17">
        <v>2.5238790000000001E-3</v>
      </c>
      <c r="G291" s="17">
        <v>1.050209986</v>
      </c>
      <c r="H291" s="17">
        <v>0.29364206100000001</v>
      </c>
      <c r="I291" s="2">
        <v>0</v>
      </c>
      <c r="J291" s="2">
        <f t="shared" si="66"/>
        <v>0</v>
      </c>
      <c r="K291" s="2">
        <f t="shared" si="67"/>
        <v>0</v>
      </c>
    </row>
    <row r="292" spans="1:11" ht="15" hidden="1" x14ac:dyDescent="0.2">
      <c r="A292" s="16" t="s">
        <v>256</v>
      </c>
      <c r="B292" s="16"/>
      <c r="C292" s="17">
        <v>2.4344129999999999E-3</v>
      </c>
      <c r="D292" s="17"/>
      <c r="E292" s="17"/>
      <c r="F292" s="17">
        <v>3.255108E-3</v>
      </c>
      <c r="G292" s="17">
        <v>0.74787472499999996</v>
      </c>
      <c r="H292" s="17">
        <v>0.45455000000000001</v>
      </c>
      <c r="I292" s="2">
        <v>0</v>
      </c>
      <c r="J292" s="2">
        <f t="shared" si="66"/>
        <v>0</v>
      </c>
      <c r="K292" s="2">
        <f t="shared" si="67"/>
        <v>0</v>
      </c>
    </row>
    <row r="293" spans="1:11" ht="15" hidden="1" x14ac:dyDescent="0.2">
      <c r="A293" s="16" t="s">
        <v>252</v>
      </c>
      <c r="B293" s="16"/>
      <c r="C293" s="17">
        <v>2.3401030000000001E-3</v>
      </c>
      <c r="D293" s="17"/>
      <c r="E293" s="17"/>
      <c r="F293" s="17">
        <v>2.7143010000000001E-3</v>
      </c>
      <c r="G293" s="17">
        <v>0.86213830300000005</v>
      </c>
      <c r="H293" s="17">
        <v>0.38862809999999998</v>
      </c>
      <c r="I293" s="2">
        <v>0</v>
      </c>
      <c r="J293" s="2">
        <f t="shared" si="66"/>
        <v>0</v>
      </c>
      <c r="K293" s="2">
        <f t="shared" si="67"/>
        <v>0</v>
      </c>
    </row>
    <row r="294" spans="1:11" ht="15" hidden="1" x14ac:dyDescent="0.2">
      <c r="A294" s="16" t="s">
        <v>264</v>
      </c>
      <c r="B294" s="16"/>
      <c r="C294" s="17">
        <v>1.717056E-3</v>
      </c>
      <c r="D294" s="17"/>
      <c r="E294" s="17"/>
      <c r="F294" s="17">
        <v>2.9121519999999999E-3</v>
      </c>
      <c r="G294" s="17">
        <v>0.58961761099999999</v>
      </c>
      <c r="H294" s="17">
        <v>0.55545779200000001</v>
      </c>
      <c r="I294" s="2">
        <v>0</v>
      </c>
      <c r="J294" s="2">
        <f t="shared" si="66"/>
        <v>0</v>
      </c>
      <c r="K294" s="2">
        <f t="shared" si="67"/>
        <v>0</v>
      </c>
    </row>
    <row r="295" spans="1:11" ht="15" hidden="1" x14ac:dyDescent="0.2">
      <c r="A295" s="16" t="s">
        <v>287</v>
      </c>
      <c r="B295" s="16"/>
      <c r="C295" s="17">
        <v>1.48665E-3</v>
      </c>
      <c r="D295" s="17"/>
      <c r="E295" s="17"/>
      <c r="F295" s="17">
        <v>2.6038329999999998E-3</v>
      </c>
      <c r="G295" s="17">
        <v>0.57094661300000005</v>
      </c>
      <c r="H295" s="17">
        <v>0.56804618699999998</v>
      </c>
      <c r="I295" s="2">
        <v>0</v>
      </c>
      <c r="J295" s="2">
        <f t="shared" si="66"/>
        <v>0</v>
      </c>
      <c r="K295" s="2">
        <f t="shared" si="67"/>
        <v>0</v>
      </c>
    </row>
    <row r="296" spans="1:11" ht="15" hidden="1" x14ac:dyDescent="0.2">
      <c r="A296" s="16" t="s">
        <v>286</v>
      </c>
      <c r="B296" s="16"/>
      <c r="C296" s="17">
        <v>1.271309E-3</v>
      </c>
      <c r="D296" s="17"/>
      <c r="E296" s="17"/>
      <c r="F296" s="17">
        <v>2.288755E-3</v>
      </c>
      <c r="G296" s="17">
        <v>0.55545872500000004</v>
      </c>
      <c r="H296" s="17">
        <v>0.57859096300000001</v>
      </c>
      <c r="I296" s="2">
        <v>0</v>
      </c>
      <c r="J296" s="2">
        <f t="shared" si="66"/>
        <v>0</v>
      </c>
      <c r="K296" s="2">
        <f t="shared" si="67"/>
        <v>0</v>
      </c>
    </row>
    <row r="297" spans="1:11" ht="15" hidden="1" x14ac:dyDescent="0.2">
      <c r="A297" s="16" t="s">
        <v>306</v>
      </c>
      <c r="B297" s="16"/>
      <c r="C297" s="17">
        <v>1.091716E-3</v>
      </c>
      <c r="D297" s="17"/>
      <c r="E297" s="17"/>
      <c r="F297" s="17">
        <v>2.9300749999999999E-3</v>
      </c>
      <c r="G297" s="17">
        <v>0.37258984299999998</v>
      </c>
      <c r="H297" s="17">
        <v>0.70946010599999998</v>
      </c>
      <c r="I297" s="2">
        <v>0</v>
      </c>
      <c r="J297" s="2">
        <f t="shared" si="66"/>
        <v>0</v>
      </c>
      <c r="K297" s="2">
        <f t="shared" si="67"/>
        <v>0</v>
      </c>
    </row>
    <row r="298" spans="1:11" ht="15" hidden="1" x14ac:dyDescent="0.2">
      <c r="A298" s="16" t="s">
        <v>277</v>
      </c>
      <c r="B298" s="16"/>
      <c r="C298" s="17">
        <v>1.019313E-3</v>
      </c>
      <c r="D298" s="17"/>
      <c r="E298" s="17"/>
      <c r="F298" s="17">
        <v>2.582202E-3</v>
      </c>
      <c r="G298" s="17">
        <v>0.39474568700000001</v>
      </c>
      <c r="H298" s="17">
        <v>0.69303737600000004</v>
      </c>
      <c r="I298" s="2">
        <v>0</v>
      </c>
      <c r="J298" s="2">
        <f t="shared" si="66"/>
        <v>0</v>
      </c>
      <c r="K298" s="2">
        <f t="shared" si="67"/>
        <v>0</v>
      </c>
    </row>
    <row r="299" spans="1:11" ht="15" hidden="1" x14ac:dyDescent="0.2">
      <c r="A299" s="16" t="s">
        <v>290</v>
      </c>
      <c r="B299" s="16"/>
      <c r="C299" s="17">
        <v>5.4017099999999999E-4</v>
      </c>
      <c r="D299" s="17"/>
      <c r="E299" s="17"/>
      <c r="F299" s="17">
        <v>2.5744639999999998E-3</v>
      </c>
      <c r="G299" s="17">
        <v>0.209818896</v>
      </c>
      <c r="H299" s="17">
        <v>0.83381247400000003</v>
      </c>
      <c r="I299" s="2">
        <v>0</v>
      </c>
      <c r="J299" s="2">
        <f t="shared" si="66"/>
        <v>0</v>
      </c>
      <c r="K299" s="2">
        <f t="shared" si="67"/>
        <v>0</v>
      </c>
    </row>
    <row r="300" spans="1:11" ht="15" hidden="1" x14ac:dyDescent="0.2">
      <c r="A300" s="16" t="s">
        <v>236</v>
      </c>
      <c r="B300" s="16"/>
      <c r="C300" s="17">
        <v>2.6990800000000002E-4</v>
      </c>
      <c r="D300" s="17"/>
      <c r="E300" s="17"/>
      <c r="F300" s="17">
        <v>1.9907649999999998E-3</v>
      </c>
      <c r="G300" s="17">
        <v>0.13557994100000001</v>
      </c>
      <c r="H300" s="17">
        <v>0.89215556600000001</v>
      </c>
      <c r="I300" s="2">
        <v>0</v>
      </c>
      <c r="J300" s="2">
        <f t="shared" si="66"/>
        <v>0</v>
      </c>
      <c r="K300" s="2">
        <f t="shared" si="67"/>
        <v>0</v>
      </c>
    </row>
    <row r="301" spans="1:11" ht="15" hidden="1" x14ac:dyDescent="0.2">
      <c r="A301" s="16" t="s">
        <v>267</v>
      </c>
      <c r="B301" s="16"/>
      <c r="C301" s="18">
        <v>-6.02E-6</v>
      </c>
      <c r="D301" s="18"/>
      <c r="E301" s="17"/>
      <c r="F301" s="17">
        <v>1.7967289999999999E-3</v>
      </c>
      <c r="G301" s="17">
        <v>-3.3501450000000001E-3</v>
      </c>
      <c r="H301" s="17">
        <v>0.99732703</v>
      </c>
      <c r="I301" s="2">
        <v>0</v>
      </c>
      <c r="J301" s="2">
        <f t="shared" si="66"/>
        <v>0</v>
      </c>
      <c r="K301" s="2">
        <f t="shared" si="67"/>
        <v>0</v>
      </c>
    </row>
    <row r="302" spans="1:11" ht="15" hidden="1" x14ac:dyDescent="0.2">
      <c r="A302" s="16" t="s">
        <v>258</v>
      </c>
      <c r="B302" s="16"/>
      <c r="C302" s="17">
        <v>-1.6679800000000001E-4</v>
      </c>
      <c r="D302" s="17"/>
      <c r="E302" s="17"/>
      <c r="F302" s="17">
        <v>1.6228320000000001E-3</v>
      </c>
      <c r="G302" s="17">
        <v>-0.102782189</v>
      </c>
      <c r="H302" s="17">
        <v>0.91813750500000002</v>
      </c>
      <c r="I302" s="2">
        <v>0</v>
      </c>
      <c r="J302" s="2">
        <f t="shared" si="66"/>
        <v>0</v>
      </c>
      <c r="K302" s="2">
        <f t="shared" si="67"/>
        <v>0</v>
      </c>
    </row>
    <row r="303" spans="1:11" ht="15" hidden="1" x14ac:dyDescent="0.2">
      <c r="A303" s="16" t="s">
        <v>282</v>
      </c>
      <c r="B303" s="16"/>
      <c r="C303" s="17">
        <v>-3.58394E-4</v>
      </c>
      <c r="D303" s="17"/>
      <c r="E303" s="17"/>
      <c r="F303" s="17">
        <v>1.593974E-3</v>
      </c>
      <c r="G303" s="17">
        <v>-0.224843191</v>
      </c>
      <c r="H303" s="17">
        <v>0.82210497199999999</v>
      </c>
      <c r="I303" s="2">
        <v>0</v>
      </c>
      <c r="J303" s="2">
        <f t="shared" si="66"/>
        <v>0</v>
      </c>
      <c r="K303" s="2">
        <f t="shared" si="67"/>
        <v>0</v>
      </c>
    </row>
    <row r="304" spans="1:11" ht="15" hidden="1" x14ac:dyDescent="0.2">
      <c r="A304" s="16" t="s">
        <v>269</v>
      </c>
      <c r="B304" s="16"/>
      <c r="C304" s="17">
        <v>-4.5292900000000003E-4</v>
      </c>
      <c r="D304" s="17"/>
      <c r="E304" s="17"/>
      <c r="F304" s="17">
        <v>1.9529219999999999E-3</v>
      </c>
      <c r="G304" s="17">
        <v>-0.23192348600000001</v>
      </c>
      <c r="H304" s="17">
        <v>0.81660127299999996</v>
      </c>
      <c r="I304" s="2">
        <v>0</v>
      </c>
      <c r="J304" s="2">
        <f t="shared" si="66"/>
        <v>0</v>
      </c>
      <c r="K304" s="2">
        <f t="shared" si="67"/>
        <v>0</v>
      </c>
    </row>
    <row r="305" spans="1:11" ht="15" hidden="1" x14ac:dyDescent="0.2">
      <c r="A305" s="16" t="s">
        <v>209</v>
      </c>
      <c r="B305" s="16"/>
      <c r="C305" s="17">
        <v>-4.8807700000000001E-4</v>
      </c>
      <c r="D305" s="17"/>
      <c r="E305" s="17"/>
      <c r="F305" s="17">
        <v>2.4457400000000001E-3</v>
      </c>
      <c r="G305" s="17">
        <v>-0.199562147</v>
      </c>
      <c r="H305" s="17">
        <v>0.84182630899999999</v>
      </c>
      <c r="I305" s="2">
        <v>0</v>
      </c>
      <c r="J305" s="2">
        <f t="shared" si="66"/>
        <v>0</v>
      </c>
      <c r="K305" s="2">
        <f t="shared" si="67"/>
        <v>0</v>
      </c>
    </row>
    <row r="306" spans="1:11" ht="15" hidden="1" x14ac:dyDescent="0.2">
      <c r="A306" s="16" t="s">
        <v>255</v>
      </c>
      <c r="B306" s="16"/>
      <c r="C306" s="17">
        <v>-1.0901610000000001E-3</v>
      </c>
      <c r="D306" s="17"/>
      <c r="E306" s="17"/>
      <c r="F306" s="17">
        <v>2.4170730000000001E-3</v>
      </c>
      <c r="G306" s="17">
        <v>-0.45102537199999998</v>
      </c>
      <c r="H306" s="17">
        <v>0.65198</v>
      </c>
      <c r="I306" s="2">
        <v>0</v>
      </c>
      <c r="J306" s="2">
        <f t="shared" si="66"/>
        <v>0</v>
      </c>
      <c r="K306" s="2">
        <f t="shared" si="67"/>
        <v>0</v>
      </c>
    </row>
    <row r="307" spans="1:11" ht="15" hidden="1" x14ac:dyDescent="0.2">
      <c r="A307" s="16" t="s">
        <v>262</v>
      </c>
      <c r="B307" s="16"/>
      <c r="C307" s="17">
        <v>-1.475444E-3</v>
      </c>
      <c r="D307" s="17"/>
      <c r="E307" s="17"/>
      <c r="F307" s="17">
        <v>1.4997980000000001E-3</v>
      </c>
      <c r="G307" s="17">
        <v>-0.98376217600000004</v>
      </c>
      <c r="H307" s="17">
        <v>0.32525166900000002</v>
      </c>
      <c r="I307" s="2">
        <v>0</v>
      </c>
      <c r="J307" s="2">
        <f t="shared" si="66"/>
        <v>0</v>
      </c>
      <c r="K307" s="2">
        <f t="shared" si="67"/>
        <v>0</v>
      </c>
    </row>
    <row r="308" spans="1:11" ht="15" hidden="1" x14ac:dyDescent="0.2">
      <c r="A308" s="16" t="s">
        <v>174</v>
      </c>
      <c r="B308" s="16"/>
      <c r="C308" s="17">
        <v>-1.4863400000000001E-3</v>
      </c>
      <c r="D308" s="17"/>
      <c r="E308" s="17"/>
      <c r="F308" s="17">
        <v>2.011662E-3</v>
      </c>
      <c r="G308" s="17">
        <v>-0.73886144200000003</v>
      </c>
      <c r="H308" s="17">
        <v>0.46000513300000001</v>
      </c>
      <c r="I308" s="2">
        <v>0</v>
      </c>
      <c r="J308" s="2">
        <f t="shared" si="66"/>
        <v>0</v>
      </c>
      <c r="K308" s="2">
        <f t="shared" si="67"/>
        <v>0</v>
      </c>
    </row>
    <row r="309" spans="1:11" ht="15" hidden="1" x14ac:dyDescent="0.2">
      <c r="A309" s="16" t="s">
        <v>263</v>
      </c>
      <c r="B309" s="16"/>
      <c r="C309" s="17">
        <v>-1.6565620000000001E-3</v>
      </c>
      <c r="D309" s="17"/>
      <c r="E309" s="17"/>
      <c r="F309" s="17">
        <v>1.6081349999999999E-3</v>
      </c>
      <c r="G309" s="17">
        <v>-1.0301137140000001</v>
      </c>
      <c r="H309" s="17">
        <v>0.302976735</v>
      </c>
      <c r="I309" s="2">
        <v>0</v>
      </c>
      <c r="J309" s="2">
        <f t="shared" si="66"/>
        <v>0</v>
      </c>
      <c r="K309" s="2">
        <f t="shared" si="67"/>
        <v>0</v>
      </c>
    </row>
    <row r="310" spans="1:11" ht="15" hidden="1" x14ac:dyDescent="0.2">
      <c r="A310" s="16" t="s">
        <v>233</v>
      </c>
      <c r="B310" s="16"/>
      <c r="C310" s="17">
        <v>-2.9027499999999999E-3</v>
      </c>
      <c r="D310" s="17"/>
      <c r="E310" s="17"/>
      <c r="F310" s="17">
        <v>2.577836E-3</v>
      </c>
      <c r="G310" s="17">
        <v>-1.1260412740000001</v>
      </c>
      <c r="H310" s="17">
        <v>0.260169857</v>
      </c>
      <c r="I310" s="2">
        <v>0</v>
      </c>
      <c r="J310" s="2">
        <f t="shared" si="66"/>
        <v>0</v>
      </c>
      <c r="K310" s="2">
        <f t="shared" si="67"/>
        <v>0</v>
      </c>
    </row>
    <row r="311" spans="1:11" ht="15" hidden="1" x14ac:dyDescent="0.2">
      <c r="A311" s="16" t="s">
        <v>266</v>
      </c>
      <c r="B311" s="16"/>
      <c r="C311" s="17">
        <v>-2.9616299999999998E-3</v>
      </c>
      <c r="D311" s="17"/>
      <c r="E311" s="17"/>
      <c r="F311" s="17">
        <v>2.1730579999999998E-3</v>
      </c>
      <c r="G311" s="17">
        <v>-1.362885686</v>
      </c>
      <c r="H311" s="17">
        <v>0.17294330699999999</v>
      </c>
      <c r="I311" s="2">
        <v>0</v>
      </c>
      <c r="J311" s="2">
        <f t="shared" si="66"/>
        <v>0</v>
      </c>
      <c r="K311" s="2">
        <f t="shared" si="67"/>
        <v>0</v>
      </c>
    </row>
    <row r="312" spans="1:11" ht="15" hidden="1" x14ac:dyDescent="0.2">
      <c r="A312" s="16" t="s">
        <v>157</v>
      </c>
      <c r="B312" s="16"/>
      <c r="C312" s="17">
        <v>-3.2878180000000001E-3</v>
      </c>
      <c r="D312" s="17"/>
      <c r="E312" s="17"/>
      <c r="F312" s="17">
        <v>3.7087029999999998E-3</v>
      </c>
      <c r="G312" s="17">
        <v>-0.88651413400000001</v>
      </c>
      <c r="H312" s="17">
        <v>0.37535774599999999</v>
      </c>
      <c r="I312" s="2">
        <v>0</v>
      </c>
      <c r="J312" s="2">
        <f t="shared" si="66"/>
        <v>0</v>
      </c>
      <c r="K312" s="2">
        <f t="shared" si="67"/>
        <v>0</v>
      </c>
    </row>
    <row r="313" spans="1:11" ht="15" hidden="1" x14ac:dyDescent="0.2">
      <c r="A313" s="16" t="s">
        <v>219</v>
      </c>
      <c r="B313" s="16"/>
      <c r="C313" s="17">
        <v>-3.9476320000000004E-3</v>
      </c>
      <c r="D313" s="17"/>
      <c r="E313" s="17"/>
      <c r="F313" s="17">
        <v>2.7461149999999999E-3</v>
      </c>
      <c r="G313" s="17">
        <v>-1.437533564</v>
      </c>
      <c r="H313" s="17">
        <v>0.150591695</v>
      </c>
      <c r="I313" s="2">
        <v>0</v>
      </c>
      <c r="J313" s="2">
        <f t="shared" si="66"/>
        <v>0</v>
      </c>
      <c r="K313" s="2">
        <f t="shared" si="67"/>
        <v>0</v>
      </c>
    </row>
    <row r="314" spans="1:11" ht="15" hidden="1" x14ac:dyDescent="0.2">
      <c r="A314" s="16" t="s">
        <v>189</v>
      </c>
      <c r="B314" s="16"/>
      <c r="C314" s="17">
        <v>-4.1239930000000003E-3</v>
      </c>
      <c r="D314" s="17"/>
      <c r="E314" s="17"/>
      <c r="F314" s="17">
        <v>2.6567629999999999E-3</v>
      </c>
      <c r="G314" s="17">
        <v>-1.5522623900000001</v>
      </c>
      <c r="H314" s="17">
        <v>0.12062</v>
      </c>
      <c r="I314" s="2">
        <v>0</v>
      </c>
      <c r="J314" s="2">
        <f t="shared" si="66"/>
        <v>0</v>
      </c>
      <c r="K314" s="2">
        <f t="shared" si="67"/>
        <v>0</v>
      </c>
    </row>
    <row r="315" spans="1:11" ht="15" hidden="1" x14ac:dyDescent="0.2">
      <c r="A315" s="16" t="s">
        <v>305</v>
      </c>
      <c r="B315" s="16"/>
      <c r="C315" s="17">
        <v>-4.2128529999999999E-3</v>
      </c>
      <c r="D315" s="17"/>
      <c r="E315" s="17"/>
      <c r="F315" s="17">
        <v>3.518031E-3</v>
      </c>
      <c r="G315" s="17">
        <v>-1.1975030099999999</v>
      </c>
      <c r="H315" s="17">
        <v>0.23113346200000001</v>
      </c>
      <c r="I315" s="2">
        <v>0</v>
      </c>
      <c r="J315" s="2">
        <f t="shared" si="66"/>
        <v>0</v>
      </c>
      <c r="K315" s="2">
        <f t="shared" si="67"/>
        <v>0</v>
      </c>
    </row>
    <row r="316" spans="1:11" ht="15" hidden="1" x14ac:dyDescent="0.2">
      <c r="A316" s="16" t="s">
        <v>238</v>
      </c>
      <c r="B316" s="16"/>
      <c r="C316" s="17">
        <v>-6.1962359999999999E-3</v>
      </c>
      <c r="D316" s="17"/>
      <c r="E316" s="17"/>
      <c r="F316" s="17">
        <v>3.7693029999999999E-3</v>
      </c>
      <c r="G316" s="17">
        <v>-1.6438677479999999</v>
      </c>
      <c r="H316" s="17">
        <v>0.100228893</v>
      </c>
      <c r="I316" s="2">
        <v>0</v>
      </c>
      <c r="J316" s="2">
        <f t="shared" si="66"/>
        <v>0</v>
      </c>
      <c r="K316" s="2">
        <f t="shared" si="67"/>
        <v>0</v>
      </c>
    </row>
    <row r="317" spans="1:11" ht="15" x14ac:dyDescent="0.2">
      <c r="A317" s="16" t="s">
        <v>934</v>
      </c>
      <c r="B317" s="16" t="str">
        <f ca="1">IFERROR(__xludf.DUMMYFUNCTION("GOOGLETRANSLATE(SUBSTITUTE(A317,""_"","" ""),""nl"",""en"")"),"(Intercept)")</f>
        <v>(Intercept)</v>
      </c>
      <c r="C317" s="17">
        <v>0.64623260000000005</v>
      </c>
      <c r="D317" s="17">
        <f>ABS(C317)</f>
        <v>0.64623260000000005</v>
      </c>
      <c r="E317" s="17"/>
      <c r="F317" s="17">
        <v>0.01</v>
      </c>
      <c r="G317" s="17">
        <v>72.95</v>
      </c>
      <c r="H317" s="17">
        <v>0</v>
      </c>
    </row>
  </sheetData>
  <autoFilter ref="A1:K317" xr:uid="{00000000-0009-0000-0000-000003000000}">
    <filterColumn colId="7">
      <customFilters>
        <customFilter operator="lessThan" val="0.05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16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2" t="s">
        <v>935</v>
      </c>
      <c r="B1" s="2" t="s">
        <v>936</v>
      </c>
      <c r="C1" s="2" t="s">
        <v>937</v>
      </c>
      <c r="D1" s="2" t="s">
        <v>2</v>
      </c>
    </row>
    <row r="2" spans="1:4" ht="15.75" customHeight="1" x14ac:dyDescent="0.15">
      <c r="A2" s="2">
        <v>1</v>
      </c>
      <c r="B2" s="2" t="s">
        <v>10</v>
      </c>
      <c r="C2" s="2" t="s">
        <v>938</v>
      </c>
      <c r="D2" s="2">
        <v>23.329141197404699</v>
      </c>
    </row>
    <row r="3" spans="1:4" ht="15.75" customHeight="1" x14ac:dyDescent="0.15">
      <c r="A3" s="2">
        <v>2</v>
      </c>
      <c r="B3" s="2" t="s">
        <v>33</v>
      </c>
      <c r="C3" s="2" t="s">
        <v>938</v>
      </c>
      <c r="D3" s="2">
        <v>1.8642036491968199</v>
      </c>
    </row>
    <row r="4" spans="1:4" ht="15.75" customHeight="1" x14ac:dyDescent="0.15">
      <c r="A4" s="2">
        <v>3</v>
      </c>
      <c r="B4" s="2" t="s">
        <v>929</v>
      </c>
      <c r="C4" s="2" t="s">
        <v>938</v>
      </c>
      <c r="D4" s="2">
        <v>1.4039055739013799</v>
      </c>
    </row>
    <row r="5" spans="1:4" ht="15.75" customHeight="1" x14ac:dyDescent="0.15">
      <c r="A5" s="2">
        <v>4</v>
      </c>
      <c r="B5" s="2" t="s">
        <v>136</v>
      </c>
      <c r="C5" s="2" t="s">
        <v>939</v>
      </c>
      <c r="D5" s="2">
        <v>1.08605203075762</v>
      </c>
    </row>
    <row r="6" spans="1:4" ht="15.75" customHeight="1" x14ac:dyDescent="0.15">
      <c r="A6" s="2">
        <v>5</v>
      </c>
      <c r="B6" s="2" t="s">
        <v>24</v>
      </c>
      <c r="C6" s="2" t="s">
        <v>938</v>
      </c>
      <c r="D6" s="2">
        <v>6.3707922210249004</v>
      </c>
    </row>
    <row r="7" spans="1:4" ht="15.75" customHeight="1" x14ac:dyDescent="0.15">
      <c r="A7" s="2">
        <v>6</v>
      </c>
      <c r="B7" s="2" t="s">
        <v>36</v>
      </c>
      <c r="C7" s="2" t="s">
        <v>938</v>
      </c>
      <c r="D7" s="2">
        <v>4.6796384845890797</v>
      </c>
    </row>
    <row r="8" spans="1:4" ht="15.75" customHeight="1" x14ac:dyDescent="0.15">
      <c r="A8" s="2">
        <v>7</v>
      </c>
      <c r="B8" s="2" t="s">
        <v>103</v>
      </c>
      <c r="C8" s="2" t="s">
        <v>938</v>
      </c>
      <c r="D8" s="2">
        <v>2.38551409019807</v>
      </c>
    </row>
    <row r="9" spans="1:4" ht="15.75" customHeight="1" x14ac:dyDescent="0.15">
      <c r="A9" s="2">
        <v>8</v>
      </c>
      <c r="B9" s="2" t="s">
        <v>238</v>
      </c>
      <c r="C9" s="2" t="s">
        <v>938</v>
      </c>
      <c r="D9" s="2">
        <v>0</v>
      </c>
    </row>
    <row r="10" spans="1:4" ht="15.75" customHeight="1" x14ac:dyDescent="0.15">
      <c r="A10" s="2">
        <v>9</v>
      </c>
      <c r="B10" s="2" t="s">
        <v>153</v>
      </c>
      <c r="C10" s="2" t="s">
        <v>938</v>
      </c>
      <c r="D10" s="2">
        <v>0.55847303994970698</v>
      </c>
    </row>
    <row r="11" spans="1:4" ht="15.75" customHeight="1" x14ac:dyDescent="0.15">
      <c r="A11" s="2">
        <v>10</v>
      </c>
      <c r="B11" s="2" t="s">
        <v>80</v>
      </c>
      <c r="C11" s="2" t="s">
        <v>938</v>
      </c>
      <c r="D11" s="2">
        <v>3.69234624081815</v>
      </c>
    </row>
    <row r="12" spans="1:4" ht="15.75" customHeight="1" x14ac:dyDescent="0.15">
      <c r="A12" s="2">
        <v>11</v>
      </c>
      <c r="B12" s="2" t="s">
        <v>165</v>
      </c>
      <c r="C12" s="2" t="s">
        <v>938</v>
      </c>
      <c r="D12" s="2">
        <v>0</v>
      </c>
    </row>
    <row r="13" spans="1:4" ht="15.75" customHeight="1" x14ac:dyDescent="0.15">
      <c r="A13" s="2">
        <v>12</v>
      </c>
      <c r="B13" s="2" t="s">
        <v>217</v>
      </c>
      <c r="C13" s="2" t="s">
        <v>938</v>
      </c>
      <c r="D13" s="2">
        <v>2.3539577963782401</v>
      </c>
    </row>
    <row r="14" spans="1:4" ht="15.75" customHeight="1" x14ac:dyDescent="0.15">
      <c r="A14" s="2">
        <v>13</v>
      </c>
      <c r="B14" s="2" t="s">
        <v>248</v>
      </c>
      <c r="C14" s="2" t="s">
        <v>938</v>
      </c>
      <c r="D14" s="2">
        <v>0</v>
      </c>
    </row>
    <row r="15" spans="1:4" ht="15.75" customHeight="1" x14ac:dyDescent="0.15">
      <c r="A15" s="2">
        <v>14</v>
      </c>
      <c r="B15" s="2" t="s">
        <v>223</v>
      </c>
      <c r="C15" s="2" t="s">
        <v>938</v>
      </c>
      <c r="D15" s="2">
        <v>0.46287700116002101</v>
      </c>
    </row>
    <row r="16" spans="1:4" ht="15.75" customHeight="1" x14ac:dyDescent="0.15">
      <c r="A16" s="2">
        <v>15</v>
      </c>
      <c r="B16" s="2" t="s">
        <v>62</v>
      </c>
      <c r="C16" s="2" t="s">
        <v>938</v>
      </c>
      <c r="D16" s="2">
        <v>1.09252962067599</v>
      </c>
    </row>
    <row r="17" spans="1:4" ht="15.75" customHeight="1" x14ac:dyDescent="0.15">
      <c r="A17" s="2">
        <v>16</v>
      </c>
      <c r="B17" s="2" t="s">
        <v>72</v>
      </c>
      <c r="C17" s="2" t="s">
        <v>938</v>
      </c>
      <c r="D17" s="2">
        <v>1.37830382988484</v>
      </c>
    </row>
    <row r="18" spans="1:4" ht="15.75" customHeight="1" x14ac:dyDescent="0.15">
      <c r="A18" s="2">
        <v>17</v>
      </c>
      <c r="B18" s="2" t="s">
        <v>68</v>
      </c>
      <c r="C18" s="2" t="s">
        <v>938</v>
      </c>
      <c r="D18" s="2">
        <v>2.3855676598967999</v>
      </c>
    </row>
    <row r="19" spans="1:4" ht="15.75" customHeight="1" x14ac:dyDescent="0.15">
      <c r="A19" s="2">
        <v>18</v>
      </c>
      <c r="B19" s="2" t="s">
        <v>232</v>
      </c>
      <c r="C19" s="2" t="s">
        <v>938</v>
      </c>
      <c r="D19" s="2">
        <v>9.1141905495905201E-2</v>
      </c>
    </row>
    <row r="20" spans="1:4" ht="15.75" customHeight="1" x14ac:dyDescent="0.15">
      <c r="A20" s="2">
        <v>19</v>
      </c>
      <c r="B20" s="2" t="s">
        <v>249</v>
      </c>
      <c r="C20" s="2" t="s">
        <v>938</v>
      </c>
      <c r="D20" s="2">
        <v>0.281590185450663</v>
      </c>
    </row>
    <row r="21" spans="1:4" ht="15.75" customHeight="1" x14ac:dyDescent="0.15">
      <c r="A21" s="2">
        <v>20</v>
      </c>
      <c r="B21" s="2" t="s">
        <v>250</v>
      </c>
      <c r="C21" s="2" t="s">
        <v>938</v>
      </c>
      <c r="D21" s="2">
        <v>1.0117448999324301</v>
      </c>
    </row>
    <row r="22" spans="1:4" ht="15.75" customHeight="1" x14ac:dyDescent="0.15">
      <c r="A22" s="2">
        <v>21</v>
      </c>
      <c r="B22" s="2" t="s">
        <v>81</v>
      </c>
      <c r="C22" s="2" t="s">
        <v>938</v>
      </c>
      <c r="D22" s="2">
        <v>0.90174698383864005</v>
      </c>
    </row>
    <row r="23" spans="1:4" ht="15.75" customHeight="1" x14ac:dyDescent="0.15">
      <c r="A23" s="2">
        <v>22</v>
      </c>
      <c r="B23" s="2" t="s">
        <v>239</v>
      </c>
      <c r="C23" s="2" t="s">
        <v>938</v>
      </c>
      <c r="D23" s="2">
        <v>1.3207768325327001</v>
      </c>
    </row>
    <row r="24" spans="1:4" ht="15.75" customHeight="1" x14ac:dyDescent="0.15">
      <c r="A24" s="2">
        <v>23</v>
      </c>
      <c r="B24" s="2" t="s">
        <v>132</v>
      </c>
      <c r="C24" s="2" t="s">
        <v>938</v>
      </c>
      <c r="D24" s="2">
        <v>8.7876283088846305E-2</v>
      </c>
    </row>
    <row r="25" spans="1:4" ht="15.75" customHeight="1" x14ac:dyDescent="0.15">
      <c r="A25" s="2">
        <v>24</v>
      </c>
      <c r="B25" s="2" t="s">
        <v>58</v>
      </c>
      <c r="C25" s="2" t="s">
        <v>938</v>
      </c>
      <c r="D25" s="2">
        <v>2.4045293768274898</v>
      </c>
    </row>
    <row r="26" spans="1:4" ht="15.75" customHeight="1" x14ac:dyDescent="0.15">
      <c r="A26" s="2">
        <v>25</v>
      </c>
      <c r="B26" s="2" t="s">
        <v>32</v>
      </c>
      <c r="C26" s="2" t="s">
        <v>938</v>
      </c>
      <c r="D26" s="2">
        <v>6.7875919525693602</v>
      </c>
    </row>
    <row r="27" spans="1:4" ht="15.75" customHeight="1" x14ac:dyDescent="0.15">
      <c r="A27" s="2">
        <v>26</v>
      </c>
      <c r="B27" s="2" t="s">
        <v>40</v>
      </c>
      <c r="C27" s="2" t="s">
        <v>938</v>
      </c>
      <c r="D27" s="2">
        <v>4.4334551895357697</v>
      </c>
    </row>
    <row r="28" spans="1:4" ht="15.75" customHeight="1" x14ac:dyDescent="0.15">
      <c r="A28" s="2">
        <v>27</v>
      </c>
      <c r="B28" s="2" t="s">
        <v>82</v>
      </c>
      <c r="C28" s="2" t="s">
        <v>938</v>
      </c>
      <c r="D28" s="2">
        <v>2.0493008135958699</v>
      </c>
    </row>
    <row r="29" spans="1:4" ht="15.75" customHeight="1" x14ac:dyDescent="0.15">
      <c r="A29" s="2">
        <v>28</v>
      </c>
      <c r="B29" s="2" t="s">
        <v>78</v>
      </c>
      <c r="C29" s="2" t="s">
        <v>938</v>
      </c>
      <c r="D29" s="2">
        <v>1.59617937666932</v>
      </c>
    </row>
    <row r="30" spans="1:4" ht="15.75" customHeight="1" x14ac:dyDescent="0.15">
      <c r="A30" s="2">
        <v>29</v>
      </c>
      <c r="B30" s="2" t="s">
        <v>130</v>
      </c>
      <c r="C30" s="2" t="s">
        <v>938</v>
      </c>
      <c r="D30" s="2">
        <v>3.2590095158897601</v>
      </c>
    </row>
    <row r="31" spans="1:4" ht="15.75" customHeight="1" x14ac:dyDescent="0.15">
      <c r="A31" s="2">
        <v>30</v>
      </c>
      <c r="B31" s="2" t="s">
        <v>178</v>
      </c>
      <c r="C31" s="2" t="s">
        <v>938</v>
      </c>
      <c r="D31" s="2">
        <v>0.47082815527805</v>
      </c>
    </row>
    <row r="32" spans="1:4" ht="15.75" customHeight="1" x14ac:dyDescent="0.15">
      <c r="A32" s="2">
        <v>31</v>
      </c>
      <c r="B32" s="2" t="s">
        <v>101</v>
      </c>
      <c r="C32" s="2" t="s">
        <v>938</v>
      </c>
      <c r="D32" s="2">
        <v>0.68363765787878605</v>
      </c>
    </row>
    <row r="33" spans="1:4" ht="15.75" customHeight="1" x14ac:dyDescent="0.15">
      <c r="A33" s="2">
        <v>32</v>
      </c>
      <c r="B33" s="2" t="s">
        <v>110</v>
      </c>
      <c r="C33" s="2" t="s">
        <v>938</v>
      </c>
      <c r="D33" s="2">
        <v>0.98073261234539</v>
      </c>
    </row>
    <row r="34" spans="1:4" ht="15.75" customHeight="1" x14ac:dyDescent="0.15">
      <c r="A34" s="2">
        <v>33</v>
      </c>
      <c r="B34" s="2" t="s">
        <v>63</v>
      </c>
      <c r="C34" s="2" t="s">
        <v>938</v>
      </c>
      <c r="D34" s="2">
        <v>2.4952934284220101</v>
      </c>
    </row>
    <row r="35" spans="1:4" ht="15.75" customHeight="1" x14ac:dyDescent="0.15">
      <c r="A35" s="2">
        <v>34</v>
      </c>
      <c r="B35" s="2" t="s">
        <v>83</v>
      </c>
      <c r="C35" s="2" t="s">
        <v>938</v>
      </c>
      <c r="D35" s="2">
        <v>2.2745216158615902</v>
      </c>
    </row>
    <row r="36" spans="1:4" ht="15.75" customHeight="1" x14ac:dyDescent="0.15">
      <c r="A36" s="2">
        <v>35</v>
      </c>
      <c r="B36" s="2" t="s">
        <v>41</v>
      </c>
      <c r="C36" s="2" t="s">
        <v>938</v>
      </c>
      <c r="D36" s="2">
        <v>4.0162836688298604</v>
      </c>
    </row>
    <row r="37" spans="1:4" ht="15.75" customHeight="1" x14ac:dyDescent="0.15">
      <c r="A37" s="2">
        <v>36</v>
      </c>
      <c r="B37" s="2" t="s">
        <v>66</v>
      </c>
      <c r="C37" s="2" t="s">
        <v>938</v>
      </c>
      <c r="D37" s="2">
        <v>1.0745730744041899</v>
      </c>
    </row>
    <row r="38" spans="1:4" ht="15.75" customHeight="1" x14ac:dyDescent="0.15">
      <c r="A38" s="2">
        <v>37</v>
      </c>
      <c r="B38" s="2" t="s">
        <v>5</v>
      </c>
      <c r="C38" s="2" t="s">
        <v>938</v>
      </c>
      <c r="D38" s="2">
        <v>15.4138352665776</v>
      </c>
    </row>
    <row r="39" spans="1:4" ht="15.75" customHeight="1" x14ac:dyDescent="0.15">
      <c r="A39" s="2">
        <v>38</v>
      </c>
      <c r="B39" s="2" t="s">
        <v>127</v>
      </c>
      <c r="C39" s="2" t="s">
        <v>938</v>
      </c>
      <c r="D39" s="2">
        <v>1.3279859384209001</v>
      </c>
    </row>
    <row r="40" spans="1:4" ht="15.75" customHeight="1" x14ac:dyDescent="0.15">
      <c r="A40" s="2">
        <v>39</v>
      </c>
      <c r="B40" s="2" t="s">
        <v>93</v>
      </c>
      <c r="C40" s="2" t="s">
        <v>938</v>
      </c>
      <c r="D40" s="2">
        <v>2.5539309191897601</v>
      </c>
    </row>
    <row r="41" spans="1:4" ht="15.75" customHeight="1" x14ac:dyDescent="0.15">
      <c r="A41" s="2">
        <v>40</v>
      </c>
      <c r="B41" s="2" t="s">
        <v>69</v>
      </c>
      <c r="C41" s="2" t="s">
        <v>938</v>
      </c>
      <c r="D41" s="2">
        <v>2.13112094501856</v>
      </c>
    </row>
    <row r="42" spans="1:4" ht="15.75" customHeight="1" x14ac:dyDescent="0.15">
      <c r="A42" s="2">
        <v>41</v>
      </c>
      <c r="B42" s="2" t="s">
        <v>97</v>
      </c>
      <c r="C42" s="2" t="s">
        <v>938</v>
      </c>
      <c r="D42" s="2">
        <v>0.35518462248132199</v>
      </c>
    </row>
    <row r="43" spans="1:4" ht="15.75" customHeight="1" x14ac:dyDescent="0.15">
      <c r="A43" s="2">
        <v>42</v>
      </c>
      <c r="B43" s="2" t="s">
        <v>88</v>
      </c>
      <c r="C43" s="2" t="s">
        <v>938</v>
      </c>
      <c r="D43" s="2">
        <v>0.35213907169493203</v>
      </c>
    </row>
    <row r="44" spans="1:4" ht="15.75" customHeight="1" x14ac:dyDescent="0.15">
      <c r="A44" s="2">
        <v>43</v>
      </c>
      <c r="B44" s="2" t="s">
        <v>98</v>
      </c>
      <c r="C44" s="2" t="s">
        <v>938</v>
      </c>
      <c r="D44" s="2">
        <v>1.4594708194707799</v>
      </c>
    </row>
    <row r="45" spans="1:4" ht="15.75" customHeight="1" x14ac:dyDescent="0.15">
      <c r="A45" s="2">
        <v>44</v>
      </c>
      <c r="B45" s="2" t="s">
        <v>128</v>
      </c>
      <c r="C45" s="2" t="s">
        <v>938</v>
      </c>
      <c r="D45" s="2">
        <v>1.2746754369323099</v>
      </c>
    </row>
    <row r="46" spans="1:4" ht="15.75" customHeight="1" x14ac:dyDescent="0.15">
      <c r="A46" s="2">
        <v>45</v>
      </c>
      <c r="B46" s="2" t="s">
        <v>95</v>
      </c>
      <c r="C46" s="2" t="s">
        <v>938</v>
      </c>
      <c r="D46" s="2">
        <v>0.58943799402529096</v>
      </c>
    </row>
    <row r="47" spans="1:4" ht="15.75" customHeight="1" x14ac:dyDescent="0.15">
      <c r="A47" s="2">
        <v>46</v>
      </c>
      <c r="B47" s="2" t="s">
        <v>140</v>
      </c>
      <c r="C47" s="2" t="s">
        <v>938</v>
      </c>
      <c r="D47" s="2">
        <v>0</v>
      </c>
    </row>
    <row r="48" spans="1:4" ht="15.75" customHeight="1" x14ac:dyDescent="0.15">
      <c r="A48" s="2">
        <v>47</v>
      </c>
      <c r="B48" s="2" t="s">
        <v>31</v>
      </c>
      <c r="C48" s="2" t="s">
        <v>938</v>
      </c>
      <c r="D48" s="2">
        <v>4.0904419027201904</v>
      </c>
    </row>
    <row r="49" spans="1:4" ht="15.75" customHeight="1" x14ac:dyDescent="0.15">
      <c r="A49" s="2">
        <v>48</v>
      </c>
      <c r="B49" s="2" t="s">
        <v>204</v>
      </c>
      <c r="C49" s="2" t="s">
        <v>938</v>
      </c>
      <c r="D49" s="2">
        <v>0.33385140983534201</v>
      </c>
    </row>
    <row r="50" spans="1:4" ht="13" x14ac:dyDescent="0.15">
      <c r="A50" s="2">
        <v>49</v>
      </c>
      <c r="B50" s="2" t="s">
        <v>120</v>
      </c>
      <c r="C50" s="2" t="s">
        <v>938</v>
      </c>
      <c r="D50" s="2">
        <v>1.60878388300451</v>
      </c>
    </row>
    <row r="51" spans="1:4" ht="13" x14ac:dyDescent="0.15">
      <c r="A51" s="2">
        <v>50</v>
      </c>
      <c r="B51" s="2" t="s">
        <v>108</v>
      </c>
      <c r="C51" s="2" t="s">
        <v>938</v>
      </c>
      <c r="D51" s="2">
        <v>0.51566881350721105</v>
      </c>
    </row>
    <row r="52" spans="1:4" ht="13" x14ac:dyDescent="0.15">
      <c r="A52" s="2">
        <v>51</v>
      </c>
      <c r="B52" s="2" t="s">
        <v>64</v>
      </c>
      <c r="C52" s="2" t="s">
        <v>938</v>
      </c>
      <c r="D52" s="2">
        <v>0.73837279081333396</v>
      </c>
    </row>
    <row r="53" spans="1:4" ht="13" x14ac:dyDescent="0.15">
      <c r="A53" s="2">
        <v>52</v>
      </c>
      <c r="B53" s="2" t="s">
        <v>193</v>
      </c>
      <c r="C53" s="2" t="s">
        <v>938</v>
      </c>
      <c r="D53" s="2">
        <v>0.42170485245170303</v>
      </c>
    </row>
    <row r="54" spans="1:4" ht="13" x14ac:dyDescent="0.15">
      <c r="A54" s="2">
        <v>53</v>
      </c>
      <c r="B54" s="2" t="s">
        <v>77</v>
      </c>
      <c r="C54" s="2" t="s">
        <v>938</v>
      </c>
      <c r="D54" s="2">
        <v>1.5841733073930999</v>
      </c>
    </row>
    <row r="55" spans="1:4" ht="13" x14ac:dyDescent="0.15">
      <c r="A55" s="2">
        <v>54</v>
      </c>
      <c r="B55" s="2" t="s">
        <v>197</v>
      </c>
      <c r="C55" s="2" t="s">
        <v>938</v>
      </c>
      <c r="D55" s="2">
        <v>0.46635917093283702</v>
      </c>
    </row>
    <row r="56" spans="1:4" ht="13" x14ac:dyDescent="0.15">
      <c r="A56" s="2">
        <v>55</v>
      </c>
      <c r="B56" s="2" t="s">
        <v>28</v>
      </c>
      <c r="C56" s="2" t="s">
        <v>938</v>
      </c>
      <c r="D56" s="2">
        <v>6.4135271224320203</v>
      </c>
    </row>
    <row r="57" spans="1:4" ht="13" x14ac:dyDescent="0.15">
      <c r="A57" s="2">
        <v>56</v>
      </c>
      <c r="B57" s="2" t="s">
        <v>940</v>
      </c>
      <c r="C57" s="2" t="s">
        <v>938</v>
      </c>
      <c r="D57" s="2">
        <v>3.3198268158737099</v>
      </c>
    </row>
    <row r="58" spans="1:4" ht="13" x14ac:dyDescent="0.15">
      <c r="A58" s="2">
        <v>57</v>
      </c>
      <c r="B58" s="2" t="s">
        <v>118</v>
      </c>
      <c r="C58" s="2" t="s">
        <v>938</v>
      </c>
      <c r="D58" s="2">
        <v>0.88199144816368003</v>
      </c>
    </row>
    <row r="59" spans="1:4" ht="13" x14ac:dyDescent="0.15">
      <c r="A59" s="2">
        <v>58</v>
      </c>
      <c r="B59" s="2" t="s">
        <v>37</v>
      </c>
      <c r="C59" s="2" t="s">
        <v>938</v>
      </c>
      <c r="D59" s="2">
        <v>5.2877337151271497</v>
      </c>
    </row>
    <row r="60" spans="1:4" ht="13" x14ac:dyDescent="0.15">
      <c r="A60" s="2">
        <v>59</v>
      </c>
      <c r="B60" s="2" t="s">
        <v>284</v>
      </c>
      <c r="C60" s="2" t="s">
        <v>938</v>
      </c>
      <c r="D60" s="2">
        <v>0</v>
      </c>
    </row>
    <row r="61" spans="1:4" ht="13" x14ac:dyDescent="0.15">
      <c r="A61" s="2">
        <v>60</v>
      </c>
      <c r="B61" s="2" t="s">
        <v>65</v>
      </c>
      <c r="C61" s="2" t="s">
        <v>938</v>
      </c>
      <c r="D61" s="2">
        <v>1.7803209591551199</v>
      </c>
    </row>
    <row r="62" spans="1:4" ht="13" x14ac:dyDescent="0.15">
      <c r="A62" s="2">
        <v>61</v>
      </c>
      <c r="B62" s="2" t="s">
        <v>56</v>
      </c>
      <c r="C62" s="2" t="s">
        <v>938</v>
      </c>
      <c r="D62" s="2">
        <v>2.6821814010026199</v>
      </c>
    </row>
    <row r="63" spans="1:4" ht="13" x14ac:dyDescent="0.15">
      <c r="A63" s="2">
        <v>62</v>
      </c>
      <c r="B63" s="2" t="s">
        <v>169</v>
      </c>
      <c r="C63" s="2" t="s">
        <v>938</v>
      </c>
      <c r="D63" s="2">
        <v>1.0154280125178199</v>
      </c>
    </row>
    <row r="64" spans="1:4" ht="13" x14ac:dyDescent="0.15">
      <c r="A64" s="2">
        <v>63</v>
      </c>
      <c r="B64" s="2" t="s">
        <v>107</v>
      </c>
      <c r="C64" s="2" t="s">
        <v>938</v>
      </c>
      <c r="D64" s="2">
        <v>1.2900910394379601</v>
      </c>
    </row>
    <row r="65" spans="1:4" ht="13" x14ac:dyDescent="0.15">
      <c r="A65" s="2">
        <v>64</v>
      </c>
      <c r="B65" s="2" t="s">
        <v>7</v>
      </c>
      <c r="C65" s="2" t="s">
        <v>938</v>
      </c>
      <c r="D65" s="2">
        <v>27.874801535345402</v>
      </c>
    </row>
    <row r="66" spans="1:4" ht="13" x14ac:dyDescent="0.15">
      <c r="A66" s="2">
        <v>65</v>
      </c>
      <c r="B66" s="2" t="s">
        <v>48</v>
      </c>
      <c r="C66" s="2" t="s">
        <v>938</v>
      </c>
      <c r="D66" s="2">
        <v>3.49066301271841</v>
      </c>
    </row>
    <row r="67" spans="1:4" ht="13" x14ac:dyDescent="0.15">
      <c r="A67" s="2">
        <v>66</v>
      </c>
      <c r="B67" s="2" t="s">
        <v>9</v>
      </c>
      <c r="C67" s="2" t="s">
        <v>938</v>
      </c>
      <c r="D67" s="2">
        <v>24.101367423066002</v>
      </c>
    </row>
    <row r="68" spans="1:4" ht="13" x14ac:dyDescent="0.15">
      <c r="A68" s="2">
        <v>67</v>
      </c>
      <c r="B68" s="2" t="s">
        <v>147</v>
      </c>
      <c r="C68" s="2" t="s">
        <v>938</v>
      </c>
      <c r="D68" s="2">
        <v>0.69772910067953398</v>
      </c>
    </row>
    <row r="69" spans="1:4" ht="13" x14ac:dyDescent="0.15">
      <c r="A69" s="2">
        <v>68</v>
      </c>
      <c r="B69" s="2" t="s">
        <v>144</v>
      </c>
      <c r="C69" s="2" t="s">
        <v>938</v>
      </c>
      <c r="D69" s="2">
        <v>0.57293929828139201</v>
      </c>
    </row>
    <row r="70" spans="1:4" ht="13" x14ac:dyDescent="0.15">
      <c r="A70" s="2">
        <v>69</v>
      </c>
      <c r="B70" s="2" t="s">
        <v>104</v>
      </c>
      <c r="C70" s="2" t="s">
        <v>938</v>
      </c>
      <c r="D70" s="2">
        <v>0.410628086467904</v>
      </c>
    </row>
    <row r="71" spans="1:4" ht="13" x14ac:dyDescent="0.15">
      <c r="A71" s="2">
        <v>70</v>
      </c>
      <c r="B71" s="2" t="s">
        <v>55</v>
      </c>
      <c r="C71" s="2" t="s">
        <v>938</v>
      </c>
      <c r="D71" s="2">
        <v>1.7522316329702201</v>
      </c>
    </row>
    <row r="72" spans="1:4" ht="13" x14ac:dyDescent="0.15">
      <c r="A72" s="2">
        <v>71</v>
      </c>
      <c r="B72" s="2" t="s">
        <v>70</v>
      </c>
      <c r="C72" s="2" t="s">
        <v>938</v>
      </c>
      <c r="D72" s="2">
        <v>1.5930780167232099</v>
      </c>
    </row>
    <row r="73" spans="1:4" ht="13" x14ac:dyDescent="0.15">
      <c r="A73" s="2">
        <v>72</v>
      </c>
      <c r="B73" s="2" t="s">
        <v>96</v>
      </c>
      <c r="C73" s="2" t="s">
        <v>938</v>
      </c>
      <c r="D73" s="2">
        <v>1.1052819232833899</v>
      </c>
    </row>
    <row r="74" spans="1:4" ht="13" x14ac:dyDescent="0.15">
      <c r="A74" s="2">
        <v>73</v>
      </c>
      <c r="B74" s="2" t="s">
        <v>933</v>
      </c>
      <c r="C74" s="2" t="s">
        <v>938</v>
      </c>
      <c r="D74" s="2">
        <v>8.6735410855510606E-2</v>
      </c>
    </row>
    <row r="75" spans="1:4" ht="13" x14ac:dyDescent="0.15">
      <c r="A75" s="2">
        <v>74</v>
      </c>
      <c r="B75" s="2" t="s">
        <v>285</v>
      </c>
      <c r="C75" s="2" t="s">
        <v>938</v>
      </c>
      <c r="D75" s="2">
        <v>0.296434634054702</v>
      </c>
    </row>
    <row r="76" spans="1:4" ht="13" x14ac:dyDescent="0.15">
      <c r="A76" s="2">
        <v>75</v>
      </c>
      <c r="B76" s="2" t="s">
        <v>229</v>
      </c>
      <c r="C76" s="2" t="s">
        <v>938</v>
      </c>
      <c r="D76" s="2">
        <v>0.52029780182457996</v>
      </c>
    </row>
    <row r="77" spans="1:4" ht="13" x14ac:dyDescent="0.15">
      <c r="A77" s="2">
        <v>76</v>
      </c>
      <c r="B77" s="2" t="s">
        <v>73</v>
      </c>
      <c r="C77" s="2" t="s">
        <v>938</v>
      </c>
      <c r="D77" s="2">
        <v>1.64420367321448</v>
      </c>
    </row>
    <row r="78" spans="1:4" ht="13" x14ac:dyDescent="0.15">
      <c r="A78" s="2">
        <v>77</v>
      </c>
      <c r="B78" s="2" t="s">
        <v>258</v>
      </c>
      <c r="C78" s="2" t="s">
        <v>938</v>
      </c>
      <c r="D78" s="2">
        <v>0</v>
      </c>
    </row>
    <row r="79" spans="1:4" ht="13" x14ac:dyDescent="0.15">
      <c r="A79" s="2">
        <v>78</v>
      </c>
      <c r="B79" s="2" t="s">
        <v>259</v>
      </c>
      <c r="C79" s="2" t="s">
        <v>938</v>
      </c>
      <c r="D79" s="2">
        <v>0</v>
      </c>
    </row>
    <row r="80" spans="1:4" ht="13" x14ac:dyDescent="0.15">
      <c r="A80" s="2">
        <v>79</v>
      </c>
      <c r="B80" s="2" t="s">
        <v>260</v>
      </c>
      <c r="C80" s="2" t="s">
        <v>938</v>
      </c>
      <c r="D80" s="2">
        <v>0</v>
      </c>
    </row>
    <row r="81" spans="1:4" ht="13" x14ac:dyDescent="0.15">
      <c r="A81" s="2">
        <v>80</v>
      </c>
      <c r="B81" s="2" t="s">
        <v>261</v>
      </c>
      <c r="C81" s="2" t="s">
        <v>938</v>
      </c>
      <c r="D81" s="2">
        <v>0</v>
      </c>
    </row>
    <row r="82" spans="1:4" ht="13" x14ac:dyDescent="0.15">
      <c r="A82" s="2">
        <v>81</v>
      </c>
      <c r="B82" s="2" t="s">
        <v>262</v>
      </c>
      <c r="C82" s="2" t="s">
        <v>938</v>
      </c>
      <c r="D82" s="2">
        <v>0</v>
      </c>
    </row>
    <row r="83" spans="1:4" ht="13" x14ac:dyDescent="0.15">
      <c r="A83" s="2">
        <v>82</v>
      </c>
      <c r="B83" s="2" t="s">
        <v>263</v>
      </c>
      <c r="C83" s="2" t="s">
        <v>938</v>
      </c>
      <c r="D83" s="2">
        <v>0</v>
      </c>
    </row>
    <row r="84" spans="1:4" ht="13" x14ac:dyDescent="0.15">
      <c r="A84" s="2">
        <v>83</v>
      </c>
      <c r="B84" s="2" t="s">
        <v>264</v>
      </c>
      <c r="C84" s="2" t="s">
        <v>938</v>
      </c>
      <c r="D84" s="2">
        <v>0</v>
      </c>
    </row>
    <row r="85" spans="1:4" ht="13" x14ac:dyDescent="0.15">
      <c r="A85" s="2">
        <v>84</v>
      </c>
      <c r="B85" s="2" t="s">
        <v>265</v>
      </c>
      <c r="C85" s="2" t="s">
        <v>938</v>
      </c>
      <c r="D85" s="2">
        <v>0</v>
      </c>
    </row>
    <row r="86" spans="1:4" ht="13" x14ac:dyDescent="0.15">
      <c r="A86" s="2">
        <v>85</v>
      </c>
      <c r="B86" s="2" t="s">
        <v>266</v>
      </c>
      <c r="C86" s="2" t="s">
        <v>938</v>
      </c>
      <c r="D86" s="2">
        <v>0</v>
      </c>
    </row>
    <row r="87" spans="1:4" ht="13" x14ac:dyDescent="0.15">
      <c r="A87" s="2">
        <v>86</v>
      </c>
      <c r="B87" s="2" t="s">
        <v>124</v>
      </c>
      <c r="C87" s="2" t="s">
        <v>938</v>
      </c>
      <c r="D87" s="2">
        <v>0.70482998953036102</v>
      </c>
    </row>
    <row r="88" spans="1:4" ht="13" x14ac:dyDescent="0.15">
      <c r="A88" s="2">
        <v>87</v>
      </c>
      <c r="B88" s="2" t="s">
        <v>267</v>
      </c>
      <c r="C88" s="2" t="s">
        <v>938</v>
      </c>
      <c r="D88" s="2">
        <v>0</v>
      </c>
    </row>
    <row r="89" spans="1:4" ht="13" x14ac:dyDescent="0.15">
      <c r="A89" s="2">
        <v>88</v>
      </c>
      <c r="B89" s="2" t="s">
        <v>941</v>
      </c>
      <c r="C89" s="2" t="s">
        <v>938</v>
      </c>
      <c r="D89" s="2">
        <v>0</v>
      </c>
    </row>
    <row r="90" spans="1:4" ht="13" x14ac:dyDescent="0.15">
      <c r="A90" s="2">
        <v>89</v>
      </c>
      <c r="B90" s="2" t="s">
        <v>269</v>
      </c>
      <c r="C90" s="2" t="s">
        <v>938</v>
      </c>
      <c r="D90" s="2">
        <v>0</v>
      </c>
    </row>
    <row r="91" spans="1:4" ht="13" x14ac:dyDescent="0.15">
      <c r="A91" s="2">
        <v>90</v>
      </c>
      <c r="B91" s="2" t="s">
        <v>270</v>
      </c>
      <c r="C91" s="2" t="s">
        <v>938</v>
      </c>
      <c r="D91" s="2">
        <v>0</v>
      </c>
    </row>
    <row r="92" spans="1:4" ht="13" x14ac:dyDescent="0.15">
      <c r="A92" s="2">
        <v>91</v>
      </c>
      <c r="B92" s="2" t="s">
        <v>271</v>
      </c>
      <c r="C92" s="2" t="s">
        <v>938</v>
      </c>
      <c r="D92" s="2">
        <v>0</v>
      </c>
    </row>
    <row r="93" spans="1:4" ht="13" x14ac:dyDescent="0.15">
      <c r="A93" s="2">
        <v>92</v>
      </c>
      <c r="B93" s="2" t="s">
        <v>244</v>
      </c>
      <c r="C93" s="2" t="s">
        <v>938</v>
      </c>
      <c r="D93" s="2">
        <v>0.102769682873582</v>
      </c>
    </row>
    <row r="94" spans="1:4" ht="13" x14ac:dyDescent="0.15">
      <c r="A94" s="2">
        <v>93</v>
      </c>
      <c r="B94" s="2" t="s">
        <v>272</v>
      </c>
      <c r="C94" s="2" t="s">
        <v>938</v>
      </c>
      <c r="D94" s="2">
        <v>0</v>
      </c>
    </row>
    <row r="95" spans="1:4" ht="13" x14ac:dyDescent="0.15">
      <c r="A95" s="2">
        <v>94</v>
      </c>
      <c r="B95" s="2" t="s">
        <v>161</v>
      </c>
      <c r="C95" s="2" t="s">
        <v>938</v>
      </c>
      <c r="D95" s="2">
        <v>0.529114934593644</v>
      </c>
    </row>
    <row r="96" spans="1:4" ht="13" x14ac:dyDescent="0.15">
      <c r="A96" s="2">
        <v>95</v>
      </c>
      <c r="B96" s="2" t="s">
        <v>273</v>
      </c>
      <c r="C96" s="2" t="s">
        <v>938</v>
      </c>
      <c r="D96" s="2">
        <v>0</v>
      </c>
    </row>
    <row r="97" spans="1:4" ht="13" x14ac:dyDescent="0.15">
      <c r="A97" s="2">
        <v>96</v>
      </c>
      <c r="B97" s="2" t="s">
        <v>274</v>
      </c>
      <c r="C97" s="2" t="s">
        <v>938</v>
      </c>
      <c r="D97" s="2">
        <v>0</v>
      </c>
    </row>
    <row r="98" spans="1:4" ht="13" x14ac:dyDescent="0.15">
      <c r="A98" s="2">
        <v>97</v>
      </c>
      <c r="B98" s="2" t="s">
        <v>275</v>
      </c>
      <c r="C98" s="2" t="s">
        <v>938</v>
      </c>
      <c r="D98" s="2">
        <v>0</v>
      </c>
    </row>
    <row r="99" spans="1:4" ht="13" x14ac:dyDescent="0.15">
      <c r="A99" s="2">
        <v>98</v>
      </c>
      <c r="B99" s="2" t="s">
        <v>276</v>
      </c>
      <c r="C99" s="2" t="s">
        <v>938</v>
      </c>
      <c r="D99" s="2">
        <v>0</v>
      </c>
    </row>
    <row r="100" spans="1:4" ht="13" x14ac:dyDescent="0.15">
      <c r="A100" s="2">
        <v>99</v>
      </c>
      <c r="B100" s="2" t="s">
        <v>277</v>
      </c>
      <c r="C100" s="2" t="s">
        <v>938</v>
      </c>
      <c r="D100" s="2">
        <v>0</v>
      </c>
    </row>
    <row r="101" spans="1:4" ht="13" x14ac:dyDescent="0.15">
      <c r="A101" s="2">
        <v>100</v>
      </c>
      <c r="B101" s="2" t="s">
        <v>278</v>
      </c>
      <c r="C101" s="2" t="s">
        <v>938</v>
      </c>
      <c r="D101" s="2">
        <v>0</v>
      </c>
    </row>
    <row r="102" spans="1:4" ht="13" x14ac:dyDescent="0.15">
      <c r="A102" s="2">
        <v>101</v>
      </c>
      <c r="B102" s="2" t="s">
        <v>206</v>
      </c>
      <c r="C102" s="2" t="s">
        <v>938</v>
      </c>
      <c r="D102" s="2">
        <v>0</v>
      </c>
    </row>
    <row r="103" spans="1:4" ht="13" x14ac:dyDescent="0.15">
      <c r="A103" s="2">
        <v>102</v>
      </c>
      <c r="B103" s="2" t="s">
        <v>279</v>
      </c>
      <c r="C103" s="2" t="s">
        <v>938</v>
      </c>
      <c r="D103" s="2">
        <v>0</v>
      </c>
    </row>
    <row r="104" spans="1:4" ht="13" x14ac:dyDescent="0.15">
      <c r="A104" s="2">
        <v>103</v>
      </c>
      <c r="B104" s="2" t="s">
        <v>280</v>
      </c>
      <c r="C104" s="2" t="s">
        <v>938</v>
      </c>
      <c r="D104" s="2">
        <v>0</v>
      </c>
    </row>
    <row r="105" spans="1:4" ht="13" x14ac:dyDescent="0.15">
      <c r="A105" s="2">
        <v>104</v>
      </c>
      <c r="B105" s="2" t="s">
        <v>281</v>
      </c>
      <c r="C105" s="2" t="s">
        <v>938</v>
      </c>
      <c r="D105" s="2">
        <v>0</v>
      </c>
    </row>
    <row r="106" spans="1:4" ht="13" x14ac:dyDescent="0.15">
      <c r="A106" s="2">
        <v>105</v>
      </c>
      <c r="B106" s="2" t="s">
        <v>282</v>
      </c>
      <c r="C106" s="2" t="s">
        <v>938</v>
      </c>
      <c r="D106" s="2">
        <v>0</v>
      </c>
    </row>
    <row r="107" spans="1:4" ht="13" x14ac:dyDescent="0.15">
      <c r="A107" s="2">
        <v>106</v>
      </c>
      <c r="B107" s="2" t="s">
        <v>283</v>
      </c>
      <c r="C107" s="2" t="s">
        <v>938</v>
      </c>
      <c r="D107" s="2">
        <v>0</v>
      </c>
    </row>
    <row r="108" spans="1:4" ht="13" x14ac:dyDescent="0.15">
      <c r="A108" s="2">
        <v>107</v>
      </c>
      <c r="B108" s="2" t="s">
        <v>253</v>
      </c>
      <c r="C108" s="2" t="s">
        <v>938</v>
      </c>
      <c r="D108" s="2">
        <v>8.1560903505943194E-2</v>
      </c>
    </row>
    <row r="109" spans="1:4" ht="13" x14ac:dyDescent="0.15">
      <c r="A109" s="2">
        <v>108</v>
      </c>
      <c r="B109" s="2" t="s">
        <v>196</v>
      </c>
      <c r="C109" s="2" t="s">
        <v>938</v>
      </c>
      <c r="D109" s="2">
        <v>0.296643702967606</v>
      </c>
    </row>
    <row r="110" spans="1:4" ht="13" x14ac:dyDescent="0.15">
      <c r="A110" s="2">
        <v>109</v>
      </c>
      <c r="B110" s="2" t="s">
        <v>92</v>
      </c>
      <c r="C110" s="2" t="s">
        <v>938</v>
      </c>
      <c r="D110" s="2">
        <v>0.36800076351887501</v>
      </c>
    </row>
    <row r="111" spans="1:4" ht="13" x14ac:dyDescent="0.15">
      <c r="A111" s="2">
        <v>110</v>
      </c>
      <c r="B111" s="2" t="s">
        <v>254</v>
      </c>
      <c r="C111" s="2" t="s">
        <v>938</v>
      </c>
      <c r="D111" s="2">
        <v>8.2325837171601093E-2</v>
      </c>
    </row>
    <row r="112" spans="1:4" ht="13" x14ac:dyDescent="0.15">
      <c r="A112" s="2">
        <v>111</v>
      </c>
      <c r="B112" s="2" t="s">
        <v>21</v>
      </c>
      <c r="C112" s="2" t="s">
        <v>938</v>
      </c>
      <c r="D112" s="2">
        <v>8.1477791177880405</v>
      </c>
    </row>
    <row r="113" spans="1:4" ht="13" x14ac:dyDescent="0.15">
      <c r="A113" s="2">
        <v>112</v>
      </c>
      <c r="B113" s="2" t="s">
        <v>168</v>
      </c>
      <c r="C113" s="2" t="s">
        <v>938</v>
      </c>
      <c r="D113" s="2">
        <v>9.7508434023908797E-2</v>
      </c>
    </row>
    <row r="114" spans="1:4" ht="13" x14ac:dyDescent="0.15">
      <c r="A114" s="2">
        <v>113</v>
      </c>
      <c r="B114" s="2" t="s">
        <v>221</v>
      </c>
      <c r="C114" s="2" t="s">
        <v>938</v>
      </c>
      <c r="D114" s="2">
        <v>0.100737398212232</v>
      </c>
    </row>
    <row r="115" spans="1:4" ht="13" x14ac:dyDescent="0.15">
      <c r="A115" s="2">
        <v>114</v>
      </c>
      <c r="B115" s="2" t="s">
        <v>105</v>
      </c>
      <c r="C115" s="2" t="s">
        <v>938</v>
      </c>
      <c r="D115" s="2">
        <v>0.45426078515181501</v>
      </c>
    </row>
    <row r="116" spans="1:4" ht="13" x14ac:dyDescent="0.15">
      <c r="A116" s="2">
        <v>115</v>
      </c>
      <c r="B116" s="2" t="s">
        <v>109</v>
      </c>
      <c r="C116" s="2" t="s">
        <v>938</v>
      </c>
      <c r="D116" s="2">
        <v>1.10108936267979</v>
      </c>
    </row>
    <row r="117" spans="1:4" ht="13" x14ac:dyDescent="0.15">
      <c r="A117" s="2">
        <v>116</v>
      </c>
      <c r="B117" s="2" t="s">
        <v>13</v>
      </c>
      <c r="C117" s="2" t="s">
        <v>938</v>
      </c>
      <c r="D117" s="2">
        <v>12.442484045972501</v>
      </c>
    </row>
    <row r="118" spans="1:4" ht="13" x14ac:dyDescent="0.15">
      <c r="A118" s="2">
        <v>117</v>
      </c>
      <c r="B118" s="2" t="s">
        <v>237</v>
      </c>
      <c r="C118" s="2" t="s">
        <v>938</v>
      </c>
      <c r="D118" s="2">
        <v>0.54414988146551602</v>
      </c>
    </row>
    <row r="119" spans="1:4" ht="13" x14ac:dyDescent="0.15">
      <c r="A119" s="2">
        <v>118</v>
      </c>
      <c r="B119" s="2" t="s">
        <v>111</v>
      </c>
      <c r="C119" s="2" t="s">
        <v>938</v>
      </c>
      <c r="D119" s="2">
        <v>2.5579296518428398</v>
      </c>
    </row>
    <row r="120" spans="1:4" ht="13" x14ac:dyDescent="0.15">
      <c r="A120" s="2">
        <v>119</v>
      </c>
      <c r="B120" s="2" t="s">
        <v>301</v>
      </c>
      <c r="C120" s="2" t="s">
        <v>938</v>
      </c>
      <c r="D120" s="2">
        <v>0.10339153314862499</v>
      </c>
    </row>
    <row r="121" spans="1:4" ht="13" x14ac:dyDescent="0.15">
      <c r="A121" s="2">
        <v>120</v>
      </c>
      <c r="B121" s="2" t="s">
        <v>159</v>
      </c>
      <c r="C121" s="2" t="s">
        <v>938</v>
      </c>
      <c r="D121" s="2">
        <v>0.50827353432264399</v>
      </c>
    </row>
    <row r="122" spans="1:4" ht="13" x14ac:dyDescent="0.15">
      <c r="A122" s="2">
        <v>121</v>
      </c>
      <c r="B122" s="2" t="s">
        <v>139</v>
      </c>
      <c r="C122" s="2" t="s">
        <v>938</v>
      </c>
      <c r="D122" s="2">
        <v>1.16756067239928</v>
      </c>
    </row>
    <row r="123" spans="1:4" ht="13" x14ac:dyDescent="0.15">
      <c r="A123" s="2">
        <v>122</v>
      </c>
      <c r="B123" s="2" t="s">
        <v>205</v>
      </c>
      <c r="C123" s="2" t="s">
        <v>938</v>
      </c>
      <c r="D123" s="2">
        <v>0</v>
      </c>
    </row>
    <row r="124" spans="1:4" ht="13" x14ac:dyDescent="0.15">
      <c r="A124" s="2">
        <v>123</v>
      </c>
      <c r="B124" s="2" t="s">
        <v>134</v>
      </c>
      <c r="C124" s="2" t="s">
        <v>938</v>
      </c>
      <c r="D124" s="2">
        <v>0.27994178877581699</v>
      </c>
    </row>
    <row r="125" spans="1:4" ht="13" x14ac:dyDescent="0.15">
      <c r="A125" s="2">
        <v>124</v>
      </c>
      <c r="B125" s="2" t="s">
        <v>192</v>
      </c>
      <c r="C125" s="2" t="s">
        <v>938</v>
      </c>
      <c r="D125" s="2">
        <v>0.26128402648278798</v>
      </c>
    </row>
    <row r="126" spans="1:4" ht="13" x14ac:dyDescent="0.15">
      <c r="A126" s="2">
        <v>125</v>
      </c>
      <c r="B126" s="2" t="s">
        <v>42</v>
      </c>
      <c r="C126" s="2" t="s">
        <v>938</v>
      </c>
      <c r="D126" s="2">
        <v>4.6626867352788599</v>
      </c>
    </row>
    <row r="127" spans="1:4" ht="13" x14ac:dyDescent="0.15">
      <c r="A127" s="2">
        <v>126</v>
      </c>
      <c r="B127" s="2" t="s">
        <v>191</v>
      </c>
      <c r="C127" s="2" t="s">
        <v>938</v>
      </c>
      <c r="D127" s="2">
        <v>0.13840146211846099</v>
      </c>
    </row>
    <row r="128" spans="1:4" ht="13" x14ac:dyDescent="0.15">
      <c r="A128" s="2">
        <v>127</v>
      </c>
      <c r="B128" s="2" t="s">
        <v>230</v>
      </c>
      <c r="C128" s="2" t="s">
        <v>938</v>
      </c>
      <c r="D128" s="2">
        <v>0.481296749160181</v>
      </c>
    </row>
    <row r="129" spans="1:4" ht="13" x14ac:dyDescent="0.15">
      <c r="A129" s="2">
        <v>128</v>
      </c>
      <c r="B129" s="2" t="s">
        <v>150</v>
      </c>
      <c r="C129" s="2" t="s">
        <v>938</v>
      </c>
      <c r="D129" s="2">
        <v>0.606763074713904</v>
      </c>
    </row>
    <row r="130" spans="1:4" ht="13" x14ac:dyDescent="0.15">
      <c r="A130" s="2">
        <v>129</v>
      </c>
      <c r="B130" s="2" t="s">
        <v>155</v>
      </c>
      <c r="C130" s="2" t="s">
        <v>938</v>
      </c>
      <c r="D130" s="2">
        <v>0.71687434909261205</v>
      </c>
    </row>
    <row r="131" spans="1:4" ht="13" x14ac:dyDescent="0.15">
      <c r="A131" s="2">
        <v>130</v>
      </c>
      <c r="B131" s="2" t="s">
        <v>156</v>
      </c>
      <c r="C131" s="2" t="s">
        <v>938</v>
      </c>
      <c r="D131" s="2">
        <v>0.57455807005256199</v>
      </c>
    </row>
    <row r="132" spans="1:4" ht="13" x14ac:dyDescent="0.15">
      <c r="A132" s="2">
        <v>131</v>
      </c>
      <c r="B132" s="2" t="s">
        <v>27</v>
      </c>
      <c r="C132" s="2" t="s">
        <v>938</v>
      </c>
      <c r="D132" s="2">
        <v>11.9346682295393</v>
      </c>
    </row>
    <row r="133" spans="1:4" ht="13" x14ac:dyDescent="0.15">
      <c r="A133" s="2">
        <v>132</v>
      </c>
      <c r="B133" s="2" t="s">
        <v>76</v>
      </c>
      <c r="C133" s="2" t="s">
        <v>938</v>
      </c>
      <c r="D133" s="2">
        <v>1.4493443759986</v>
      </c>
    </row>
    <row r="134" spans="1:4" ht="13" x14ac:dyDescent="0.15">
      <c r="A134" s="2">
        <v>133</v>
      </c>
      <c r="B134" s="2" t="s">
        <v>152</v>
      </c>
      <c r="C134" s="2" t="s">
        <v>938</v>
      </c>
      <c r="D134" s="2">
        <v>0.19978946265445799</v>
      </c>
    </row>
    <row r="135" spans="1:4" ht="13" x14ac:dyDescent="0.15">
      <c r="A135" s="2">
        <v>134</v>
      </c>
      <c r="B135" s="2" t="s">
        <v>114</v>
      </c>
      <c r="C135" s="2" t="s">
        <v>938</v>
      </c>
      <c r="D135" s="2">
        <v>1.08978622296932</v>
      </c>
    </row>
    <row r="136" spans="1:4" ht="13" x14ac:dyDescent="0.15">
      <c r="A136" s="2">
        <v>135</v>
      </c>
      <c r="B136" s="2" t="s">
        <v>113</v>
      </c>
      <c r="C136" s="2" t="s">
        <v>938</v>
      </c>
      <c r="D136" s="2">
        <v>0.535187296122829</v>
      </c>
    </row>
    <row r="137" spans="1:4" ht="13" x14ac:dyDescent="0.15">
      <c r="A137" s="2">
        <v>136</v>
      </c>
      <c r="B137" s="2" t="s">
        <v>90</v>
      </c>
      <c r="C137" s="2" t="s">
        <v>938</v>
      </c>
      <c r="D137" s="2">
        <v>0.71505243888968695</v>
      </c>
    </row>
    <row r="138" spans="1:4" ht="13" x14ac:dyDescent="0.15">
      <c r="A138" s="2">
        <v>137</v>
      </c>
      <c r="B138" s="2" t="s">
        <v>160</v>
      </c>
      <c r="C138" s="2" t="s">
        <v>938</v>
      </c>
      <c r="D138" s="2">
        <v>8.3928196137827094E-2</v>
      </c>
    </row>
    <row r="139" spans="1:4" ht="13" x14ac:dyDescent="0.15">
      <c r="A139" s="2">
        <v>138</v>
      </c>
      <c r="B139" s="2" t="s">
        <v>119</v>
      </c>
      <c r="C139" s="2" t="s">
        <v>938</v>
      </c>
      <c r="D139" s="2">
        <v>0.60135224140113797</v>
      </c>
    </row>
    <row r="140" spans="1:4" ht="13" x14ac:dyDescent="0.15">
      <c r="A140" s="2">
        <v>139</v>
      </c>
      <c r="B140" s="2" t="s">
        <v>203</v>
      </c>
      <c r="C140" s="2" t="s">
        <v>938</v>
      </c>
      <c r="D140" s="2">
        <v>0.68174332974392404</v>
      </c>
    </row>
    <row r="141" spans="1:4" ht="13" x14ac:dyDescent="0.15">
      <c r="A141" s="2">
        <v>140</v>
      </c>
      <c r="B141" s="2" t="s">
        <v>57</v>
      </c>
      <c r="C141" s="2" t="s">
        <v>938</v>
      </c>
      <c r="D141" s="2">
        <v>0.426314858516946</v>
      </c>
    </row>
    <row r="142" spans="1:4" ht="13" x14ac:dyDescent="0.15">
      <c r="A142" s="2">
        <v>141</v>
      </c>
      <c r="B142" s="2" t="s">
        <v>50</v>
      </c>
      <c r="C142" s="2" t="s">
        <v>938</v>
      </c>
      <c r="D142" s="2">
        <v>19.1112949665124</v>
      </c>
    </row>
    <row r="143" spans="1:4" ht="13" x14ac:dyDescent="0.15">
      <c r="A143" s="2">
        <v>142</v>
      </c>
      <c r="B143" s="2" t="s">
        <v>158</v>
      </c>
      <c r="C143" s="2" t="s">
        <v>938</v>
      </c>
      <c r="D143" s="2">
        <v>0.58391702123017697</v>
      </c>
    </row>
    <row r="144" spans="1:4" ht="13" x14ac:dyDescent="0.15">
      <c r="A144" s="2">
        <v>143</v>
      </c>
      <c r="B144" s="2" t="s">
        <v>149</v>
      </c>
      <c r="C144" s="2" t="s">
        <v>938</v>
      </c>
      <c r="D144" s="2">
        <v>0.209301301857205</v>
      </c>
    </row>
    <row r="145" spans="1:4" ht="13" x14ac:dyDescent="0.15">
      <c r="A145" s="2">
        <v>144</v>
      </c>
      <c r="B145" s="2" t="s">
        <v>219</v>
      </c>
      <c r="C145" s="2" t="s">
        <v>938</v>
      </c>
      <c r="D145" s="2">
        <v>0</v>
      </c>
    </row>
    <row r="146" spans="1:4" ht="13" x14ac:dyDescent="0.15">
      <c r="A146" s="2">
        <v>145</v>
      </c>
      <c r="B146" s="2" t="s">
        <v>112</v>
      </c>
      <c r="C146" s="2" t="s">
        <v>938</v>
      </c>
      <c r="D146" s="2">
        <v>0.61653293557576505</v>
      </c>
    </row>
    <row r="147" spans="1:4" ht="13" x14ac:dyDescent="0.15">
      <c r="A147" s="2">
        <v>146</v>
      </c>
      <c r="B147" s="2" t="s">
        <v>20</v>
      </c>
      <c r="C147" s="2" t="s">
        <v>938</v>
      </c>
      <c r="D147" s="2">
        <v>8.9550541509408408</v>
      </c>
    </row>
    <row r="148" spans="1:4" ht="13" x14ac:dyDescent="0.15">
      <c r="A148" s="2">
        <v>147</v>
      </c>
      <c r="B148" s="2" t="s">
        <v>3</v>
      </c>
      <c r="C148" s="2" t="s">
        <v>938</v>
      </c>
      <c r="D148" s="2">
        <v>20.748949566602999</v>
      </c>
    </row>
    <row r="149" spans="1:4" ht="13" x14ac:dyDescent="0.15">
      <c r="A149" s="2">
        <v>148</v>
      </c>
      <c r="B149" s="2" t="s">
        <v>154</v>
      </c>
      <c r="C149" s="2" t="s">
        <v>938</v>
      </c>
      <c r="D149" s="2">
        <v>1.33541278196271</v>
      </c>
    </row>
    <row r="150" spans="1:4" ht="13" x14ac:dyDescent="0.15">
      <c r="A150" s="2">
        <v>149</v>
      </c>
      <c r="B150" s="2" t="s">
        <v>199</v>
      </c>
      <c r="C150" s="2" t="s">
        <v>938</v>
      </c>
      <c r="D150" s="2">
        <v>0</v>
      </c>
    </row>
    <row r="151" spans="1:4" ht="13" x14ac:dyDescent="0.15">
      <c r="A151" s="2">
        <v>150</v>
      </c>
      <c r="B151" s="2" t="s">
        <v>927</v>
      </c>
      <c r="C151" s="2" t="s">
        <v>938</v>
      </c>
      <c r="D151" s="2">
        <v>35.485673710635602</v>
      </c>
    </row>
    <row r="152" spans="1:4" ht="13" x14ac:dyDescent="0.15">
      <c r="A152" s="2">
        <v>151</v>
      </c>
      <c r="B152" s="2" t="s">
        <v>213</v>
      </c>
      <c r="C152" s="2" t="s">
        <v>938</v>
      </c>
      <c r="D152" s="2">
        <v>8.3442633450062406E-2</v>
      </c>
    </row>
    <row r="153" spans="1:4" ht="13" x14ac:dyDescent="0.15">
      <c r="A153" s="2">
        <v>152</v>
      </c>
      <c r="B153" s="2" t="s">
        <v>303</v>
      </c>
      <c r="C153" s="2" t="s">
        <v>938</v>
      </c>
      <c r="D153" s="2">
        <v>0.24382869597058601</v>
      </c>
    </row>
    <row r="154" spans="1:4" ht="13" x14ac:dyDescent="0.15">
      <c r="A154" s="2">
        <v>153</v>
      </c>
      <c r="B154" s="2" t="s">
        <v>53</v>
      </c>
      <c r="C154" s="2" t="s">
        <v>938</v>
      </c>
      <c r="D154" s="2">
        <v>3.0378415844403399</v>
      </c>
    </row>
    <row r="155" spans="1:4" ht="13" x14ac:dyDescent="0.15">
      <c r="A155" s="2">
        <v>154</v>
      </c>
      <c r="B155" s="2" t="s">
        <v>19</v>
      </c>
      <c r="C155" s="2" t="s">
        <v>938</v>
      </c>
      <c r="D155" s="2">
        <v>6.9906170475014102</v>
      </c>
    </row>
    <row r="156" spans="1:4" ht="13" x14ac:dyDescent="0.15">
      <c r="A156" s="2">
        <v>155</v>
      </c>
      <c r="B156" s="2" t="s">
        <v>46</v>
      </c>
      <c r="C156" s="2" t="s">
        <v>938</v>
      </c>
      <c r="D156" s="2">
        <v>3.9507106203993998</v>
      </c>
    </row>
    <row r="157" spans="1:4" ht="13" x14ac:dyDescent="0.15">
      <c r="A157" s="2">
        <v>156</v>
      </c>
      <c r="B157" s="2" t="s">
        <v>39</v>
      </c>
      <c r="C157" s="2" t="s">
        <v>938</v>
      </c>
      <c r="D157" s="2">
        <v>3.0025189660834601</v>
      </c>
    </row>
    <row r="158" spans="1:4" ht="13" x14ac:dyDescent="0.15">
      <c r="A158" s="2">
        <v>157</v>
      </c>
      <c r="B158" s="2" t="s">
        <v>176</v>
      </c>
      <c r="C158" s="2" t="s">
        <v>938</v>
      </c>
      <c r="D158" s="2">
        <v>0.44444676137350098</v>
      </c>
    </row>
    <row r="159" spans="1:4" ht="13" x14ac:dyDescent="0.15">
      <c r="A159" s="2">
        <v>158</v>
      </c>
      <c r="B159" s="2" t="s">
        <v>116</v>
      </c>
      <c r="C159" s="2" t="s">
        <v>938</v>
      </c>
      <c r="D159" s="2">
        <v>0.37396231669442798</v>
      </c>
    </row>
    <row r="160" spans="1:4" ht="13" x14ac:dyDescent="0.15">
      <c r="A160" s="2">
        <v>159</v>
      </c>
      <c r="B160" s="2" t="s">
        <v>102</v>
      </c>
      <c r="C160" s="2" t="s">
        <v>938</v>
      </c>
      <c r="D160" s="2">
        <v>0.99694491210988401</v>
      </c>
    </row>
    <row r="161" spans="1:4" ht="13" x14ac:dyDescent="0.15">
      <c r="A161" s="2">
        <v>160</v>
      </c>
      <c r="B161" s="2" t="s">
        <v>224</v>
      </c>
      <c r="C161" s="2" t="s">
        <v>938</v>
      </c>
      <c r="D161" s="2">
        <v>0</v>
      </c>
    </row>
    <row r="162" spans="1:4" ht="13" x14ac:dyDescent="0.15">
      <c r="A162" s="2">
        <v>161</v>
      </c>
      <c r="B162" s="2" t="s">
        <v>220</v>
      </c>
      <c r="C162" s="2" t="s">
        <v>938</v>
      </c>
      <c r="D162" s="2">
        <v>0.64650468721771803</v>
      </c>
    </row>
    <row r="163" spans="1:4" ht="13" x14ac:dyDescent="0.15">
      <c r="A163" s="2">
        <v>162</v>
      </c>
      <c r="B163" s="2" t="s">
        <v>167</v>
      </c>
      <c r="C163" s="2" t="s">
        <v>938</v>
      </c>
      <c r="D163" s="2">
        <v>0.22314286290885599</v>
      </c>
    </row>
    <row r="164" spans="1:4" ht="13" x14ac:dyDescent="0.15">
      <c r="A164" s="2">
        <v>163</v>
      </c>
      <c r="B164" s="2" t="s">
        <v>30</v>
      </c>
      <c r="C164" s="2" t="s">
        <v>938</v>
      </c>
      <c r="D164" s="2">
        <v>6.6407430187550904</v>
      </c>
    </row>
    <row r="165" spans="1:4" ht="13" x14ac:dyDescent="0.15">
      <c r="A165" s="2">
        <v>164</v>
      </c>
      <c r="B165" s="2" t="s">
        <v>294</v>
      </c>
      <c r="C165" s="2" t="s">
        <v>938</v>
      </c>
      <c r="D165" s="2">
        <v>0</v>
      </c>
    </row>
    <row r="166" spans="1:4" ht="13" x14ac:dyDescent="0.15">
      <c r="A166" s="2">
        <v>165</v>
      </c>
      <c r="B166" s="2" t="s">
        <v>207</v>
      </c>
      <c r="C166" s="2" t="s">
        <v>938</v>
      </c>
      <c r="D166" s="2">
        <v>0.10676556902302201</v>
      </c>
    </row>
    <row r="167" spans="1:4" ht="13" x14ac:dyDescent="0.15">
      <c r="A167" s="2">
        <v>166</v>
      </c>
      <c r="B167" s="2" t="s">
        <v>293</v>
      </c>
      <c r="C167" s="2" t="s">
        <v>938</v>
      </c>
      <c r="D167" s="2">
        <v>0.28255175946828998</v>
      </c>
    </row>
    <row r="168" spans="1:4" ht="13" x14ac:dyDescent="0.15">
      <c r="A168" s="2">
        <v>167</v>
      </c>
      <c r="B168" s="2" t="s">
        <v>16</v>
      </c>
      <c r="C168" s="2" t="s">
        <v>938</v>
      </c>
      <c r="D168" s="2">
        <v>13.8170249984941</v>
      </c>
    </row>
    <row r="169" spans="1:4" ht="13" x14ac:dyDescent="0.15">
      <c r="A169" s="2">
        <v>168</v>
      </c>
      <c r="B169" s="2" t="s">
        <v>22</v>
      </c>
      <c r="C169" s="2" t="s">
        <v>938</v>
      </c>
      <c r="D169" s="2">
        <v>8.6815318534939401</v>
      </c>
    </row>
    <row r="170" spans="1:4" ht="13" x14ac:dyDescent="0.15">
      <c r="A170" s="2">
        <v>169</v>
      </c>
      <c r="B170" s="2" t="s">
        <v>212</v>
      </c>
      <c r="C170" s="2" t="s">
        <v>938</v>
      </c>
      <c r="D170" s="2">
        <v>2.0781087233213502</v>
      </c>
    </row>
    <row r="171" spans="1:4" ht="13" x14ac:dyDescent="0.15">
      <c r="A171" s="2">
        <v>170</v>
      </c>
      <c r="B171" s="2" t="s">
        <v>228</v>
      </c>
      <c r="C171" s="2" t="s">
        <v>938</v>
      </c>
      <c r="D171" s="2">
        <v>0</v>
      </c>
    </row>
    <row r="172" spans="1:4" ht="13" x14ac:dyDescent="0.15">
      <c r="A172" s="2">
        <v>171</v>
      </c>
      <c r="B172" s="2" t="s">
        <v>930</v>
      </c>
      <c r="C172" s="2" t="s">
        <v>938</v>
      </c>
      <c r="D172" s="2">
        <v>0.279030354985911</v>
      </c>
    </row>
    <row r="173" spans="1:4" ht="13" x14ac:dyDescent="0.15">
      <c r="A173" s="2">
        <v>172</v>
      </c>
      <c r="B173" s="2" t="s">
        <v>211</v>
      </c>
      <c r="C173" s="2" t="s">
        <v>938</v>
      </c>
      <c r="D173" s="2">
        <v>8.2465482246508098E-2</v>
      </c>
    </row>
    <row r="174" spans="1:4" ht="13" x14ac:dyDescent="0.15">
      <c r="A174" s="2">
        <v>173</v>
      </c>
      <c r="B174" s="2" t="s">
        <v>89</v>
      </c>
      <c r="C174" s="2" t="s">
        <v>938</v>
      </c>
      <c r="D174" s="2">
        <v>0.494891127329391</v>
      </c>
    </row>
    <row r="175" spans="1:4" ht="13" x14ac:dyDescent="0.15">
      <c r="A175" s="2">
        <v>174</v>
      </c>
      <c r="B175" s="2" t="s">
        <v>252</v>
      </c>
      <c r="C175" s="2" t="s">
        <v>938</v>
      </c>
      <c r="D175" s="2">
        <v>0</v>
      </c>
    </row>
    <row r="176" spans="1:4" ht="13" x14ac:dyDescent="0.15">
      <c r="A176" s="2">
        <v>175</v>
      </c>
      <c r="B176" s="2" t="s">
        <v>210</v>
      </c>
      <c r="C176" s="2" t="s">
        <v>938</v>
      </c>
      <c r="D176" s="2">
        <v>9.4076916263989702E-2</v>
      </c>
    </row>
    <row r="177" spans="1:4" ht="13" x14ac:dyDescent="0.15">
      <c r="A177" s="2">
        <v>176</v>
      </c>
      <c r="B177" s="2" t="s">
        <v>163</v>
      </c>
      <c r="C177" s="2" t="s">
        <v>938</v>
      </c>
      <c r="D177" s="2">
        <v>0.12096244570817601</v>
      </c>
    </row>
    <row r="178" spans="1:4" ht="13" x14ac:dyDescent="0.15">
      <c r="A178" s="2">
        <v>177</v>
      </c>
      <c r="B178" s="2" t="s">
        <v>234</v>
      </c>
      <c r="C178" s="2" t="s">
        <v>938</v>
      </c>
      <c r="D178" s="2">
        <v>9.7258246469993107E-2</v>
      </c>
    </row>
    <row r="179" spans="1:4" ht="13" x14ac:dyDescent="0.15">
      <c r="A179" s="2">
        <v>178</v>
      </c>
      <c r="B179" s="2" t="s">
        <v>251</v>
      </c>
      <c r="C179" s="2" t="s">
        <v>938</v>
      </c>
      <c r="D179" s="2">
        <v>0</v>
      </c>
    </row>
    <row r="180" spans="1:4" ht="13" x14ac:dyDescent="0.15">
      <c r="A180" s="2">
        <v>179</v>
      </c>
      <c r="B180" s="2" t="s">
        <v>117</v>
      </c>
      <c r="C180" s="2" t="s">
        <v>938</v>
      </c>
      <c r="D180" s="2">
        <v>2.2193086276580498</v>
      </c>
    </row>
    <row r="181" spans="1:4" ht="13" x14ac:dyDescent="0.15">
      <c r="A181" s="2">
        <v>180</v>
      </c>
      <c r="B181" s="2" t="s">
        <v>141</v>
      </c>
      <c r="C181" s="2" t="s">
        <v>938</v>
      </c>
      <c r="D181" s="2">
        <v>0.73097480601602305</v>
      </c>
    </row>
    <row r="182" spans="1:4" ht="13" x14ac:dyDescent="0.15">
      <c r="A182" s="2">
        <v>181</v>
      </c>
      <c r="B182" s="2" t="s">
        <v>25</v>
      </c>
      <c r="C182" s="2" t="s">
        <v>938</v>
      </c>
      <c r="D182" s="2">
        <v>9.0371369782603406</v>
      </c>
    </row>
    <row r="183" spans="1:4" ht="13" x14ac:dyDescent="0.15">
      <c r="A183" s="2">
        <v>182</v>
      </c>
      <c r="B183" s="2" t="s">
        <v>44</v>
      </c>
      <c r="C183" s="2" t="s">
        <v>938</v>
      </c>
      <c r="D183" s="2">
        <v>3.9373078485382802</v>
      </c>
    </row>
    <row r="184" spans="1:4" ht="13" x14ac:dyDescent="0.15">
      <c r="A184" s="2">
        <v>183</v>
      </c>
      <c r="B184" s="2" t="s">
        <v>18</v>
      </c>
      <c r="C184" s="2" t="s">
        <v>938</v>
      </c>
      <c r="D184" s="2">
        <v>7.3309532019588399</v>
      </c>
    </row>
    <row r="185" spans="1:4" ht="13" x14ac:dyDescent="0.15">
      <c r="A185" s="2">
        <v>184</v>
      </c>
      <c r="B185" s="2" t="s">
        <v>243</v>
      </c>
      <c r="C185" s="2" t="s">
        <v>938</v>
      </c>
      <c r="D185" s="2">
        <v>8.94439591693557E-2</v>
      </c>
    </row>
    <row r="186" spans="1:4" ht="13" x14ac:dyDescent="0.15">
      <c r="A186" s="2">
        <v>185</v>
      </c>
      <c r="B186" s="2" t="s">
        <v>307</v>
      </c>
      <c r="C186" s="2" t="s">
        <v>938</v>
      </c>
      <c r="D186" s="2">
        <v>0.21493965578634999</v>
      </c>
    </row>
    <row r="187" spans="1:4" ht="13" x14ac:dyDescent="0.15">
      <c r="A187" s="2">
        <v>186</v>
      </c>
      <c r="B187" s="2" t="s">
        <v>187</v>
      </c>
      <c r="C187" s="2" t="s">
        <v>938</v>
      </c>
      <c r="D187" s="2">
        <v>0.183548795931814</v>
      </c>
    </row>
    <row r="188" spans="1:4" ht="13" x14ac:dyDescent="0.15">
      <c r="A188" s="2">
        <v>187</v>
      </c>
      <c r="B188" s="2" t="s">
        <v>308</v>
      </c>
      <c r="C188" s="2" t="s">
        <v>938</v>
      </c>
      <c r="D188" s="2">
        <v>0</v>
      </c>
    </row>
    <row r="189" spans="1:4" ht="13" x14ac:dyDescent="0.15">
      <c r="A189" s="2">
        <v>188</v>
      </c>
      <c r="B189" s="2" t="s">
        <v>170</v>
      </c>
      <c r="C189" s="2" t="s">
        <v>938</v>
      </c>
      <c r="D189" s="2">
        <v>7.38474260910814E-2</v>
      </c>
    </row>
    <row r="190" spans="1:4" ht="13" x14ac:dyDescent="0.15">
      <c r="A190" s="2">
        <v>189</v>
      </c>
      <c r="B190" s="2" t="s">
        <v>306</v>
      </c>
      <c r="C190" s="2" t="s">
        <v>938</v>
      </c>
      <c r="D190" s="2">
        <v>0</v>
      </c>
    </row>
    <row r="191" spans="1:4" ht="13" x14ac:dyDescent="0.15">
      <c r="A191" s="2">
        <v>190</v>
      </c>
      <c r="B191" s="2" t="s">
        <v>157</v>
      </c>
      <c r="C191" s="2" t="s">
        <v>938</v>
      </c>
      <c r="D191" s="2">
        <v>0</v>
      </c>
    </row>
    <row r="192" spans="1:4" ht="13" x14ac:dyDescent="0.15">
      <c r="A192" s="2">
        <v>191</v>
      </c>
      <c r="B192" s="2" t="s">
        <v>305</v>
      </c>
      <c r="C192" s="2" t="s">
        <v>938</v>
      </c>
      <c r="D192" s="2">
        <v>0</v>
      </c>
    </row>
    <row r="193" spans="1:4" ht="13" x14ac:dyDescent="0.15">
      <c r="A193" s="2">
        <v>192</v>
      </c>
      <c r="B193" s="2" t="s">
        <v>932</v>
      </c>
      <c r="C193" s="2" t="s">
        <v>938</v>
      </c>
      <c r="D193" s="2">
        <v>0.27824879557949</v>
      </c>
    </row>
    <row r="194" spans="1:4" ht="13" x14ac:dyDescent="0.15">
      <c r="A194" s="2">
        <v>193</v>
      </c>
      <c r="B194" s="2" t="s">
        <v>304</v>
      </c>
      <c r="C194" s="2" t="s">
        <v>938</v>
      </c>
      <c r="D194" s="2">
        <v>0</v>
      </c>
    </row>
    <row r="195" spans="1:4" ht="13" x14ac:dyDescent="0.15">
      <c r="A195" s="2">
        <v>194</v>
      </c>
      <c r="B195" s="2" t="s">
        <v>26</v>
      </c>
      <c r="C195" s="2" t="s">
        <v>938</v>
      </c>
      <c r="D195" s="2">
        <v>5.0681362255168798</v>
      </c>
    </row>
    <row r="196" spans="1:4" ht="13" x14ac:dyDescent="0.15">
      <c r="A196" s="2">
        <v>195</v>
      </c>
      <c r="B196" s="2" t="s">
        <v>926</v>
      </c>
      <c r="C196" s="2" t="s">
        <v>938</v>
      </c>
      <c r="D196" s="2">
        <v>100</v>
      </c>
    </row>
    <row r="197" spans="1:4" ht="13" x14ac:dyDescent="0.15">
      <c r="A197" s="2">
        <v>196</v>
      </c>
      <c r="B197" s="2" t="s">
        <v>913</v>
      </c>
      <c r="C197" s="2" t="s">
        <v>938</v>
      </c>
      <c r="D197" s="2">
        <v>9.9039540427755508</v>
      </c>
    </row>
    <row r="198" spans="1:4" ht="13" x14ac:dyDescent="0.15">
      <c r="A198" s="2">
        <v>197</v>
      </c>
      <c r="B198" s="2" t="s">
        <v>215</v>
      </c>
      <c r="C198" s="2" t="s">
        <v>938</v>
      </c>
      <c r="D198" s="2">
        <v>0.68715106001561199</v>
      </c>
    </row>
    <row r="199" spans="1:4" ht="13" x14ac:dyDescent="0.15">
      <c r="A199" s="2">
        <v>198</v>
      </c>
      <c r="B199" s="2" t="s">
        <v>121</v>
      </c>
      <c r="C199" s="2" t="s">
        <v>938</v>
      </c>
      <c r="D199" s="2">
        <v>1.1199336444219301</v>
      </c>
    </row>
    <row r="200" spans="1:4" ht="13" x14ac:dyDescent="0.15">
      <c r="A200" s="2">
        <v>199</v>
      </c>
      <c r="B200" s="2" t="s">
        <v>227</v>
      </c>
      <c r="C200" s="2" t="s">
        <v>938</v>
      </c>
      <c r="D200" s="2">
        <v>0.172962976010446</v>
      </c>
    </row>
    <row r="201" spans="1:4" ht="13" x14ac:dyDescent="0.15">
      <c r="A201" s="2">
        <v>200</v>
      </c>
      <c r="B201" s="2" t="s">
        <v>246</v>
      </c>
      <c r="C201" s="2" t="s">
        <v>938</v>
      </c>
      <c r="D201" s="2">
        <v>0.209640577527266</v>
      </c>
    </row>
    <row r="202" spans="1:4" ht="13" x14ac:dyDescent="0.15">
      <c r="A202" s="2">
        <v>201</v>
      </c>
      <c r="B202" s="2" t="s">
        <v>186</v>
      </c>
      <c r="C202" s="2" t="s">
        <v>938</v>
      </c>
      <c r="D202" s="2">
        <v>1.1142924012822499</v>
      </c>
    </row>
    <row r="203" spans="1:4" ht="13" x14ac:dyDescent="0.15">
      <c r="A203" s="2">
        <v>202</v>
      </c>
      <c r="B203" s="2" t="s">
        <v>189</v>
      </c>
      <c r="C203" s="2" t="s">
        <v>938</v>
      </c>
      <c r="D203" s="2">
        <v>0</v>
      </c>
    </row>
    <row r="204" spans="1:4" ht="13" x14ac:dyDescent="0.15">
      <c r="A204" s="2">
        <v>203</v>
      </c>
      <c r="B204" s="2" t="s">
        <v>166</v>
      </c>
      <c r="C204" s="2" t="s">
        <v>938</v>
      </c>
      <c r="D204" s="2">
        <v>1.2731939216288</v>
      </c>
    </row>
    <row r="205" spans="1:4" ht="13" x14ac:dyDescent="0.15">
      <c r="A205" s="2">
        <v>204</v>
      </c>
      <c r="B205" s="2" t="s">
        <v>255</v>
      </c>
      <c r="C205" s="2" t="s">
        <v>938</v>
      </c>
      <c r="D205" s="2">
        <v>0</v>
      </c>
    </row>
    <row r="206" spans="1:4" ht="13" x14ac:dyDescent="0.15">
      <c r="A206" s="2">
        <v>205</v>
      </c>
      <c r="B206" s="2" t="s">
        <v>177</v>
      </c>
      <c r="C206" s="2" t="s">
        <v>938</v>
      </c>
      <c r="D206" s="2">
        <v>0.28267288973692101</v>
      </c>
    </row>
    <row r="207" spans="1:4" ht="13" x14ac:dyDescent="0.15">
      <c r="A207" s="2">
        <v>206</v>
      </c>
      <c r="B207" s="2" t="s">
        <v>179</v>
      </c>
      <c r="C207" s="2" t="s">
        <v>938</v>
      </c>
      <c r="D207" s="2">
        <v>0.13305649732136701</v>
      </c>
    </row>
    <row r="208" spans="1:4" ht="13" x14ac:dyDescent="0.15">
      <c r="A208" s="2">
        <v>207</v>
      </c>
      <c r="B208" s="2" t="s">
        <v>256</v>
      </c>
      <c r="C208" s="2" t="s">
        <v>938</v>
      </c>
      <c r="D208" s="2">
        <v>0</v>
      </c>
    </row>
    <row r="209" spans="1:4" ht="13" x14ac:dyDescent="0.15">
      <c r="A209" s="2">
        <v>208</v>
      </c>
      <c r="B209" s="2" t="s">
        <v>257</v>
      </c>
      <c r="C209" s="2" t="s">
        <v>938</v>
      </c>
      <c r="D209" s="2">
        <v>0.17636332316680201</v>
      </c>
    </row>
    <row r="210" spans="1:4" ht="13" x14ac:dyDescent="0.15">
      <c r="A210" s="2">
        <v>209</v>
      </c>
      <c r="B210" s="2" t="s">
        <v>79</v>
      </c>
      <c r="C210" s="2" t="s">
        <v>938</v>
      </c>
      <c r="D210" s="2">
        <v>0.55755946853558602</v>
      </c>
    </row>
    <row r="211" spans="1:4" ht="13" x14ac:dyDescent="0.15">
      <c r="A211" s="2">
        <v>210</v>
      </c>
      <c r="B211" s="2" t="s">
        <v>86</v>
      </c>
      <c r="C211" s="2" t="s">
        <v>938</v>
      </c>
      <c r="D211" s="2">
        <v>0.646965587040634</v>
      </c>
    </row>
    <row r="212" spans="1:4" ht="13" x14ac:dyDescent="0.15">
      <c r="A212" s="2">
        <v>211</v>
      </c>
      <c r="B212" s="2" t="s">
        <v>942</v>
      </c>
      <c r="C212" s="2" t="s">
        <v>938</v>
      </c>
      <c r="D212" s="2">
        <v>0.76942670426415605</v>
      </c>
    </row>
    <row r="213" spans="1:4" ht="13" x14ac:dyDescent="0.15">
      <c r="A213" s="2">
        <v>212</v>
      </c>
      <c r="B213" s="2" t="s">
        <v>52</v>
      </c>
      <c r="C213" s="2" t="s">
        <v>938</v>
      </c>
      <c r="D213" s="2">
        <v>2.2562602940642198</v>
      </c>
    </row>
    <row r="214" spans="1:4" ht="13" x14ac:dyDescent="0.15">
      <c r="A214" s="2">
        <v>213</v>
      </c>
      <c r="B214" s="2" t="s">
        <v>241</v>
      </c>
      <c r="C214" s="2" t="s">
        <v>938</v>
      </c>
      <c r="D214" s="2">
        <v>0.96331627360467098</v>
      </c>
    </row>
    <row r="215" spans="1:4" ht="13" x14ac:dyDescent="0.15">
      <c r="A215" s="2">
        <v>214</v>
      </c>
      <c r="B215" s="2" t="s">
        <v>6</v>
      </c>
      <c r="C215" s="2" t="s">
        <v>938</v>
      </c>
      <c r="D215" s="2">
        <v>25.106633247031599</v>
      </c>
    </row>
    <row r="216" spans="1:4" ht="13" x14ac:dyDescent="0.15">
      <c r="A216" s="2">
        <v>215</v>
      </c>
      <c r="B216" s="2" t="s">
        <v>164</v>
      </c>
      <c r="C216" s="2" t="s">
        <v>938</v>
      </c>
      <c r="D216" s="2">
        <v>0.457083693524511</v>
      </c>
    </row>
    <row r="217" spans="1:4" ht="13" x14ac:dyDescent="0.15">
      <c r="A217" s="2">
        <v>216</v>
      </c>
      <c r="B217" s="2" t="s">
        <v>236</v>
      </c>
      <c r="C217" s="2" t="s">
        <v>938</v>
      </c>
      <c r="D217" s="2">
        <v>0</v>
      </c>
    </row>
    <row r="218" spans="1:4" ht="13" x14ac:dyDescent="0.15">
      <c r="A218" s="2">
        <v>217</v>
      </c>
      <c r="B218" s="2" t="s">
        <v>295</v>
      </c>
      <c r="C218" s="2" t="s">
        <v>938</v>
      </c>
      <c r="D218" s="2">
        <v>0.121273338079672</v>
      </c>
    </row>
    <row r="219" spans="1:4" ht="13" x14ac:dyDescent="0.15">
      <c r="A219" s="2">
        <v>218</v>
      </c>
      <c r="B219" s="2" t="s">
        <v>174</v>
      </c>
      <c r="C219" s="2" t="s">
        <v>938</v>
      </c>
      <c r="D219" s="2">
        <v>0</v>
      </c>
    </row>
    <row r="220" spans="1:4" ht="13" x14ac:dyDescent="0.15">
      <c r="A220" s="2">
        <v>219</v>
      </c>
      <c r="B220" s="2" t="s">
        <v>222</v>
      </c>
      <c r="C220" s="2" t="s">
        <v>938</v>
      </c>
      <c r="D220" s="2">
        <v>0.20026033383703901</v>
      </c>
    </row>
    <row r="221" spans="1:4" ht="13" x14ac:dyDescent="0.15">
      <c r="A221" s="2">
        <v>220</v>
      </c>
      <c r="B221" s="2" t="s">
        <v>181</v>
      </c>
      <c r="C221" s="2" t="s">
        <v>938</v>
      </c>
      <c r="D221" s="2">
        <v>0.10923264448238799</v>
      </c>
    </row>
    <row r="222" spans="1:4" ht="13" x14ac:dyDescent="0.15">
      <c r="A222" s="2">
        <v>221</v>
      </c>
      <c r="B222" s="2" t="s">
        <v>300</v>
      </c>
      <c r="C222" s="2" t="s">
        <v>938</v>
      </c>
      <c r="D222" s="2">
        <v>0.15305296518359199</v>
      </c>
    </row>
    <row r="223" spans="1:4" ht="13" x14ac:dyDescent="0.15">
      <c r="A223" s="2">
        <v>222</v>
      </c>
      <c r="B223" s="2" t="s">
        <v>162</v>
      </c>
      <c r="C223" s="2" t="s">
        <v>938</v>
      </c>
      <c r="D223" s="2">
        <v>0.38759728615717998</v>
      </c>
    </row>
    <row r="224" spans="1:4" ht="13" x14ac:dyDescent="0.15">
      <c r="A224" s="2">
        <v>223</v>
      </c>
      <c r="B224" s="2" t="s">
        <v>240</v>
      </c>
      <c r="C224" s="2" t="s">
        <v>938</v>
      </c>
      <c r="D224" s="2">
        <v>0.27225200031819702</v>
      </c>
    </row>
    <row r="225" spans="1:4" ht="13" x14ac:dyDescent="0.15">
      <c r="A225" s="2">
        <v>224</v>
      </c>
      <c r="B225" s="2" t="s">
        <v>226</v>
      </c>
      <c r="C225" s="2" t="s">
        <v>938</v>
      </c>
      <c r="D225" s="2">
        <v>0.54125580155166997</v>
      </c>
    </row>
    <row r="226" spans="1:4" ht="13" x14ac:dyDescent="0.15">
      <c r="A226" s="2">
        <v>225</v>
      </c>
      <c r="B226" s="2" t="s">
        <v>75</v>
      </c>
      <c r="C226" s="2" t="s">
        <v>938</v>
      </c>
      <c r="D226" s="2">
        <v>0.61819691573297597</v>
      </c>
    </row>
    <row r="227" spans="1:4" ht="13" x14ac:dyDescent="0.15">
      <c r="A227" s="2">
        <v>226</v>
      </c>
      <c r="B227" s="2" t="s">
        <v>931</v>
      </c>
      <c r="C227" s="2" t="s">
        <v>938</v>
      </c>
      <c r="D227" s="2">
        <v>0.97750642067956495</v>
      </c>
    </row>
    <row r="228" spans="1:4" ht="13" x14ac:dyDescent="0.15">
      <c r="A228" s="2">
        <v>227</v>
      </c>
      <c r="B228" s="2" t="s">
        <v>148</v>
      </c>
      <c r="C228" s="2" t="s">
        <v>938</v>
      </c>
      <c r="D228" s="2">
        <v>0.29783935556595298</v>
      </c>
    </row>
    <row r="229" spans="1:4" ht="13" x14ac:dyDescent="0.15">
      <c r="A229" s="2">
        <v>228</v>
      </c>
      <c r="B229" s="2" t="s">
        <v>200</v>
      </c>
      <c r="C229" s="2" t="s">
        <v>938</v>
      </c>
      <c r="D229" s="2">
        <v>0.10825707532083401</v>
      </c>
    </row>
    <row r="230" spans="1:4" ht="13" x14ac:dyDescent="0.15">
      <c r="A230" s="2">
        <v>229</v>
      </c>
      <c r="B230" s="2" t="s">
        <v>71</v>
      </c>
      <c r="C230" s="2" t="s">
        <v>938</v>
      </c>
      <c r="D230" s="2">
        <v>3.8364064105503801</v>
      </c>
    </row>
    <row r="231" spans="1:4" ht="13" x14ac:dyDescent="0.15">
      <c r="A231" s="2">
        <v>230</v>
      </c>
      <c r="B231" s="2" t="s">
        <v>190</v>
      </c>
      <c r="C231" s="2" t="s">
        <v>938</v>
      </c>
      <c r="D231" s="2">
        <v>0.141302823297283</v>
      </c>
    </row>
    <row r="232" spans="1:4" ht="13" x14ac:dyDescent="0.15">
      <c r="A232" s="2">
        <v>231</v>
      </c>
      <c r="B232" s="2" t="s">
        <v>172</v>
      </c>
      <c r="C232" s="2" t="s">
        <v>938</v>
      </c>
      <c r="D232" s="2">
        <v>0</v>
      </c>
    </row>
    <row r="233" spans="1:4" ht="13" x14ac:dyDescent="0.15">
      <c r="A233" s="2">
        <v>232</v>
      </c>
      <c r="B233" s="2" t="s">
        <v>225</v>
      </c>
      <c r="C233" s="2" t="s">
        <v>938</v>
      </c>
      <c r="D233" s="2">
        <v>0.134874390943897</v>
      </c>
    </row>
    <row r="234" spans="1:4" ht="13" x14ac:dyDescent="0.15">
      <c r="A234" s="2">
        <v>233</v>
      </c>
      <c r="B234" s="2" t="s">
        <v>99</v>
      </c>
      <c r="C234" s="2" t="s">
        <v>938</v>
      </c>
      <c r="D234" s="2">
        <v>1.93590796746875</v>
      </c>
    </row>
    <row r="235" spans="1:4" ht="13" x14ac:dyDescent="0.15">
      <c r="A235" s="2">
        <v>234</v>
      </c>
      <c r="B235" s="2" t="s">
        <v>51</v>
      </c>
      <c r="C235" s="2" t="s">
        <v>938</v>
      </c>
      <c r="D235" s="2">
        <v>4.2460627582855803</v>
      </c>
    </row>
    <row r="236" spans="1:4" ht="13" x14ac:dyDescent="0.15">
      <c r="A236" s="2">
        <v>235</v>
      </c>
      <c r="B236" s="2" t="s">
        <v>60</v>
      </c>
      <c r="C236" s="2" t="s">
        <v>938</v>
      </c>
      <c r="D236" s="2">
        <v>4.17954060342782</v>
      </c>
    </row>
    <row r="237" spans="1:4" ht="13" x14ac:dyDescent="0.15">
      <c r="A237" s="2">
        <v>236</v>
      </c>
      <c r="B237" s="2" t="s">
        <v>180</v>
      </c>
      <c r="C237" s="2" t="s">
        <v>938</v>
      </c>
      <c r="D237" s="2">
        <v>0.231916985269289</v>
      </c>
    </row>
    <row r="238" spans="1:4" ht="13" x14ac:dyDescent="0.15">
      <c r="A238" s="2">
        <v>237</v>
      </c>
      <c r="B238" s="2" t="s">
        <v>8</v>
      </c>
      <c r="C238" s="2" t="s">
        <v>938</v>
      </c>
      <c r="D238" s="2">
        <v>14.928515995963201</v>
      </c>
    </row>
    <row r="239" spans="1:4" ht="13" x14ac:dyDescent="0.15">
      <c r="A239" s="2">
        <v>238</v>
      </c>
      <c r="B239" s="2" t="s">
        <v>11</v>
      </c>
      <c r="C239" s="2" t="s">
        <v>938</v>
      </c>
      <c r="D239" s="2">
        <v>15.15384566458</v>
      </c>
    </row>
    <row r="240" spans="1:4" ht="13" x14ac:dyDescent="0.15">
      <c r="A240" s="2">
        <v>239</v>
      </c>
      <c r="B240" s="2" t="s">
        <v>194</v>
      </c>
      <c r="C240" s="2" t="s">
        <v>938</v>
      </c>
      <c r="D240" s="2">
        <v>0.17860946536809699</v>
      </c>
    </row>
    <row r="241" spans="1:4" ht="13" x14ac:dyDescent="0.15">
      <c r="A241" s="2">
        <v>240</v>
      </c>
      <c r="B241" s="2" t="s">
        <v>247</v>
      </c>
      <c r="C241" s="2" t="s">
        <v>938</v>
      </c>
      <c r="D241" s="2">
        <v>0.16136326971987</v>
      </c>
    </row>
    <row r="242" spans="1:4" ht="13" x14ac:dyDescent="0.15">
      <c r="A242" s="2">
        <v>241</v>
      </c>
      <c r="B242" s="2" t="s">
        <v>299</v>
      </c>
      <c r="C242" s="2" t="s">
        <v>938</v>
      </c>
      <c r="D242" s="2">
        <v>0.436337455050888</v>
      </c>
    </row>
    <row r="243" spans="1:4" ht="13" x14ac:dyDescent="0.15">
      <c r="A243" s="2">
        <v>242</v>
      </c>
      <c r="B243" s="2" t="s">
        <v>183</v>
      </c>
      <c r="C243" s="2" t="s">
        <v>938</v>
      </c>
      <c r="D243" s="2">
        <v>0</v>
      </c>
    </row>
    <row r="244" spans="1:4" ht="13" x14ac:dyDescent="0.15">
      <c r="A244" s="2">
        <v>243</v>
      </c>
      <c r="B244" s="2" t="s">
        <v>202</v>
      </c>
      <c r="C244" s="2" t="s">
        <v>938</v>
      </c>
      <c r="D244" s="2">
        <v>0</v>
      </c>
    </row>
    <row r="245" spans="1:4" ht="13" x14ac:dyDescent="0.15">
      <c r="A245" s="2">
        <v>244</v>
      </c>
      <c r="B245" s="2" t="s">
        <v>173</v>
      </c>
      <c r="C245" s="2" t="s">
        <v>938</v>
      </c>
      <c r="D245" s="2">
        <v>0.142233570993167</v>
      </c>
    </row>
    <row r="246" spans="1:4" ht="13" x14ac:dyDescent="0.15">
      <c r="A246" s="2">
        <v>245</v>
      </c>
      <c r="B246" s="2" t="s">
        <v>297</v>
      </c>
      <c r="C246" s="2" t="s">
        <v>938</v>
      </c>
      <c r="D246" s="2">
        <v>0</v>
      </c>
    </row>
    <row r="247" spans="1:4" ht="13" x14ac:dyDescent="0.15">
      <c r="A247" s="2">
        <v>246</v>
      </c>
      <c r="B247" s="2" t="s">
        <v>208</v>
      </c>
      <c r="C247" s="2" t="s">
        <v>938</v>
      </c>
      <c r="D247" s="2">
        <v>0.105778359033252</v>
      </c>
    </row>
    <row r="248" spans="1:4" ht="13" x14ac:dyDescent="0.15">
      <c r="A248" s="2">
        <v>247</v>
      </c>
      <c r="B248" s="2" t="s">
        <v>298</v>
      </c>
      <c r="C248" s="2" t="s">
        <v>938</v>
      </c>
      <c r="D248" s="2">
        <v>0</v>
      </c>
    </row>
    <row r="249" spans="1:4" ht="13" x14ac:dyDescent="0.15">
      <c r="A249" s="2">
        <v>248</v>
      </c>
      <c r="B249" s="2" t="s">
        <v>122</v>
      </c>
      <c r="C249" s="2" t="s">
        <v>938</v>
      </c>
      <c r="D249" s="2">
        <v>0.30305006419823399</v>
      </c>
    </row>
    <row r="250" spans="1:4" ht="13" x14ac:dyDescent="0.15">
      <c r="A250" s="2">
        <v>249</v>
      </c>
      <c r="B250" s="2" t="s">
        <v>296</v>
      </c>
      <c r="C250" s="2" t="s">
        <v>938</v>
      </c>
      <c r="D250" s="2">
        <v>0.30697607485698902</v>
      </c>
    </row>
    <row r="251" spans="1:4" ht="13" x14ac:dyDescent="0.15">
      <c r="A251" s="2">
        <v>250</v>
      </c>
      <c r="B251" s="2" t="s">
        <v>4</v>
      </c>
      <c r="C251" s="2" t="s">
        <v>938</v>
      </c>
      <c r="D251" s="2">
        <v>10.847997409546201</v>
      </c>
    </row>
    <row r="252" spans="1:4" ht="13" x14ac:dyDescent="0.15">
      <c r="A252" s="2">
        <v>251</v>
      </c>
      <c r="B252" s="2" t="s">
        <v>302</v>
      </c>
      <c r="C252" s="2" t="s">
        <v>938</v>
      </c>
      <c r="D252" s="2">
        <v>0</v>
      </c>
    </row>
    <row r="253" spans="1:4" ht="13" x14ac:dyDescent="0.15">
      <c r="A253" s="2">
        <v>252</v>
      </c>
      <c r="B253" s="2" t="s">
        <v>14</v>
      </c>
      <c r="C253" s="2" t="s">
        <v>938</v>
      </c>
      <c r="D253" s="2">
        <v>11.1659153714029</v>
      </c>
    </row>
    <row r="254" spans="1:4" ht="13" x14ac:dyDescent="0.15">
      <c r="A254" s="2">
        <v>253</v>
      </c>
      <c r="B254" s="2" t="s">
        <v>87</v>
      </c>
      <c r="C254" s="2" t="s">
        <v>938</v>
      </c>
      <c r="D254" s="2">
        <v>0.198268561708072</v>
      </c>
    </row>
    <row r="255" spans="1:4" ht="13" x14ac:dyDescent="0.15">
      <c r="A255" s="2">
        <v>254</v>
      </c>
      <c r="B255" s="2" t="s">
        <v>43</v>
      </c>
      <c r="C255" s="2" t="s">
        <v>938</v>
      </c>
      <c r="D255" s="2">
        <v>7.9912239718481697</v>
      </c>
    </row>
    <row r="256" spans="1:4" ht="13" x14ac:dyDescent="0.15">
      <c r="A256" s="2">
        <v>255</v>
      </c>
      <c r="B256" s="2" t="s">
        <v>198</v>
      </c>
      <c r="C256" s="2" t="s">
        <v>938</v>
      </c>
      <c r="D256" s="2">
        <v>1.0295659215497599</v>
      </c>
    </row>
    <row r="257" spans="1:4" ht="13" x14ac:dyDescent="0.15">
      <c r="A257" s="2">
        <v>256</v>
      </c>
      <c r="B257" s="2" t="s">
        <v>218</v>
      </c>
      <c r="C257" s="2" t="s">
        <v>938</v>
      </c>
      <c r="D257" s="2">
        <v>0.323936860496158</v>
      </c>
    </row>
    <row r="258" spans="1:4" ht="13" x14ac:dyDescent="0.15">
      <c r="A258" s="2">
        <v>257</v>
      </c>
      <c r="B258" s="2" t="s">
        <v>85</v>
      </c>
      <c r="C258" s="2" t="s">
        <v>938</v>
      </c>
      <c r="D258" s="2">
        <v>1.8064331273202801</v>
      </c>
    </row>
    <row r="259" spans="1:4" ht="13" x14ac:dyDescent="0.15">
      <c r="A259" s="2">
        <v>258</v>
      </c>
      <c r="B259" s="2" t="s">
        <v>59</v>
      </c>
      <c r="C259" s="2" t="s">
        <v>938</v>
      </c>
      <c r="D259" s="2">
        <v>2.5411930488416501</v>
      </c>
    </row>
    <row r="260" spans="1:4" ht="13" x14ac:dyDescent="0.15">
      <c r="A260" s="2">
        <v>259</v>
      </c>
      <c r="B260" s="2" t="s">
        <v>91</v>
      </c>
      <c r="C260" s="2" t="s">
        <v>938</v>
      </c>
      <c r="D260" s="2">
        <v>1.1464770862962499</v>
      </c>
    </row>
    <row r="261" spans="1:4" ht="13" x14ac:dyDescent="0.15">
      <c r="A261" s="2">
        <v>260</v>
      </c>
      <c r="B261" s="2" t="s">
        <v>928</v>
      </c>
      <c r="C261" s="2" t="s">
        <v>938</v>
      </c>
      <c r="D261" s="2">
        <v>1.7846873232652101</v>
      </c>
    </row>
    <row r="262" spans="1:4" ht="13" x14ac:dyDescent="0.15">
      <c r="A262" s="2">
        <v>261</v>
      </c>
      <c r="B262" s="2" t="s">
        <v>17</v>
      </c>
      <c r="C262" s="2" t="s">
        <v>938</v>
      </c>
      <c r="D262" s="2">
        <v>8.1824528893146908</v>
      </c>
    </row>
    <row r="263" spans="1:4" ht="13" x14ac:dyDescent="0.15">
      <c r="A263" s="2">
        <v>262</v>
      </c>
      <c r="B263" s="2" t="s">
        <v>23</v>
      </c>
      <c r="C263" s="2" t="s">
        <v>938</v>
      </c>
      <c r="D263" s="2">
        <v>6.92486460480748</v>
      </c>
    </row>
    <row r="264" spans="1:4" ht="13" x14ac:dyDescent="0.15">
      <c r="A264" s="2">
        <v>263</v>
      </c>
      <c r="B264" s="2" t="s">
        <v>135</v>
      </c>
      <c r="C264" s="2" t="s">
        <v>938</v>
      </c>
      <c r="D264" s="2">
        <v>0.95519570053875602</v>
      </c>
    </row>
    <row r="265" spans="1:4" ht="13" x14ac:dyDescent="0.15">
      <c r="A265" s="2">
        <v>264</v>
      </c>
      <c r="B265" s="2" t="s">
        <v>45</v>
      </c>
      <c r="C265" s="2" t="s">
        <v>938</v>
      </c>
      <c r="D265" s="2">
        <v>7.04025299680087</v>
      </c>
    </row>
    <row r="266" spans="1:4" ht="13" x14ac:dyDescent="0.15">
      <c r="A266" s="2">
        <v>265</v>
      </c>
      <c r="B266" s="2" t="s">
        <v>34</v>
      </c>
      <c r="C266" s="2" t="s">
        <v>938</v>
      </c>
      <c r="D266" s="2">
        <v>7.28602944282368</v>
      </c>
    </row>
    <row r="267" spans="1:4" ht="13" x14ac:dyDescent="0.15">
      <c r="A267" s="2">
        <v>266</v>
      </c>
      <c r="B267" s="2" t="s">
        <v>143</v>
      </c>
      <c r="C267" s="2" t="s">
        <v>938</v>
      </c>
      <c r="D267" s="2">
        <v>0.48125931181227199</v>
      </c>
    </row>
    <row r="268" spans="1:4" ht="13" x14ac:dyDescent="0.15">
      <c r="A268" s="2">
        <v>267</v>
      </c>
      <c r="B268" s="2" t="s">
        <v>214</v>
      </c>
      <c r="C268" s="2" t="s">
        <v>938</v>
      </c>
      <c r="D268" s="2">
        <v>0.34878408453780302</v>
      </c>
    </row>
    <row r="269" spans="1:4" ht="13" x14ac:dyDescent="0.15">
      <c r="A269" s="2">
        <v>268</v>
      </c>
      <c r="B269" s="2" t="s">
        <v>84</v>
      </c>
      <c r="C269" s="2" t="s">
        <v>938</v>
      </c>
      <c r="D269" s="2">
        <v>3.12078187357376</v>
      </c>
    </row>
    <row r="270" spans="1:4" ht="13" x14ac:dyDescent="0.15">
      <c r="A270" s="2">
        <v>269</v>
      </c>
      <c r="B270" s="2" t="s">
        <v>188</v>
      </c>
      <c r="C270" s="2" t="s">
        <v>938</v>
      </c>
      <c r="D270" s="2">
        <v>0.16449137903147901</v>
      </c>
    </row>
    <row r="271" spans="1:4" ht="13" x14ac:dyDescent="0.15">
      <c r="A271" s="2">
        <v>270</v>
      </c>
      <c r="B271" s="2" t="s">
        <v>129</v>
      </c>
      <c r="C271" s="2" t="s">
        <v>938</v>
      </c>
      <c r="D271" s="2">
        <v>0.60467515608031597</v>
      </c>
    </row>
    <row r="272" spans="1:4" ht="13" x14ac:dyDescent="0.15">
      <c r="A272" s="2">
        <v>271</v>
      </c>
      <c r="B272" s="2" t="s">
        <v>131</v>
      </c>
      <c r="C272" s="2" t="s">
        <v>938</v>
      </c>
      <c r="D272" s="2">
        <v>0.610088578998771</v>
      </c>
    </row>
    <row r="273" spans="1:4" ht="13" x14ac:dyDescent="0.15">
      <c r="A273" s="2">
        <v>272</v>
      </c>
      <c r="B273" s="2" t="s">
        <v>185</v>
      </c>
      <c r="C273" s="2" t="s">
        <v>938</v>
      </c>
      <c r="D273" s="2">
        <v>1.0924312604234601</v>
      </c>
    </row>
    <row r="274" spans="1:4" ht="13" x14ac:dyDescent="0.15">
      <c r="A274" s="2">
        <v>273</v>
      </c>
      <c r="B274" s="2" t="s">
        <v>29</v>
      </c>
      <c r="C274" s="2" t="s">
        <v>938</v>
      </c>
      <c r="D274" s="2">
        <v>9.3556413137865704</v>
      </c>
    </row>
    <row r="275" spans="1:4" ht="13" x14ac:dyDescent="0.15">
      <c r="A275" s="2">
        <v>274</v>
      </c>
      <c r="B275" s="2" t="s">
        <v>146</v>
      </c>
      <c r="C275" s="2" t="s">
        <v>938</v>
      </c>
      <c r="D275" s="2">
        <v>0.29516852050957598</v>
      </c>
    </row>
    <row r="276" spans="1:4" ht="13" x14ac:dyDescent="0.15">
      <c r="A276" s="2">
        <v>275</v>
      </c>
      <c r="B276" s="2" t="s">
        <v>106</v>
      </c>
      <c r="C276" s="2" t="s">
        <v>938</v>
      </c>
      <c r="D276" s="2">
        <v>1.7184423739103101</v>
      </c>
    </row>
    <row r="277" spans="1:4" ht="13" x14ac:dyDescent="0.15">
      <c r="A277" s="2">
        <v>276</v>
      </c>
      <c r="B277" s="2" t="s">
        <v>133</v>
      </c>
      <c r="C277" s="2" t="s">
        <v>938</v>
      </c>
      <c r="D277" s="2">
        <v>1.22269276729816</v>
      </c>
    </row>
    <row r="278" spans="1:4" ht="13" x14ac:dyDescent="0.15">
      <c r="A278" s="2">
        <v>277</v>
      </c>
      <c r="B278" s="2" t="s">
        <v>47</v>
      </c>
      <c r="C278" s="2" t="s">
        <v>938</v>
      </c>
      <c r="D278" s="2">
        <v>6.7610831210873803</v>
      </c>
    </row>
    <row r="279" spans="1:4" ht="13" x14ac:dyDescent="0.15">
      <c r="A279" s="2">
        <v>278</v>
      </c>
      <c r="B279" s="2" t="s">
        <v>100</v>
      </c>
      <c r="C279" s="2" t="s">
        <v>938</v>
      </c>
      <c r="D279" s="2">
        <v>1.0819755610139601</v>
      </c>
    </row>
    <row r="280" spans="1:4" ht="13" x14ac:dyDescent="0.15">
      <c r="A280" s="2">
        <v>279</v>
      </c>
      <c r="B280" s="2" t="s">
        <v>242</v>
      </c>
      <c r="C280" s="2" t="s">
        <v>938</v>
      </c>
      <c r="D280" s="2">
        <v>0.826972792561666</v>
      </c>
    </row>
    <row r="281" spans="1:4" ht="13" x14ac:dyDescent="0.15">
      <c r="A281" s="2">
        <v>280</v>
      </c>
      <c r="B281" s="2" t="s">
        <v>61</v>
      </c>
      <c r="C281" s="2" t="s">
        <v>938</v>
      </c>
      <c r="D281" s="2">
        <v>1.2552993612069401</v>
      </c>
    </row>
    <row r="282" spans="1:4" ht="13" x14ac:dyDescent="0.15">
      <c r="A282" s="2">
        <v>281</v>
      </c>
      <c r="B282" s="2" t="s">
        <v>171</v>
      </c>
      <c r="C282" s="2" t="s">
        <v>938</v>
      </c>
      <c r="D282" s="2">
        <v>0.45055795282462302</v>
      </c>
    </row>
    <row r="283" spans="1:4" ht="13" x14ac:dyDescent="0.15">
      <c r="A283" s="2">
        <v>282</v>
      </c>
      <c r="B283" s="2" t="s">
        <v>142</v>
      </c>
      <c r="C283" s="2" t="s">
        <v>938</v>
      </c>
      <c r="D283" s="2">
        <v>2.0063695818016898</v>
      </c>
    </row>
    <row r="284" spans="1:4" ht="13" x14ac:dyDescent="0.15">
      <c r="A284" s="2">
        <v>283</v>
      </c>
      <c r="B284" s="2" t="s">
        <v>74</v>
      </c>
      <c r="C284" s="2" t="s">
        <v>938</v>
      </c>
      <c r="D284" s="2">
        <v>2.2439837571160202</v>
      </c>
    </row>
    <row r="285" spans="1:4" ht="13" x14ac:dyDescent="0.15">
      <c r="A285" s="2">
        <v>284</v>
      </c>
      <c r="B285" s="2" t="s">
        <v>195</v>
      </c>
      <c r="C285" s="2" t="s">
        <v>938</v>
      </c>
      <c r="D285" s="2">
        <v>0.20994369825001499</v>
      </c>
    </row>
    <row r="286" spans="1:4" ht="13" x14ac:dyDescent="0.15">
      <c r="A286" s="2">
        <v>285</v>
      </c>
      <c r="B286" s="2" t="s">
        <v>54</v>
      </c>
      <c r="C286" s="2" t="s">
        <v>938</v>
      </c>
      <c r="D286" s="2">
        <v>2.7925497482664698</v>
      </c>
    </row>
    <row r="287" spans="1:4" ht="13" x14ac:dyDescent="0.15">
      <c r="A287" s="2">
        <v>286</v>
      </c>
      <c r="B287" s="2" t="s">
        <v>137</v>
      </c>
      <c r="C287" s="2" t="s">
        <v>938</v>
      </c>
      <c r="D287" s="2">
        <v>0.24607005939697099</v>
      </c>
    </row>
    <row r="288" spans="1:4" ht="13" x14ac:dyDescent="0.15">
      <c r="A288" s="2">
        <v>287</v>
      </c>
      <c r="B288" s="2" t="s">
        <v>67</v>
      </c>
      <c r="C288" s="2" t="s">
        <v>938</v>
      </c>
      <c r="D288" s="2">
        <v>1.3652166858116399</v>
      </c>
    </row>
    <row r="289" spans="1:4" ht="13" x14ac:dyDescent="0.15">
      <c r="A289" s="2">
        <v>288</v>
      </c>
      <c r="B289" s="2" t="s">
        <v>209</v>
      </c>
      <c r="C289" s="2" t="s">
        <v>938</v>
      </c>
      <c r="D289" s="2">
        <v>0</v>
      </c>
    </row>
    <row r="290" spans="1:4" ht="13" x14ac:dyDescent="0.15">
      <c r="A290" s="2">
        <v>289</v>
      </c>
      <c r="B290" s="2" t="s">
        <v>49</v>
      </c>
      <c r="C290" s="2" t="s">
        <v>938</v>
      </c>
      <c r="D290" s="2">
        <v>0.63808763936093504</v>
      </c>
    </row>
    <row r="291" spans="1:4" ht="13" x14ac:dyDescent="0.15">
      <c r="A291" s="2">
        <v>290</v>
      </c>
      <c r="B291" s="2" t="s">
        <v>12</v>
      </c>
      <c r="C291" s="2" t="s">
        <v>938</v>
      </c>
      <c r="D291" s="2">
        <v>17.504786804464899</v>
      </c>
    </row>
    <row r="292" spans="1:4" ht="13" x14ac:dyDescent="0.15">
      <c r="A292" s="2">
        <v>291</v>
      </c>
      <c r="B292" s="2" t="s">
        <v>245</v>
      </c>
      <c r="C292" s="2" t="s">
        <v>938</v>
      </c>
      <c r="D292" s="2">
        <v>0.59933769660162795</v>
      </c>
    </row>
    <row r="293" spans="1:4" ht="13" x14ac:dyDescent="0.15">
      <c r="A293" s="2">
        <v>292</v>
      </c>
      <c r="B293" s="2" t="s">
        <v>216</v>
      </c>
      <c r="C293" s="2" t="s">
        <v>938</v>
      </c>
      <c r="D293" s="2">
        <v>0.13468748136014799</v>
      </c>
    </row>
    <row r="294" spans="1:4" ht="13" x14ac:dyDescent="0.15">
      <c r="A294" s="2">
        <v>293</v>
      </c>
      <c r="B294" s="2" t="s">
        <v>15</v>
      </c>
      <c r="C294" s="2" t="s">
        <v>938</v>
      </c>
      <c r="D294" s="2">
        <v>10.760432826565699</v>
      </c>
    </row>
    <row r="295" spans="1:4" ht="13" x14ac:dyDescent="0.15">
      <c r="A295" s="2">
        <v>294</v>
      </c>
      <c r="B295" s="2" t="s">
        <v>126</v>
      </c>
      <c r="C295" s="2" t="s">
        <v>938</v>
      </c>
      <c r="D295" s="2">
        <v>0.57244173257123898</v>
      </c>
    </row>
    <row r="296" spans="1:4" ht="13" x14ac:dyDescent="0.15">
      <c r="A296" s="2">
        <v>295</v>
      </c>
      <c r="B296" s="2" t="s">
        <v>175</v>
      </c>
      <c r="C296" s="2" t="s">
        <v>938</v>
      </c>
      <c r="D296" s="2">
        <v>0.49620721499196202</v>
      </c>
    </row>
    <row r="297" spans="1:4" ht="13" x14ac:dyDescent="0.15">
      <c r="A297" s="2">
        <v>296</v>
      </c>
      <c r="B297" s="2" t="s">
        <v>184</v>
      </c>
      <c r="C297" s="2" t="s">
        <v>938</v>
      </c>
      <c r="D297" s="2">
        <v>0</v>
      </c>
    </row>
    <row r="298" spans="1:4" ht="13" x14ac:dyDescent="0.15">
      <c r="A298" s="2">
        <v>297</v>
      </c>
      <c r="B298" s="2" t="s">
        <v>235</v>
      </c>
      <c r="C298" s="2" t="s">
        <v>938</v>
      </c>
      <c r="D298" s="2">
        <v>8.9770718221529794E-2</v>
      </c>
    </row>
    <row r="299" spans="1:4" ht="13" x14ac:dyDescent="0.15">
      <c r="A299" s="2">
        <v>298</v>
      </c>
      <c r="B299" s="2" t="s">
        <v>123</v>
      </c>
      <c r="C299" s="2" t="s">
        <v>938</v>
      </c>
      <c r="D299" s="2">
        <v>0.19668557648600399</v>
      </c>
    </row>
    <row r="300" spans="1:4" ht="13" x14ac:dyDescent="0.15">
      <c r="A300" s="2">
        <v>299</v>
      </c>
      <c r="B300" s="2" t="s">
        <v>233</v>
      </c>
      <c r="C300" s="2" t="s">
        <v>938</v>
      </c>
      <c r="D300" s="2">
        <v>0</v>
      </c>
    </row>
    <row r="301" spans="1:4" ht="13" x14ac:dyDescent="0.15">
      <c r="A301" s="2">
        <v>300</v>
      </c>
      <c r="B301" s="2" t="s">
        <v>201</v>
      </c>
      <c r="C301" s="2" t="s">
        <v>938</v>
      </c>
      <c r="D301" s="2">
        <v>0</v>
      </c>
    </row>
    <row r="302" spans="1:4" ht="13" x14ac:dyDescent="0.15">
      <c r="A302" s="2">
        <v>301</v>
      </c>
      <c r="B302" s="2" t="s">
        <v>125</v>
      </c>
      <c r="C302" s="2" t="s">
        <v>938</v>
      </c>
      <c r="D302" s="2">
        <v>0.54180960042156801</v>
      </c>
    </row>
    <row r="303" spans="1:4" ht="13" x14ac:dyDescent="0.15">
      <c r="A303" s="2">
        <v>302</v>
      </c>
      <c r="B303" s="2" t="s">
        <v>286</v>
      </c>
      <c r="C303" s="2" t="s">
        <v>938</v>
      </c>
      <c r="D303" s="2">
        <v>0</v>
      </c>
    </row>
    <row r="304" spans="1:4" ht="13" x14ac:dyDescent="0.15">
      <c r="A304" s="2">
        <v>303</v>
      </c>
      <c r="B304" s="2" t="s">
        <v>138</v>
      </c>
      <c r="C304" s="2" t="s">
        <v>938</v>
      </c>
      <c r="D304" s="2">
        <v>0.64648197678013297</v>
      </c>
    </row>
    <row r="305" spans="1:4" ht="13" x14ac:dyDescent="0.15">
      <c r="A305" s="2">
        <v>304</v>
      </c>
      <c r="B305" s="2" t="s">
        <v>287</v>
      </c>
      <c r="C305" s="2" t="s">
        <v>938</v>
      </c>
      <c r="D305" s="2">
        <v>0</v>
      </c>
    </row>
    <row r="306" spans="1:4" ht="13" x14ac:dyDescent="0.15">
      <c r="A306" s="2">
        <v>305</v>
      </c>
      <c r="B306" s="2" t="s">
        <v>288</v>
      </c>
      <c r="C306" s="2" t="s">
        <v>938</v>
      </c>
      <c r="D306" s="2">
        <v>0.17404842281793101</v>
      </c>
    </row>
    <row r="307" spans="1:4" ht="13" x14ac:dyDescent="0.15">
      <c r="A307" s="2">
        <v>306</v>
      </c>
      <c r="B307" s="2" t="s">
        <v>182</v>
      </c>
      <c r="C307" s="2" t="s">
        <v>938</v>
      </c>
      <c r="D307" s="2">
        <v>0.22941724791602999</v>
      </c>
    </row>
    <row r="308" spans="1:4" ht="13" x14ac:dyDescent="0.15">
      <c r="A308" s="2">
        <v>307</v>
      </c>
      <c r="B308" s="2" t="s">
        <v>289</v>
      </c>
      <c r="C308" s="2" t="s">
        <v>938</v>
      </c>
      <c r="D308" s="2">
        <v>0.28479989281416102</v>
      </c>
    </row>
    <row r="309" spans="1:4" ht="13" x14ac:dyDescent="0.15">
      <c r="A309" s="2">
        <v>308</v>
      </c>
      <c r="B309" s="2" t="s">
        <v>290</v>
      </c>
      <c r="C309" s="2" t="s">
        <v>938</v>
      </c>
      <c r="D309" s="2">
        <v>0</v>
      </c>
    </row>
    <row r="310" spans="1:4" ht="13" x14ac:dyDescent="0.15">
      <c r="A310" s="2">
        <v>309</v>
      </c>
      <c r="B310" s="2" t="s">
        <v>291</v>
      </c>
      <c r="C310" s="2" t="s">
        <v>938</v>
      </c>
      <c r="D310" s="2">
        <v>0.20302323288249699</v>
      </c>
    </row>
    <row r="311" spans="1:4" ht="13" x14ac:dyDescent="0.15">
      <c r="A311" s="2">
        <v>310</v>
      </c>
      <c r="B311" s="2" t="s">
        <v>151</v>
      </c>
      <c r="C311" s="2" t="s">
        <v>938</v>
      </c>
      <c r="D311" s="2">
        <v>0.30899016437940402</v>
      </c>
    </row>
    <row r="312" spans="1:4" ht="13" x14ac:dyDescent="0.15">
      <c r="A312" s="2">
        <v>311</v>
      </c>
      <c r="B312" s="2" t="s">
        <v>35</v>
      </c>
      <c r="C312" s="2" t="s">
        <v>938</v>
      </c>
      <c r="D312" s="2">
        <v>7.3793685912712901</v>
      </c>
    </row>
    <row r="313" spans="1:4" ht="13" x14ac:dyDescent="0.15">
      <c r="A313" s="2">
        <v>312</v>
      </c>
      <c r="B313" s="2" t="s">
        <v>292</v>
      </c>
      <c r="C313" s="2" t="s">
        <v>938</v>
      </c>
      <c r="D313" s="2">
        <v>8.4308946930591197E-2</v>
      </c>
    </row>
    <row r="314" spans="1:4" ht="13" x14ac:dyDescent="0.15">
      <c r="A314" s="2">
        <v>313</v>
      </c>
      <c r="B314" s="2" t="s">
        <v>231</v>
      </c>
      <c r="C314" s="2" t="s">
        <v>938</v>
      </c>
      <c r="D314" s="2">
        <v>0.35638768299728402</v>
      </c>
    </row>
    <row r="315" spans="1:4" ht="13" x14ac:dyDescent="0.15">
      <c r="A315" s="2">
        <v>314</v>
      </c>
      <c r="B315" s="2" t="s">
        <v>94</v>
      </c>
      <c r="C315" s="2" t="s">
        <v>938</v>
      </c>
      <c r="D315" s="2">
        <v>1.8980661127223999</v>
      </c>
    </row>
    <row r="316" spans="1:4" ht="13" x14ac:dyDescent="0.15">
      <c r="A316" s="2">
        <v>315</v>
      </c>
      <c r="B316" s="2" t="s">
        <v>145</v>
      </c>
      <c r="C316" s="2" t="s">
        <v>938</v>
      </c>
      <c r="D316" s="2">
        <v>0.59917000286831501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25.1640625" customWidth="1"/>
  </cols>
  <sheetData>
    <row r="1" spans="1:3" ht="15.75" customHeight="1" x14ac:dyDescent="0.15">
      <c r="B1" s="22" t="s">
        <v>965</v>
      </c>
    </row>
    <row r="2" spans="1:3" ht="15.75" customHeight="1" x14ac:dyDescent="0.15">
      <c r="A2" s="22" t="s">
        <v>312</v>
      </c>
      <c r="B2" t="s">
        <v>943</v>
      </c>
      <c r="C2" t="s">
        <v>966</v>
      </c>
    </row>
    <row r="3" spans="1:3" ht="15.75" customHeight="1" x14ac:dyDescent="0.15">
      <c r="A3" t="s">
        <v>341</v>
      </c>
      <c r="B3" s="23">
        <v>1.9932126185648167</v>
      </c>
      <c r="C3" s="23">
        <v>0</v>
      </c>
    </row>
    <row r="4" spans="1:3" ht="15.75" customHeight="1" x14ac:dyDescent="0.15">
      <c r="A4" t="s">
        <v>334</v>
      </c>
      <c r="B4" s="23">
        <v>2.4668773707032829</v>
      </c>
      <c r="C4" s="23">
        <v>0</v>
      </c>
    </row>
    <row r="5" spans="1:3" ht="15.75" customHeight="1" x14ac:dyDescent="0.15">
      <c r="A5" t="s">
        <v>379</v>
      </c>
      <c r="B5" s="23">
        <v>2.389012490101595</v>
      </c>
      <c r="C5" s="23">
        <v>0</v>
      </c>
    </row>
    <row r="6" spans="1:3" ht="15.75" customHeight="1" x14ac:dyDescent="0.15">
      <c r="A6" t="s">
        <v>396</v>
      </c>
      <c r="B6" s="23">
        <v>1.5123031264959959</v>
      </c>
      <c r="C6" s="23">
        <v>0</v>
      </c>
    </row>
    <row r="7" spans="1:3" ht="15.75" customHeight="1" x14ac:dyDescent="0.15">
      <c r="A7" t="s">
        <v>325</v>
      </c>
      <c r="B7" s="23">
        <v>1.8782804849731267</v>
      </c>
      <c r="C7" s="23">
        <v>0</v>
      </c>
    </row>
    <row r="8" spans="1:3" ht="15.75" customHeight="1" x14ac:dyDescent="0.15">
      <c r="A8" t="s">
        <v>428</v>
      </c>
      <c r="B8" s="23">
        <v>0.53710589618863369</v>
      </c>
      <c r="C8" s="23">
        <v>0</v>
      </c>
    </row>
    <row r="9" spans="1:3" ht="15.75" customHeight="1" x14ac:dyDescent="0.15">
      <c r="A9" t="s">
        <v>360</v>
      </c>
      <c r="B9" s="23">
        <v>2.8881065434695752</v>
      </c>
      <c r="C9" s="23">
        <v>0</v>
      </c>
    </row>
    <row r="10" spans="1:3" ht="15.75" customHeight="1" x14ac:dyDescent="0.15">
      <c r="A10" t="s">
        <v>344</v>
      </c>
      <c r="B10" s="23">
        <v>1.6464862325336924</v>
      </c>
      <c r="C10" s="23">
        <v>0</v>
      </c>
    </row>
    <row r="11" spans="1:3" ht="15.75" customHeight="1" x14ac:dyDescent="0.15">
      <c r="A11" t="s">
        <v>383</v>
      </c>
      <c r="B11" s="23">
        <v>1.7668316505837902</v>
      </c>
      <c r="C11" s="23">
        <v>0</v>
      </c>
    </row>
    <row r="12" spans="1:3" ht="15.75" customHeight="1" x14ac:dyDescent="0.15">
      <c r="A12" t="s">
        <v>478</v>
      </c>
      <c r="B12" s="23">
        <v>1.8196976464308476</v>
      </c>
      <c r="C12" s="23">
        <v>0</v>
      </c>
    </row>
    <row r="13" spans="1:3" ht="15.75" customHeight="1" x14ac:dyDescent="0.15">
      <c r="A13" t="s">
        <v>317</v>
      </c>
      <c r="B13" s="23">
        <v>54.951977021387776</v>
      </c>
      <c r="C13" s="23">
        <v>0</v>
      </c>
    </row>
    <row r="14" spans="1:3" ht="15.75" customHeight="1" x14ac:dyDescent="0.15">
      <c r="A14" t="s">
        <v>351</v>
      </c>
      <c r="B14" s="23">
        <v>1.4601276611711855</v>
      </c>
      <c r="C14" s="23">
        <v>0</v>
      </c>
    </row>
    <row r="15" spans="1:3" ht="15.75" customHeight="1" x14ac:dyDescent="0.15">
      <c r="A15" t="s">
        <v>322</v>
      </c>
      <c r="B15" s="23">
        <v>5.4990419116812594</v>
      </c>
      <c r="C15" s="23">
        <v>0</v>
      </c>
    </row>
    <row r="16" spans="1:3" ht="15.75" customHeight="1" x14ac:dyDescent="0.15">
      <c r="A16" t="s">
        <v>328</v>
      </c>
      <c r="B16" s="23">
        <v>1.9705238258695701</v>
      </c>
      <c r="C16" s="23">
        <v>0</v>
      </c>
    </row>
    <row r="17" spans="1:3" ht="15.75" customHeight="1" x14ac:dyDescent="0.15">
      <c r="A17" t="s">
        <v>944</v>
      </c>
      <c r="B17" s="23">
        <v>2.4835704065696915</v>
      </c>
      <c r="C1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315</v>
      </c>
      <c r="B2" s="2" t="s">
        <v>316</v>
      </c>
      <c r="C2" s="11"/>
      <c r="D2" s="2">
        <v>100</v>
      </c>
      <c r="E2" s="2" t="s">
        <v>317</v>
      </c>
      <c r="F2" s="11"/>
      <c r="G2" s="2"/>
      <c r="H2" s="2"/>
    </row>
    <row r="3" spans="1:8" ht="15.75" customHeight="1" x14ac:dyDescent="0.15">
      <c r="A3" s="2" t="s">
        <v>372</v>
      </c>
      <c r="B3" s="2" t="str">
        <f ca="1">IFERROR(__xludf.DUMMYFUNCTION("GOOGLETRANSLATE(A3)"),"person gender woman")</f>
        <v>person gender woman</v>
      </c>
      <c r="C3" s="11"/>
      <c r="D3" s="2">
        <v>9.9039540427755508</v>
      </c>
      <c r="E3" s="2" t="s">
        <v>317</v>
      </c>
      <c r="F3" s="11"/>
      <c r="G3" s="2"/>
      <c r="H3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3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319</v>
      </c>
      <c r="B2" s="2" t="s">
        <v>950</v>
      </c>
      <c r="C2" s="11"/>
      <c r="D2" s="2">
        <v>35.485673710635602</v>
      </c>
      <c r="E2" s="2" t="s">
        <v>322</v>
      </c>
      <c r="F2" s="21" t="s">
        <v>951</v>
      </c>
      <c r="G2" s="2"/>
      <c r="H2" s="2"/>
    </row>
    <row r="3" spans="1:8" ht="15.75" customHeight="1" x14ac:dyDescent="0.15">
      <c r="A3" s="2" t="s">
        <v>335</v>
      </c>
      <c r="B3" s="2" t="s">
        <v>336</v>
      </c>
      <c r="C3" s="11"/>
      <c r="D3" s="2">
        <v>20.748949566602999</v>
      </c>
      <c r="E3" s="2" t="s">
        <v>322</v>
      </c>
      <c r="F3" s="11"/>
      <c r="G3" s="2"/>
      <c r="H3" s="2"/>
    </row>
    <row r="4" spans="1:8" ht="15.75" customHeight="1" x14ac:dyDescent="0.15">
      <c r="A4" s="2" t="s">
        <v>361</v>
      </c>
      <c r="B4" s="2" t="str">
        <f ca="1">IFERROR(__xludf.DUMMYFUNCTION("GOOGLETRANSLATE(A4)"),"relationship partner Total days partner")</f>
        <v>relationship partner Total days partner</v>
      </c>
      <c r="C4" s="11"/>
      <c r="D4" s="2">
        <v>12.442484045972501</v>
      </c>
      <c r="E4" s="2" t="s">
        <v>322</v>
      </c>
      <c r="F4" s="11"/>
      <c r="G4" s="2"/>
      <c r="H4" s="2"/>
    </row>
    <row r="5" spans="1:8" ht="15.75" customHeight="1" x14ac:dyDescent="0.15">
      <c r="A5" s="2" t="s">
        <v>364</v>
      </c>
      <c r="B5" s="2" t="str">
        <f ca="1">IFERROR(__xludf.DUMMYFUNCTION("GOOGLETRANSLATE(A5)"),"relationship child age difference parent first child")</f>
        <v>relationship child age difference parent first child</v>
      </c>
      <c r="C5" s="11"/>
      <c r="D5" s="2">
        <v>11.1659153714029</v>
      </c>
      <c r="E5" s="2" t="s">
        <v>322</v>
      </c>
      <c r="F5" s="11"/>
      <c r="G5" s="2"/>
      <c r="H5" s="2"/>
    </row>
    <row r="6" spans="1:8" ht="15.75" customHeight="1" x14ac:dyDescent="0.15">
      <c r="A6" s="2" t="s">
        <v>367</v>
      </c>
      <c r="B6" s="2" t="str">
        <f ca="1">IFERROR(__xludf.DUMMYFUNCTION("GOOGLETRANSLATE(A6)"),"Relationship child current number")</f>
        <v>Relationship child current number</v>
      </c>
      <c r="C6" s="11"/>
      <c r="D6" s="2">
        <v>10.847997409546201</v>
      </c>
      <c r="E6" s="2" t="s">
        <v>322</v>
      </c>
      <c r="F6" s="11"/>
      <c r="G6" s="2"/>
      <c r="H6" s="2"/>
    </row>
    <row r="7" spans="1:8" ht="15.75" customHeight="1" x14ac:dyDescent="0.15">
      <c r="A7" s="2" t="s">
        <v>397</v>
      </c>
      <c r="B7" s="2" t="str">
        <f ca="1">IFERROR(__xludf.DUMMYFUNCTION("GOOGLETRANSLATE(A7)"),"relationship child young adult")</f>
        <v>relationship child young adult</v>
      </c>
      <c r="C7" s="11"/>
      <c r="D7" s="2">
        <v>7.9912239718481697</v>
      </c>
      <c r="E7" s="2" t="s">
        <v>322</v>
      </c>
      <c r="F7" s="11"/>
      <c r="G7" s="2"/>
      <c r="H7" s="2"/>
    </row>
    <row r="8" spans="1:8" ht="15.75" customHeight="1" x14ac:dyDescent="0.15">
      <c r="A8" s="2" t="s">
        <v>408</v>
      </c>
      <c r="B8" s="2" t="str">
        <f ca="1">IFERROR(__xludf.DUMMYFUNCTION("GOOGLETRANSLATE(A8)"),"Relationship Other History Form Other resident")</f>
        <v>Relationship Other History Form Other resident</v>
      </c>
      <c r="C8" s="11" t="s">
        <v>952</v>
      </c>
      <c r="D8" s="2">
        <v>6.9906170475014102</v>
      </c>
      <c r="E8" s="2" t="s">
        <v>322</v>
      </c>
      <c r="F8" s="11"/>
      <c r="G8" s="2"/>
      <c r="H8" s="2"/>
    </row>
    <row r="9" spans="1:8" ht="15.75" customHeight="1" x14ac:dyDescent="0.15">
      <c r="A9" s="2" t="s">
        <v>448</v>
      </c>
      <c r="B9" s="2" t="s">
        <v>449</v>
      </c>
      <c r="C9" s="11"/>
      <c r="D9" s="2">
        <v>3.9507106203993998</v>
      </c>
      <c r="E9" s="2" t="s">
        <v>322</v>
      </c>
      <c r="F9" s="11"/>
      <c r="G9" s="2"/>
      <c r="H9" s="2"/>
    </row>
    <row r="10" spans="1:8" ht="15.75" customHeight="1" x14ac:dyDescent="0.15">
      <c r="A10" s="2" t="s">
        <v>466</v>
      </c>
      <c r="B10" s="2" t="str">
        <f ca="1">IFERROR(__xludf.DUMMYFUNCTION("GOOGLETRANSLATE(A10)"),"Relationship Other Current Form Other")</f>
        <v>Relationship Other Current Form Other</v>
      </c>
      <c r="C10" s="11"/>
      <c r="D10" s="2">
        <v>3.0378415844403399</v>
      </c>
      <c r="E10" s="2" t="s">
        <v>322</v>
      </c>
      <c r="F10" s="11"/>
      <c r="G10" s="2"/>
      <c r="H10" s="2"/>
    </row>
    <row r="11" spans="1:8" ht="15.75" customHeight="1" x14ac:dyDescent="0.15">
      <c r="A11" s="2" t="s">
        <v>467</v>
      </c>
      <c r="B11" s="2" t="s">
        <v>468</v>
      </c>
      <c r="C11" s="11"/>
      <c r="D11" s="2">
        <v>3.0025189660834601</v>
      </c>
      <c r="E11" s="2" t="s">
        <v>322</v>
      </c>
      <c r="F11" s="11"/>
      <c r="G11" s="2"/>
      <c r="H11" s="2"/>
    </row>
    <row r="12" spans="1:8" ht="15.75" customHeight="1" x14ac:dyDescent="0.15">
      <c r="A12" s="2" t="s">
        <v>530</v>
      </c>
      <c r="B12" s="2" t="str">
        <f ca="1">IFERROR(__xludf.DUMMYFUNCTION("GOOGLETRANSLATE(A12)"),"Relationship other administrator")</f>
        <v>Relationship other administrator</v>
      </c>
      <c r="C12" s="11"/>
      <c r="D12" s="2">
        <v>1.33541278196271</v>
      </c>
      <c r="E12" s="2" t="s">
        <v>322</v>
      </c>
      <c r="F12" s="11"/>
      <c r="G12" s="2"/>
      <c r="H12" s="2"/>
    </row>
    <row r="13" spans="1:8" ht="15.75" customHeight="1" x14ac:dyDescent="0.15">
      <c r="A13" s="2" t="s">
        <v>555</v>
      </c>
      <c r="B13" s="2" t="str">
        <f ca="1">IFERROR(__xludf.DUMMYFUNCTION("GOOGLETRANSLATE(A13)"),"Relationship Partner Current Partner Partner Married")</f>
        <v>Relationship Partner Current Partner Partner Married</v>
      </c>
      <c r="C13" s="11"/>
      <c r="D13" s="2">
        <v>1.10108936267979</v>
      </c>
      <c r="E13" s="2" t="s">
        <v>322</v>
      </c>
      <c r="F13" s="11"/>
      <c r="G13" s="2"/>
      <c r="H13" s="2"/>
    </row>
    <row r="14" spans="1:8" ht="15.75" customHeight="1" x14ac:dyDescent="0.15">
      <c r="A14" s="2" t="s">
        <v>564</v>
      </c>
      <c r="B14" s="2" t="str">
        <f ca="1">IFERROR(__xludf.DUMMYFUNCTION("GOOGLETRANSLATE(A14)"),"relationship child teen")</f>
        <v>relationship child teen</v>
      </c>
      <c r="C14" s="11"/>
      <c r="D14" s="2">
        <v>1.0295659215497599</v>
      </c>
      <c r="E14" s="2" t="s">
        <v>322</v>
      </c>
      <c r="F14" s="11"/>
      <c r="G14" s="2"/>
      <c r="H14" s="2"/>
    </row>
    <row r="15" spans="1:8" ht="15.75" customHeight="1" x14ac:dyDescent="0.15">
      <c r="A15" s="2" t="s">
        <v>662</v>
      </c>
      <c r="B15" s="2" t="s">
        <v>663</v>
      </c>
      <c r="C15" s="11"/>
      <c r="D15" s="2">
        <v>0.45426078515181501</v>
      </c>
      <c r="E15" s="2" t="s">
        <v>322</v>
      </c>
      <c r="F15" s="11"/>
      <c r="G15" s="2"/>
      <c r="H15" s="2"/>
    </row>
    <row r="16" spans="1:8" ht="15.75" customHeight="1" x14ac:dyDescent="0.15">
      <c r="A16" s="2" t="s">
        <v>667</v>
      </c>
      <c r="B16" s="2" t="str">
        <f ca="1">IFERROR(__xludf.DUMMYFUNCTION("GOOGLETRANSLATE(A16)"),"Relationship Other History Form maintenance person")</f>
        <v>Relationship Other History Form maintenance person</v>
      </c>
      <c r="C16" s="11"/>
      <c r="D16" s="2">
        <v>0.44444676137350098</v>
      </c>
      <c r="E16" s="2" t="s">
        <v>322</v>
      </c>
      <c r="F16" s="11"/>
      <c r="G16" s="2"/>
      <c r="H16" s="2"/>
    </row>
    <row r="17" spans="1:8" ht="15.75" customHeight="1" x14ac:dyDescent="0.15">
      <c r="A17" s="2" t="s">
        <v>693</v>
      </c>
      <c r="B17" s="2" t="str">
        <f ca="1">IFERROR(__xludf.DUMMYFUNCTION("GOOGLETRANSLATE(A17)"),"relationship child adult")</f>
        <v>relationship child adult</v>
      </c>
      <c r="C17" s="11"/>
      <c r="D17" s="2">
        <v>0.323936860496158</v>
      </c>
      <c r="E17" s="2" t="s">
        <v>322</v>
      </c>
      <c r="F17" s="11"/>
      <c r="G17" s="2"/>
      <c r="H17" s="2"/>
    </row>
    <row r="18" spans="1:8" ht="15.75" customHeight="1" x14ac:dyDescent="0.15">
      <c r="A18" s="2" t="s">
        <v>728</v>
      </c>
      <c r="B18" s="2" t="str">
        <f ca="1">IFERROR(__xludf.DUMMYFUNCTION("GOOGLETRANSLATE(A18)"),"Relationship Other Current Form Parents Carers")</f>
        <v>Relationship Other Current Form Parents Carers</v>
      </c>
      <c r="C18" s="11" t="s">
        <v>729</v>
      </c>
      <c r="D18" s="2">
        <v>0.24382869597058601</v>
      </c>
      <c r="E18" s="2" t="s">
        <v>322</v>
      </c>
      <c r="F18" s="11"/>
      <c r="G18" s="2"/>
      <c r="H18" s="2"/>
    </row>
    <row r="19" spans="1:8" ht="15.75" customHeight="1" x14ac:dyDescent="0.15">
      <c r="A19" s="2" t="s">
        <v>748</v>
      </c>
      <c r="B19" s="2" t="str">
        <f ca="1">IFERROR(__xludf.DUMMYFUNCTION("GOOGLETRANSLATE(A19)"),"relationship child primary school child")</f>
        <v>relationship child primary school child</v>
      </c>
      <c r="C19" s="11"/>
      <c r="D19" s="2">
        <v>0.198268561708072</v>
      </c>
      <c r="E19" s="2" t="s">
        <v>322</v>
      </c>
      <c r="F19" s="11"/>
      <c r="G19" s="2"/>
      <c r="H19" s="2"/>
    </row>
    <row r="20" spans="1:8" ht="15.75" customHeight="1" x14ac:dyDescent="0.15">
      <c r="A20" s="2" t="s">
        <v>791</v>
      </c>
      <c r="B20" s="2" t="s">
        <v>792</v>
      </c>
      <c r="C20" s="11"/>
      <c r="D20" s="2">
        <v>0.100737398212232</v>
      </c>
      <c r="E20" s="2" t="s">
        <v>322</v>
      </c>
      <c r="F20" s="11"/>
      <c r="G20" s="2"/>
      <c r="H20" s="2"/>
    </row>
    <row r="21" spans="1:8" ht="15.75" customHeight="1" x14ac:dyDescent="0.15">
      <c r="A21" s="2" t="s">
        <v>814</v>
      </c>
      <c r="B21" s="2" t="str">
        <f ca="1">IFERROR(__xludf.DUMMYFUNCTION("GOOGLETRANSLATE(A21)"),"Relationship Other Current Form maintenance person")</f>
        <v>Relationship Other Current Form maintenance person</v>
      </c>
      <c r="C21" s="11"/>
      <c r="D21" s="2">
        <v>8.3442633450062406E-2</v>
      </c>
      <c r="E21" s="2" t="s">
        <v>322</v>
      </c>
      <c r="F21" s="11"/>
      <c r="G21" s="2"/>
      <c r="H21" s="2"/>
    </row>
    <row r="22" spans="1:8" ht="15.75" customHeight="1" x14ac:dyDescent="0.15">
      <c r="A22" s="2" t="s">
        <v>894</v>
      </c>
      <c r="B22" s="2" t="str">
        <f ca="1">IFERROR(__xludf.DUMMYFUNCTION("GOOGLETRANSLATE(A22)"),"relationship child has children")</f>
        <v>relationship child has children</v>
      </c>
      <c r="C22" s="11"/>
      <c r="D22" s="2">
        <v>0</v>
      </c>
      <c r="E22" s="2" t="s">
        <v>322</v>
      </c>
      <c r="F22" s="11"/>
      <c r="G22" s="2"/>
      <c r="H22" s="2"/>
    </row>
    <row r="23" spans="1:8" ht="15.75" customHeight="1" x14ac:dyDescent="0.15">
      <c r="A23" s="2" t="s">
        <v>896</v>
      </c>
      <c r="B23" s="2" t="str">
        <f ca="1">IFERROR(__xludf.DUMMYFUNCTION("GOOGLETRANSLATE(A23)"),"Relationship Other Current Form authorized representative")</f>
        <v>Relationship Other Current Form authorized representative</v>
      </c>
      <c r="C23" s="11"/>
      <c r="D23" s="2">
        <v>0</v>
      </c>
      <c r="E23" s="2" t="s">
        <v>322</v>
      </c>
      <c r="F23" s="11"/>
      <c r="G23" s="2"/>
      <c r="H23" s="2"/>
    </row>
  </sheetData>
  <hyperlinks>
    <hyperlink ref="F2" r:id="rId1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9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326</v>
      </c>
      <c r="B2" s="2" t="s">
        <v>915</v>
      </c>
      <c r="C2" s="11"/>
      <c r="D2" s="2">
        <v>25.106633247031599</v>
      </c>
      <c r="E2" s="2" t="s">
        <v>328</v>
      </c>
      <c r="F2" s="11"/>
      <c r="G2" s="2"/>
      <c r="H2" s="2"/>
    </row>
    <row r="3" spans="1:8" ht="15.75" customHeight="1" x14ac:dyDescent="0.15">
      <c r="A3" s="2" t="s">
        <v>489</v>
      </c>
      <c r="B3" s="2" t="s">
        <v>490</v>
      </c>
      <c r="C3" s="11"/>
      <c r="D3" s="2">
        <v>2.2562602940642198</v>
      </c>
      <c r="E3" s="2" t="s">
        <v>328</v>
      </c>
      <c r="F3" s="11"/>
      <c r="G3" s="2"/>
      <c r="H3" s="2"/>
    </row>
    <row r="4" spans="1:8" ht="15.75" customHeight="1" x14ac:dyDescent="0.15">
      <c r="A4" s="2" t="s">
        <v>536</v>
      </c>
      <c r="B4" s="2" t="s">
        <v>537</v>
      </c>
      <c r="C4" s="11"/>
      <c r="D4" s="2">
        <v>1.2731939216288</v>
      </c>
      <c r="E4" s="2" t="s">
        <v>328</v>
      </c>
      <c r="F4" s="11"/>
      <c r="G4" s="2"/>
      <c r="H4" s="2"/>
    </row>
    <row r="5" spans="1:8" ht="15.75" customHeight="1" x14ac:dyDescent="0.15">
      <c r="A5" s="2" t="s">
        <v>550</v>
      </c>
      <c r="B5" s="2" t="s">
        <v>551</v>
      </c>
      <c r="C5" s="11"/>
      <c r="D5" s="2">
        <v>1.1199336444219301</v>
      </c>
      <c r="E5" s="2" t="s">
        <v>328</v>
      </c>
      <c r="F5" s="11"/>
      <c r="G5" s="2"/>
      <c r="H5" s="2"/>
    </row>
    <row r="6" spans="1:8" ht="15.75" customHeight="1" x14ac:dyDescent="0.15">
      <c r="A6" s="2" t="s">
        <v>552</v>
      </c>
      <c r="B6" s="2" t="s">
        <v>553</v>
      </c>
      <c r="C6" s="11"/>
      <c r="D6" s="2">
        <v>1.1142924012822499</v>
      </c>
      <c r="E6" s="2" t="s">
        <v>328</v>
      </c>
      <c r="F6" s="11"/>
      <c r="G6" s="2"/>
      <c r="H6" s="2"/>
    </row>
    <row r="7" spans="1:8" ht="15.75" customHeight="1" x14ac:dyDescent="0.15">
      <c r="A7" s="2" t="s">
        <v>577</v>
      </c>
      <c r="B7" s="2" t="str">
        <f ca="1">IFERROR(__xludf.DUMMYFUNCTION("GOOGLETRANSLATE(A7)"),"Competence collaboration and consultation")</f>
        <v>Competence collaboration and consultation</v>
      </c>
      <c r="C7" s="11"/>
      <c r="D7" s="2">
        <v>0.96331627360467098</v>
      </c>
      <c r="E7" s="2" t="s">
        <v>328</v>
      </c>
      <c r="F7" s="11"/>
      <c r="G7" s="2"/>
      <c r="H7" s="2"/>
    </row>
    <row r="8" spans="1:8" ht="15.75" customHeight="1" x14ac:dyDescent="0.15">
      <c r="A8" s="2" t="s">
        <v>583</v>
      </c>
      <c r="B8" s="2" t="s">
        <v>584</v>
      </c>
      <c r="C8" s="11"/>
      <c r="D8" s="2">
        <v>0.76942670426415605</v>
      </c>
      <c r="E8" s="2" t="s">
        <v>328</v>
      </c>
      <c r="F8" s="11"/>
      <c r="G8" s="2"/>
      <c r="H8" s="2"/>
    </row>
    <row r="9" spans="1:8" ht="15.75" customHeight="1" x14ac:dyDescent="0.15">
      <c r="A9" s="2" t="s">
        <v>595</v>
      </c>
      <c r="B9" s="2" t="s">
        <v>596</v>
      </c>
      <c r="C9" s="11"/>
      <c r="D9" s="2">
        <v>0.68715106001561199</v>
      </c>
      <c r="E9" s="2" t="s">
        <v>328</v>
      </c>
      <c r="F9" s="11"/>
      <c r="G9" s="2"/>
      <c r="H9" s="2"/>
    </row>
    <row r="10" spans="1:8" ht="15.75" customHeight="1" x14ac:dyDescent="0.15">
      <c r="A10" s="2" t="s">
        <v>600</v>
      </c>
      <c r="B10" s="2" t="str">
        <f ca="1">IFERROR(__xludf.DUMMYFUNCTION("GOOGLETRANSLATE(A10)"),"competence other")</f>
        <v>competence other</v>
      </c>
      <c r="C10" s="11"/>
      <c r="D10" s="2">
        <v>0.646965587040634</v>
      </c>
      <c r="E10" s="2" t="s">
        <v>328</v>
      </c>
      <c r="F10" s="11"/>
      <c r="G10" s="2"/>
      <c r="H10" s="2"/>
    </row>
    <row r="11" spans="1:8" ht="15.75" customHeight="1" x14ac:dyDescent="0.15">
      <c r="A11" s="2" t="s">
        <v>631</v>
      </c>
      <c r="B11" s="2" t="s">
        <v>632</v>
      </c>
      <c r="C11" s="11"/>
      <c r="D11" s="2">
        <v>0.55755946853558602</v>
      </c>
      <c r="E11" s="2" t="s">
        <v>328</v>
      </c>
      <c r="F11" s="11"/>
      <c r="G11" s="2"/>
      <c r="H11" s="2"/>
    </row>
    <row r="12" spans="1:8" ht="15.75" customHeight="1" x14ac:dyDescent="0.15">
      <c r="A12" s="2" t="s">
        <v>709</v>
      </c>
      <c r="B12" s="2" t="s">
        <v>710</v>
      </c>
      <c r="C12" s="11"/>
      <c r="D12" s="2">
        <v>0.28267288973692101</v>
      </c>
      <c r="E12" s="2" t="s">
        <v>328</v>
      </c>
      <c r="F12" s="11"/>
      <c r="G12" s="2"/>
      <c r="H12" s="2"/>
    </row>
    <row r="13" spans="1:8" ht="15.75" customHeight="1" x14ac:dyDescent="0.15">
      <c r="A13" s="2" t="s">
        <v>741</v>
      </c>
      <c r="B13" s="2" t="s">
        <v>742</v>
      </c>
      <c r="C13" s="11"/>
      <c r="D13" s="2">
        <v>0.209640577527266</v>
      </c>
      <c r="E13" s="2" t="s">
        <v>328</v>
      </c>
      <c r="F13" s="11"/>
      <c r="G13" s="2"/>
      <c r="H13" s="2"/>
    </row>
    <row r="14" spans="1:8" ht="15.75" customHeight="1" x14ac:dyDescent="0.15">
      <c r="A14" s="2" t="s">
        <v>757</v>
      </c>
      <c r="B14" s="2" t="s">
        <v>758</v>
      </c>
      <c r="C14" s="11"/>
      <c r="D14" s="2">
        <v>0.17636332316680201</v>
      </c>
      <c r="E14" s="2" t="s">
        <v>328</v>
      </c>
      <c r="F14" s="11"/>
      <c r="G14" s="2"/>
      <c r="H14" s="2"/>
    </row>
    <row r="15" spans="1:8" ht="15.75" customHeight="1" x14ac:dyDescent="0.15">
      <c r="A15" s="2" t="s">
        <v>760</v>
      </c>
      <c r="B15" s="2" t="str">
        <f ca="1">IFERROR(__xludf.DUMMYFUNCTION("GOOGLETRANSLATE(A15)"),"Competence ethical and honest action")</f>
        <v>Competence ethical and honest action</v>
      </c>
      <c r="C15" s="11"/>
      <c r="D15" s="2">
        <v>0.172962976010446</v>
      </c>
      <c r="E15" s="2" t="s">
        <v>328</v>
      </c>
      <c r="F15" s="11"/>
      <c r="G15" s="2"/>
      <c r="H15" s="2"/>
    </row>
    <row r="16" spans="1:8" ht="15.75" customHeight="1" x14ac:dyDescent="0.15">
      <c r="A16" s="2" t="s">
        <v>775</v>
      </c>
      <c r="B16" s="2" t="s">
        <v>776</v>
      </c>
      <c r="C16" s="11"/>
      <c r="D16" s="2">
        <v>0.13305649732136701</v>
      </c>
      <c r="E16" s="2" t="s">
        <v>328</v>
      </c>
      <c r="F16" s="11"/>
      <c r="G16" s="2"/>
      <c r="H16" s="2"/>
    </row>
    <row r="17" spans="1:8" ht="15.75" customHeight="1" x14ac:dyDescent="0.15">
      <c r="A17" s="2" t="s">
        <v>838</v>
      </c>
      <c r="B17" s="2" t="str">
        <f ca="1">IFERROR(__xludf.DUMMYFUNCTION("GOOGLETRANSLATE(A17)"),"competence dealing with change and adjustment")</f>
        <v>competence dealing with change and adjustment</v>
      </c>
      <c r="C17" s="11"/>
      <c r="D17" s="2">
        <v>0</v>
      </c>
      <c r="E17" s="2" t="s">
        <v>328</v>
      </c>
      <c r="F17" s="11"/>
      <c r="G17" s="2"/>
      <c r="H17" s="2"/>
    </row>
    <row r="18" spans="1:8" ht="15.75" customHeight="1" x14ac:dyDescent="0.15">
      <c r="A18" s="2" t="s">
        <v>834</v>
      </c>
      <c r="B18" s="2" t="s">
        <v>835</v>
      </c>
      <c r="C18" s="11"/>
      <c r="D18" s="2">
        <v>0</v>
      </c>
      <c r="E18" s="2" t="s">
        <v>328</v>
      </c>
      <c r="F18" s="11"/>
      <c r="G18" s="2"/>
      <c r="H18" s="2"/>
    </row>
    <row r="19" spans="1:8" ht="15.75" customHeight="1" x14ac:dyDescent="0.15">
      <c r="A19" s="2" t="s">
        <v>836</v>
      </c>
      <c r="B19" s="2" t="s">
        <v>837</v>
      </c>
      <c r="C19" s="11"/>
      <c r="D19" s="2">
        <v>0</v>
      </c>
      <c r="E19" s="2" t="s">
        <v>328</v>
      </c>
      <c r="F19" s="11"/>
      <c r="G19" s="2"/>
      <c r="H19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85"/>
  <sheetViews>
    <sheetView workbookViewId="0"/>
  </sheetViews>
  <sheetFormatPr baseColWidth="10" defaultColWidth="12.6640625" defaultRowHeight="15.75" customHeight="1" x14ac:dyDescent="0.15"/>
  <cols>
    <col min="1" max="1" width="39.1640625" customWidth="1"/>
    <col min="2" max="2" width="54.83203125" customWidth="1"/>
    <col min="3" max="3" width="23.1640625" customWidth="1"/>
    <col min="4" max="4" width="18.5" customWidth="1"/>
    <col min="5" max="5" width="24" customWidth="1"/>
    <col min="6" max="6" width="32.6640625" customWidth="1"/>
  </cols>
  <sheetData>
    <row r="1" spans="1:8" ht="15.75" customHeight="1" x14ac:dyDescent="0.15">
      <c r="A1" s="1" t="s">
        <v>945</v>
      </c>
      <c r="B1" s="1" t="s">
        <v>946</v>
      </c>
      <c r="C1" s="13" t="s">
        <v>947</v>
      </c>
      <c r="D1" s="1" t="s">
        <v>948</v>
      </c>
      <c r="E1" s="1" t="s">
        <v>312</v>
      </c>
      <c r="F1" s="13" t="s">
        <v>313</v>
      </c>
      <c r="G1" s="1" t="s">
        <v>314</v>
      </c>
      <c r="H1" s="1" t="s">
        <v>949</v>
      </c>
    </row>
    <row r="2" spans="1:8" ht="15.75" customHeight="1" x14ac:dyDescent="0.15">
      <c r="A2" s="2" t="s">
        <v>323</v>
      </c>
      <c r="B2" s="2" t="s">
        <v>324</v>
      </c>
      <c r="C2" s="11"/>
      <c r="D2" s="2">
        <v>27.874801535345402</v>
      </c>
      <c r="E2" s="2" t="s">
        <v>325</v>
      </c>
      <c r="F2" s="11"/>
      <c r="G2" s="2"/>
      <c r="H2" s="2"/>
    </row>
    <row r="3" spans="1:8" ht="15.75" customHeight="1" x14ac:dyDescent="0.15">
      <c r="A3" s="2" t="s">
        <v>329</v>
      </c>
      <c r="B3" s="2" t="s">
        <v>953</v>
      </c>
      <c r="C3" s="11"/>
      <c r="D3" s="2">
        <v>24.101367423066002</v>
      </c>
      <c r="E3" s="2" t="s">
        <v>325</v>
      </c>
      <c r="F3" s="11"/>
      <c r="G3" s="2"/>
      <c r="H3" s="2"/>
    </row>
    <row r="4" spans="1:8" ht="15.75" customHeight="1" x14ac:dyDescent="0.15">
      <c r="A4" s="2" t="s">
        <v>346</v>
      </c>
      <c r="B4" s="2" t="s">
        <v>347</v>
      </c>
      <c r="C4" s="11"/>
      <c r="D4" s="2">
        <v>15.4138352665776</v>
      </c>
      <c r="E4" s="2" t="s">
        <v>325</v>
      </c>
      <c r="F4" s="11"/>
      <c r="G4" s="2"/>
      <c r="H4" s="2"/>
    </row>
    <row r="5" spans="1:8" ht="15.75" customHeight="1" x14ac:dyDescent="0.15">
      <c r="A5" s="2" t="s">
        <v>411</v>
      </c>
      <c r="B5" s="2" t="str">
        <f ca="1">IFERROR(__xludf.DUMMYFUNCTION("GOOGLETRANSLATE(A5)"),"Contacts Type of document Incoming")</f>
        <v>Contacts Type of document Incoming</v>
      </c>
      <c r="C5" s="11"/>
      <c r="D5" s="2">
        <v>6.7875919525693602</v>
      </c>
      <c r="E5" s="2" t="s">
        <v>325</v>
      </c>
      <c r="F5" s="11"/>
      <c r="G5" s="2"/>
      <c r="H5" s="2"/>
    </row>
    <row r="6" spans="1:8" ht="15.75" customHeight="1" x14ac:dyDescent="0.15">
      <c r="A6" s="2" t="s">
        <v>419</v>
      </c>
      <c r="B6" s="2" t="str">
        <f ca="1">IFERROR(__xludf.DUMMYFUNCTION("GOOGLETRANSLATE(A6)"),"Contacts Subject Document Type Agreement")</f>
        <v>Contacts Subject Document Type Agreement</v>
      </c>
      <c r="C6" s="11"/>
      <c r="D6" s="2">
        <v>6.4135271224320203</v>
      </c>
      <c r="E6" s="2" t="s">
        <v>325</v>
      </c>
      <c r="F6" s="11"/>
      <c r="G6" s="2"/>
      <c r="H6" s="2"/>
    </row>
    <row r="7" spans="1:8" ht="15.75" customHeight="1" x14ac:dyDescent="0.15">
      <c r="A7" s="2" t="s">
        <v>423</v>
      </c>
      <c r="B7" s="2" t="str">
        <f ca="1">IFERROR(__xludf.DUMMYFUNCTION("GOOGLETRANSLATE(A7)"),"Contacts Subject Income")</f>
        <v>Contacts Subject Income</v>
      </c>
      <c r="C7" s="11"/>
      <c r="D7" s="2">
        <v>5.2877337151271497</v>
      </c>
      <c r="E7" s="2" t="s">
        <v>325</v>
      </c>
      <c r="F7" s="11"/>
      <c r="G7" s="2"/>
      <c r="H7" s="2"/>
    </row>
    <row r="8" spans="1:8" ht="15.75" customHeight="1" x14ac:dyDescent="0.15">
      <c r="A8" s="2" t="s">
        <v>434</v>
      </c>
      <c r="B8" s="2" t="str">
        <f ca="1">IFERROR(__xludf.DUMMYFUNCTION("GOOGLETRANSLATE(A8)"),"Contacts Type Document outgoing")</f>
        <v>Contacts Type Document outgoing</v>
      </c>
      <c r="C8" s="11"/>
      <c r="D8" s="2">
        <v>4.4334551895357697</v>
      </c>
      <c r="E8" s="2" t="s">
        <v>325</v>
      </c>
      <c r="F8" s="11"/>
      <c r="G8" s="2"/>
      <c r="H8" s="2"/>
    </row>
    <row r="9" spans="1:8" ht="15.75" customHeight="1" x14ac:dyDescent="0.15">
      <c r="A9" s="2" t="s">
        <v>443</v>
      </c>
      <c r="B9" s="2" t="str">
        <f ca="1">IFERROR(__xludf.DUMMYFUNCTION("GOOGLETRANSLATE(A9)"),"Contacts Subject Work Intake")</f>
        <v>Contacts Subject Work Intake</v>
      </c>
      <c r="C9" s="11"/>
      <c r="D9" s="2">
        <v>4.0904419027201904</v>
      </c>
      <c r="E9" s="2" t="s">
        <v>325</v>
      </c>
      <c r="F9" s="11"/>
      <c r="G9" s="2"/>
      <c r="H9" s="2"/>
    </row>
    <row r="10" spans="1:8" ht="15.75" customHeight="1" x14ac:dyDescent="0.15">
      <c r="A10" s="2" t="s">
        <v>445</v>
      </c>
      <c r="B10" s="2" t="s">
        <v>954</v>
      </c>
      <c r="C10" s="11"/>
      <c r="D10" s="2">
        <v>4.0162836688298604</v>
      </c>
      <c r="E10" s="2" t="s">
        <v>325</v>
      </c>
      <c r="F10" s="11"/>
      <c r="G10" s="2"/>
      <c r="H10" s="2"/>
    </row>
    <row r="11" spans="1:8" ht="15.75" customHeight="1" x14ac:dyDescent="0.15">
      <c r="A11" s="2" t="s">
        <v>458</v>
      </c>
      <c r="B11" s="2" t="str">
        <f ca="1">IFERROR(__xludf.DUMMYFUNCTION("GOOGLETRANSLATE(A11)"),"Contacts Subject Other")</f>
        <v>Contacts Subject Other</v>
      </c>
      <c r="C11" s="11"/>
      <c r="D11" s="2">
        <v>3.49066301271841</v>
      </c>
      <c r="E11" s="2" t="s">
        <v>325</v>
      </c>
      <c r="F11" s="11"/>
      <c r="G11" s="2"/>
      <c r="H11" s="2"/>
    </row>
    <row r="12" spans="1:8" ht="15.75" customHeight="1" x14ac:dyDescent="0.15">
      <c r="A12" s="2" t="s">
        <v>459</v>
      </c>
      <c r="B12" s="2" t="str">
        <f ca="1">IFERROR(__xludf.DUMMYFUNCTION("GOOGLETRANSLATE(A12)"),"Contacts Subject Finance Situation")</f>
        <v>Contacts Subject Finance Situation</v>
      </c>
      <c r="C12" s="11"/>
      <c r="D12" s="2">
        <v>3.3198268158737099</v>
      </c>
      <c r="E12" s="2" t="s">
        <v>325</v>
      </c>
      <c r="F12" s="11"/>
      <c r="G12" s="2"/>
      <c r="H12" s="2"/>
    </row>
    <row r="13" spans="1:8" ht="15.75" customHeight="1" x14ac:dyDescent="0.15">
      <c r="A13" s="2" t="s">
        <v>460</v>
      </c>
      <c r="B13" s="2" t="s">
        <v>461</v>
      </c>
      <c r="C13" s="11"/>
      <c r="D13" s="2">
        <v>3.2590095158897601</v>
      </c>
      <c r="E13" s="2" t="s">
        <v>325</v>
      </c>
      <c r="F13" s="11"/>
      <c r="G13" s="2"/>
      <c r="H13" s="2"/>
    </row>
    <row r="14" spans="1:8" ht="15.75" customHeight="1" x14ac:dyDescent="0.15">
      <c r="A14" s="2" t="s">
        <v>471</v>
      </c>
      <c r="B14" s="2" t="str">
        <f ca="1">IFERROR(__xludf.DUMMYFUNCTION("GOOGLETRANSLATE(A14)"),"Contacts Subject Measure consideration")</f>
        <v>Contacts Subject Measure consideration</v>
      </c>
      <c r="C14" s="11"/>
      <c r="D14" s="2">
        <v>2.6821814010026199</v>
      </c>
      <c r="E14" s="2" t="s">
        <v>325</v>
      </c>
      <c r="F14" s="11"/>
      <c r="G14" s="2"/>
      <c r="H14" s="2"/>
    </row>
    <row r="15" spans="1:8" ht="15.75" customHeight="1" x14ac:dyDescent="0.15">
      <c r="A15" s="2" t="s">
        <v>476</v>
      </c>
      <c r="B15" s="2" t="str">
        <f ca="1">IFERROR(__xludf.DUMMYFUNCTION("GOOGLETRANSLATE(A15)"),"Contacts type last year e -mail outgoing")</f>
        <v>Contacts type last year e -mail outgoing</v>
      </c>
      <c r="C15" s="11"/>
      <c r="D15" s="2">
        <v>2.5539309191897601</v>
      </c>
      <c r="E15" s="2" t="s">
        <v>325</v>
      </c>
      <c r="F15" s="11"/>
      <c r="G15" s="2"/>
      <c r="H15" s="2"/>
    </row>
    <row r="16" spans="1:8" ht="15.75" customHeight="1" x14ac:dyDescent="0.15">
      <c r="A16" s="2" t="s">
        <v>479</v>
      </c>
      <c r="B16" s="2" t="str">
        <f ca="1">IFERROR(__xludf.DUMMYFUNCTION("GOOGLETRANSLATE(A16)"),"Contacts Type of phone call Inkende")</f>
        <v>Contacts Type of phone call Inkende</v>
      </c>
      <c r="C16" s="11"/>
      <c r="D16" s="2">
        <v>2.4952934284220101</v>
      </c>
      <c r="E16" s="2" t="s">
        <v>325</v>
      </c>
      <c r="F16" s="11"/>
      <c r="G16" s="2"/>
      <c r="H16" s="2"/>
    </row>
    <row r="17" spans="1:8" ht="15.75" customHeight="1" x14ac:dyDescent="0.15">
      <c r="A17" s="2" t="s">
        <v>480</v>
      </c>
      <c r="B17" s="2" t="str">
        <f ca="1">IFERROR(__xludf.DUMMYFUNCTION("GOOGLETRANSLATE(A17)"),"Contacts type different")</f>
        <v>Contacts type different</v>
      </c>
      <c r="C17" s="11"/>
      <c r="D17" s="2">
        <v>2.4045293768274898</v>
      </c>
      <c r="E17" s="2" t="s">
        <v>325</v>
      </c>
      <c r="F17" s="11"/>
      <c r="G17" s="2"/>
      <c r="H17" s="2"/>
    </row>
    <row r="18" spans="1:8" ht="15.75" customHeight="1" x14ac:dyDescent="0.15">
      <c r="A18" s="2" t="s">
        <v>482</v>
      </c>
      <c r="B18" s="2" t="str">
        <f ca="1">IFERROR(__xludf.DUMMYFUNCTION("GOOGLETRANSLATE(A18)"),"address most recent district of Feijenoord")</f>
        <v>address most recent district of Feijenoord</v>
      </c>
      <c r="C18" s="11"/>
      <c r="D18" s="2">
        <v>2.3855676598967999</v>
      </c>
      <c r="E18" s="2" t="s">
        <v>325</v>
      </c>
      <c r="F18" s="11"/>
      <c r="G18" s="2"/>
      <c r="H18" s="2"/>
    </row>
    <row r="19" spans="1:8" ht="15.75" customHeight="1" x14ac:dyDescent="0.15">
      <c r="A19" s="2" t="s">
        <v>488</v>
      </c>
      <c r="B19" s="2" t="str">
        <f ca="1">IFERROR(__xludf.DUMMYFUNCTION("GOOGLETRANSLATE(A19)"),"Contacts Type of phone call outgoing")</f>
        <v>Contacts Type of phone call outgoing</v>
      </c>
      <c r="C19" s="11"/>
      <c r="D19" s="2">
        <v>2.2745216158615902</v>
      </c>
      <c r="E19" s="2" t="s">
        <v>325</v>
      </c>
      <c r="F19" s="11"/>
      <c r="G19" s="2"/>
      <c r="H19" s="2"/>
    </row>
    <row r="20" spans="1:8" ht="15.75" customHeight="1" x14ac:dyDescent="0.15">
      <c r="A20" s="2" t="s">
        <v>495</v>
      </c>
      <c r="B20" s="2" t="str">
        <f ca="1">IFERROR(__xludf.DUMMYFUNCTION("GOOGLETRANSLATE(A20)"),"Contacts kind of past year interview")</f>
        <v>Contacts kind of past year interview</v>
      </c>
      <c r="C20" s="11"/>
      <c r="D20" s="2">
        <v>2.13112094501856</v>
      </c>
      <c r="E20" s="2" t="s">
        <v>325</v>
      </c>
      <c r="F20" s="11"/>
      <c r="G20" s="2"/>
      <c r="H20" s="2"/>
    </row>
    <row r="21" spans="1:8" ht="15.75" customHeight="1" x14ac:dyDescent="0.15">
      <c r="A21" s="2" t="s">
        <v>498</v>
      </c>
      <c r="B21" s="2" t="str">
        <f ca="1">IFERROR(__xludf.DUMMYFUNCTION("GOOGLETRANSLATE(A21)"),"Contacts type e -mail incoming")</f>
        <v>Contacts type e -mail incoming</v>
      </c>
      <c r="C21" s="11"/>
      <c r="D21" s="2">
        <v>2.0493008135958699</v>
      </c>
      <c r="E21" s="2" t="s">
        <v>325</v>
      </c>
      <c r="F21" s="11"/>
      <c r="G21" s="2"/>
      <c r="H21" s="2"/>
    </row>
    <row r="22" spans="1:8" ht="15.75" customHeight="1" x14ac:dyDescent="0.15">
      <c r="A22" s="2" t="s">
        <v>510</v>
      </c>
      <c r="B22" s="2" t="s">
        <v>511</v>
      </c>
      <c r="C22" s="11" t="s">
        <v>512</v>
      </c>
      <c r="D22" s="2">
        <v>1.7803209591551199</v>
      </c>
      <c r="E22" s="2" t="s">
        <v>325</v>
      </c>
      <c r="F22" s="11"/>
      <c r="G22" s="2"/>
      <c r="H22" s="2"/>
    </row>
    <row r="23" spans="1:8" ht="15.75" customHeight="1" x14ac:dyDescent="0.15">
      <c r="A23" s="2" t="s">
        <v>513</v>
      </c>
      <c r="B23" s="2" t="str">
        <f ca="1">IFERROR(__xludf.DUMMYFUNCTION("GOOGLETRANSLATE(A23)"),"Contacts Subject LEAKE REQUEST")</f>
        <v>Contacts Subject LEAKE REQUEST</v>
      </c>
      <c r="C23" s="11" t="s">
        <v>514</v>
      </c>
      <c r="D23" s="2">
        <v>1.7522316329702201</v>
      </c>
      <c r="E23" s="2" t="s">
        <v>325</v>
      </c>
      <c r="F23" s="11"/>
      <c r="G23" s="2"/>
      <c r="H23" s="2"/>
    </row>
    <row r="24" spans="1:8" ht="15.75" customHeight="1" x14ac:dyDescent="0.15">
      <c r="A24" s="2" t="s">
        <v>517</v>
      </c>
      <c r="B24" s="2" t="str">
        <f ca="1">IFERROR(__xludf.DUMMYFUNCTION("GOOGLETRANSLATE(A24)"),"Contacts subject care")</f>
        <v>Contacts subject care</v>
      </c>
      <c r="C24" s="11"/>
      <c r="D24" s="2">
        <v>1.64420367321448</v>
      </c>
      <c r="E24" s="2" t="s">
        <v>325</v>
      </c>
      <c r="F24" s="11"/>
      <c r="G24" s="2"/>
      <c r="H24" s="2"/>
    </row>
    <row r="25" spans="1:8" ht="15.75" customHeight="1" x14ac:dyDescent="0.15">
      <c r="A25" s="2" t="s">
        <v>518</v>
      </c>
      <c r="B25" s="2" t="str">
        <f ca="1">IFERROR(__xludf.DUMMYFUNCTION("GOOGLETRANSLATE(A25)"),"Contacts Subject Language requirement")</f>
        <v>Contacts Subject Language requirement</v>
      </c>
      <c r="C25" s="11"/>
      <c r="D25" s="2">
        <v>1.60878388300451</v>
      </c>
      <c r="E25" s="2" t="s">
        <v>325</v>
      </c>
      <c r="F25" s="11"/>
      <c r="G25" s="2"/>
      <c r="H25" s="2"/>
    </row>
    <row r="26" spans="1:8" ht="15.75" customHeight="1" x14ac:dyDescent="0.15">
      <c r="A26" s="2" t="s">
        <v>520</v>
      </c>
      <c r="B26" s="2" t="str">
        <f ca="1">IFERROR(__xludf.DUMMYFUNCTION("GOOGLETRANSLATE(A26)"),"Contacts type e -mail outgoing")</f>
        <v>Contacts type e -mail outgoing</v>
      </c>
      <c r="C26" s="11"/>
      <c r="D26" s="2">
        <v>1.59617937666932</v>
      </c>
      <c r="E26" s="2" t="s">
        <v>325</v>
      </c>
      <c r="F26" s="11"/>
      <c r="G26" s="2"/>
      <c r="H26" s="2"/>
    </row>
    <row r="27" spans="1:8" ht="15.75" customHeight="1" x14ac:dyDescent="0.15">
      <c r="A27" s="2" t="s">
        <v>521</v>
      </c>
      <c r="B27" s="2" t="str">
        <f ca="1">IFERROR(__xludf.DUMMYFUNCTION("GOOGLETRANSLATE(A27)"),"Contacts Subject process")</f>
        <v>Contacts Subject process</v>
      </c>
      <c r="C27" s="11"/>
      <c r="D27" s="2">
        <v>1.5930780167232099</v>
      </c>
      <c r="E27" s="2" t="s">
        <v>325</v>
      </c>
      <c r="F27" s="11"/>
      <c r="G27" s="2"/>
      <c r="H27" s="2"/>
    </row>
    <row r="28" spans="1:8" ht="15.75" customHeight="1" x14ac:dyDescent="0.15">
      <c r="A28" s="2" t="s">
        <v>522</v>
      </c>
      <c r="B28" s="2" t="s">
        <v>523</v>
      </c>
      <c r="C28" s="11"/>
      <c r="D28" s="2">
        <v>1.5841733073930999</v>
      </c>
      <c r="E28" s="2" t="s">
        <v>325</v>
      </c>
      <c r="F28" s="11"/>
      <c r="G28" s="2"/>
      <c r="H28" s="2"/>
    </row>
    <row r="29" spans="1:8" ht="15.75" customHeight="1" x14ac:dyDescent="0.15">
      <c r="A29" s="2" t="s">
        <v>524</v>
      </c>
      <c r="B29" s="2" t="str">
        <f ca="1">IFERROR(__xludf.DUMMYFUNCTION("GOOGLETRANSLATE(A29)"),"Contacts Type Last year Incoming")</f>
        <v>Contacts Type Last year Incoming</v>
      </c>
      <c r="C29" s="11"/>
      <c r="D29" s="2">
        <v>1.4594708194707799</v>
      </c>
      <c r="E29" s="2" t="s">
        <v>325</v>
      </c>
      <c r="F29" s="11"/>
      <c r="G29" s="2"/>
      <c r="H29" s="2"/>
    </row>
    <row r="30" spans="1:8" ht="15.75" customHeight="1" x14ac:dyDescent="0.15">
      <c r="A30" s="2" t="s">
        <v>531</v>
      </c>
      <c r="B30" s="2" t="str">
        <f ca="1">IFERROR(__xludf.DUMMYFUNCTION("GOOGLETRANSLATE(A30)"),"Contacts type last year e -mail incoming")</f>
        <v>Contacts type last year e -mail incoming</v>
      </c>
      <c r="C30" s="11"/>
      <c r="D30" s="2">
        <v>1.3279859384209001</v>
      </c>
      <c r="E30" s="2" t="s">
        <v>325</v>
      </c>
      <c r="F30" s="11"/>
      <c r="G30" s="2"/>
      <c r="H30" s="2"/>
    </row>
    <row r="31" spans="1:8" ht="15.75" customHeight="1" x14ac:dyDescent="0.15">
      <c r="A31" s="2" t="s">
        <v>533</v>
      </c>
      <c r="B31" s="2" t="s">
        <v>534</v>
      </c>
      <c r="C31" s="11"/>
      <c r="D31" s="2">
        <v>1.2900910394379601</v>
      </c>
      <c r="E31" s="2" t="s">
        <v>325</v>
      </c>
      <c r="F31" s="11"/>
      <c r="G31" s="2" t="b">
        <v>0</v>
      </c>
      <c r="H31" s="2"/>
    </row>
    <row r="32" spans="1:8" ht="15.75" customHeight="1" x14ac:dyDescent="0.15">
      <c r="A32" s="2" t="s">
        <v>535</v>
      </c>
      <c r="B32" s="2" t="str">
        <f ca="1">IFERROR(__xludf.DUMMYFUNCTION("GOOGLETRANSLATE(A32)"),"Contacts Type Last year phone call outgoing")</f>
        <v>Contacts Type Last year phone call outgoing</v>
      </c>
      <c r="C32" s="11"/>
      <c r="D32" s="2">
        <v>1.2746754369323099</v>
      </c>
      <c r="E32" s="2" t="s">
        <v>325</v>
      </c>
      <c r="F32" s="11"/>
      <c r="G32" s="2"/>
      <c r="H32" s="2"/>
    </row>
    <row r="33" spans="1:8" ht="15.75" customHeight="1" x14ac:dyDescent="0.15">
      <c r="A33" s="2" t="s">
        <v>554</v>
      </c>
      <c r="B33" s="2" t="str">
        <f ca="1">IFERROR(__xludf.DUMMYFUNCTION("GOOGLETRANSLATE(A33)"),"Contacts Subject Invitation")</f>
        <v>Contacts Subject Invitation</v>
      </c>
      <c r="C33" s="11"/>
      <c r="D33" s="2">
        <v>1.1052819232833899</v>
      </c>
      <c r="E33" s="2" t="s">
        <v>325</v>
      </c>
      <c r="F33" s="11"/>
      <c r="G33" s="2"/>
      <c r="H33" s="2"/>
    </row>
    <row r="34" spans="1:8" ht="15.75" customHeight="1" x14ac:dyDescent="0.15">
      <c r="A34" s="2" t="s">
        <v>563</v>
      </c>
      <c r="B34" s="2" t="str">
        <f ca="1">IFERROR(__xludf.DUMMYFUNCTION("GOOGLETRANSLATE(A34)"),"Contacts Type Last year Document Incoming")</f>
        <v>Contacts Type Last year Document Incoming</v>
      </c>
      <c r="C34" s="11"/>
      <c r="D34" s="2">
        <v>1.0745730744041899</v>
      </c>
      <c r="E34" s="2" t="s">
        <v>325</v>
      </c>
      <c r="F34" s="11"/>
      <c r="G34" s="2"/>
      <c r="H34" s="2"/>
    </row>
    <row r="35" spans="1:8" ht="15.75" customHeight="1" x14ac:dyDescent="0.15">
      <c r="A35" s="2" t="s">
        <v>565</v>
      </c>
      <c r="B35" s="2" t="str">
        <f ca="1">IFERROR(__xludf.DUMMYFUNCTION("GOOGLETRANSLATE(A35)"),"Contacts Subject matching")</f>
        <v>Contacts Subject matching</v>
      </c>
      <c r="C35" s="11"/>
      <c r="D35" s="2">
        <v>1.0154280125178199</v>
      </c>
      <c r="E35" s="2" t="s">
        <v>325</v>
      </c>
      <c r="F35" s="11"/>
      <c r="G35" s="2"/>
      <c r="H35" s="2"/>
    </row>
    <row r="36" spans="1:8" ht="15.75" customHeight="1" x14ac:dyDescent="0.15">
      <c r="A36" s="2" t="s">
        <v>571</v>
      </c>
      <c r="B36" s="2" t="s">
        <v>572</v>
      </c>
      <c r="C36" s="11" t="s">
        <v>573</v>
      </c>
      <c r="D36" s="2">
        <v>0.98073261234539</v>
      </c>
      <c r="E36" s="2" t="s">
        <v>325</v>
      </c>
      <c r="F36" s="11"/>
      <c r="G36" s="2"/>
      <c r="H36" s="2"/>
    </row>
    <row r="37" spans="1:8" ht="15.75" customHeight="1" x14ac:dyDescent="0.15">
      <c r="A37" s="2" t="s">
        <v>580</v>
      </c>
      <c r="B37" s="2" t="str">
        <f ca="1">IFERROR(__xludf.DUMMYFUNCTION("GOOGLETRANSLATE(A37)"),"Contacts Subject group meeting")</f>
        <v>Contacts Subject group meeting</v>
      </c>
      <c r="C37" s="11"/>
      <c r="D37" s="2">
        <v>0.88199144816368003</v>
      </c>
      <c r="E37" s="2" t="s">
        <v>325</v>
      </c>
      <c r="F37" s="11"/>
      <c r="G37" s="2"/>
      <c r="H37" s="2"/>
    </row>
    <row r="38" spans="1:8" ht="15.75" customHeight="1" x14ac:dyDescent="0.15">
      <c r="A38" s="2" t="s">
        <v>585</v>
      </c>
      <c r="B38" s="2" t="s">
        <v>586</v>
      </c>
      <c r="C38" s="11" t="s">
        <v>587</v>
      </c>
      <c r="D38" s="2">
        <v>0.73837279081333396</v>
      </c>
      <c r="E38" s="2" t="s">
        <v>325</v>
      </c>
      <c r="F38" s="11"/>
      <c r="G38" s="2"/>
      <c r="H38" s="2"/>
    </row>
    <row r="39" spans="1:8" ht="15.75" customHeight="1" x14ac:dyDescent="0.15">
      <c r="A39" s="2" t="s">
        <v>593</v>
      </c>
      <c r="B39" s="2" t="str">
        <f ca="1">IFERROR(__xludf.DUMMYFUNCTION("GOOGLETRANSLATE(A39)"),"Contacts Subject Boolean Document Type Diplomas and certificates")</f>
        <v>Contacts Subject Boolean Document Type Diplomas and certificates</v>
      </c>
      <c r="C39" s="11"/>
      <c r="D39" s="2">
        <v>0.70482998953036102</v>
      </c>
      <c r="E39" s="2" t="s">
        <v>325</v>
      </c>
      <c r="F39" s="11"/>
      <c r="G39" s="2"/>
      <c r="H39" s="2"/>
    </row>
    <row r="40" spans="1:8" ht="15.75" customHeight="1" x14ac:dyDescent="0.15">
      <c r="A40" s="2" t="s">
        <v>594</v>
      </c>
      <c r="B40" s="2" t="str">
        <f ca="1">IFERROR(__xludf.DUMMYFUNCTION("GOOGLETRANSLATE(A40)"),"Contacts Subject QuickScan")</f>
        <v>Contacts Subject QuickScan</v>
      </c>
      <c r="C40" s="11"/>
      <c r="D40" s="2">
        <v>0.69772910067953398</v>
      </c>
      <c r="E40" s="2" t="s">
        <v>325</v>
      </c>
      <c r="F40" s="11"/>
      <c r="G40" s="2" t="b">
        <v>0</v>
      </c>
      <c r="H40" s="2"/>
    </row>
    <row r="41" spans="1:8" ht="15.75" customHeight="1" x14ac:dyDescent="0.15">
      <c r="A41" s="2" t="s">
        <v>597</v>
      </c>
      <c r="B41" s="2" t="s">
        <v>598</v>
      </c>
      <c r="C41" s="11"/>
      <c r="D41" s="2">
        <v>0.68363765787878605</v>
      </c>
      <c r="E41" s="2" t="s">
        <v>325</v>
      </c>
      <c r="F41" s="11"/>
      <c r="G41" s="2"/>
      <c r="H41" s="2"/>
    </row>
    <row r="42" spans="1:8" ht="15.75" customHeight="1" x14ac:dyDescent="0.15">
      <c r="A42" s="2" t="s">
        <v>620</v>
      </c>
      <c r="B42" s="2" t="s">
        <v>621</v>
      </c>
      <c r="C42" s="11"/>
      <c r="D42" s="2">
        <v>0.58943799402529096</v>
      </c>
      <c r="E42" s="2" t="s">
        <v>325</v>
      </c>
      <c r="F42" s="11"/>
      <c r="G42" s="2"/>
      <c r="H42" s="2"/>
    </row>
    <row r="43" spans="1:8" ht="15.75" customHeight="1" x14ac:dyDescent="0.15">
      <c r="A43" s="2" t="s">
        <v>626</v>
      </c>
      <c r="B43" s="2" t="str">
        <f ca="1">IFERROR(__xludf.DUMMYFUNCTION("GOOGLETRANSLATE(A43)"),"Contacts Subject training")</f>
        <v>Contacts Subject training</v>
      </c>
      <c r="C43" s="11"/>
      <c r="D43" s="2">
        <v>0.57293929828139201</v>
      </c>
      <c r="E43" s="2" t="s">
        <v>325</v>
      </c>
      <c r="F43" s="11"/>
      <c r="G43" s="2"/>
      <c r="H43" s="2"/>
    </row>
    <row r="44" spans="1:8" ht="15.75" customHeight="1" x14ac:dyDescent="0.15">
      <c r="A44" s="2" t="s">
        <v>642</v>
      </c>
      <c r="B44" s="2" t="str">
        <f ca="1">IFERROR(__xludf.DUMMYFUNCTION("GOOGLETRANSLATE(A44)"),"Contacts Subject Boolean Motivation")</f>
        <v>Contacts Subject Boolean Motivation</v>
      </c>
      <c r="C44" s="11"/>
      <c r="D44" s="2">
        <v>0.529114934593644</v>
      </c>
      <c r="E44" s="2" t="s">
        <v>325</v>
      </c>
      <c r="F44" s="11"/>
      <c r="G44" s="2"/>
      <c r="H44" s="2"/>
    </row>
    <row r="45" spans="1:8" ht="15.75" customHeight="1" x14ac:dyDescent="0.15">
      <c r="A45" s="2" t="s">
        <v>643</v>
      </c>
      <c r="B45" s="2" t="str">
        <f ca="1">IFERROR(__xludf.DUMMYFUNCTION("GOOGLETRANSLATE(A45)"),"Contacts subject Sick or cancellation")</f>
        <v>Contacts subject Sick or cancellation</v>
      </c>
      <c r="C45" s="11"/>
      <c r="D45" s="2">
        <v>0.52029780182457996</v>
      </c>
      <c r="E45" s="2" t="s">
        <v>325</v>
      </c>
      <c r="F45" s="11"/>
      <c r="G45" s="2"/>
      <c r="H45" s="2"/>
    </row>
    <row r="46" spans="1:8" ht="15.75" customHeight="1" x14ac:dyDescent="0.15">
      <c r="A46" s="2" t="s">
        <v>644</v>
      </c>
      <c r="B46" s="2" t="str">
        <f ca="1">IFERROR(__xludf.DUMMYFUNCTION("GOOGLETRANSLATE(A46)"),"Contacts Subject contact third parties")</f>
        <v>Contacts Subject contact third parties</v>
      </c>
      <c r="C46" s="11"/>
      <c r="D46" s="2">
        <v>0.51566881350721105</v>
      </c>
      <c r="E46" s="2" t="s">
        <v>325</v>
      </c>
      <c r="F46" s="11"/>
      <c r="G46" s="2"/>
      <c r="H46" s="2"/>
    </row>
    <row r="47" spans="1:8" ht="15.75" customHeight="1" x14ac:dyDescent="0.15">
      <c r="A47" s="2" t="s">
        <v>654</v>
      </c>
      <c r="B47" s="2" t="str">
        <f ca="1">IFERROR(__xludf.DUMMYFUNCTION("GOOGLETRANSLATE(A47)"),"Contacts Type of group meetings")</f>
        <v>Contacts Type of group meetings</v>
      </c>
      <c r="C47" s="11"/>
      <c r="D47" s="2">
        <v>0.47082815527805</v>
      </c>
      <c r="E47" s="2" t="s">
        <v>325</v>
      </c>
      <c r="F47" s="11"/>
      <c r="G47" s="2"/>
      <c r="H47" s="2"/>
    </row>
    <row r="48" spans="1:8" ht="15.75" customHeight="1" x14ac:dyDescent="0.15">
      <c r="A48" s="2" t="s">
        <v>657</v>
      </c>
      <c r="B48" s="2" t="str">
        <f ca="1">IFERROR(__xludf.DUMMYFUNCTION("GOOGLETRANSLATE(A48)"),"Contacts Subject Document Type CV")</f>
        <v>Contacts Subject Document Type CV</v>
      </c>
      <c r="C48" s="11"/>
      <c r="D48" s="2">
        <v>0.46635917093283702</v>
      </c>
      <c r="E48" s="2" t="s">
        <v>325</v>
      </c>
      <c r="F48" s="11"/>
      <c r="G48" s="2"/>
      <c r="H48" s="2"/>
    </row>
    <row r="49" spans="1:8" ht="15.75" customHeight="1" x14ac:dyDescent="0.15">
      <c r="A49" s="2" t="s">
        <v>672</v>
      </c>
      <c r="B49" s="2" t="s">
        <v>673</v>
      </c>
      <c r="C49" s="11"/>
      <c r="D49" s="2">
        <v>0.42170485245170303</v>
      </c>
      <c r="E49" s="2" t="s">
        <v>325</v>
      </c>
      <c r="F49" s="11"/>
      <c r="G49" s="2"/>
      <c r="H49" s="2"/>
    </row>
    <row r="50" spans="1:8" ht="13" x14ac:dyDescent="0.15">
      <c r="A50" s="2" t="s">
        <v>674</v>
      </c>
      <c r="B50" s="2" t="str">
        <f ca="1">IFERROR(__xludf.DUMMYFUNCTION("GOOGLETRANSLATE(A50)"),"Contacts Subject screening")</f>
        <v>Contacts Subject screening</v>
      </c>
      <c r="C50" s="11"/>
      <c r="D50" s="2">
        <v>0.410628086467904</v>
      </c>
      <c r="E50" s="2" t="s">
        <v>325</v>
      </c>
      <c r="F50" s="11"/>
      <c r="G50" s="2"/>
      <c r="H50" s="2"/>
    </row>
    <row r="51" spans="1:8" ht="13" x14ac:dyDescent="0.15">
      <c r="A51" s="2" t="s">
        <v>686</v>
      </c>
      <c r="B51" s="2" t="str">
        <f ca="1">IFERROR(__xludf.DUMMYFUNCTION("GOOGLETRANSLATE(A51)"),"Contacts Type Last year Conversation on location")</f>
        <v>Contacts Type Last year Conversation on location</v>
      </c>
      <c r="C51" s="11"/>
      <c r="D51" s="2">
        <v>0.35518462248132199</v>
      </c>
      <c r="E51" s="2" t="s">
        <v>325</v>
      </c>
      <c r="F51" s="11"/>
      <c r="G51" s="2"/>
      <c r="H51" s="2"/>
    </row>
    <row r="52" spans="1:8" ht="13" x14ac:dyDescent="0.15">
      <c r="A52" s="2" t="s">
        <v>688</v>
      </c>
      <c r="B52" s="2" t="str">
        <f ca="1">IFERROR(__xludf.DUMMYFUNCTION("GOOGLETRANSLATE(A52)"),"Contacts Type Last year Reporting RIB")</f>
        <v>Contacts Type Last year Reporting RIB</v>
      </c>
      <c r="C52" s="11"/>
      <c r="D52" s="2">
        <v>0.35213907169493203</v>
      </c>
      <c r="E52" s="2" t="s">
        <v>325</v>
      </c>
      <c r="F52" s="11"/>
      <c r="G52" s="2" t="b">
        <v>0</v>
      </c>
      <c r="H52" s="2"/>
    </row>
    <row r="53" spans="1:8" ht="42" x14ac:dyDescent="0.15">
      <c r="A53" s="2" t="s">
        <v>690</v>
      </c>
      <c r="B53" s="2" t="str">
        <f ca="1">IFERROR(__xludf.DUMMYFUNCTION("GOOGLETRANSLATE(A53)"),"Contacts Subject Labor diagnosis Dariuz")</f>
        <v>Contacts Subject Labor diagnosis Dariuz</v>
      </c>
      <c r="C53" s="11" t="s">
        <v>691</v>
      </c>
      <c r="D53" s="2">
        <v>0.33385140983534201</v>
      </c>
      <c r="E53" s="2" t="s">
        <v>325</v>
      </c>
      <c r="F53" s="21" t="s">
        <v>692</v>
      </c>
      <c r="G53" s="2"/>
      <c r="H53" s="2"/>
    </row>
    <row r="54" spans="1:8" ht="13" x14ac:dyDescent="0.15">
      <c r="A54" s="2" t="s">
        <v>705</v>
      </c>
      <c r="B54" s="2" t="str">
        <f ca="1">IFERROR(__xludf.DUMMYFUNCTION("GOOGLETRANSLATE(A54)"),"Contacts Subject work intake did not appear")</f>
        <v>Contacts Subject work intake did not appear</v>
      </c>
      <c r="C54" s="11"/>
      <c r="D54" s="2">
        <v>0.296434634054702</v>
      </c>
      <c r="E54" s="2" t="s">
        <v>325</v>
      </c>
      <c r="F54" s="11"/>
      <c r="G54" s="2"/>
      <c r="H54" s="2"/>
    </row>
    <row r="55" spans="1:8" ht="13" x14ac:dyDescent="0.15">
      <c r="A55" s="2" t="s">
        <v>790</v>
      </c>
      <c r="B55" s="2" t="str">
        <f ca="1">IFERROR(__xludf.DUMMYFUNCTION("GOOGLETRANSLATE(A55)"),"Contacts Subject Boolean Match Work")</f>
        <v>Contacts Subject Boolean Match Work</v>
      </c>
      <c r="C55" s="11"/>
      <c r="D55" s="2">
        <v>0.102769682873582</v>
      </c>
      <c r="E55" s="2" t="s">
        <v>325</v>
      </c>
      <c r="F55" s="11"/>
      <c r="G55" s="2"/>
      <c r="H55" s="2"/>
    </row>
    <row r="56" spans="1:8" ht="13" x14ac:dyDescent="0.15">
      <c r="A56" s="2" t="s">
        <v>810</v>
      </c>
      <c r="B56" s="2" t="str">
        <f ca="1">IFERROR(__xludf.DUMMYFUNCTION("GOOGLETRANSLATE(A56)"),"Contacts Subject vacation")</f>
        <v>Contacts Subject vacation</v>
      </c>
      <c r="C56" s="11"/>
      <c r="D56" s="2">
        <v>8.6735410855510606E-2</v>
      </c>
      <c r="E56" s="2" t="s">
        <v>325</v>
      </c>
      <c r="F56" s="11"/>
      <c r="G56" s="2"/>
      <c r="H56" s="2"/>
    </row>
    <row r="57" spans="1:8" ht="13" x14ac:dyDescent="0.15">
      <c r="A57" s="2" t="s">
        <v>864</v>
      </c>
      <c r="B57" s="2" t="str">
        <f ca="1">IFERROR(__xludf.DUMMYFUNCTION("GOOGLETRANSLATE(A57)"),"Contacts Subject Boolean Application")</f>
        <v>Contacts Subject Boolean Application</v>
      </c>
      <c r="C57" s="11"/>
      <c r="D57" s="2">
        <v>0</v>
      </c>
      <c r="E57" s="2" t="s">
        <v>325</v>
      </c>
      <c r="F57" s="11"/>
      <c r="G57" s="2"/>
      <c r="H57" s="2"/>
    </row>
    <row r="58" spans="1:8" ht="13" x14ac:dyDescent="0.15">
      <c r="A58" s="2" t="s">
        <v>843</v>
      </c>
      <c r="B58" s="2" t="s">
        <v>844</v>
      </c>
      <c r="C58" s="11"/>
      <c r="D58" s="2">
        <v>0</v>
      </c>
      <c r="E58" s="2" t="s">
        <v>325</v>
      </c>
      <c r="F58" s="11"/>
      <c r="G58" s="2"/>
      <c r="H58" s="2"/>
    </row>
    <row r="59" spans="1:8" ht="13" x14ac:dyDescent="0.15">
      <c r="A59" s="2" t="s">
        <v>872</v>
      </c>
      <c r="B59" s="2" t="s">
        <v>873</v>
      </c>
      <c r="C59" s="11"/>
      <c r="D59" s="2">
        <v>0</v>
      </c>
      <c r="E59" s="2" t="s">
        <v>325</v>
      </c>
      <c r="F59" s="11"/>
      <c r="G59" s="2"/>
      <c r="H59" s="2"/>
    </row>
    <row r="60" spans="1:8" ht="13" x14ac:dyDescent="0.15">
      <c r="A60" s="2" t="s">
        <v>862</v>
      </c>
      <c r="B60" s="2" t="str">
        <f ca="1">IFERROR(__xludf.DUMMYFUNCTION("GOOGLETRANSLATE(A60)"),"Contacts Subject Boolean Consultation with Income")</f>
        <v>Contacts Subject Boolean Consultation with Income</v>
      </c>
      <c r="C60" s="11"/>
      <c r="D60" s="2">
        <v>0</v>
      </c>
      <c r="E60" s="2" t="s">
        <v>325</v>
      </c>
      <c r="F60" s="11"/>
      <c r="G60" s="2"/>
      <c r="H60" s="2"/>
    </row>
    <row r="61" spans="1:8" ht="13" x14ac:dyDescent="0.15">
      <c r="A61" s="2" t="s">
        <v>845</v>
      </c>
      <c r="B61" s="2" t="str">
        <f ca="1">IFERROR(__xludf.DUMMYFUNCTION("GOOGLETRANSLATE(A61)"),"Contacts Subject Boolean Contact third parties")</f>
        <v>Contacts Subject Boolean Contact third parties</v>
      </c>
      <c r="C61" s="11"/>
      <c r="D61" s="2">
        <v>0</v>
      </c>
      <c r="E61" s="2" t="s">
        <v>325</v>
      </c>
      <c r="F61" s="11"/>
      <c r="G61" s="2"/>
      <c r="H61" s="2"/>
    </row>
    <row r="62" spans="1:8" ht="13" x14ac:dyDescent="0.15">
      <c r="A62" s="2" t="s">
        <v>846</v>
      </c>
      <c r="B62" s="2" t="str">
        <f ca="1">IFERROR(__xludf.DUMMYFUNCTION("GOOGLETRANSLATE(A62)"),"Contacts Subject Boolean Contact with Provider")</f>
        <v>Contacts Subject Boolean Contact with Provider</v>
      </c>
      <c r="C62" s="11"/>
      <c r="D62" s="2">
        <v>0</v>
      </c>
      <c r="E62" s="2" t="s">
        <v>325</v>
      </c>
      <c r="F62" s="11"/>
      <c r="G62" s="2"/>
      <c r="H62" s="2"/>
    </row>
    <row r="63" spans="1:8" ht="13" x14ac:dyDescent="0.15">
      <c r="A63" s="2" t="s">
        <v>848</v>
      </c>
      <c r="B63" s="2" t="str">
        <f ca="1">IFERROR(__xludf.DUMMYFUNCTION("GOOGLETRANSLATE(A63)"),"Contacts Subject Boolean Diagnose interview")</f>
        <v>Contacts Subject Boolean Diagnose interview</v>
      </c>
      <c r="C63" s="11"/>
      <c r="D63" s="2">
        <v>0</v>
      </c>
      <c r="E63" s="2" t="s">
        <v>325</v>
      </c>
      <c r="F63" s="11"/>
      <c r="G63" s="2"/>
      <c r="H63" s="2"/>
    </row>
    <row r="64" spans="1:8" ht="13" x14ac:dyDescent="0.15">
      <c r="A64" s="2" t="s">
        <v>852</v>
      </c>
      <c r="B64" s="2" t="str">
        <f ca="1">IFERROR(__xludf.DUMMYFUNCTION("GOOGLETRANSLATE(A64)"),"Contacts Subject Boolean Document Type Agreement")</f>
        <v>Contacts Subject Boolean Document Type Agreement</v>
      </c>
      <c r="C64" s="11"/>
      <c r="D64" s="2">
        <v>0</v>
      </c>
      <c r="E64" s="2" t="s">
        <v>325</v>
      </c>
      <c r="F64" s="11"/>
      <c r="G64" s="2"/>
      <c r="H64" s="2"/>
    </row>
    <row r="65" spans="1:8" ht="13" x14ac:dyDescent="0.15">
      <c r="A65" s="2" t="s">
        <v>851</v>
      </c>
      <c r="B65" s="2" t="str">
        <f ca="1">IFERROR(__xludf.DUMMYFUNCTION("GOOGLETRANSLATE(A65)"),"Contacts Subject Boolean Document Type CV")</f>
        <v>Contacts Subject Boolean Document Type CV</v>
      </c>
      <c r="C65" s="11"/>
      <c r="D65" s="2">
        <v>0</v>
      </c>
      <c r="E65" s="2" t="s">
        <v>325</v>
      </c>
      <c r="F65" s="11"/>
      <c r="G65" s="2"/>
      <c r="H65" s="2"/>
    </row>
    <row r="66" spans="1:8" ht="13" x14ac:dyDescent="0.15">
      <c r="A66" s="2" t="s">
        <v>853</v>
      </c>
      <c r="B66" s="2" t="str">
        <f ca="1">IFERROR(__xludf.DUMMYFUNCTION("GOOGLETRANSLATE(A66)"),"Contacts Subject Boolean Finance Situation")</f>
        <v>Contacts Subject Boolean Finance Situation</v>
      </c>
      <c r="C66" s="11"/>
      <c r="D66" s="2">
        <v>0</v>
      </c>
      <c r="E66" s="2" t="s">
        <v>325</v>
      </c>
      <c r="F66" s="11"/>
      <c r="G66" s="2"/>
      <c r="H66" s="2"/>
    </row>
    <row r="67" spans="1:8" ht="13" x14ac:dyDescent="0.15">
      <c r="A67" s="2" t="s">
        <v>855</v>
      </c>
      <c r="B67" s="2" t="str">
        <f ca="1">IFERROR(__xludf.DUMMYFUNCTION("GOOGLETRANSLATE(A67)"),"Contacts Subject Boolean Group meeting")</f>
        <v>Contacts Subject Boolean Group meeting</v>
      </c>
      <c r="C67" s="11"/>
      <c r="D67" s="2">
        <v>0</v>
      </c>
      <c r="E67" s="2" t="s">
        <v>325</v>
      </c>
      <c r="F67" s="11"/>
      <c r="G67" s="2"/>
      <c r="H67" s="2"/>
    </row>
    <row r="68" spans="1:8" ht="13" x14ac:dyDescent="0.15">
      <c r="A68" s="2" t="s">
        <v>856</v>
      </c>
      <c r="B68" s="2" t="str">
        <f ca="1">IFERROR(__xludf.DUMMYFUNCTION("GOOGLETRANSLATE(A68)"),"Contacts Subject Boolean Income")</f>
        <v>Contacts Subject Boolean Income</v>
      </c>
      <c r="C68" s="11"/>
      <c r="D68" s="2">
        <v>0</v>
      </c>
      <c r="E68" s="2" t="s">
        <v>325</v>
      </c>
      <c r="F68" s="11"/>
      <c r="G68" s="2"/>
      <c r="H68" s="2"/>
    </row>
    <row r="69" spans="1:8" ht="13" x14ac:dyDescent="0.15">
      <c r="A69" s="2" t="s">
        <v>870</v>
      </c>
      <c r="B69" s="2" t="str">
        <f ca="1">IFERROR(__xludf.DUMMYFUNCTION("GOOGLETRANSLATE(A69)"),"Contacts Subject Boolean Invitation")</f>
        <v>Contacts Subject Boolean Invitation</v>
      </c>
      <c r="C69" s="11"/>
      <c r="D69" s="2">
        <v>0</v>
      </c>
      <c r="E69" s="2" t="s">
        <v>325</v>
      </c>
      <c r="F69" s="11"/>
      <c r="G69" s="2"/>
      <c r="H69" s="2"/>
    </row>
    <row r="70" spans="1:8" ht="13" x14ac:dyDescent="0.15">
      <c r="A70" s="2" t="s">
        <v>840</v>
      </c>
      <c r="B70" s="2" t="str">
        <f ca="1">IFERROR(__xludf.DUMMYFUNCTION("GOOGLETRANSLATE(A70)"),"Contacts subject Boolean Labor motivation")</f>
        <v>Contacts subject Boolean Labor motivation</v>
      </c>
      <c r="C70" s="11"/>
      <c r="D70" s="2">
        <v>0</v>
      </c>
      <c r="E70" s="2" t="s">
        <v>325</v>
      </c>
      <c r="F70" s="11"/>
      <c r="G70" s="2"/>
      <c r="H70" s="2"/>
    </row>
    <row r="71" spans="1:8" ht="13" x14ac:dyDescent="0.15">
      <c r="A71" s="2" t="s">
        <v>865</v>
      </c>
      <c r="B71" s="2" t="str">
        <f ca="1">IFERROR(__xludf.DUMMYFUNCTION("GOOGLETRANSLATE(A71)"),"Contacts Subject Boolean Language requires satisfactory")</f>
        <v>Contacts Subject Boolean Language requires satisfactory</v>
      </c>
      <c r="C71" s="11"/>
      <c r="D71" s="2">
        <v>0</v>
      </c>
      <c r="E71" s="2" t="s">
        <v>325</v>
      </c>
      <c r="F71" s="11"/>
      <c r="G71" s="2"/>
      <c r="H71" s="2"/>
    </row>
    <row r="72" spans="1:8" ht="13" x14ac:dyDescent="0.15">
      <c r="A72" s="2" t="s">
        <v>858</v>
      </c>
      <c r="B72" s="2" t="str">
        <f ca="1">IFERROR(__xludf.DUMMYFUNCTION("GOOGLETRANSLATE(A72)"),"Contacts Subject Boolean Matching")</f>
        <v>Contacts Subject Boolean Matching</v>
      </c>
      <c r="C72" s="11"/>
      <c r="D72" s="2">
        <v>0</v>
      </c>
      <c r="E72" s="2" t="s">
        <v>325</v>
      </c>
      <c r="F72" s="11"/>
      <c r="G72" s="2"/>
      <c r="H72" s="2"/>
    </row>
    <row r="73" spans="1:8" ht="13" x14ac:dyDescent="0.15">
      <c r="A73" s="2" t="s">
        <v>857</v>
      </c>
      <c r="B73" s="2" t="str">
        <f ca="1">IFERROR(__xludf.DUMMYFUNCTION("GOOGLETRANSLATE(A73)"),"Contacts Subject Boolean Measure consideration")</f>
        <v>Contacts Subject Boolean Measure consideration</v>
      </c>
      <c r="C73" s="11"/>
      <c r="D73" s="2">
        <v>0</v>
      </c>
      <c r="E73" s="2" t="s">
        <v>325</v>
      </c>
      <c r="F73" s="11"/>
      <c r="G73" s="2"/>
      <c r="H73" s="2"/>
    </row>
    <row r="74" spans="1:8" ht="13" x14ac:dyDescent="0.15">
      <c r="A74" s="2" t="s">
        <v>859</v>
      </c>
      <c r="B74" s="2" t="str">
        <f ca="1">IFERROR(__xludf.DUMMYFUNCTION("GOOGLETRANSLATE(A74)"),"Contacts Subject Boolean mutation")</f>
        <v>Contacts Subject Boolean mutation</v>
      </c>
      <c r="C74" s="11"/>
      <c r="D74" s="2">
        <v>0</v>
      </c>
      <c r="E74" s="2" t="s">
        <v>325</v>
      </c>
      <c r="F74" s="11"/>
      <c r="G74" s="2"/>
      <c r="H74" s="2"/>
    </row>
    <row r="75" spans="1:8" ht="13" x14ac:dyDescent="0.15">
      <c r="A75" s="2" t="s">
        <v>860</v>
      </c>
      <c r="B75" s="2" t="str">
        <f ca="1">IFERROR(__xludf.DUMMYFUNCTION("GOOGLETRANSLATE(A75)"),"Contacts Subject Boolean No Show")</f>
        <v>Contacts Subject Boolean No Show</v>
      </c>
      <c r="C75" s="11"/>
      <c r="D75" s="2">
        <v>0</v>
      </c>
      <c r="E75" s="2" t="s">
        <v>325</v>
      </c>
      <c r="F75" s="11"/>
      <c r="G75" s="2"/>
      <c r="H75" s="2"/>
    </row>
    <row r="76" spans="1:8" ht="13" x14ac:dyDescent="0.15">
      <c r="A76" s="2" t="s">
        <v>861</v>
      </c>
      <c r="B76" s="2" t="str">
        <f ca="1">IFERROR(__xludf.DUMMYFUNCTION("GOOGLETRANSLATE(A76)"),"Contacts Subject Boolean Other")</f>
        <v>Contacts Subject Boolean Other</v>
      </c>
      <c r="C76" s="11"/>
      <c r="D76" s="2">
        <v>0</v>
      </c>
      <c r="E76" s="2" t="s">
        <v>325</v>
      </c>
      <c r="F76" s="11"/>
      <c r="G76" s="2"/>
      <c r="H76" s="2"/>
    </row>
    <row r="77" spans="1:8" ht="13" x14ac:dyDescent="0.15">
      <c r="A77" s="2" t="s">
        <v>841</v>
      </c>
      <c r="B77" s="2" t="str">
        <f ca="1">IFERROR(__xludf.DUMMYFUNCTION("GOOGLETRANSLATE(A77)"),"Contacts Subject Boolean Pre Intake")</f>
        <v>Contacts Subject Boolean Pre Intake</v>
      </c>
      <c r="C77" s="11"/>
      <c r="D77" s="2">
        <v>0</v>
      </c>
      <c r="E77" s="2" t="s">
        <v>325</v>
      </c>
      <c r="F77" s="11"/>
      <c r="G77" s="2"/>
      <c r="H77" s="2"/>
    </row>
    <row r="78" spans="1:8" ht="13" x14ac:dyDescent="0.15">
      <c r="A78" s="2" t="s">
        <v>869</v>
      </c>
      <c r="B78" s="2" t="str">
        <f ca="1">IFERROR(__xludf.DUMMYFUNCTION("GOOGLETRANSLATE(A78)"),"Contacts Subject Boolean process")</f>
        <v>Contacts Subject Boolean process</v>
      </c>
      <c r="C78" s="11"/>
      <c r="D78" s="2">
        <v>0</v>
      </c>
      <c r="E78" s="2" t="s">
        <v>325</v>
      </c>
      <c r="F78" s="11"/>
      <c r="G78" s="2"/>
      <c r="H78" s="2"/>
    </row>
    <row r="79" spans="1:8" ht="13" x14ac:dyDescent="0.15">
      <c r="A79" s="2" t="s">
        <v>868</v>
      </c>
      <c r="B79" s="2" t="str">
        <f ca="1">IFERROR(__xludf.DUMMYFUNCTION("GOOGLETRANSLATE(A79)"),"Contacts Subject Boolean recall request")</f>
        <v>Contacts Subject Boolean recall request</v>
      </c>
      <c r="C79" s="11"/>
      <c r="D79" s="2">
        <v>0</v>
      </c>
      <c r="E79" s="2" t="s">
        <v>325</v>
      </c>
      <c r="F79" s="11"/>
      <c r="G79" s="2"/>
      <c r="H79" s="2"/>
    </row>
    <row r="80" spans="1:8" ht="13" x14ac:dyDescent="0.15">
      <c r="A80" s="2" t="s">
        <v>871</v>
      </c>
      <c r="B80" s="2" t="str">
        <f ca="1">IFERROR(__xludf.DUMMYFUNCTION("GOOGLETRANSLATE(A80)"),"Contacts Subject Boolean sick or cancellation")</f>
        <v>Contacts Subject Boolean sick or cancellation</v>
      </c>
      <c r="C80" s="11"/>
      <c r="D80" s="2">
        <v>0</v>
      </c>
      <c r="E80" s="2" t="s">
        <v>325</v>
      </c>
      <c r="F80" s="11"/>
      <c r="G80" s="2"/>
      <c r="H80" s="2"/>
    </row>
    <row r="81" spans="1:8" ht="13" x14ac:dyDescent="0.15">
      <c r="A81" s="2" t="s">
        <v>863</v>
      </c>
      <c r="B81" s="2" t="str">
        <f ca="1">IFERROR(__xludf.DUMMYFUNCTION("GOOGLETRANSLATE(A81)"),"Contacts Subject Boolean Training")</f>
        <v>Contacts Subject Boolean Training</v>
      </c>
      <c r="C81" s="11"/>
      <c r="D81" s="2">
        <v>0</v>
      </c>
      <c r="E81" s="2" t="s">
        <v>325</v>
      </c>
      <c r="F81" s="11"/>
      <c r="G81" s="2"/>
      <c r="H81" s="2"/>
    </row>
    <row r="82" spans="1:8" ht="13" x14ac:dyDescent="0.15">
      <c r="A82" s="2" t="s">
        <v>842</v>
      </c>
      <c r="B82" s="2" t="str">
        <f ca="1">IFERROR(__xludf.DUMMYFUNCTION("GOOGLETRANSLATE(A82)"),"Contacts Subject Boolean Work Intake")</f>
        <v>Contacts Subject Boolean Work Intake</v>
      </c>
      <c r="C82" s="11"/>
      <c r="D82" s="2">
        <v>0</v>
      </c>
      <c r="E82" s="2" t="s">
        <v>325</v>
      </c>
      <c r="F82" s="11"/>
      <c r="G82" s="2"/>
      <c r="H82" s="2"/>
    </row>
    <row r="83" spans="1:8" ht="13" x14ac:dyDescent="0.15">
      <c r="A83" s="2" t="s">
        <v>874</v>
      </c>
      <c r="B83" s="2" t="str">
        <f ca="1">IFERROR(__xludf.DUMMYFUNCTION("GOOGLETRANSLATE(A83)"),"Contacts Subject Intake request")</f>
        <v>Contacts Subject Intake request</v>
      </c>
      <c r="C83" s="11"/>
      <c r="D83" s="2">
        <v>0</v>
      </c>
      <c r="E83" s="2" t="s">
        <v>325</v>
      </c>
      <c r="F83" s="11"/>
      <c r="G83" s="2"/>
      <c r="H83" s="2"/>
    </row>
    <row r="84" spans="1:8" ht="13" x14ac:dyDescent="0.15">
      <c r="A84" s="2" t="s">
        <v>839</v>
      </c>
      <c r="B84" s="2" t="str">
        <f ca="1">IFERROR(__xludf.DUMMYFUNCTION("GOOGLETRANSLATE(A84)"),"Contacts Subject Pre Intake")</f>
        <v>Contacts Subject Pre Intake</v>
      </c>
      <c r="C84" s="11"/>
      <c r="D84" s="2">
        <v>0</v>
      </c>
      <c r="E84" s="2" t="s">
        <v>325</v>
      </c>
      <c r="F84" s="11"/>
      <c r="G84" s="2"/>
      <c r="H84" s="2"/>
    </row>
    <row r="85" spans="1:8" ht="13" x14ac:dyDescent="0.15">
      <c r="A85" s="2" t="s">
        <v>849</v>
      </c>
      <c r="B85" s="2" t="s">
        <v>850</v>
      </c>
      <c r="C85" s="11"/>
      <c r="D85" s="2">
        <v>0</v>
      </c>
      <c r="E85" s="2" t="s">
        <v>325</v>
      </c>
      <c r="F85" s="11"/>
      <c r="G85" s="2"/>
      <c r="H85" s="2"/>
    </row>
  </sheetData>
  <hyperlinks>
    <hyperlink ref="F53" r:id="rId1" xr:uid="{00000000-0004-0000-09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final_model_features</vt:lpstr>
      <vt:lpstr>selected_features</vt:lpstr>
      <vt:lpstr>r-rel_imp</vt:lpstr>
      <vt:lpstr>Sheet9</vt:lpstr>
      <vt:lpstr>average_feature_importance</vt:lpstr>
      <vt:lpstr>Person </vt:lpstr>
      <vt:lpstr>Relationship </vt:lpstr>
      <vt:lpstr>Skill </vt:lpstr>
      <vt:lpstr>Contact </vt:lpstr>
      <vt:lpstr>Action Plan </vt:lpstr>
      <vt:lpstr>Address </vt:lpstr>
      <vt:lpstr>Instrument ladder </vt:lpstr>
      <vt:lpstr>Personal qualities </vt:lpstr>
      <vt:lpstr>Exemption </vt:lpstr>
      <vt:lpstr>Appointment </vt:lpstr>
      <vt:lpstr>Obstacle </vt:lpstr>
      <vt:lpstr>Availability </vt:lpstr>
      <vt:lpstr>Customer type </vt:lpstr>
      <vt:lpstr>Participation Act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Geiger</cp:lastModifiedBy>
  <dcterms:modified xsi:type="dcterms:W3CDTF">2024-02-02T12:05:35Z</dcterms:modified>
</cp:coreProperties>
</file>