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EA45D6CA-8A3D-44B6-A7D0-BF0ECDFFEF71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" sheetId="1" r:id="rId1"/>
    <sheet name="Cal" sheetId="6" r:id="rId2"/>
    <sheet name="L410" sheetId="8" r:id="rId3"/>
    <sheet name="Picture" sheetId="7" state="veryHidden" r:id="rId4"/>
  </sheets>
  <functionGroups builtInGroupCount="19"/>
  <definedNames>
    <definedName name="_xlnm._FilterDatabase" localSheetId="1" hidden="1">Cal!$AA$13:$CP$438</definedName>
    <definedName name="_xleta.ABS" hidden="1" xlm="1">#NAME?</definedName>
    <definedName name="_xleta.COT" hidden="1" xlm="1">#NAME?</definedName>
    <definedName name="_xleta.DAY" hidden="1" xlm="1">#NAME?</definedName>
    <definedName name="_xleta.IF" hidden="1" xlm="1">#NAME?</definedName>
    <definedName name="_xleta.LEN" hidden="1" xlm="1">#NAME?</definedName>
    <definedName name="_xleta.N" hidden="1" xlm="1">#NAME?</definedName>
    <definedName name="_xleta.PI" hidden="1" xlm="1">#NAME?</definedName>
    <definedName name="_xleta.SINGLE" hidden="1" xlm="1">#NAME?</definedName>
    <definedName name="Pic">INDEX(Picture!$B$1:$B$5,Picture!$A$6)</definedName>
    <definedName name="_xlnm.Print_Area" localSheetId="1">Cal!$DA$11:$EU$24</definedName>
    <definedName name="_xlnm.Print_Area" localSheetId="0">Data!$B$1:$N$16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O24" i="6" l="1"/>
  <c r="BO25" i="6"/>
  <c r="BO26" i="6"/>
  <c r="BO27" i="6"/>
  <c r="BO28" i="6"/>
  <c r="BO29" i="6"/>
  <c r="BO30" i="6"/>
  <c r="BO31" i="6"/>
  <c r="BO32" i="6"/>
  <c r="BO23" i="6"/>
  <c r="BP24" i="6"/>
  <c r="BP25" i="6"/>
  <c r="BP26" i="6"/>
  <c r="BP27" i="6"/>
  <c r="BP28" i="6"/>
  <c r="BP29" i="6"/>
  <c r="BP30" i="6"/>
  <c r="BP31" i="6"/>
  <c r="BP32" i="6"/>
  <c r="BP23" i="6"/>
  <c r="R109" i="6"/>
  <c r="R110" i="6"/>
  <c r="R108" i="6"/>
  <c r="N108" i="6"/>
  <c r="K108" i="6"/>
  <c r="R107" i="6"/>
  <c r="N107" i="6"/>
  <c r="H110" i="6"/>
  <c r="H109" i="6"/>
  <c r="H108" i="6"/>
  <c r="H107" i="6"/>
  <c r="P25" i="6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DA22" i="6"/>
  <c r="I41" i="6"/>
  <c r="I39" i="6"/>
  <c r="R92" i="6"/>
  <c r="BI32" i="6"/>
  <c r="BF32" i="6"/>
  <c r="BI31" i="6"/>
  <c r="BF31" i="6"/>
  <c r="BI30" i="6"/>
  <c r="BF30" i="6"/>
  <c r="BI29" i="6"/>
  <c r="BF29" i="6"/>
  <c r="BI28" i="6"/>
  <c r="BF28" i="6"/>
  <c r="BI27" i="6"/>
  <c r="BF27" i="6"/>
  <c r="BI26" i="6"/>
  <c r="BF26" i="6"/>
  <c r="BI25" i="6"/>
  <c r="BF25" i="6"/>
  <c r="BI24" i="6"/>
  <c r="BF24" i="6"/>
  <c r="AP32" i="6"/>
  <c r="AO32" i="6"/>
  <c r="AN32" i="6"/>
  <c r="AP31" i="6"/>
  <c r="AO31" i="6"/>
  <c r="AN31" i="6"/>
  <c r="AP30" i="6"/>
  <c r="AO30" i="6"/>
  <c r="AN30" i="6"/>
  <c r="AP29" i="6"/>
  <c r="AO29" i="6"/>
  <c r="AN29" i="6"/>
  <c r="AP28" i="6"/>
  <c r="AO28" i="6"/>
  <c r="AN28" i="6"/>
  <c r="AP27" i="6"/>
  <c r="AO27" i="6"/>
  <c r="AN27" i="6"/>
  <c r="AP26" i="6"/>
  <c r="AO26" i="6"/>
  <c r="AN26" i="6"/>
  <c r="AP25" i="6"/>
  <c r="AO25" i="6"/>
  <c r="AN25" i="6"/>
  <c r="AP24" i="6"/>
  <c r="AO24" i="6"/>
  <c r="AN24" i="6"/>
  <c r="DO17" i="6"/>
  <c r="DO16" i="6"/>
  <c r="DO15" i="6"/>
  <c r="DO14" i="6"/>
  <c r="FZ11" i="6"/>
  <c r="R88" i="6"/>
  <c r="BI23" i="6"/>
  <c r="BL16" i="6" a="1"/>
  <c r="BF23" i="6"/>
  <c r="AN23" i="6"/>
  <c r="AP23" i="6"/>
  <c r="AO23" i="6"/>
  <c r="R49" i="6"/>
  <c r="R50" i="6" s="1"/>
  <c r="N114" i="6" l="1"/>
  <c r="N113" i="6"/>
  <c r="R112" i="6"/>
  <c r="H114" i="6"/>
  <c r="H113" i="6"/>
  <c r="H112" i="6"/>
  <c r="H92" i="6"/>
  <c r="H91" i="6"/>
  <c r="H89" i="6"/>
  <c r="H88" i="6"/>
  <c r="H95" i="6"/>
  <c r="H94" i="6"/>
  <c r="H93" i="6"/>
  <c r="N91" i="6"/>
  <c r="L91" i="6"/>
  <c r="P91" i="6" l="1"/>
  <c r="R91" i="6" s="1"/>
  <c r="L92" i="6" a="1"/>
  <c r="H85" i="6" l="1"/>
  <c r="H84" i="6"/>
  <c r="H82" i="6"/>
  <c r="O79" i="6"/>
  <c r="R79" i="6" s="1"/>
  <c r="R77" i="6"/>
  <c r="H79" i="6"/>
  <c r="H78" i="6"/>
  <c r="H77" i="6"/>
  <c r="R58" i="6"/>
  <c r="R36" i="6"/>
  <c r="R30" i="6"/>
  <c r="S110" i="6" s="1"/>
  <c r="R29" i="6"/>
  <c r="EB16" i="6" s="1"/>
  <c r="R24" i="6"/>
  <c r="R23" i="6"/>
  <c r="EB15" i="6" s="1"/>
  <c r="R45" i="6"/>
  <c r="R18" i="6"/>
  <c r="CI19" i="1"/>
  <c r="CF19" i="1"/>
  <c r="CH19" i="1" s="1"/>
  <c r="CI18" i="1"/>
  <c r="CF18" i="1"/>
  <c r="CH18" i="1" s="1"/>
  <c r="CI17" i="1"/>
  <c r="CF17" i="1"/>
  <c r="CH17" i="1" s="1"/>
  <c r="CI16" i="1"/>
  <c r="CF16" i="1"/>
  <c r="CH16" i="1" s="1"/>
  <c r="BQ16" i="1"/>
  <c r="CI15" i="1"/>
  <c r="CF15" i="1"/>
  <c r="CH15" i="1" s="1"/>
  <c r="BQ15" i="1"/>
  <c r="X15" i="1"/>
  <c r="CH14" i="1"/>
  <c r="CG14" i="1"/>
  <c r="CF14" i="1"/>
  <c r="BQ14" i="1"/>
  <c r="X14" i="1"/>
  <c r="CH13" i="1"/>
  <c r="CG13" i="1"/>
  <c r="CF13" i="1"/>
  <c r="BQ13" i="1"/>
  <c r="X13" i="1"/>
  <c r="CG12" i="1"/>
  <c r="CF12" i="1"/>
  <c r="CH12" i="1" s="1"/>
  <c r="BQ12" i="1"/>
  <c r="X12" i="1"/>
  <c r="CH11" i="1"/>
  <c r="CG11" i="1"/>
  <c r="CF11" i="1"/>
  <c r="BQ11" i="1"/>
  <c r="X11" i="1"/>
  <c r="CH10" i="1"/>
  <c r="CG10" i="1"/>
  <c r="CF10" i="1"/>
  <c r="BQ10" i="1"/>
  <c r="X10" i="1"/>
  <c r="DA9" i="1"/>
  <c r="DA10" i="1" s="1"/>
  <c r="DA11" i="1" s="1"/>
  <c r="DA12" i="1" s="1"/>
  <c r="DA13" i="1" s="1"/>
  <c r="DA14" i="1" s="1"/>
  <c r="DA15" i="1" s="1"/>
  <c r="DA16" i="1" s="1"/>
  <c r="CI9" i="1"/>
  <c r="CF9" i="1"/>
  <c r="CH9" i="1" s="1"/>
  <c r="BQ9" i="1"/>
  <c r="X9" i="1"/>
  <c r="DA8" i="1"/>
  <c r="CI8" i="1"/>
  <c r="CH8" i="1"/>
  <c r="CG8" i="1"/>
  <c r="CF8" i="1"/>
  <c r="BO8" i="1"/>
  <c r="BN8" i="1"/>
  <c r="BM8" i="1"/>
  <c r="BL8" i="1"/>
  <c r="BK8" i="1"/>
  <c r="X8" i="1"/>
  <c r="DD7" i="1"/>
  <c r="DD8" i="1" s="1"/>
  <c r="DD9" i="1" s="1"/>
  <c r="DD10" i="1" s="1"/>
  <c r="DD11" i="1" s="1"/>
  <c r="DA7" i="1"/>
  <c r="CI7" i="1"/>
  <c r="CG7" i="1"/>
  <c r="CF7" i="1"/>
  <c r="CH7" i="1" s="1"/>
  <c r="BQ7" i="1"/>
  <c r="X7" i="1"/>
  <c r="CI6" i="1"/>
  <c r="CF6" i="1"/>
  <c r="CG6" i="1" s="1"/>
  <c r="BQ6" i="1"/>
  <c r="X6" i="1"/>
  <c r="CI5" i="1"/>
  <c r="CG5" i="1"/>
  <c r="CF5" i="1"/>
  <c r="CH5" i="1" s="1"/>
  <c r="CI4" i="1"/>
  <c r="CH4" i="1"/>
  <c r="CG4" i="1"/>
  <c r="CF4" i="1"/>
  <c r="K73" i="6"/>
  <c r="I73" i="6"/>
  <c r="R69" i="6"/>
  <c r="R63" i="6"/>
  <c r="R62" i="6"/>
  <c r="H75" i="6"/>
  <c r="H74" i="6"/>
  <c r="R73" i="6"/>
  <c r="P73" i="6"/>
  <c r="H72" i="6"/>
  <c r="H71" i="6"/>
  <c r="H70" i="6"/>
  <c r="H69" i="6"/>
  <c r="H68" i="6"/>
  <c r="H67" i="6"/>
  <c r="H66" i="6"/>
  <c r="H65" i="6"/>
  <c r="H64" i="6"/>
  <c r="H63" i="6"/>
  <c r="H62" i="6"/>
  <c r="T14" i="6"/>
  <c r="Q11" i="6" s="1"/>
  <c r="R83" i="6"/>
  <c r="N50" i="6"/>
  <c r="N49" i="6"/>
  <c r="L66" i="6" l="1"/>
  <c r="EB14" i="6"/>
  <c r="R84" i="6"/>
  <c r="EB17" i="6"/>
  <c r="BJ23" i="6"/>
  <c r="BK23" i="6" s="1"/>
  <c r="R64" i="6"/>
  <c r="R82" i="6"/>
  <c r="R85" i="6" s="1"/>
  <c r="CG16" i="1"/>
  <c r="CG19" i="1"/>
  <c r="CH6" i="1"/>
  <c r="CG17" i="1"/>
  <c r="CG15" i="1"/>
  <c r="CG9" i="1"/>
  <c r="CG18" i="1"/>
  <c r="BJ25" i="6" l="1"/>
  <c r="BK25" i="6" s="1"/>
  <c r="BJ30" i="6"/>
  <c r="BK30" i="6" s="1"/>
  <c r="BJ28" i="6"/>
  <c r="BK28" i="6" s="1"/>
  <c r="BJ32" i="6"/>
  <c r="BK32" i="6" s="1"/>
  <c r="BJ29" i="6"/>
  <c r="BK29" i="6" s="1"/>
  <c r="BJ27" i="6"/>
  <c r="BK27" i="6" s="1"/>
  <c r="BJ26" i="6"/>
  <c r="BK26" i="6" s="1"/>
  <c r="BJ24" i="6"/>
  <c r="BK24" i="6" s="1"/>
  <c r="BJ31" i="6"/>
  <c r="BK31" i="6" s="1"/>
  <c r="S85" i="6"/>
  <c r="N92" i="6"/>
  <c r="N89" i="6"/>
  <c r="R89" i="6" s="1"/>
  <c r="N53" i="6"/>
  <c r="R93" i="6" l="1"/>
  <c r="R26" i="6"/>
  <c r="AA22" i="6" l="1"/>
  <c r="B9" i="7" l="1"/>
  <c r="B8" i="7"/>
  <c r="I58" i="6" l="1"/>
  <c r="N52" i="6"/>
  <c r="N51" i="6"/>
  <c r="N48" i="6"/>
  <c r="B11" i="7"/>
  <c r="N47" i="6"/>
  <c r="N46" i="6"/>
  <c r="N43" i="6"/>
  <c r="I40" i="6"/>
  <c r="I36" i="6"/>
  <c r="I35" i="6"/>
  <c r="I33" i="6"/>
  <c r="I32" i="6"/>
  <c r="I31" i="6"/>
  <c r="I30" i="6"/>
  <c r="I29" i="6"/>
  <c r="I28" i="6"/>
  <c r="I26" i="6"/>
  <c r="I25" i="6"/>
  <c r="R31" i="6"/>
  <c r="I24" i="6"/>
  <c r="I23" i="6"/>
  <c r="I22" i="6"/>
  <c r="I20" i="6"/>
  <c r="N45" i="6"/>
  <c r="N44" i="6"/>
  <c r="I19" i="6"/>
  <c r="R66" i="6"/>
  <c r="R67" i="6" s="1"/>
  <c r="I18" i="6"/>
  <c r="AG17" i="6"/>
  <c r="I17" i="6"/>
  <c r="AG16" i="6"/>
  <c r="I16" i="6"/>
  <c r="AG15" i="6"/>
  <c r="AG14" i="6"/>
  <c r="CZ11" i="6"/>
  <c r="Z11" i="6"/>
  <c r="G11" i="6"/>
  <c r="R65" i="6" l="1"/>
  <c r="R68" i="6" s="1"/>
  <c r="S68" i="6" s="1"/>
  <c r="R25" i="6"/>
  <c r="BB14" i="6"/>
  <c r="BB16" i="6"/>
  <c r="BB15" i="6"/>
  <c r="R33" i="6"/>
  <c r="BB17" i="6"/>
  <c r="R19" i="6"/>
  <c r="B10" i="7"/>
  <c r="A6" i="7"/>
  <c r="B6" i="7" s="1" a="1"/>
  <c r="BL23" i="6" a="1"/>
  <c r="BL32" i="6" a="1"/>
  <c r="BL27" i="6" a="1"/>
  <c r="BE31" i="6" a="1"/>
  <c r="BE27" i="6" a="1"/>
  <c r="BE32" i="6" a="1"/>
  <c r="BE30" i="6" a="1"/>
  <c r="BE29" i="6" a="1"/>
  <c r="BE25" i="6" a="1"/>
  <c r="BE24" i="6" a="1"/>
  <c r="BE28" i="6" a="1"/>
  <c r="BE26" i="6" a="1"/>
  <c r="BL25" i="6" a="1"/>
  <c r="BL29" i="6" a="1"/>
  <c r="BL26" i="6" a="1"/>
  <c r="BE23" i="6" a="1"/>
  <c r="BL28" i="6" a="1"/>
  <c r="BL31" i="6" a="1"/>
  <c r="BL30" i="6" a="1"/>
  <c r="BL24" i="6" a="1"/>
  <c r="BG26" i="6" s="1"/>
  <c r="BH26" i="6" s="1"/>
  <c r="BG28" i="6" s="1"/>
  <c r="BH28" i="6" s="1"/>
  <c r="BG24" i="6" s="1"/>
  <c r="BH24" i="6" s="1"/>
  <c r="BG25" i="6" s="1"/>
  <c r="BH25" i="6" s="1"/>
  <c r="BG29" i="6" s="1"/>
  <c r="BH29" i="6" s="1"/>
  <c r="BG30" i="6" s="1"/>
  <c r="BH30" i="6" s="1"/>
  <c r="BG32" i="6" s="1"/>
  <c r="BH32" i="6" s="1"/>
  <c r="BG27" i="6" s="1"/>
  <c r="BH27" i="6" s="1"/>
  <c r="BG31" i="6" s="1"/>
  <c r="BH31" i="6" s="1"/>
  <c r="R78" i="6"/>
  <c r="BQ28" i="6"/>
  <c r="BR28" i="6" s="1"/>
  <c r="BQ32" i="6"/>
  <c r="BR32" i="6" s="1"/>
  <c r="BQ24" i="6"/>
  <c r="BR24" i="6" s="1"/>
  <c r="BQ27" i="6"/>
  <c r="BR27" i="6" s="1"/>
  <c r="BQ30" i="6"/>
  <c r="BR30" i="6" s="1"/>
  <c r="BQ29" i="6"/>
  <c r="BR29" i="6" s="1"/>
  <c r="BQ25" i="6"/>
  <c r="BR25" i="6" s="1"/>
  <c r="BQ26" i="6"/>
  <c r="BR26" i="6" s="1"/>
  <c r="BQ31" i="6"/>
  <c r="BR31" i="6" s="1"/>
  <c r="BM29" i="6" s="1"/>
  <c r="BN29" i="6" s="1"/>
  <c r="BM24" i="6" s="1"/>
  <c r="BN24" i="6" s="1"/>
  <c r="BM27" i="6" s="1"/>
  <c r="BN27" i="6" s="1"/>
  <c r="BM25" i="6" s="1"/>
  <c r="BN25" i="6" s="1"/>
  <c r="BM28" i="6" s="1"/>
  <c r="BN28" i="6" s="1"/>
  <c r="BM32" i="6" s="1"/>
  <c r="BN32" i="6" s="1"/>
  <c r="BM30" i="6" s="1"/>
  <c r="BN30" i="6" s="1"/>
  <c r="BM26" i="6" s="1"/>
  <c r="BN26" i="6" s="1"/>
  <c r="BM31" i="6" s="1"/>
  <c r="BN31" i="6" s="1"/>
  <c r="R94" i="6"/>
  <c r="R95" i="6" s="1"/>
  <c r="S95" i="6" s="1"/>
  <c r="BQ23" i="6"/>
  <c r="BR23" i="6" s="1"/>
  <c r="BM23" i="6" s="1"/>
  <c r="BN23" i="6" s="1"/>
  <c r="BG23" i="6" s="1"/>
  <c r="BH23" i="6" s="1"/>
  <c r="R113" i="6"/>
  <c r="S113" i="6" s="1"/>
  <c r="R114" i="6"/>
  <c r="S114" i="6" s="1"/>
  <c r="R80" i="6"/>
  <c r="R70" i="6"/>
  <c r="R71" i="6" s="1"/>
  <c r="R74" i="6" l="1"/>
  <c r="R75" i="6" s="1"/>
  <c r="S7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G1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Z1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CZ1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FZ11" authorId="0" shapeId="0" xr:uid="{22752FF5-ABA4-4AC4-8E14-0945BE5E77E9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Q57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Toàn
N &gt; 0: Gây kéo
N &lt; 0: Gây nén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84" authorId="0" shapeId="0" xr:uid="{D45AF0BE-3559-4CC2-A45F-1EB0939EE2E6}">
      <text>
        <r>
          <rPr>
            <sz val="9"/>
            <color indexed="81"/>
            <rFont val="Tahoma"/>
            <family val="2"/>
          </rPr>
          <t xml:space="preserve">Toàn
TCVN 5574:2018
CT (118): Phi b min = 1
</t>
        </r>
      </text>
    </comment>
    <comment ref="P84" authorId="0" shapeId="0" xr:uid="{0DFA7906-804F-422A-B843-7005960BA7D7}">
      <text>
        <r>
          <rPr>
            <sz val="9"/>
            <color indexed="81"/>
            <rFont val="Tahoma"/>
            <family val="2"/>
          </rPr>
          <t>Toàn
TCVN 5574:2018
Tải trọng phân bố không đều  = 0.75</t>
        </r>
      </text>
    </comment>
    <comment ref="R110" authorId="0" shapeId="0" xr:uid="{1F9CEE67-9F69-48DF-9AA4-057624405D21}">
      <text>
        <r>
          <rPr>
            <sz val="9"/>
            <color indexed="81"/>
            <rFont val="Tahoma"/>
            <family val="2"/>
          </rPr>
          <t xml:space="preserve">Toàn
Trường hợp không thỏa thì tham khảo sheet L410.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<sst xmlns="http://schemas.openxmlformats.org/spreadsheetml/2006/main" count="591" uniqueCount="342">
  <si>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</si>
  <si>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</si>
  <si>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</si>
  <si>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</si>
  <si>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</si>
  <si>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</si>
  <si>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</si>
  <si>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</si>
  <si>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</si>
  <si>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</si>
  <si>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</si>
  <si>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</si>
  <si>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</si>
  <si>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</si>
  <si>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</si>
  <si>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</si>
  <si>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</si>
  <si>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</si>
  <si>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</si>
  <si>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</si>
  <si>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t>B. QUY TRÌNH TÍNH TOÁN</t>
  </si>
  <si>
    <t>MPa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</si>
  <si>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</si>
  <si>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</si>
  <si>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Q235</t>
  </si>
  <si>
    <t>Q345</t>
  </si>
  <si>
    <t>A572 gr.50</t>
  </si>
  <si>
    <t>A36</t>
  </si>
  <si>
    <t>(Theo TCVN 5575-2024)</t>
  </si>
  <si>
    <t>Loại</t>
  </si>
  <si>
    <t>E43</t>
  </si>
  <si>
    <t>E51</t>
  </si>
  <si>
    <t>Bảng C1: Que hàn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</si>
  <si>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</si>
  <si>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</si>
  <si>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Cấp</t>
  </si>
  <si>
    <t>Bảng C.4 Cường độ tiêu chuẩn
 của thép làm bu lông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</si>
  <si>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</si>
  <si>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</si>
  <si>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</si>
  <si>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</si>
  <si>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Bảng C.6 Diện tích tiết diện bu lông</t>
  </si>
  <si>
    <t>D</t>
  </si>
  <si>
    <t>p</t>
  </si>
  <si>
    <t>Ab</t>
  </si>
  <si>
    <t>d =</t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</si>
  <si>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</si>
  <si>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</si>
  <si>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</si>
  <si>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</si>
  <si>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1. Vật liệu</t>
  </si>
  <si>
    <t>1.1 Bu lông neo</t>
  </si>
  <si>
    <t>1.2 Thép tấm</t>
  </si>
  <si>
    <t>1.3 Đường hàn</t>
  </si>
  <si>
    <t>1.4 Bê tông móng</t>
  </si>
  <si>
    <t>2. Tiết diện</t>
  </si>
  <si>
    <t>h =</t>
  </si>
  <si>
    <r>
      <t>t</t>
    </r>
    <r>
      <rPr>
        <vertAlign val="subscript"/>
        <sz val="10"/>
        <color theme="1"/>
        <rFont val="Calibri"/>
        <family val="2"/>
        <scheme val="minor"/>
      </rPr>
      <t>bđ</t>
    </r>
    <r>
      <rPr>
        <sz val="10"/>
        <color theme="1"/>
        <rFont val="Calibri"/>
        <family val="2"/>
        <scheme val="minor"/>
      </rPr>
      <t xml:space="preserve"> =</t>
    </r>
  </si>
  <si>
    <t>3. Nội lực</t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</si>
  <si>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</si>
  <si>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R</t>
    </r>
    <r>
      <rPr>
        <vertAlign val="subscript"/>
        <sz val="10"/>
        <color theme="1"/>
        <rFont val="Calibri"/>
        <family val="2"/>
        <scheme val="minor"/>
      </rPr>
      <t xml:space="preserve">b </t>
    </r>
    <r>
      <rPr>
        <sz val="10"/>
        <color theme="1"/>
        <rFont val="Calibri"/>
        <family val="2"/>
        <scheme val="minor"/>
      </rPr>
      <t>=</t>
    </r>
  </si>
  <si>
    <t>B20</t>
  </si>
  <si>
    <t>B25</t>
  </si>
  <si>
    <t>B30</t>
  </si>
  <si>
    <t>B35</t>
  </si>
  <si>
    <t>B40</t>
  </si>
  <si>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 xml:space="preserve"> =</t>
    </r>
  </si>
  <si>
    <t>kN</t>
  </si>
  <si>
    <t>kNm</t>
  </si>
  <si>
    <t>Tải trọng động</t>
  </si>
  <si>
    <t>Tải trọng tĩnh</t>
  </si>
  <si>
    <t>Công trình (ống khói, tháp thải khí…), tải trọng tính tính là tải trọng gió</t>
  </si>
  <si>
    <t>Bu lông tháo được có bản neo lắp đặt tự do trong ống</t>
  </si>
  <si>
    <t>Hệ số k0</t>
  </si>
  <si>
    <r>
      <t>k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 xml:space="preserve"> =</t>
    </r>
  </si>
  <si>
    <t>Chữ L</t>
  </si>
  <si>
    <t>Không tháo được có bản neo</t>
  </si>
  <si>
    <t>Tháo được có bản neo</t>
  </si>
  <si>
    <t>Thẳng</t>
  </si>
  <si>
    <t>Đầu côn</t>
  </si>
  <si>
    <t>Hình dạng</t>
  </si>
  <si>
    <t>Hmin</t>
  </si>
  <si>
    <t>25db</t>
  </si>
  <si>
    <t>15db</t>
  </si>
  <si>
    <t>30db</t>
  </si>
  <si>
    <t>10db</t>
  </si>
  <si>
    <t>1. Kiểm tra diện tích tiết diện ngang của bu lông (Mục L.4.2 và L.4.3)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</si>
  <si>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</si>
  <si>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</si>
  <si>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</t>
    </r>
  </si>
  <si>
    <t>Lmin</t>
  </si>
  <si>
    <t>Ledge</t>
  </si>
  <si>
    <t>Đầu côn (D&lt; 16)</t>
  </si>
  <si>
    <t>k tĩnh</t>
  </si>
  <si>
    <t>k động</t>
  </si>
  <si>
    <t>z</t>
  </si>
  <si>
    <r>
      <rPr>
        <sz val="10"/>
        <color theme="1"/>
        <rFont val="Symbol"/>
        <family val="1"/>
        <charset val="2"/>
      </rPr>
      <t>z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</si>
  <si>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</si>
  <si>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sa,min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</si>
  <si>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</si>
  <si>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=0.66/R</t>
    </r>
    <r>
      <rPr>
        <vertAlign val="subscript"/>
        <sz val="10"/>
        <color theme="1"/>
        <rFont val="Calibri"/>
        <family val="2"/>
        <scheme val="minor"/>
      </rPr>
      <t>bt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</si>
  <si>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</si>
  <si>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</si>
  <si>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t>H=</t>
  </si>
  <si>
    <t>(Bảng L.1)</t>
  </si>
  <si>
    <t>- Chiều sâu ngàm tối thiểu H0:</t>
  </si>
  <si>
    <r>
      <t>H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>=</t>
    </r>
  </si>
  <si>
    <t>3. Kiểm tra ứng suất bản đế (TCVN 5574:2018, Mục 8.1.5)</t>
  </si>
  <si>
    <t>2.2 Bản đế &amp; Sườn đế</t>
  </si>
  <si>
    <r>
      <t>h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</si>
  <si>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</si>
  <si>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</si>
  <si>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</si>
  <si>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bu lông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</si>
  <si>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</si>
  <si>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t>n =</t>
  </si>
  <si>
    <t>b =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</si>
  <si>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</si>
  <si>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</si>
  <si>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</si>
  <si>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</si>
  <si>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</si>
  <si>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</si>
  <si>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Phần tử</t>
  </si>
  <si>
    <t>Vị trí</t>
  </si>
  <si>
    <t>Tổ hợp</t>
  </si>
  <si>
    <t>N</t>
  </si>
  <si>
    <t>(m)</t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</si>
  <si>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</si>
  <si>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2. Chiều sâu ngàm bu lông vào bê tông (Mục L.5)</t>
  </si>
  <si>
    <t>N42</t>
  </si>
  <si>
    <t>N46</t>
  </si>
  <si>
    <t>N50</t>
  </si>
  <si>
    <t>A. THÔNG SỐ THIẾT KẾ</t>
  </si>
  <si>
    <t>B. TÍNH TOÁN</t>
  </si>
  <si>
    <t>Tên</t>
  </si>
  <si>
    <t>h</t>
  </si>
  <si>
    <t>b</t>
  </si>
  <si>
    <t>(mm)</t>
  </si>
  <si>
    <r>
      <t>L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</si>
  <si>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</si>
  <si>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</si>
  <si>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t>Thông số bản đế</t>
  </si>
  <si>
    <t>n</t>
  </si>
  <si>
    <t>d</t>
  </si>
  <si>
    <t>CT1</t>
  </si>
  <si>
    <t>Thông số lực</t>
  </si>
  <si>
    <t>THIẾT LẬP CHUNG</t>
  </si>
  <si>
    <t>Bản đế</t>
  </si>
  <si>
    <t>Bu lông</t>
  </si>
  <si>
    <t>Kiểm tra diện tích tiết diện ngang của bu lông</t>
  </si>
  <si>
    <r>
      <t>mm</t>
    </r>
    <r>
      <rPr>
        <b/>
        <vertAlign val="superscript"/>
        <sz val="10"/>
        <color rgb="FF0070C0"/>
        <rFont val="Calibri"/>
        <family val="2"/>
        <scheme val="minor"/>
      </rPr>
      <t>2</t>
    </r>
  </si>
  <si>
    <r>
      <t>A</t>
    </r>
    <r>
      <rPr>
        <b/>
        <vertAlign val="subscript"/>
        <sz val="10"/>
        <color rgb="FF0070C0"/>
        <rFont val="Calibri"/>
        <family val="2"/>
        <scheme val="minor"/>
      </rPr>
      <t>sa</t>
    </r>
  </si>
  <si>
    <r>
      <t>A</t>
    </r>
    <r>
      <rPr>
        <b/>
        <vertAlign val="subscript"/>
        <sz val="10"/>
        <color rgb="FF0070C0"/>
        <rFont val="Calibri"/>
        <family val="2"/>
        <scheme val="minor"/>
      </rPr>
      <t>s,bl</t>
    </r>
  </si>
  <si>
    <t>FS</t>
  </si>
  <si>
    <t>Kết luận</t>
  </si>
  <si>
    <t>Kiểm tra ứng suất bản đế</t>
  </si>
  <si>
    <t>M</t>
  </si>
  <si>
    <t>tmin</t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</si>
  <si>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max</t>
    </r>
  </si>
  <si>
    <t>KT bu lông neo chống lực trượt V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</si>
  <si>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</si>
  <si>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</si>
  <si>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</si>
  <si>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</si>
  <si>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</si>
  <si>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</si>
  <si>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</si>
  <si>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</si>
  <si>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H</t>
  </si>
  <si>
    <t>B</t>
  </si>
  <si>
    <t>Hp</t>
  </si>
  <si>
    <t>Bp</t>
  </si>
  <si>
    <t>V</t>
  </si>
  <si>
    <t>B22.5</t>
  </si>
  <si>
    <t>Label</t>
  </si>
  <si>
    <t>Uni</t>
  </si>
  <si>
    <t>Lựa chọn</t>
  </si>
  <si>
    <t>Cấu kiện</t>
  </si>
  <si>
    <t>Thông số</t>
  </si>
  <si>
    <t>Unique</t>
  </si>
  <si>
    <t>2.1 Tiết diện cột</t>
  </si>
  <si>
    <t>t =</t>
  </si>
  <si>
    <r>
      <t>h</t>
    </r>
    <r>
      <rPr>
        <vertAlign val="subscript"/>
        <sz val="10"/>
        <color theme="1"/>
        <rFont val="Calibri"/>
        <family val="2"/>
        <scheme val="minor"/>
      </rPr>
      <t xml:space="preserve">w </t>
    </r>
    <r>
      <rPr>
        <sz val="10"/>
        <color theme="1"/>
        <rFont val="Calibri"/>
        <family val="2"/>
        <scheme val="minor"/>
      </rPr>
      <t>=</t>
    </r>
  </si>
  <si>
    <r>
      <t>F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</si>
  <si>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r>
      <t>B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</si>
  <si>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THIẾT KẾ LIÊN KẾT CHÂN CỘT HỘP THEO TCVN 5575:2024</t>
  </si>
  <si>
    <t>Tiết diện</t>
  </si>
  <si>
    <r>
      <t>e</t>
    </r>
    <r>
      <rPr>
        <vertAlign val="subscript"/>
        <sz val="10"/>
        <color theme="1"/>
        <rFont val="Calibri"/>
        <family val="2"/>
        <scheme val="minor"/>
      </rPr>
      <t xml:space="preserve">0 </t>
    </r>
    <r>
      <rPr>
        <sz val="10"/>
        <color theme="1"/>
        <rFont val="Calibri"/>
        <family val="2"/>
        <scheme val="minor"/>
      </rPr>
      <t>=M/N=</t>
    </r>
  </si>
  <si>
    <t>m</t>
  </si>
  <si>
    <t>c =</t>
  </si>
  <si>
    <r>
      <t>L</t>
    </r>
    <r>
      <rPr>
        <vertAlign val="subscript"/>
        <sz val="10"/>
        <color theme="1"/>
        <rFont val="Calibri"/>
        <family val="2"/>
        <scheme val="minor"/>
      </rPr>
      <t>a</t>
    </r>
    <r>
      <rPr>
        <sz val="10"/>
        <color theme="1"/>
        <rFont val="Calibri"/>
        <family val="2"/>
        <scheme val="minor"/>
      </rPr>
      <t>=L/2+c =</t>
    </r>
  </si>
  <si>
    <t>x =</t>
  </si>
  <si>
    <r>
      <rPr>
        <sz val="10"/>
        <color theme="1"/>
        <rFont val="Symbol"/>
        <family val="1"/>
        <charset val="2"/>
      </rPr>
      <t xml:space="preserve"> e</t>
    </r>
    <r>
      <rPr>
        <vertAlign val="subscript"/>
        <sz val="10"/>
        <color theme="1"/>
        <rFont val="Calibri"/>
        <family val="2"/>
        <scheme val="minor"/>
      </rPr>
      <t>s,el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</si>
  <si>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 xml:space="preserve"> e</t>
    </r>
    <r>
      <rPr>
        <vertAlign val="subscript"/>
        <sz val="10"/>
        <color theme="1"/>
        <rFont val="Calibri"/>
        <family val="2"/>
        <scheme val="minor"/>
      </rPr>
      <t>b2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</si>
  <si>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 xml:space="preserve"> x</t>
    </r>
    <r>
      <rPr>
        <vertAlign val="subscript"/>
        <sz val="10"/>
        <color theme="1"/>
        <rFont val="Calibri"/>
        <family val="2"/>
        <scheme val="minor"/>
      </rPr>
      <t>R</t>
    </r>
    <r>
      <rPr>
        <sz val="10"/>
        <color theme="1"/>
        <rFont val="Calibri"/>
        <family val="2"/>
        <scheme val="minor"/>
      </rPr>
      <t xml:space="preserve"> =</t>
    </r>
  </si>
  <si>
    <r>
      <t>[x] =</t>
    </r>
    <r>
      <rPr>
        <sz val="10"/>
        <color theme="1"/>
        <rFont val="Symbol"/>
        <family val="1"/>
        <charset val="2"/>
      </rPr>
      <t>x</t>
    </r>
    <r>
      <rPr>
        <vertAlign val="subscript"/>
        <sz val="10"/>
        <color theme="1"/>
        <rFont val="Calibri"/>
        <family val="2"/>
        <scheme val="minor"/>
      </rPr>
      <t>R</t>
    </r>
    <r>
      <rPr>
        <sz val="10"/>
        <color theme="1"/>
        <rFont val="Calibri"/>
        <family val="2"/>
        <scheme val="minor"/>
      </rPr>
      <t>.L</t>
    </r>
    <r>
      <rPr>
        <vertAlign val="subscript"/>
        <sz val="10"/>
        <color theme="1"/>
        <rFont val="Calibri"/>
        <family val="2"/>
        <scheme val="minor"/>
      </rPr>
      <t>a</t>
    </r>
    <r>
      <rPr>
        <sz val="10"/>
        <color theme="1"/>
        <rFont val="Calibri"/>
        <family val="2"/>
        <scheme val="minor"/>
      </rPr>
      <t xml:space="preserve"> =</t>
    </r>
  </si>
  <si>
    <t>x/[x] =</t>
  </si>
  <si>
    <r>
      <t>P=(R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x-N)/n =</t>
    </r>
  </si>
  <si>
    <r>
      <t>L</t>
    </r>
    <r>
      <rPr>
        <vertAlign val="subscript"/>
        <sz val="10"/>
        <color theme="1"/>
        <rFont val="Calibri"/>
        <family val="2"/>
        <scheme val="minor"/>
      </rPr>
      <t xml:space="preserve">bđ </t>
    </r>
    <r>
      <rPr>
        <sz val="10"/>
        <color theme="1"/>
        <rFont val="Calibri"/>
        <family val="2"/>
        <scheme val="minor"/>
      </rPr>
      <t>=</t>
    </r>
  </si>
  <si>
    <r>
      <t>B</t>
    </r>
    <r>
      <rPr>
        <vertAlign val="subscript"/>
        <sz val="10"/>
        <color theme="1"/>
        <rFont val="Calibri"/>
        <family val="2"/>
        <scheme val="minor"/>
      </rPr>
      <t>bđ</t>
    </r>
    <r>
      <rPr>
        <sz val="10"/>
        <color theme="1"/>
        <rFont val="Calibri"/>
        <family val="2"/>
        <scheme val="minor"/>
      </rPr>
      <t xml:space="preserve"> =</t>
    </r>
  </si>
  <si>
    <t>Bảng C5: Cường độ ép mặt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</si>
  <si>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</si>
  <si>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</si>
  <si>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</si>
  <si>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</si>
  <si>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Bảng E2</t>
  </si>
  <si>
    <t>fu</t>
  </si>
  <si>
    <t>A</t>
  </si>
  <si>
    <t>NÉN</t>
  </si>
  <si>
    <t>KÉO</t>
  </si>
  <si>
    <t>Loại thép</t>
  </si>
  <si>
    <t>fy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</si>
  <si>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</si>
  <si>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</si>
  <si>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</si>
  <si>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</si>
  <si>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</si>
  <si>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t>Kê 4 cạnh</t>
  </si>
  <si>
    <t>Kê 3 cạnh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</si>
  <si>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</si>
  <si>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</si>
  <si>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</si>
  <si>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</si>
  <si>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</si>
  <si>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fck</t>
  </si>
  <si>
    <t>CI</t>
  </si>
  <si>
    <t>b/a</t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</si>
  <si>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>1</t>
    </r>
  </si>
  <si>
    <t>a2</t>
  </si>
  <si>
    <t>a3</t>
  </si>
  <si>
    <t>M150</t>
  </si>
  <si>
    <t>B10</t>
  </si>
  <si>
    <t>CII</t>
  </si>
  <si>
    <t>M200</t>
  </si>
  <si>
    <t>B15</t>
  </si>
  <si>
    <t>C12/15</t>
  </si>
  <si>
    <t>CIII</t>
  </si>
  <si>
    <t>M250</t>
  </si>
  <si>
    <t>C16/20</t>
  </si>
  <si>
    <t>AI</t>
  </si>
  <si>
    <t>M300</t>
  </si>
  <si>
    <t>C18/22.5</t>
  </si>
  <si>
    <t>AII</t>
  </si>
  <si>
    <t>M350</t>
  </si>
  <si>
    <t>C20/25</t>
  </si>
  <si>
    <t>AIII</t>
  </si>
  <si>
    <t>M400</t>
  </si>
  <si>
    <t>C25/30</t>
  </si>
  <si>
    <t>CB240-T</t>
  </si>
  <si>
    <t>M450</t>
  </si>
  <si>
    <t>C28/35</t>
  </si>
  <si>
    <t>CB300-T</t>
  </si>
  <si>
    <t>M500</t>
  </si>
  <si>
    <t>C32/40</t>
  </si>
  <si>
    <t>CB300-V</t>
  </si>
  <si>
    <t>M600</t>
  </si>
  <si>
    <t>B45</t>
  </si>
  <si>
    <t>C35/45</t>
  </si>
  <si>
    <t>CB400-V</t>
  </si>
  <si>
    <t>M700</t>
  </si>
  <si>
    <t>B50</t>
  </si>
  <si>
    <t>C40/50</t>
  </si>
  <si>
    <t>CB500-V</t>
  </si>
  <si>
    <t>B55</t>
  </si>
  <si>
    <t>C45/55</t>
  </si>
  <si>
    <t>SR235</t>
  </si>
  <si>
    <t>M800</t>
  </si>
  <si>
    <t>B60</t>
  </si>
  <si>
    <t>C50/60</t>
  </si>
  <si>
    <t>SR295</t>
  </si>
  <si>
    <t>SD295</t>
  </si>
  <si>
    <t>SD390</t>
  </si>
  <si>
    <t>SD490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</si>
  <si>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</rPr>
      <t>max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  <r>
      <rPr>
        <sz val="10"/>
        <color theme="1"/>
        <rFont val="Calibri"/>
        <family val="1"/>
        <charset val="2"/>
        <scheme val="minor"/>
      </rPr>
      <t>N/(B.L)+6M/(B.L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</si>
  <si>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</rPr>
      <t>min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  <r>
      <rPr>
        <sz val="10"/>
        <color theme="1"/>
        <rFont val="Calibri"/>
        <family val="1"/>
        <charset val="2"/>
        <scheme val="minor"/>
      </rPr>
      <t>N/(B.L)-6M/(B.L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)=</t>
    </r>
  </si>
  <si>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>R</t>
    </r>
    <r>
      <rPr>
        <vertAlign val="subscript"/>
        <sz val="10"/>
        <color theme="1"/>
        <rFont val="Calibri"/>
        <family val="2"/>
        <scheme val="minor"/>
      </rPr>
      <t xml:space="preserve">b,loc 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</si>
  <si>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 xml:space="preserve"> /(</t>
    </r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>R</t>
    </r>
    <r>
      <rPr>
        <vertAlign val="subscript"/>
        <sz val="10"/>
        <color theme="1"/>
        <rFont val="Calibri"/>
        <family val="2"/>
        <scheme val="minor"/>
      </rPr>
      <t>b,loc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</si>
  <si>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4. Kiểm tra chiều dày bản đế</t>
  </si>
  <si>
    <t>a. Trường hợp không bố trí sườn tăng cứng</t>
  </si>
  <si>
    <t>b. Trường hợp bố trí sườn tăng cứng</t>
  </si>
  <si>
    <r>
      <t>d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</si>
  <si>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a</t>
    </r>
    <r>
      <rPr>
        <vertAlign val="subscript"/>
        <sz val="10"/>
        <color theme="1"/>
        <rFont val="Calibri"/>
        <family val="2"/>
      </rPr>
      <t>3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</si>
  <si>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</rPr>
      <t>max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>=</t>
    </r>
  </si>
  <si>
    <t>M =</t>
  </si>
  <si>
    <r>
      <t>a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=</t>
    </r>
  </si>
  <si>
    <t>a =</t>
  </si>
  <si>
    <r>
      <t>M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</si>
  <si>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kN.m</t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</si>
  <si>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min </t>
    </r>
    <r>
      <rPr>
        <sz val="10"/>
        <color theme="1"/>
        <rFont val="Calibri"/>
        <family val="2"/>
        <scheme val="minor"/>
      </rPr>
      <t>=(6M/(f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</si>
  <si>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=M/h+N/2 =</t>
    </r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</si>
  <si>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</si>
  <si>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/ (h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)=</t>
    </r>
  </si>
  <si>
    <r>
      <t>V / (h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)=</t>
    </r>
  </si>
  <si>
    <t>6. Kiểm tra đường hàn liên kết cột vào bản đế mục 14.1.16</t>
  </si>
  <si>
    <t>Thông số cấu kiện</t>
  </si>
  <si>
    <t>t</t>
  </si>
  <si>
    <t>C46</t>
  </si>
  <si>
    <t>97</t>
  </si>
  <si>
    <t>C61</t>
  </si>
  <si>
    <t>129</t>
  </si>
  <si>
    <t>ULS2</t>
  </si>
  <si>
    <t>ULS3</t>
  </si>
  <si>
    <t>ULS4</t>
  </si>
  <si>
    <t>ULS5</t>
  </si>
  <si>
    <t>F</t>
  </si>
  <si>
    <t>THIẾT KẾ LIÊN KẾT CHÂN CỘT THÉP HỘP THEO TCVN 5575:2024</t>
  </si>
  <si>
    <r>
      <rPr>
        <b/>
        <sz val="10"/>
        <color rgb="FF0070C0"/>
        <rFont val="Symbol"/>
        <family val="1"/>
        <charset val="2"/>
      </rPr>
      <t xml:space="preserve"> s</t>
    </r>
    <r>
      <rPr>
        <b/>
        <vertAlign val="subscript"/>
        <sz val="10"/>
        <color rgb="FF0070C0"/>
        <rFont val="Calibri"/>
        <family val="2"/>
        <scheme val="minor"/>
      </rPr>
      <t>max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</si>
  <si>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gân</t>
    </r>
  </si>
  <si>
    <t>Kiểm tra chiều dày
 bản đế</t>
  </si>
  <si>
    <t>FS: Hệ số huy động cấu kiện</t>
  </si>
  <si>
    <t>(1): Kiểm tra diện tích tiết diện ngang bu lông</t>
  </si>
  <si>
    <t>Kiểm tra
(1)</t>
  </si>
  <si>
    <t>(2): Kiểm tra ứng suất bản đế</t>
  </si>
  <si>
    <t>Kiểm tra
(2)</t>
  </si>
  <si>
    <t>(3): Kiểm tra chiều dày bản đế</t>
  </si>
  <si>
    <t>(4): Kiểm tra bu lông neo chống lực trượt</t>
  </si>
  <si>
    <t>Kiểm tra
(3)</t>
  </si>
  <si>
    <t>Kiểm tra
(4)</t>
  </si>
  <si>
    <t>Kích thước hình học Bản đế</t>
  </si>
  <si>
    <t>Kích thước hình học
cấu kiện</t>
  </si>
  <si>
    <t>ULS1</t>
  </si>
  <si>
    <t>100x200x2.7</t>
  </si>
  <si>
    <t>200x300x16 / 4M20</t>
  </si>
  <si>
    <t>OK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</si>
  <si>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</si>
  <si>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</si>
  <si>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</si>
  <si>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</si>
  <si>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</si>
  <si>
    <t>5. Kiểm tra bu lông neo chống lực trượt V đế cột với móng (SP-43.13330.2012-_Izmenenie-_4)</t>
  </si>
  <si>
    <t>Khả năng chống trượt của bu lông neo được tính toán theo phiên bản cập nhật sửa đổi 4 của SP43</t>
  </si>
  <si>
    <t>P =</t>
  </si>
  <si>
    <t>Q =</t>
  </si>
  <si>
    <r>
      <t>R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=</t>
    </r>
  </si>
  <si>
    <r>
      <t>V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 xml:space="preserve"> =0.6 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R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n =</t>
    </r>
  </si>
  <si>
    <r>
      <t>max(P;Q)/V</t>
    </r>
    <r>
      <rPr>
        <vertAlign val="subscript"/>
        <sz val="10"/>
        <color theme="1"/>
        <rFont val="Calibri"/>
        <family val="2"/>
        <scheme val="minor"/>
      </rPr>
      <t xml:space="preserve">max </t>
    </r>
    <r>
      <rPr>
        <sz val="10"/>
        <color theme="1"/>
        <rFont val="Calibri"/>
        <family val="2"/>
        <scheme val="minor"/>
      </rPr>
      <t>=</t>
    </r>
  </si>
  <si>
    <t>Tài liệu tham khảo:</t>
  </si>
  <si>
    <t>1. TCVN - 5575 - 2024 - Kết cấu thép - Tiêu chuẩn thiết kế</t>
  </si>
  <si>
    <t>2. TCVN - 5574 - 2018 - Kết cấu bê tông và bê tông cốt thép - Tiêu chuẩn thiết kế</t>
  </si>
  <si>
    <t>3. SP-43.13330.2012-_Izmenenie-_4 Сооружения промышленных предприятий (Bản sửa đổi 4)</t>
  </si>
  <si>
    <t>TCVN 5574:2024 được công bố 24/12/2024, Phụ lục tính toán bu lông neo được biên soạn trên cơ sở SP43, chưa kịp cập nhật sửa đổi 4 của SP43. VÌ vậy có thể tham khảo trực tiếp SP43 (bao gồm sửa đổi) để đảm bảo tính đồng bộ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</si>
</sst>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_(* #,##0_);_(* \(#,##0\);_(* &quot;-&quot;??_);_(@_)"/>
  </numFmts>
  <fonts count="59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0"/>
      <color rgb="FF7030A0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8"/>
      <name val="Calibri"/>
      <family val="2"/>
      <scheme val="minor"/>
    </font>
    <font>
      <vertAlign val="subscript"/>
      <sz val="10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indexed="81"/>
      <name val="Tahoma"/>
      <family val="2"/>
    </font>
    <font>
      <vertAlign val="subscript"/>
      <sz val="11"/>
      <color theme="1"/>
      <name val="Calibri"/>
      <family val="2"/>
    </font>
    <font>
      <sz val="10"/>
      <name val="Arial"/>
      <family val="2"/>
    </font>
    <font>
      <sz val="12"/>
      <name val="Calibri"/>
      <family val="2"/>
      <scheme val="minor"/>
    </font>
    <font>
      <b/>
      <sz val="10"/>
      <color theme="1"/>
      <name val="Symbol"/>
      <family val="1"/>
      <charset val="2"/>
    </font>
    <font>
      <b/>
      <sz val="10"/>
      <color rgb="FF0000CC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b/>
      <vertAlign val="superscript"/>
      <sz val="10"/>
      <color rgb="FF0070C0"/>
      <name val="Calibri"/>
      <family val="2"/>
      <scheme val="minor"/>
    </font>
    <font>
      <b/>
      <sz val="10"/>
      <color rgb="FF0070C0"/>
      <name val="Calibri"/>
      <family val="1"/>
      <charset val="2"/>
      <scheme val="minor"/>
    </font>
    <font>
      <b/>
      <sz val="10"/>
      <color rgb="FF0070C0"/>
      <name val="Symbol"/>
      <family val="1"/>
      <charset val="2"/>
    </font>
    <font>
      <b/>
      <sz val="13"/>
      <color rgb="FF0000CC"/>
      <name val="Calibri"/>
      <family val="2"/>
      <scheme val="minor"/>
    </font>
    <font>
      <b/>
      <i/>
      <sz val="16"/>
      <color rgb="FF0000CC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b/>
      <vertAlign val="subscript"/>
      <sz val="10"/>
      <color theme="1"/>
      <name val="Calibri"/>
      <family val="2"/>
      <scheme val="minor"/>
    </font>
    <font>
      <b/>
      <sz val="10"/>
      <color rgb="FF0070C0"/>
      <name val="Arial"/>
      <family val="2"/>
    </font>
    <font>
      <i/>
      <sz val="10"/>
      <color theme="1"/>
      <name val="Calibri"/>
      <family val="2"/>
      <scheme val="minor"/>
    </font>
    <font>
      <sz val="10"/>
      <name val="Calibri"/>
      <family val="1"/>
      <charset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  <font>
      <u/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5"/>
      </patternFill>
    </fill>
  </fills>
  <borders count="5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 style="thin">
        <color theme="0" tint="-0.499984740745262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thin">
        <color indexed="64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indexed="64"/>
      </right>
      <top/>
      <bottom/>
      <diagonal/>
    </border>
  </borders>
  <cellStyleXfs count="10">
    <xf numFmtId="0" fontId="0" fillId="0" borderId="0"/>
    <xf numFmtId="0" fontId="19" fillId="0" borderId="0"/>
    <xf numFmtId="0" fontId="24" fillId="7" borderId="15" applyNumberFormat="0" applyAlignment="0" applyProtection="0"/>
    <xf numFmtId="0" fontId="32" fillId="0" borderId="0"/>
    <xf numFmtId="0" fontId="43" fillId="0" borderId="0"/>
    <xf numFmtId="0" fontId="46" fillId="0" borderId="0"/>
    <xf numFmtId="0" fontId="50" fillId="0" borderId="0"/>
    <xf numFmtId="165" fontId="43" fillId="0" borderId="0" applyFont="0" applyFill="0" applyBorder="0" applyAlignment="0" applyProtection="0"/>
    <xf numFmtId="0" fontId="50" fillId="0" borderId="0"/>
    <xf numFmtId="0" fontId="19" fillId="9" borderId="0" applyNumberFormat="0" applyBorder="0" applyAlignment="0" applyProtection="0"/>
  </cellStyleXfs>
  <cellXfs count="324">
    <xf numFmtId="0" fontId="0" fillId="0" borderId="0" xfId="0"/>
    <xf numFmtId="0" fontId="1" fillId="0" borderId="0" xfId="0" applyFont="1"/>
    <xf numFmtId="0" fontId="12" fillId="0" borderId="0" xfId="0" applyFont="1"/>
    <xf numFmtId="0" fontId="1" fillId="2" borderId="0" xfId="0" applyFont="1" applyFill="1"/>
    <xf numFmtId="0" fontId="1" fillId="2" borderId="10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 vertical="center"/>
    </xf>
    <xf numFmtId="1" fontId="1" fillId="2" borderId="13" xfId="0" applyNumberFormat="1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/>
    </xf>
    <xf numFmtId="0" fontId="8" fillId="2" borderId="13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right" vertical="center"/>
    </xf>
    <xf numFmtId="0" fontId="1" fillId="6" borderId="0" xfId="0" applyFont="1" applyFill="1"/>
    <xf numFmtId="0" fontId="22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vertical="center"/>
    </xf>
    <xf numFmtId="0" fontId="11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13" fillId="2" borderId="0" xfId="0" applyFont="1" applyFill="1"/>
    <xf numFmtId="0" fontId="1" fillId="0" borderId="13" xfId="0" applyFont="1" applyBorder="1"/>
    <xf numFmtId="0" fontId="34" fillId="2" borderId="13" xfId="0" applyFont="1" applyFill="1" applyBorder="1" applyAlignment="1">
      <alignment horizontal="center" vertical="center"/>
    </xf>
    <xf numFmtId="164" fontId="1" fillId="2" borderId="13" xfId="0" applyNumberFormat="1" applyFont="1" applyFill="1" applyBorder="1" applyAlignment="1">
      <alignment horizontal="center" vertical="center"/>
    </xf>
    <xf numFmtId="0" fontId="13" fillId="2" borderId="13" xfId="0" applyFont="1" applyFill="1" applyBorder="1" applyAlignment="1">
      <alignment horizontal="center" vertical="center"/>
    </xf>
    <xf numFmtId="2" fontId="13" fillId="2" borderId="13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0" fontId="13" fillId="2" borderId="13" xfId="0" applyFont="1" applyFill="1" applyBorder="1"/>
    <xf numFmtId="2" fontId="13" fillId="2" borderId="13" xfId="0" applyNumberFormat="1" applyFont="1" applyFill="1" applyBorder="1"/>
    <xf numFmtId="2" fontId="20" fillId="4" borderId="13" xfId="0" applyNumberFormat="1" applyFont="1" applyFill="1" applyBorder="1" applyAlignment="1">
      <alignment horizontal="center" vertical="center"/>
    </xf>
    <xf numFmtId="0" fontId="20" fillId="4" borderId="13" xfId="0" applyFont="1" applyFill="1" applyBorder="1" applyAlignment="1">
      <alignment horizontal="center" vertical="top"/>
    </xf>
    <xf numFmtId="2" fontId="20" fillId="4" borderId="13" xfId="0" applyNumberFormat="1" applyFont="1" applyFill="1" applyBorder="1" applyAlignment="1">
      <alignment horizontal="center"/>
    </xf>
    <xf numFmtId="0" fontId="20" fillId="4" borderId="13" xfId="0" applyFont="1" applyFill="1" applyBorder="1" applyAlignment="1">
      <alignment horizontal="center"/>
    </xf>
    <xf numFmtId="0" fontId="20" fillId="4" borderId="13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" fillId="2" borderId="13" xfId="0" applyFont="1" applyFill="1" applyBorder="1"/>
    <xf numFmtId="2" fontId="1" fillId="2" borderId="13" xfId="0" applyNumberFormat="1" applyFont="1" applyFill="1" applyBorder="1" applyAlignment="1">
      <alignment horizontal="center" vertical="center"/>
    </xf>
    <xf numFmtId="0" fontId="1" fillId="2" borderId="22" xfId="0" applyFont="1" applyFill="1" applyBorder="1"/>
    <xf numFmtId="2" fontId="13" fillId="2" borderId="0" xfId="0" applyNumberFormat="1" applyFont="1" applyFill="1"/>
    <xf numFmtId="2" fontId="13" fillId="2" borderId="0" xfId="0" applyNumberFormat="1" applyFont="1" applyFill="1" applyAlignment="1">
      <alignment horizontal="center" vertical="center"/>
    </xf>
    <xf numFmtId="0" fontId="35" fillId="2" borderId="0" xfId="0" applyFont="1" applyFill="1" applyAlignment="1">
      <alignment horizontal="left" indent="1"/>
    </xf>
    <xf numFmtId="164" fontId="1" fillId="2" borderId="13" xfId="0" applyNumberFormat="1" applyFont="1" applyFill="1" applyBorder="1"/>
    <xf numFmtId="166" fontId="1" fillId="2" borderId="13" xfId="0" applyNumberFormat="1" applyFont="1" applyFill="1" applyBorder="1"/>
    <xf numFmtId="165" fontId="1" fillId="2" borderId="13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/>
    </xf>
    <xf numFmtId="0" fontId="1" fillId="2" borderId="0" xfId="0" applyFont="1" applyFill="1" applyAlignment="1">
      <alignment vertical="center"/>
    </xf>
    <xf numFmtId="165" fontId="13" fillId="2" borderId="13" xfId="0" applyNumberFormat="1" applyFont="1" applyFill="1" applyBorder="1" applyAlignment="1">
      <alignment horizontal="center" vertical="center"/>
    </xf>
    <xf numFmtId="165" fontId="13" fillId="2" borderId="0" xfId="0" applyNumberFormat="1" applyFont="1" applyFill="1" applyAlignment="1">
      <alignment horizontal="center" vertical="center"/>
    </xf>
    <xf numFmtId="0" fontId="20" fillId="4" borderId="22" xfId="0" applyFont="1" applyFill="1" applyBorder="1" applyAlignment="1">
      <alignment horizontal="center" vertical="top"/>
    </xf>
    <xf numFmtId="0" fontId="20" fillId="4" borderId="23" xfId="0" applyFont="1" applyFill="1" applyBorder="1" applyAlignment="1">
      <alignment horizontal="center" vertical="top"/>
    </xf>
    <xf numFmtId="0" fontId="20" fillId="4" borderId="1" xfId="0" applyFont="1" applyFill="1" applyBorder="1"/>
    <xf numFmtId="0" fontId="20" fillId="4" borderId="2" xfId="0" applyFont="1" applyFill="1" applyBorder="1"/>
    <xf numFmtId="0" fontId="20" fillId="4" borderId="3" xfId="0" applyFont="1" applyFill="1" applyBorder="1"/>
    <xf numFmtId="0" fontId="20" fillId="4" borderId="4" xfId="0" applyFont="1" applyFill="1" applyBorder="1"/>
    <xf numFmtId="0" fontId="20" fillId="4" borderId="5" xfId="0" applyFont="1" applyFill="1" applyBorder="1"/>
    <xf numFmtId="0" fontId="20" fillId="4" borderId="6" xfId="0" applyFont="1" applyFill="1" applyBorder="1"/>
    <xf numFmtId="0" fontId="1" fillId="2" borderId="24" xfId="0" applyFont="1" applyFill="1" applyBorder="1"/>
    <xf numFmtId="0" fontId="18" fillId="3" borderId="14" xfId="0" applyFont="1" applyFill="1" applyBorder="1" applyAlignment="1">
      <alignment horizontal="centerContinuous"/>
    </xf>
    <xf numFmtId="0" fontId="18" fillId="3" borderId="0" xfId="0" applyFont="1" applyFill="1" applyAlignment="1">
      <alignment horizontal="centerContinuous"/>
    </xf>
    <xf numFmtId="0" fontId="16" fillId="3" borderId="14" xfId="0" applyFont="1" applyFill="1" applyBorder="1" applyAlignment="1">
      <alignment horizontal="centerContinuous"/>
    </xf>
    <xf numFmtId="0" fontId="16" fillId="3" borderId="0" xfId="0" applyFont="1" applyFill="1" applyAlignment="1">
      <alignment horizontal="centerContinuous"/>
    </xf>
    <xf numFmtId="0" fontId="0" fillId="0" borderId="0" xfId="0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0" fontId="40" fillId="3" borderId="0" xfId="0" applyFont="1" applyFill="1" applyAlignment="1">
      <alignment horizontal="centerContinuous"/>
    </xf>
    <xf numFmtId="0" fontId="35" fillId="3" borderId="0" xfId="0" applyFont="1" applyFill="1" applyAlignment="1">
      <alignment horizontal="centerContinuous"/>
    </xf>
    <xf numFmtId="165" fontId="8" fillId="2" borderId="13" xfId="0" applyNumberFormat="1" applyFont="1" applyFill="1" applyBorder="1" applyAlignment="1">
      <alignment horizontal="center" vertical="center"/>
    </xf>
    <xf numFmtId="0" fontId="1" fillId="0" borderId="24" xfId="0" applyFont="1" applyBorder="1"/>
    <xf numFmtId="0" fontId="13" fillId="0" borderId="13" xfId="0" applyFont="1" applyBorder="1"/>
    <xf numFmtId="0" fontId="8" fillId="2" borderId="13" xfId="0" applyFont="1" applyFill="1" applyBorder="1" applyAlignment="1">
      <alignment horizontal="center" vertical="center" wrapText="1"/>
    </xf>
    <xf numFmtId="0" fontId="1" fillId="2" borderId="32" xfId="0" applyFont="1" applyFill="1" applyBorder="1" applyAlignment="1">
      <alignment vertical="top"/>
    </xf>
    <xf numFmtId="0" fontId="2" fillId="2" borderId="33" xfId="0" applyFont="1" applyFill="1" applyBorder="1" applyAlignment="1">
      <alignment horizontal="left" indent="1"/>
    </xf>
    <xf numFmtId="0" fontId="1" fillId="2" borderId="33" xfId="0" applyFont="1" applyFill="1" applyBorder="1" applyAlignment="1">
      <alignment horizontal="left" vertical="top" indent="2"/>
    </xf>
    <xf numFmtId="0" fontId="1" fillId="2" borderId="32" xfId="0" applyFont="1" applyFill="1" applyBorder="1"/>
    <xf numFmtId="0" fontId="1" fillId="2" borderId="32" xfId="0" applyFont="1" applyFill="1" applyBorder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13" fillId="2" borderId="33" xfId="0" applyFont="1" applyFill="1" applyBorder="1" applyAlignment="1">
      <alignment horizontal="right" vertical="center"/>
    </xf>
    <xf numFmtId="0" fontId="1" fillId="2" borderId="32" xfId="0" applyFont="1" applyFill="1" applyBorder="1" applyAlignment="1">
      <alignment horizontal="left" vertical="center"/>
    </xf>
    <xf numFmtId="165" fontId="8" fillId="2" borderId="0" xfId="0" applyNumberFormat="1" applyFont="1" applyFill="1" applyAlignment="1">
      <alignment horizontal="center" vertical="center"/>
    </xf>
    <xf numFmtId="0" fontId="11" fillId="2" borderId="33" xfId="0" applyFont="1" applyFill="1" applyBorder="1" applyAlignment="1">
      <alignment horizontal="right" vertical="center"/>
    </xf>
    <xf numFmtId="0" fontId="10" fillId="2" borderId="32" xfId="0" applyFont="1" applyFill="1" applyBorder="1" applyAlignment="1">
      <alignment horizontal="center" vertical="center"/>
    </xf>
    <xf numFmtId="2" fontId="8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20" fillId="4" borderId="27" xfId="0" applyFont="1" applyFill="1" applyBorder="1" applyAlignment="1">
      <alignment horizontal="center" vertical="center"/>
    </xf>
    <xf numFmtId="0" fontId="20" fillId="4" borderId="27" xfId="0" applyFont="1" applyFill="1" applyBorder="1" applyAlignment="1">
      <alignment vertical="center" wrapText="1"/>
    </xf>
    <xf numFmtId="0" fontId="20" fillId="4" borderId="27" xfId="0" applyFont="1" applyFill="1" applyBorder="1" applyAlignment="1">
      <alignment horizontal="center" vertical="top"/>
    </xf>
    <xf numFmtId="2" fontId="20" fillId="4" borderId="27" xfId="0" applyNumberFormat="1" applyFont="1" applyFill="1" applyBorder="1" applyAlignment="1">
      <alignment horizontal="center"/>
    </xf>
    <xf numFmtId="2" fontId="20" fillId="4" borderId="27" xfId="0" applyNumberFormat="1" applyFont="1" applyFill="1" applyBorder="1" applyAlignment="1">
      <alignment horizontal="center" vertical="center"/>
    </xf>
    <xf numFmtId="165" fontId="20" fillId="4" borderId="27" xfId="0" applyNumberFormat="1" applyFont="1" applyFill="1" applyBorder="1" applyAlignment="1">
      <alignment horizontal="center" vertical="center"/>
    </xf>
    <xf numFmtId="0" fontId="42" fillId="4" borderId="27" xfId="0" applyFont="1" applyFill="1" applyBorder="1" applyAlignment="1">
      <alignment horizontal="center" vertical="top"/>
    </xf>
    <xf numFmtId="0" fontId="20" fillId="4" borderId="27" xfId="0" applyFont="1" applyFill="1" applyBorder="1" applyAlignment="1">
      <alignment horizontal="center"/>
    </xf>
    <xf numFmtId="0" fontId="8" fillId="2" borderId="27" xfId="0" applyFont="1" applyFill="1" applyBorder="1"/>
    <xf numFmtId="0" fontId="8" fillId="2" borderId="27" xfId="0" applyFont="1" applyFill="1" applyBorder="1" applyAlignment="1">
      <alignment horizontal="center" vertical="center"/>
    </xf>
    <xf numFmtId="165" fontId="8" fillId="2" borderId="27" xfId="0" applyNumberFormat="1" applyFont="1" applyFill="1" applyBorder="1" applyAlignment="1">
      <alignment horizontal="center" vertical="center"/>
    </xf>
    <xf numFmtId="165" fontId="1" fillId="2" borderId="27" xfId="0" applyNumberFormat="1" applyFont="1" applyFill="1" applyBorder="1" applyAlignment="1">
      <alignment horizontal="center" vertical="center"/>
    </xf>
    <xf numFmtId="0" fontId="1" fillId="2" borderId="27" xfId="0" applyFont="1" applyFill="1" applyBorder="1" applyAlignment="1">
      <alignment horizontal="center" vertical="center"/>
    </xf>
    <xf numFmtId="2" fontId="1" fillId="2" borderId="27" xfId="0" applyNumberFormat="1" applyFont="1" applyFill="1" applyBorder="1" applyAlignment="1">
      <alignment horizontal="center" vertical="center"/>
    </xf>
    <xf numFmtId="1" fontId="1" fillId="2" borderId="27" xfId="0" applyNumberFormat="1" applyFont="1" applyFill="1" applyBorder="1" applyAlignment="1">
      <alignment horizontal="center" vertical="center"/>
    </xf>
    <xf numFmtId="164" fontId="1" fillId="2" borderId="27" xfId="0" applyNumberFormat="1" applyFont="1" applyFill="1" applyBorder="1"/>
    <xf numFmtId="166" fontId="1" fillId="2" borderId="27" xfId="0" applyNumberFormat="1" applyFont="1" applyFill="1" applyBorder="1"/>
    <xf numFmtId="164" fontId="1" fillId="2" borderId="27" xfId="0" applyNumberFormat="1" applyFont="1" applyFill="1" applyBorder="1" applyAlignment="1">
      <alignment horizontal="center" vertical="center"/>
    </xf>
    <xf numFmtId="2" fontId="13" fillId="2" borderId="27" xfId="0" applyNumberFormat="1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/>
    </xf>
    <xf numFmtId="0" fontId="16" fillId="5" borderId="0" xfId="0" applyFont="1" applyFill="1" applyAlignment="1">
      <alignment horizontal="center" wrapText="1"/>
    </xf>
    <xf numFmtId="0" fontId="16" fillId="5" borderId="0" xfId="0" applyFont="1" applyFill="1" applyAlignment="1">
      <alignment horizontal="center" vertical="center" wrapText="1"/>
    </xf>
    <xf numFmtId="0" fontId="44" fillId="5" borderId="13" xfId="4" applyFont="1" applyFill="1" applyBorder="1" applyAlignment="1">
      <alignment horizontal="center" vertical="center" wrapText="1"/>
    </xf>
    <xf numFmtId="0" fontId="47" fillId="8" borderId="13" xfId="5" applyFont="1" applyFill="1" applyBorder="1" applyAlignment="1">
      <alignment horizontal="center" vertical="center"/>
    </xf>
    <xf numFmtId="0" fontId="48" fillId="8" borderId="13" xfId="0" applyFont="1" applyFill="1" applyBorder="1" applyAlignment="1">
      <alignment horizontal="center" vertical="center"/>
    </xf>
    <xf numFmtId="0" fontId="48" fillId="8" borderId="13" xfId="0" applyFont="1" applyFill="1" applyBorder="1" applyAlignment="1">
      <alignment vertical="center"/>
    </xf>
    <xf numFmtId="0" fontId="47" fillId="8" borderId="20" xfId="6" applyFont="1" applyFill="1" applyBorder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44" fillId="5" borderId="13" xfId="4" applyFont="1" applyFill="1" applyBorder="1" applyAlignment="1">
      <alignment vertical="center"/>
    </xf>
    <xf numFmtId="0" fontId="47" fillId="8" borderId="20" xfId="5" applyFont="1" applyFill="1" applyBorder="1" applyAlignment="1">
      <alignment horizontal="center" vertical="center"/>
    </xf>
    <xf numFmtId="0" fontId="32" fillId="2" borderId="13" xfId="5" applyFont="1" applyFill="1" applyBorder="1" applyAlignment="1">
      <alignment horizontal="left" vertical="center"/>
    </xf>
    <xf numFmtId="0" fontId="32" fillId="2" borderId="13" xfId="5" applyFont="1" applyFill="1" applyBorder="1" applyAlignment="1">
      <alignment horizontal="center" vertical="center"/>
    </xf>
    <xf numFmtId="0" fontId="32" fillId="2" borderId="20" xfId="5" applyFont="1" applyFill="1" applyBorder="1" applyAlignment="1">
      <alignment horizontal="left" vertical="center"/>
    </xf>
    <xf numFmtId="0" fontId="32" fillId="2" borderId="13" xfId="6" applyFont="1" applyFill="1" applyBorder="1" applyAlignment="1">
      <alignment vertical="center"/>
    </xf>
    <xf numFmtId="0" fontId="53" fillId="0" borderId="37" xfId="4" applyFont="1" applyBorder="1" applyAlignment="1" applyProtection="1">
      <alignment horizontal="center" vertical="center"/>
      <protection hidden="1"/>
    </xf>
    <xf numFmtId="0" fontId="0" fillId="0" borderId="23" xfId="0" applyBorder="1" applyAlignment="1">
      <alignment horizontal="center" vertical="center"/>
    </xf>
    <xf numFmtId="167" fontId="32" fillId="0" borderId="23" xfId="7" applyNumberFormat="1" applyFont="1" applyBorder="1" applyAlignment="1" applyProtection="1">
      <alignment horizontal="center" vertical="center"/>
      <protection hidden="1"/>
    </xf>
    <xf numFmtId="165" fontId="32" fillId="0" borderId="23" xfId="4" applyNumberFormat="1" applyFont="1" applyBorder="1" applyAlignment="1" applyProtection="1">
      <alignment horizontal="center" vertical="center"/>
      <protection hidden="1"/>
    </xf>
    <xf numFmtId="2" fontId="32" fillId="0" borderId="23" xfId="4" applyNumberFormat="1" applyFont="1" applyBorder="1" applyAlignment="1" applyProtection="1">
      <alignment horizontal="center" vertical="center"/>
      <protection hidden="1"/>
    </xf>
    <xf numFmtId="2" fontId="32" fillId="0" borderId="4" xfId="4" applyNumberFormat="1" applyFont="1" applyBorder="1" applyAlignment="1" applyProtection="1">
      <alignment horizontal="center" vertical="center"/>
      <protection hidden="1"/>
    </xf>
    <xf numFmtId="0" fontId="33" fillId="2" borderId="13" xfId="3" applyFont="1" applyFill="1" applyBorder="1" applyAlignment="1" applyProtection="1">
      <alignment horizontal="center" vertical="center"/>
      <protection hidden="1"/>
    </xf>
    <xf numFmtId="0" fontId="53" fillId="0" borderId="25" xfId="4" applyFont="1" applyBorder="1" applyAlignment="1" applyProtection="1">
      <alignment horizontal="center" vertical="center"/>
      <protection hidden="1"/>
    </xf>
    <xf numFmtId="167" fontId="32" fillId="0" borderId="13" xfId="7" applyNumberFormat="1" applyFont="1" applyBorder="1" applyAlignment="1" applyProtection="1">
      <alignment horizontal="center" vertical="center"/>
      <protection hidden="1"/>
    </xf>
    <xf numFmtId="165" fontId="32" fillId="0" borderId="13" xfId="4" applyNumberFormat="1" applyFont="1" applyBorder="1" applyAlignment="1" applyProtection="1">
      <alignment horizontal="center" vertical="center"/>
      <protection hidden="1"/>
    </xf>
    <xf numFmtId="2" fontId="32" fillId="0" borderId="13" xfId="4" applyNumberFormat="1" applyFont="1" applyBorder="1" applyAlignment="1" applyProtection="1">
      <alignment horizontal="center" vertical="center"/>
      <protection hidden="1"/>
    </xf>
    <xf numFmtId="2" fontId="32" fillId="0" borderId="20" xfId="4" applyNumberFormat="1" applyFont="1" applyBorder="1" applyAlignment="1" applyProtection="1">
      <alignment horizontal="center" vertical="center"/>
      <protection hidden="1"/>
    </xf>
    <xf numFmtId="0" fontId="0" fillId="2" borderId="13" xfId="0" applyFill="1" applyBorder="1" applyAlignment="1">
      <alignment horizontal="center" vertical="center"/>
    </xf>
    <xf numFmtId="0" fontId="32" fillId="2" borderId="20" xfId="6" applyFont="1" applyFill="1" applyBorder="1" applyAlignment="1">
      <alignment horizontal="left" vertical="center"/>
    </xf>
    <xf numFmtId="0" fontId="32" fillId="2" borderId="20" xfId="8" applyFont="1" applyFill="1" applyBorder="1" applyAlignment="1">
      <alignment horizontal="left" vertical="center"/>
    </xf>
    <xf numFmtId="0" fontId="53" fillId="0" borderId="38" xfId="4" applyFont="1" applyBorder="1" applyAlignment="1" applyProtection="1">
      <alignment horizontal="center" vertical="center"/>
      <protection hidden="1"/>
    </xf>
    <xf numFmtId="0" fontId="0" fillId="0" borderId="39" xfId="0" applyBorder="1" applyAlignment="1">
      <alignment horizontal="center" vertical="center"/>
    </xf>
    <xf numFmtId="167" fontId="32" fillId="0" borderId="39" xfId="7" applyNumberFormat="1" applyFont="1" applyBorder="1" applyAlignment="1" applyProtection="1">
      <alignment horizontal="center" vertical="center"/>
      <protection hidden="1"/>
    </xf>
    <xf numFmtId="165" fontId="32" fillId="0" borderId="39" xfId="4" applyNumberFormat="1" applyFont="1" applyBorder="1" applyAlignment="1" applyProtection="1">
      <alignment horizontal="center" vertical="center"/>
      <protection hidden="1"/>
    </xf>
    <xf numFmtId="2" fontId="32" fillId="0" borderId="39" xfId="4" applyNumberFormat="1" applyFont="1" applyBorder="1" applyAlignment="1" applyProtection="1">
      <alignment horizontal="center" vertical="center"/>
      <protection hidden="1"/>
    </xf>
    <xf numFmtId="2" fontId="32" fillId="0" borderId="40" xfId="4" applyNumberFormat="1" applyFont="1" applyBorder="1" applyAlignment="1" applyProtection="1">
      <alignment horizontal="center" vertical="center"/>
      <protection hidden="1"/>
    </xf>
    <xf numFmtId="1" fontId="32" fillId="2" borderId="13" xfId="6" applyNumberFormat="1" applyFont="1" applyFill="1" applyBorder="1" applyAlignment="1">
      <alignment vertical="center"/>
    </xf>
    <xf numFmtId="1" fontId="32" fillId="2" borderId="13" xfId="6" applyNumberFormat="1" applyFont="1" applyFill="1" applyBorder="1" applyAlignment="1">
      <alignment horizontal="center" vertical="center"/>
    </xf>
    <xf numFmtId="0" fontId="32" fillId="2" borderId="20" xfId="6" applyFont="1" applyFill="1" applyBorder="1" applyAlignment="1">
      <alignment vertical="center"/>
    </xf>
    <xf numFmtId="0" fontId="32" fillId="2" borderId="13" xfId="6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left" vertical="top" indent="3"/>
    </xf>
    <xf numFmtId="0" fontId="20" fillId="4" borderId="26" xfId="0" applyFont="1" applyFill="1" applyBorder="1" applyAlignment="1">
      <alignment horizontal="center" vertical="center"/>
    </xf>
    <xf numFmtId="0" fontId="20" fillId="4" borderId="23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14" xfId="0" applyFont="1" applyFill="1" applyBorder="1" applyAlignment="1">
      <alignment horizontal="center" vertical="center"/>
    </xf>
    <xf numFmtId="165" fontId="20" fillId="4" borderId="13" xfId="0" applyNumberFormat="1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9" fillId="9" borderId="13" xfId="9" applyBorder="1" applyAlignment="1">
      <alignment horizontal="center" vertical="center"/>
    </xf>
    <xf numFmtId="0" fontId="19" fillId="9" borderId="25" xfId="9" applyBorder="1" applyAlignment="1">
      <alignment horizontal="center" vertical="center"/>
    </xf>
    <xf numFmtId="0" fontId="1" fillId="2" borderId="42" xfId="0" applyFont="1" applyFill="1" applyBorder="1" applyAlignment="1">
      <alignment vertical="top"/>
    </xf>
    <xf numFmtId="0" fontId="1" fillId="2" borderId="42" xfId="0" applyFont="1" applyFill="1" applyBorder="1"/>
    <xf numFmtId="0" fontId="1" fillId="2" borderId="42" xfId="0" applyFont="1" applyFill="1" applyBorder="1" applyAlignment="1">
      <alignment horizontal="right" vertical="center"/>
    </xf>
    <xf numFmtId="0" fontId="1" fillId="2" borderId="42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vertical="center"/>
    </xf>
    <xf numFmtId="0" fontId="8" fillId="2" borderId="42" xfId="0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horizontal="center" vertical="center"/>
    </xf>
    <xf numFmtId="2" fontId="20" fillId="4" borderId="26" xfId="0" applyNumberFormat="1" applyFont="1" applyFill="1" applyBorder="1" applyAlignment="1">
      <alignment horizontal="center" vertical="top"/>
    </xf>
    <xf numFmtId="2" fontId="38" fillId="4" borderId="13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right" vertical="top"/>
    </xf>
    <xf numFmtId="0" fontId="4" fillId="2" borderId="0" xfId="0" applyFont="1" applyFill="1" applyAlignment="1">
      <alignment vertical="top"/>
    </xf>
    <xf numFmtId="0" fontId="13" fillId="2" borderId="0" xfId="0" applyFont="1" applyFill="1" applyAlignment="1">
      <alignment horizontal="right" vertical="center"/>
    </xf>
    <xf numFmtId="0" fontId="29" fillId="2" borderId="0" xfId="0" applyFont="1" applyFill="1"/>
    <xf numFmtId="0" fontId="13" fillId="2" borderId="0" xfId="0" applyFont="1" applyFill="1" applyAlignment="1">
      <alignment horizontal="center"/>
    </xf>
    <xf numFmtId="1" fontId="1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vertical="center"/>
    </xf>
    <xf numFmtId="2" fontId="13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8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right" vertical="top"/>
    </xf>
    <xf numFmtId="0" fontId="11" fillId="2" borderId="0" xfId="0" applyFont="1" applyFill="1" applyAlignment="1">
      <alignment horizontal="right"/>
    </xf>
    <xf numFmtId="164" fontId="8" fillId="2" borderId="0" xfId="0" applyNumberFormat="1" applyFont="1" applyFill="1" applyAlignment="1">
      <alignment horizontal="center" vertical="center"/>
    </xf>
    <xf numFmtId="2" fontId="25" fillId="7" borderId="15" xfId="2" applyNumberFormat="1" applyFont="1" applyAlignment="1">
      <alignment horizontal="center" vertical="center"/>
    </xf>
    <xf numFmtId="0" fontId="20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54" fillId="2" borderId="33" xfId="0" applyFont="1" applyFill="1" applyBorder="1" applyAlignment="1">
      <alignment horizontal="left" vertical="center" indent="2"/>
    </xf>
    <xf numFmtId="2" fontId="1" fillId="2" borderId="0" xfId="0" applyNumberFormat="1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center" vertical="center"/>
    </xf>
    <xf numFmtId="2" fontId="8" fillId="2" borderId="0" xfId="0" applyNumberFormat="1" applyFont="1" applyFill="1" applyAlignment="1">
      <alignment horizontal="right" vertical="center"/>
    </xf>
    <xf numFmtId="2" fontId="55" fillId="2" borderId="0" xfId="0" applyNumberFormat="1" applyFont="1" applyFill="1" applyAlignment="1">
      <alignment horizontal="right" vertical="center"/>
    </xf>
    <xf numFmtId="0" fontId="1" fillId="2" borderId="43" xfId="0" applyFont="1" applyFill="1" applyBorder="1" applyAlignment="1">
      <alignment horizontal="left" vertical="top" indent="2"/>
    </xf>
    <xf numFmtId="0" fontId="11" fillId="2" borderId="42" xfId="0" applyFont="1" applyFill="1" applyBorder="1" applyAlignment="1">
      <alignment horizontal="right" vertical="center"/>
    </xf>
    <xf numFmtId="2" fontId="25" fillId="7" borderId="44" xfId="2" applyNumberFormat="1" applyFont="1" applyBorder="1" applyAlignment="1">
      <alignment horizontal="center" vertical="center"/>
    </xf>
    <xf numFmtId="0" fontId="10" fillId="2" borderId="41" xfId="0" applyFont="1" applyFill="1" applyBorder="1" applyAlignment="1">
      <alignment horizontal="center" vertical="center"/>
    </xf>
    <xf numFmtId="2" fontId="20" fillId="4" borderId="27" xfId="0" applyNumberFormat="1" applyFont="1" applyFill="1" applyBorder="1" applyAlignment="1">
      <alignment horizontal="center" vertical="top"/>
    </xf>
    <xf numFmtId="0" fontId="40" fillId="3" borderId="0" xfId="0" applyFont="1" applyFill="1" applyAlignment="1">
      <alignment horizontal="centerContinuous" vertical="center"/>
    </xf>
    <xf numFmtId="0" fontId="35" fillId="3" borderId="0" xfId="0" applyFont="1" applyFill="1" applyAlignment="1">
      <alignment horizontal="centerContinuous" vertical="center"/>
    </xf>
    <xf numFmtId="0" fontId="13" fillId="2" borderId="23" xfId="0" applyFont="1" applyFill="1" applyBorder="1"/>
    <xf numFmtId="2" fontId="13" fillId="2" borderId="23" xfId="0" applyNumberFormat="1" applyFont="1" applyFill="1" applyBorder="1"/>
    <xf numFmtId="0" fontId="13" fillId="2" borderId="23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165" fontId="13" fillId="2" borderId="23" xfId="0" applyNumberFormat="1" applyFont="1" applyFill="1" applyBorder="1" applyAlignment="1">
      <alignment horizontal="center" vertical="center"/>
    </xf>
    <xf numFmtId="2" fontId="13" fillId="2" borderId="23" xfId="0" applyNumberFormat="1" applyFont="1" applyFill="1" applyBorder="1" applyAlignment="1">
      <alignment horizontal="center" vertical="center"/>
    </xf>
    <xf numFmtId="165" fontId="1" fillId="2" borderId="23" xfId="0" applyNumberFormat="1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2" fontId="1" fillId="2" borderId="23" xfId="0" applyNumberFormat="1" applyFont="1" applyFill="1" applyBorder="1" applyAlignment="1">
      <alignment horizontal="center" vertical="center"/>
    </xf>
    <xf numFmtId="1" fontId="1" fillId="2" borderId="23" xfId="0" applyNumberFormat="1" applyFont="1" applyFill="1" applyBorder="1" applyAlignment="1">
      <alignment horizontal="center" vertical="center"/>
    </xf>
    <xf numFmtId="166" fontId="1" fillId="2" borderId="23" xfId="0" applyNumberFormat="1" applyFont="1" applyFill="1" applyBorder="1"/>
    <xf numFmtId="164" fontId="1" fillId="2" borderId="23" xfId="0" applyNumberFormat="1" applyFont="1" applyFill="1" applyBorder="1"/>
    <xf numFmtId="2" fontId="38" fillId="4" borderId="27" xfId="0" applyNumberFormat="1" applyFont="1" applyFill="1" applyBorder="1" applyAlignment="1">
      <alignment horizontal="center" vertical="center"/>
    </xf>
    <xf numFmtId="0" fontId="13" fillId="2" borderId="27" xfId="0" applyFont="1" applyFill="1" applyBorder="1"/>
    <xf numFmtId="2" fontId="13" fillId="2" borderId="27" xfId="0" applyNumberFormat="1" applyFont="1" applyFill="1" applyBorder="1"/>
    <xf numFmtId="0" fontId="13" fillId="2" borderId="27" xfId="0" applyFont="1" applyFill="1" applyBorder="1" applyAlignment="1">
      <alignment horizontal="center" vertical="center"/>
    </xf>
    <xf numFmtId="165" fontId="13" fillId="2" borderId="27" xfId="0" applyNumberFormat="1" applyFont="1" applyFill="1" applyBorder="1" applyAlignment="1">
      <alignment horizontal="center" vertical="center"/>
    </xf>
    <xf numFmtId="0" fontId="18" fillId="3" borderId="28" xfId="0" applyFont="1" applyFill="1" applyBorder="1" applyAlignment="1">
      <alignment horizontal="centerContinuous"/>
    </xf>
    <xf numFmtId="0" fontId="18" fillId="3" borderId="29" xfId="0" applyFont="1" applyFill="1" applyBorder="1" applyAlignment="1">
      <alignment horizontal="centerContinuous"/>
    </xf>
    <xf numFmtId="0" fontId="40" fillId="3" borderId="29" xfId="0" applyFont="1" applyFill="1" applyBorder="1" applyAlignment="1">
      <alignment horizontal="centerContinuous"/>
    </xf>
    <xf numFmtId="0" fontId="40" fillId="3" borderId="29" xfId="0" applyFont="1" applyFill="1" applyBorder="1" applyAlignment="1">
      <alignment horizontal="centerContinuous" vertical="center"/>
    </xf>
    <xf numFmtId="0" fontId="18" fillId="3" borderId="30" xfId="0" applyFont="1" applyFill="1" applyBorder="1" applyAlignment="1">
      <alignment horizontal="centerContinuous"/>
    </xf>
    <xf numFmtId="0" fontId="16" fillId="3" borderId="33" xfId="0" applyFont="1" applyFill="1" applyBorder="1" applyAlignment="1">
      <alignment horizontal="centerContinuous"/>
    </xf>
    <xf numFmtId="0" fontId="16" fillId="3" borderId="32" xfId="0" applyFont="1" applyFill="1" applyBorder="1" applyAlignment="1">
      <alignment horizontal="centerContinuous"/>
    </xf>
    <xf numFmtId="0" fontId="35" fillId="2" borderId="33" xfId="0" applyFont="1" applyFill="1" applyBorder="1" applyAlignment="1">
      <alignment horizontal="left" indent="1"/>
    </xf>
    <xf numFmtId="0" fontId="1" fillId="2" borderId="33" xfId="0" applyFont="1" applyFill="1" applyBorder="1" applyAlignment="1">
      <alignment horizontal="left" indent="2"/>
    </xf>
    <xf numFmtId="0" fontId="13" fillId="2" borderId="45" xfId="0" applyFont="1" applyFill="1" applyBorder="1"/>
    <xf numFmtId="0" fontId="1" fillId="2" borderId="46" xfId="0" applyFont="1" applyFill="1" applyBorder="1" applyAlignment="1">
      <alignment horizontal="center" vertical="center"/>
    </xf>
    <xf numFmtId="0" fontId="13" fillId="2" borderId="47" xfId="0" applyFont="1" applyFill="1" applyBorder="1"/>
    <xf numFmtId="0" fontId="1" fillId="2" borderId="48" xfId="0" applyFont="1" applyFill="1" applyBorder="1" applyAlignment="1">
      <alignment horizontal="center" vertical="center"/>
    </xf>
    <xf numFmtId="0" fontId="1" fillId="2" borderId="48" xfId="0" applyFont="1" applyFill="1" applyBorder="1"/>
    <xf numFmtId="0" fontId="13" fillId="2" borderId="49" xfId="0" applyFont="1" applyFill="1" applyBorder="1"/>
    <xf numFmtId="0" fontId="13" fillId="2" borderId="50" xfId="0" applyFont="1" applyFill="1" applyBorder="1"/>
    <xf numFmtId="2" fontId="13" fillId="2" borderId="50" xfId="0" applyNumberFormat="1" applyFont="1" applyFill="1" applyBorder="1"/>
    <xf numFmtId="0" fontId="13" fillId="2" borderId="50" xfId="0" applyFont="1" applyFill="1" applyBorder="1" applyAlignment="1">
      <alignment horizontal="center" vertical="center"/>
    </xf>
    <xf numFmtId="165" fontId="13" fillId="2" borderId="50" xfId="0" applyNumberFormat="1" applyFont="1" applyFill="1" applyBorder="1" applyAlignment="1">
      <alignment horizontal="center" vertical="center"/>
    </xf>
    <xf numFmtId="2" fontId="13" fillId="2" borderId="50" xfId="0" applyNumberFormat="1" applyFont="1" applyFill="1" applyBorder="1" applyAlignment="1">
      <alignment horizontal="center" vertical="center"/>
    </xf>
    <xf numFmtId="0" fontId="1" fillId="2" borderId="50" xfId="0" applyFont="1" applyFill="1" applyBorder="1"/>
    <xf numFmtId="0" fontId="1" fillId="2" borderId="51" xfId="0" applyFont="1" applyFill="1" applyBorder="1"/>
    <xf numFmtId="0" fontId="16" fillId="5" borderId="12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56" fillId="5" borderId="10" xfId="0" applyFont="1" applyFill="1" applyBorder="1" applyAlignment="1">
      <alignment horizontal="center"/>
    </xf>
    <xf numFmtId="0" fontId="16" fillId="5" borderId="52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left" indent="1"/>
    </xf>
    <xf numFmtId="0" fontId="1" fillId="2" borderId="53" xfId="0" applyFont="1" applyFill="1" applyBorder="1"/>
    <xf numFmtId="0" fontId="1" fillId="2" borderId="14" xfId="0" applyFont="1" applyFill="1" applyBorder="1"/>
    <xf numFmtId="0" fontId="1" fillId="2" borderId="14" xfId="0" applyFont="1" applyFill="1" applyBorder="1" applyAlignment="1">
      <alignment horizontal="left" vertical="top" indent="2"/>
    </xf>
    <xf numFmtId="0" fontId="10" fillId="2" borderId="53" xfId="0" applyFont="1" applyFill="1" applyBorder="1" applyAlignment="1">
      <alignment horizontal="center" vertical="center"/>
    </xf>
    <xf numFmtId="0" fontId="58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14" xfId="0" applyFont="1" applyFill="1" applyBorder="1" applyAlignment="1">
      <alignment horizontal="left" indent="1"/>
    </xf>
    <xf numFmtId="0" fontId="1" fillId="2" borderId="4" xfId="0" applyFont="1" applyFill="1" applyBorder="1" applyAlignment="1">
      <alignment horizontal="left" indent="1"/>
    </xf>
    <xf numFmtId="0" fontId="1" fillId="2" borderId="5" xfId="0" applyFont="1" applyFill="1" applyBorder="1"/>
    <xf numFmtId="0" fontId="1" fillId="2" borderId="6" xfId="0" applyFont="1" applyFill="1" applyBorder="1"/>
    <xf numFmtId="0" fontId="1" fillId="2" borderId="14" xfId="0" applyFont="1" applyFill="1" applyBorder="1" applyAlignment="1">
      <alignment horizontal="left" wrapText="1" indent="2"/>
    </xf>
    <xf numFmtId="0" fontId="1" fillId="2" borderId="0" xfId="0" applyFont="1" applyFill="1" applyAlignment="1">
      <alignment horizontal="left" wrapText="1" indent="2"/>
    </xf>
    <xf numFmtId="0" fontId="1" fillId="2" borderId="53" xfId="0" applyFont="1" applyFill="1" applyBorder="1" applyAlignment="1">
      <alignment horizontal="left" wrapText="1" indent="2"/>
    </xf>
    <xf numFmtId="0" fontId="1" fillId="2" borderId="0" xfId="0" applyFont="1" applyFill="1" applyAlignment="1">
      <alignment horizontal="center"/>
    </xf>
    <xf numFmtId="0" fontId="20" fillId="4" borderId="27" xfId="0" applyFont="1" applyFill="1" applyBorder="1" applyAlignment="1">
      <alignment horizontal="center" vertical="center" wrapText="1"/>
    </xf>
    <xf numFmtId="0" fontId="20" fillId="4" borderId="27" xfId="0" applyFont="1" applyFill="1" applyBorder="1" applyAlignment="1">
      <alignment horizontal="center" vertical="center"/>
    </xf>
    <xf numFmtId="0" fontId="20" fillId="4" borderId="27" xfId="0" applyFont="1" applyFill="1" applyBorder="1" applyAlignment="1">
      <alignment horizontal="center" vertical="top" wrapText="1"/>
    </xf>
    <xf numFmtId="2" fontId="20" fillId="4" borderId="27" xfId="0" applyNumberFormat="1" applyFont="1" applyFill="1" applyBorder="1" applyAlignment="1">
      <alignment horizontal="center" vertical="top" wrapText="1"/>
    </xf>
    <xf numFmtId="0" fontId="20" fillId="4" borderId="1" xfId="0" applyFont="1" applyFill="1" applyBorder="1" applyAlignment="1">
      <alignment horizontal="center" vertical="top" wrapText="1"/>
    </xf>
    <xf numFmtId="0" fontId="20" fillId="4" borderId="2" xfId="0" applyFont="1" applyFill="1" applyBorder="1" applyAlignment="1">
      <alignment horizontal="center" vertical="top" wrapText="1"/>
    </xf>
    <xf numFmtId="0" fontId="20" fillId="4" borderId="4" xfId="0" applyFont="1" applyFill="1" applyBorder="1" applyAlignment="1">
      <alignment horizontal="center" vertical="top" wrapText="1"/>
    </xf>
    <xf numFmtId="0" fontId="20" fillId="4" borderId="5" xfId="0" applyFont="1" applyFill="1" applyBorder="1" applyAlignment="1">
      <alignment horizontal="center" vertical="top" wrapText="1"/>
    </xf>
    <xf numFmtId="2" fontId="20" fillId="4" borderId="22" xfId="0" applyNumberFormat="1" applyFont="1" applyFill="1" applyBorder="1" applyAlignment="1">
      <alignment horizontal="center" vertical="top"/>
    </xf>
    <xf numFmtId="2" fontId="20" fillId="4" borderId="23" xfId="0" applyNumberFormat="1" applyFont="1" applyFill="1" applyBorder="1" applyAlignment="1">
      <alignment horizontal="center" vertical="top"/>
    </xf>
    <xf numFmtId="2" fontId="20" fillId="4" borderId="22" xfId="0" applyNumberFormat="1" applyFont="1" applyFill="1" applyBorder="1" applyAlignment="1">
      <alignment horizontal="center" vertical="top" wrapText="1"/>
    </xf>
    <xf numFmtId="2" fontId="20" fillId="4" borderId="23" xfId="0" applyNumberFormat="1" applyFont="1" applyFill="1" applyBorder="1" applyAlignment="1">
      <alignment horizontal="center" vertical="top" wrapText="1"/>
    </xf>
    <xf numFmtId="0" fontId="20" fillId="4" borderId="1" xfId="0" applyFont="1" applyFill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 wrapText="1"/>
    </xf>
    <xf numFmtId="0" fontId="20" fillId="4" borderId="3" xfId="0" applyFont="1" applyFill="1" applyBorder="1" applyAlignment="1">
      <alignment horizontal="center" vertical="center" wrapText="1"/>
    </xf>
    <xf numFmtId="0" fontId="20" fillId="4" borderId="4" xfId="0" applyFont="1" applyFill="1" applyBorder="1" applyAlignment="1">
      <alignment horizontal="center" vertical="center" wrapText="1"/>
    </xf>
    <xf numFmtId="0" fontId="20" fillId="4" borderId="5" xfId="0" applyFont="1" applyFill="1" applyBorder="1" applyAlignment="1">
      <alignment horizontal="center" vertical="center" wrapText="1"/>
    </xf>
    <xf numFmtId="0" fontId="20" fillId="4" borderId="6" xfId="0" applyFont="1" applyFill="1" applyBorder="1" applyAlignment="1">
      <alignment horizontal="center" vertical="center" wrapText="1"/>
    </xf>
    <xf numFmtId="2" fontId="20" fillId="4" borderId="27" xfId="0" applyNumberFormat="1" applyFont="1" applyFill="1" applyBorder="1" applyAlignment="1">
      <alignment horizontal="center" vertical="top"/>
    </xf>
    <xf numFmtId="2" fontId="20" fillId="4" borderId="27" xfId="0" applyNumberFormat="1" applyFont="1" applyFill="1" applyBorder="1" applyAlignment="1">
      <alignment horizontal="center" vertical="center"/>
    </xf>
    <xf numFmtId="0" fontId="20" fillId="4" borderId="13" xfId="0" applyFont="1" applyFill="1" applyBorder="1" applyAlignment="1">
      <alignment horizontal="center" vertical="center" wrapText="1"/>
    </xf>
    <xf numFmtId="2" fontId="20" fillId="4" borderId="22" xfId="0" applyNumberFormat="1" applyFont="1" applyFill="1" applyBorder="1" applyAlignment="1">
      <alignment horizontal="center" vertical="center"/>
    </xf>
    <xf numFmtId="2" fontId="20" fillId="4" borderId="23" xfId="0" applyNumberFormat="1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20" fillId="4" borderId="5" xfId="0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horizontal="center" vertical="center"/>
    </xf>
    <xf numFmtId="0" fontId="20" fillId="4" borderId="26" xfId="0" applyFont="1" applyFill="1" applyBorder="1" applyAlignment="1">
      <alignment horizontal="center" vertical="center"/>
    </xf>
    <xf numFmtId="0" fontId="20" fillId="4" borderId="23" xfId="0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horizontal="center" vertical="top" wrapText="1"/>
    </xf>
    <xf numFmtId="0" fontId="20" fillId="4" borderId="23" xfId="0" applyFont="1" applyFill="1" applyBorder="1" applyAlignment="1">
      <alignment horizontal="center" vertical="top" wrapText="1"/>
    </xf>
    <xf numFmtId="0" fontId="20" fillId="4" borderId="13" xfId="0" applyFont="1" applyFill="1" applyBorder="1" applyAlignment="1">
      <alignment horizontal="center" vertical="center"/>
    </xf>
    <xf numFmtId="2" fontId="20" fillId="4" borderId="13" xfId="0" applyNumberFormat="1" applyFont="1" applyFill="1" applyBorder="1" applyAlignment="1">
      <alignment horizontal="center" vertical="top"/>
    </xf>
    <xf numFmtId="0" fontId="8" fillId="2" borderId="13" xfId="0" applyFont="1" applyFill="1" applyBorder="1" applyAlignment="1">
      <alignment horizontal="center" vertical="top"/>
    </xf>
    <xf numFmtId="0" fontId="13" fillId="2" borderId="13" xfId="0" applyFont="1" applyFill="1" applyBorder="1" applyAlignment="1">
      <alignment horizontal="left" vertical="center"/>
    </xf>
    <xf numFmtId="0" fontId="20" fillId="4" borderId="34" xfId="0" applyFont="1" applyFill="1" applyBorder="1" applyAlignment="1">
      <alignment horizontal="left" vertical="center"/>
    </xf>
    <xf numFmtId="0" fontId="20" fillId="4" borderId="21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center" vertical="center" wrapText="1"/>
    </xf>
    <xf numFmtId="0" fontId="14" fillId="3" borderId="0" xfId="0" applyFont="1" applyFill="1" applyAlignment="1">
      <alignment horizontal="center" vertical="center"/>
    </xf>
    <xf numFmtId="0" fontId="14" fillId="3" borderId="28" xfId="0" applyFont="1" applyFill="1" applyBorder="1" applyAlignment="1">
      <alignment horizontal="center" vertical="center"/>
    </xf>
    <xf numFmtId="0" fontId="14" fillId="3" borderId="29" xfId="0" applyFont="1" applyFill="1" applyBorder="1" applyAlignment="1">
      <alignment horizontal="center" vertical="center"/>
    </xf>
    <xf numFmtId="0" fontId="14" fillId="3" borderId="33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5" fillId="4" borderId="29" xfId="0" applyFont="1" applyFill="1" applyBorder="1" applyAlignment="1">
      <alignment horizontal="center" vertical="center"/>
    </xf>
    <xf numFmtId="0" fontId="15" fillId="4" borderId="30" xfId="0" applyFont="1" applyFill="1" applyBorder="1" applyAlignment="1">
      <alignment horizontal="center" vertical="center"/>
    </xf>
    <xf numFmtId="0" fontId="15" fillId="4" borderId="8" xfId="0" applyFont="1" applyFill="1" applyBorder="1" applyAlignment="1">
      <alignment horizontal="center" vertical="center"/>
    </xf>
    <xf numFmtId="0" fontId="15" fillId="4" borderId="31" xfId="0" applyFont="1" applyFill="1" applyBorder="1" applyAlignment="1">
      <alignment horizontal="center" vertical="center"/>
    </xf>
    <xf numFmtId="0" fontId="20" fillId="4" borderId="35" xfId="0" applyFont="1" applyFill="1" applyBorder="1" applyAlignment="1">
      <alignment horizontal="left" vertical="center"/>
    </xf>
    <xf numFmtId="0" fontId="20" fillId="4" borderId="36" xfId="0" applyFont="1" applyFill="1" applyBorder="1" applyAlignment="1">
      <alignment horizontal="left" vertical="center"/>
    </xf>
    <xf numFmtId="0" fontId="41" fillId="0" borderId="0" xfId="0" applyFont="1" applyAlignment="1">
      <alignment horizontal="center" vertical="center"/>
    </xf>
    <xf numFmtId="0" fontId="41" fillId="0" borderId="5" xfId="0" applyFont="1" applyBorder="1" applyAlignment="1">
      <alignment horizontal="center" vertical="center"/>
    </xf>
    <xf numFmtId="0" fontId="16" fillId="5" borderId="13" xfId="0" applyFont="1" applyFill="1" applyBorder="1" applyAlignment="1">
      <alignment horizontal="center"/>
    </xf>
    <xf numFmtId="0" fontId="44" fillId="5" borderId="13" xfId="4" applyFont="1" applyFill="1" applyBorder="1" applyAlignment="1">
      <alignment horizontal="center" vertical="center" wrapText="1"/>
    </xf>
    <xf numFmtId="0" fontId="47" fillId="8" borderId="13" xfId="5" applyFont="1" applyFill="1" applyBorder="1" applyAlignment="1">
      <alignment horizontal="center" vertical="center"/>
    </xf>
    <xf numFmtId="0" fontId="47" fillId="8" borderId="1" xfId="5" applyFont="1" applyFill="1" applyBorder="1" applyAlignment="1">
      <alignment horizontal="center" vertical="center"/>
    </xf>
    <xf numFmtId="0" fontId="47" fillId="8" borderId="2" xfId="5" applyFont="1" applyFill="1" applyBorder="1" applyAlignment="1">
      <alignment horizontal="center" vertical="center"/>
    </xf>
    <xf numFmtId="0" fontId="47" fillId="8" borderId="14" xfId="5" applyFont="1" applyFill="1" applyBorder="1" applyAlignment="1">
      <alignment horizontal="center" vertical="center"/>
    </xf>
    <xf numFmtId="0" fontId="47" fillId="8" borderId="0" xfId="5" applyFont="1" applyFill="1" applyAlignment="1">
      <alignment horizontal="center" vertical="center"/>
    </xf>
    <xf numFmtId="0" fontId="44" fillId="5" borderId="22" xfId="4" applyFont="1" applyFill="1" applyBorder="1" applyAlignment="1">
      <alignment horizontal="center" vertical="center"/>
    </xf>
    <xf numFmtId="0" fontId="44" fillId="5" borderId="23" xfId="4" applyFont="1" applyFill="1" applyBorder="1" applyAlignment="1">
      <alignment horizontal="center" vertical="center"/>
    </xf>
    <xf numFmtId="0" fontId="44" fillId="5" borderId="13" xfId="4" applyFont="1" applyFill="1" applyBorder="1" applyAlignment="1">
      <alignment horizontal="center" vertical="center"/>
    </xf>
    <xf numFmtId="0" fontId="44" fillId="5" borderId="4" xfId="4" applyFont="1" applyFill="1" applyBorder="1" applyAlignment="1">
      <alignment horizontal="center" vertical="center" wrapText="1"/>
    </xf>
    <xf numFmtId="0" fontId="44" fillId="5" borderId="5" xfId="4" applyFont="1" applyFill="1" applyBorder="1" applyAlignment="1">
      <alignment horizontal="center" vertical="center" wrapText="1"/>
    </xf>
    <xf numFmtId="0" fontId="16" fillId="5" borderId="11" xfId="0" applyFont="1" applyFill="1" applyBorder="1" applyAlignment="1">
      <alignment horizontal="center" wrapText="1"/>
    </xf>
    <xf numFmtId="0" fontId="16" fillId="5" borderId="19" xfId="0" applyFont="1" applyFill="1" applyBorder="1" applyAlignment="1">
      <alignment horizontal="center" wrapText="1"/>
    </xf>
    <xf numFmtId="0" fontId="16" fillId="5" borderId="7" xfId="0" applyFont="1" applyFill="1" applyBorder="1" applyAlignment="1">
      <alignment horizontal="center" wrapText="1"/>
    </xf>
    <xf numFmtId="0" fontId="16" fillId="5" borderId="0" xfId="0" applyFont="1" applyFill="1" applyAlignment="1">
      <alignment horizont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16" fillId="5" borderId="16" xfId="0" applyFont="1" applyFill="1" applyBorder="1" applyAlignment="1">
      <alignment horizontal="center"/>
    </xf>
    <xf numFmtId="0" fontId="16" fillId="5" borderId="17" xfId="0" applyFont="1" applyFill="1" applyBorder="1" applyAlignment="1">
      <alignment horizontal="center"/>
    </xf>
    <xf numFmtId="0" fontId="16" fillId="5" borderId="18" xfId="0" applyFont="1" applyFill="1" applyBorder="1" applyAlignment="1">
      <alignment horizontal="center"/>
    </xf>
  </cellXfs>
  <cellStyles count="10">
    <cellStyle name="20% - Accent1" xfId="9" builtinId="30"/>
    <cellStyle name="Calculation" xfId="2" builtinId="22"/>
    <cellStyle name="Comma 2" xfId="7" xr:uid="{172AAE03-FDCC-4042-B625-EC84884BAA0D}"/>
    <cellStyle name="Normal" xfId="0" builtinId="0"/>
    <cellStyle name="Normal 2" xfId="6" xr:uid="{28043C0A-2D8E-46AF-858A-0568A03E23AD}"/>
    <cellStyle name="Normal 2 2" xfId="8" xr:uid="{EFA6CC63-895C-41E0-9E91-04C417243700}"/>
    <cellStyle name="Normal 3" xfId="3" xr:uid="{00000000-0005-0000-0000-000002000000}"/>
    <cellStyle name="Normal 5" xfId="4" xr:uid="{DB4F08DD-3963-4290-9516-43A7CC7DE206}"/>
    <cellStyle name="Normal 6" xfId="1" xr:uid="{00000000-0005-0000-0000-000003000000}"/>
    <cellStyle name="Normal_Sheet3" xfId="5" xr:uid="{16887CF5-C614-4663-BCD9-6A7A7081FB05}"/>
  </cellStyles>
  <dxfs count="6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100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emf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264772</xdr:colOff>
      <xdr:row>14</xdr:row>
      <xdr:rowOff>124556</xdr:rowOff>
    </xdr:from>
    <xdr:to>
      <xdr:col>53</xdr:col>
      <xdr:colOff>321675</xdr:colOff>
      <xdr:row>37</xdr:row>
      <xdr:rowOff>11862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100F1F-BC81-3180-F5DB-7DF1DAD4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64407" y="2439864"/>
          <a:ext cx="5809247" cy="3654957"/>
        </a:xfrm>
        <a:prstGeom prst="rect">
          <a:avLst/>
        </a:prstGeom>
      </xdr:spPr>
    </xdr:pic>
    <xdr:clientData/>
  </xdr:twoCellAnchor>
  <xdr:twoCellAnchor editAs="oneCell">
    <xdr:from>
      <xdr:col>17</xdr:col>
      <xdr:colOff>337038</xdr:colOff>
      <xdr:row>41</xdr:row>
      <xdr:rowOff>0</xdr:rowOff>
    </xdr:from>
    <xdr:to>
      <xdr:col>82</xdr:col>
      <xdr:colOff>379840</xdr:colOff>
      <xdr:row>76</xdr:row>
      <xdr:rowOff>74067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981A356-A649-A64F-599A-06B75F9EB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53096" y="6916615"/>
          <a:ext cx="12689071" cy="5715798"/>
        </a:xfrm>
        <a:prstGeom prst="rect">
          <a:avLst/>
        </a:prstGeom>
      </xdr:spPr>
    </xdr:pic>
    <xdr:clientData/>
  </xdr:twoCellAnchor>
  <xdr:twoCellAnchor editAs="oneCell">
    <xdr:from>
      <xdr:col>17</xdr:col>
      <xdr:colOff>90917</xdr:colOff>
      <xdr:row>75</xdr:row>
      <xdr:rowOff>112059</xdr:rowOff>
    </xdr:from>
    <xdr:to>
      <xdr:col>61</xdr:col>
      <xdr:colOff>421581</xdr:colOff>
      <xdr:row>96</xdr:row>
      <xdr:rowOff>88188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468BDA5-FE78-AFFF-7A92-62D788DF9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83270" y="12203206"/>
          <a:ext cx="7077014" cy="3264944"/>
        </a:xfrm>
        <a:prstGeom prst="rect">
          <a:avLst/>
        </a:prstGeom>
      </xdr:spPr>
    </xdr:pic>
    <xdr:clientData/>
  </xdr:twoCellAnchor>
  <xdr:twoCellAnchor editAs="oneCell">
    <xdr:from>
      <xdr:col>17</xdr:col>
      <xdr:colOff>153866</xdr:colOff>
      <xdr:row>98</xdr:row>
      <xdr:rowOff>58110</xdr:rowOff>
    </xdr:from>
    <xdr:to>
      <xdr:col>59</xdr:col>
      <xdr:colOff>55857</xdr:colOff>
      <xdr:row>118</xdr:row>
      <xdr:rowOff>95638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F6BB21-5E05-7FFD-0914-61DD09171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69924" y="16162687"/>
          <a:ext cx="6038436" cy="32651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108231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C3861E9-5D41-434C-A49E-780AB0CB9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135744"/>
          <a:ext cx="2660208" cy="83239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7" name="Picture 6">
          <a:extLst>
            <a:ext uri="{FF2B5EF4-FFF2-40B4-BE49-F238E27FC236}">
              <a16:creationId xmlns:a16="http://schemas.microsoft.com/office/drawing/2014/main" id="{CAE18195-5085-4716-AA19-FEE19EA482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1357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8283</xdr:colOff>
      <xdr:row>13</xdr:row>
      <xdr:rowOff>0</xdr:rowOff>
    </xdr:from>
    <xdr:to>
      <xdr:col>15</xdr:col>
      <xdr:colOff>325643</xdr:colOff>
      <xdr:row>22</xdr:row>
      <xdr:rowOff>60546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9A095FC-129C-E0ED-7413-F95DB94853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8677" b="7729"/>
        <a:stretch>
          <a:fillRect/>
        </a:stretch>
      </xdr:blipFill>
      <xdr:spPr>
        <a:xfrm>
          <a:off x="5781261" y="612913"/>
          <a:ext cx="1394762" cy="1581978"/>
        </a:xfrm>
        <a:prstGeom prst="rect">
          <a:avLst/>
        </a:prstGeom>
      </xdr:spPr>
    </xdr:pic>
    <xdr:clientData/>
  </xdr:twoCellAnchor>
  <xdr:twoCellAnchor editAs="oneCell">
    <xdr:from>
      <xdr:col>7</xdr:col>
      <xdr:colOff>324679</xdr:colOff>
      <xdr:row>43</xdr:row>
      <xdr:rowOff>294</xdr:rowOff>
    </xdr:from>
    <xdr:to>
      <xdr:col>12</xdr:col>
      <xdr:colOff>283961</xdr:colOff>
      <xdr:row>51</xdr:row>
      <xdr:rowOff>129712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878C0AF-767D-F745-CAC8-CB30EBEB2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60644" y="5725233"/>
          <a:ext cx="2557702" cy="1392102"/>
        </a:xfrm>
        <a:prstGeom prst="rect">
          <a:avLst/>
        </a:prstGeom>
      </xdr:spPr>
    </xdr:pic>
    <xdr:clientData/>
  </xdr:twoCellAnchor>
  <xdr:twoCellAnchor editAs="oneCell">
    <xdr:from>
      <xdr:col>8</xdr:col>
      <xdr:colOff>382035</xdr:colOff>
      <xdr:row>96</xdr:row>
      <xdr:rowOff>22106</xdr:rowOff>
    </xdr:from>
    <xdr:to>
      <xdr:col>16</xdr:col>
      <xdr:colOff>25413</xdr:colOff>
      <xdr:row>102</xdr:row>
      <xdr:rowOff>125015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D3D8666-535A-41E9-9BC9-643B7B4DC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9585" y="12852281"/>
          <a:ext cx="3748653" cy="10744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54</xdr:row>
      <xdr:rowOff>95250</xdr:rowOff>
    </xdr:from>
    <xdr:to>
      <xdr:col>13</xdr:col>
      <xdr:colOff>476250</xdr:colOff>
      <xdr:row>116</xdr:row>
      <xdr:rowOff>98386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953CB9-D15B-2480-782C-F9EEB6815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382250"/>
          <a:ext cx="8436429" cy="118141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108857</xdr:rowOff>
    </xdr:from>
    <xdr:to>
      <xdr:col>11</xdr:col>
      <xdr:colOff>318443</xdr:colOff>
      <xdr:row>21</xdr:row>
      <xdr:rowOff>176893</xdr:rowOff>
    </xdr:to>
    <xdr:pic>
      <xdr:nvPicPr>
        <xdr:cNvPr id="4" name="Picture 3" descr="General anchoring shapes and options | IDEA StatiCa">
          <a:extLst>
            <a:ext uri="{FF2B5EF4-FFF2-40B4-BE49-F238E27FC236}">
              <a16:creationId xmlns:a16="http://schemas.microsoft.com/office/drawing/2014/main" id="{82BD2DC8-A206-F30C-4FA4-C3ED8BE4E7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9857"/>
          <a:ext cx="7053979" cy="36875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242454</xdr:colOff>
      <xdr:row>0</xdr:row>
      <xdr:rowOff>0</xdr:rowOff>
    </xdr:from>
    <xdr:to>
      <xdr:col>40</xdr:col>
      <xdr:colOff>469140</xdr:colOff>
      <xdr:row>55</xdr:row>
      <xdr:rowOff>69273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B894D6B-FAD8-95D9-9457-33257EEE8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28363" y="0"/>
          <a:ext cx="15986232" cy="10546773"/>
        </a:xfrm>
        <a:prstGeom prst="rect">
          <a:avLst/>
        </a:prstGeom>
      </xdr:spPr>
    </xdr:pic>
    <xdr:clientData/>
  </xdr:twoCellAnchor>
  <xdr:twoCellAnchor editAs="oneCell">
    <xdr:from>
      <xdr:col>0</xdr:col>
      <xdr:colOff>121227</xdr:colOff>
      <xdr:row>24</xdr:row>
      <xdr:rowOff>17317</xdr:rowOff>
    </xdr:from>
    <xdr:to>
      <xdr:col>14</xdr:col>
      <xdr:colOff>390647</xdr:colOff>
      <xdr:row>50</xdr:row>
      <xdr:rowOff>138544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2243752-2945-63BE-29CC-2F57DDF0D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227" y="4589317"/>
          <a:ext cx="8755329" cy="50742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742950</xdr:colOff>
      <xdr:row>0</xdr:row>
      <xdr:rowOff>200026</xdr:rowOff>
    </xdr:from>
    <xdr:to>
      <xdr:col>1</xdr:col>
      <xdr:colOff>3056236</xdr:colOff>
      <xdr:row>0</xdr:row>
      <xdr:rowOff>2211706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F6887D-0F20-687E-C06D-6F5D7244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" y="200026"/>
          <a:ext cx="2313286" cy="2011680"/>
        </a:xfrm>
        <a:prstGeom prst="rect">
          <a:avLst/>
        </a:prstGeom>
      </xdr:spPr>
    </xdr:pic>
    <xdr:clientData/>
  </xdr:twoCellAnchor>
  <xdr:twoCellAnchor>
    <xdr:from>
      <xdr:col>1</xdr:col>
      <xdr:colOff>723644</xdr:colOff>
      <xdr:row>1</xdr:row>
      <xdr:rowOff>293400</xdr:rowOff>
    </xdr:from>
    <xdr:to>
      <xdr:col>1</xdr:col>
      <xdr:colOff>3056404</xdr:colOff>
      <xdr:row>1</xdr:row>
      <xdr:rowOff>2305080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B102AA0-DA14-5E1F-3C16-19FADF476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33244" y="2827050"/>
          <a:ext cx="2332760" cy="2011680"/>
        </a:xfrm>
        <a:prstGeom prst="rect">
          <a:avLst/>
        </a:prstGeom>
      </xdr:spPr>
    </xdr:pic>
    <xdr:clientData/>
  </xdr:twoCellAnchor>
  <xdr:twoCellAnchor>
    <xdr:from>
      <xdr:col>1</xdr:col>
      <xdr:colOff>504825</xdr:colOff>
      <xdr:row>2</xdr:row>
      <xdr:rowOff>295275</xdr:rowOff>
    </xdr:from>
    <xdr:to>
      <xdr:col>1</xdr:col>
      <xdr:colOff>2921869</xdr:colOff>
      <xdr:row>2</xdr:row>
      <xdr:rowOff>2306955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D0A05C0-2C96-0A19-6EFE-E81F8E1A3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4425" y="5362575"/>
          <a:ext cx="2417044" cy="2011680"/>
        </a:xfrm>
        <a:prstGeom prst="rect">
          <a:avLst/>
        </a:prstGeom>
      </xdr:spPr>
    </xdr:pic>
    <xdr:clientData/>
  </xdr:twoCellAnchor>
  <xdr:twoCellAnchor>
    <xdr:from>
      <xdr:col>1</xdr:col>
      <xdr:colOff>566001</xdr:colOff>
      <xdr:row>3</xdr:row>
      <xdr:rowOff>335024</xdr:rowOff>
    </xdr:from>
    <xdr:to>
      <xdr:col>1</xdr:col>
      <xdr:colOff>3087437</xdr:colOff>
      <xdr:row>3</xdr:row>
      <xdr:rowOff>2346704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FE4C438-410C-F5E2-B751-D293928C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75601" y="7935974"/>
          <a:ext cx="2521436" cy="2011680"/>
        </a:xfrm>
        <a:prstGeom prst="rect">
          <a:avLst/>
        </a:prstGeom>
      </xdr:spPr>
    </xdr:pic>
    <xdr:clientData/>
  </xdr:twoCellAnchor>
  <xdr:twoCellAnchor>
    <xdr:from>
      <xdr:col>1</xdr:col>
      <xdr:colOff>361951</xdr:colOff>
      <xdr:row>4</xdr:row>
      <xdr:rowOff>304799</xdr:rowOff>
    </xdr:from>
    <xdr:to>
      <xdr:col>1</xdr:col>
      <xdr:colOff>2998216</xdr:colOff>
      <xdr:row>4</xdr:row>
      <xdr:rowOff>2316479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681B3E0-4217-61EC-5E3B-68478F5E4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1551" y="10439399"/>
          <a:ext cx="2636265" cy="20116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15</xdr:col>
          <xdr:colOff>438150</xdr:colOff>
          <xdr:row>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A8B75E10-E55D-4D2A-A475-2171A26EC2F1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" spid="_x0000_s7248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8972550" y="10134600"/>
              <a:ext cx="4095750" cy="2533650"/>
            </a:xfrm>
            <a:prstGeom prst="rect">
              <a:avLst/>
            </a:prstGeom>
          </xdr:spPr>
        </xdr:pic>
        <xdr:clientData/>
      </xdr:twoCellAnchor>
    </mc:Choice>
    <mc:Fallback/>
  </mc:AlternateContent>
  <xdr:oneCellAnchor>
    <xdr:from>
      <xdr:col>1</xdr:col>
      <xdr:colOff>1581150</xdr:colOff>
      <xdr:row>4</xdr:row>
      <xdr:rowOff>323850</xdr:rowOff>
    </xdr:from>
    <xdr:ext cx="399148" cy="264560"/>
    <xdr:sp macro="" textlink="B8">
      <xdr:nvSpPr>
        <xdr:cNvPr id="5" name="TextBox 4">
          <a:extLst>
            <a:ext uri="{FF2B5EF4-FFF2-40B4-BE49-F238E27FC236}">
              <a16:creationId xmlns:a16="http://schemas.microsoft.com/office/drawing/2014/main" id="{57AF9477-3157-77C6-0116-94DE84862BE1}"/>
            </a:ext>
          </a:extLst>
        </xdr:cNvPr>
        <xdr:cNvSpPr txBox="1"/>
      </xdr:nvSpPr>
      <xdr:spPr>
        <a:xfrm>
          <a:off x="2190750" y="104584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200</a:t>
          </a:fld>
          <a:endParaRPr lang="en-US" sz="1100"/>
        </a:p>
      </xdr:txBody>
    </xdr:sp>
    <xdr:clientData/>
  </xdr:oneCellAnchor>
  <xdr:oneCellAnchor>
    <xdr:from>
      <xdr:col>1</xdr:col>
      <xdr:colOff>1638300</xdr:colOff>
      <xdr:row>3</xdr:row>
      <xdr:rowOff>190500</xdr:rowOff>
    </xdr:from>
    <xdr:ext cx="399148" cy="264560"/>
    <xdr:sp macro="" textlink="B8">
      <xdr:nvSpPr>
        <xdr:cNvPr id="6" name="TextBox 5">
          <a:extLst>
            <a:ext uri="{FF2B5EF4-FFF2-40B4-BE49-F238E27FC236}">
              <a16:creationId xmlns:a16="http://schemas.microsoft.com/office/drawing/2014/main" id="{D90D9432-CC60-4308-B16B-A0A027782124}"/>
            </a:ext>
          </a:extLst>
        </xdr:cNvPr>
        <xdr:cNvSpPr txBox="1"/>
      </xdr:nvSpPr>
      <xdr:spPr>
        <a:xfrm>
          <a:off x="2247900" y="77914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200</a:t>
          </a:fld>
          <a:endParaRPr lang="en-US" sz="1100"/>
        </a:p>
      </xdr:txBody>
    </xdr:sp>
    <xdr:clientData/>
  </xdr:oneCellAnchor>
  <xdr:oneCellAnchor>
    <xdr:from>
      <xdr:col>1</xdr:col>
      <xdr:colOff>1666875</xdr:colOff>
      <xdr:row>2</xdr:row>
      <xdr:rowOff>314325</xdr:rowOff>
    </xdr:from>
    <xdr:ext cx="399148" cy="264560"/>
    <xdr:sp macro="" textlink="B8">
      <xdr:nvSpPr>
        <xdr:cNvPr id="7" name="TextBox 6">
          <a:extLst>
            <a:ext uri="{FF2B5EF4-FFF2-40B4-BE49-F238E27FC236}">
              <a16:creationId xmlns:a16="http://schemas.microsoft.com/office/drawing/2014/main" id="{320E09FE-F1D0-443B-A31E-CBEDC24736DD}"/>
            </a:ext>
          </a:extLst>
        </xdr:cNvPr>
        <xdr:cNvSpPr txBox="1"/>
      </xdr:nvSpPr>
      <xdr:spPr>
        <a:xfrm>
          <a:off x="2276475" y="538162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200</a:t>
          </a:fld>
          <a:endParaRPr lang="en-US" sz="1100"/>
        </a:p>
      </xdr:txBody>
    </xdr:sp>
    <xdr:clientData/>
  </xdr:oneCellAnchor>
  <xdr:oneCellAnchor>
    <xdr:from>
      <xdr:col>1</xdr:col>
      <xdr:colOff>1714500</xdr:colOff>
      <xdr:row>1</xdr:row>
      <xdr:rowOff>257175</xdr:rowOff>
    </xdr:from>
    <xdr:ext cx="399148" cy="264560"/>
    <xdr:sp macro="" textlink="B8">
      <xdr:nvSpPr>
        <xdr:cNvPr id="8" name="TextBox 7">
          <a:extLst>
            <a:ext uri="{FF2B5EF4-FFF2-40B4-BE49-F238E27FC236}">
              <a16:creationId xmlns:a16="http://schemas.microsoft.com/office/drawing/2014/main" id="{4AD37FBC-5E90-4A5A-BBE9-ED4C6BB0D507}"/>
            </a:ext>
          </a:extLst>
        </xdr:cNvPr>
        <xdr:cNvSpPr txBox="1"/>
      </xdr:nvSpPr>
      <xdr:spPr>
        <a:xfrm>
          <a:off x="2324100" y="279082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200</a:t>
          </a:fld>
          <a:endParaRPr lang="en-US" sz="1100"/>
        </a:p>
      </xdr:txBody>
    </xdr:sp>
    <xdr:clientData/>
  </xdr:oneCellAnchor>
  <xdr:oneCellAnchor>
    <xdr:from>
      <xdr:col>1</xdr:col>
      <xdr:colOff>1704975</xdr:colOff>
      <xdr:row>0</xdr:row>
      <xdr:rowOff>209550</xdr:rowOff>
    </xdr:from>
    <xdr:ext cx="399148" cy="264560"/>
    <xdr:sp macro="" textlink="B8">
      <xdr:nvSpPr>
        <xdr:cNvPr id="9" name="TextBox 8">
          <a:extLst>
            <a:ext uri="{FF2B5EF4-FFF2-40B4-BE49-F238E27FC236}">
              <a16:creationId xmlns:a16="http://schemas.microsoft.com/office/drawing/2014/main" id="{EA1A431A-0255-4EE8-B03E-48E8D36E8213}"/>
            </a:ext>
          </a:extLst>
        </xdr:cNvPr>
        <xdr:cNvSpPr txBox="1"/>
      </xdr:nvSpPr>
      <xdr:spPr>
        <a:xfrm>
          <a:off x="2314575" y="2095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200</a:t>
          </a:fld>
          <a:endParaRPr lang="en-US" sz="1100"/>
        </a:p>
      </xdr:txBody>
    </xdr:sp>
    <xdr:clientData/>
  </xdr:oneCellAnchor>
  <xdr:oneCellAnchor>
    <xdr:from>
      <xdr:col>1</xdr:col>
      <xdr:colOff>429244</xdr:colOff>
      <xdr:row>4</xdr:row>
      <xdr:rowOff>1218581</xdr:rowOff>
    </xdr:from>
    <xdr:ext cx="264560" cy="399148"/>
    <xdr:sp macro="" textlink="B9">
      <xdr:nvSpPr>
        <xdr:cNvPr id="11" name="TextBox 10">
          <a:extLst>
            <a:ext uri="{FF2B5EF4-FFF2-40B4-BE49-F238E27FC236}">
              <a16:creationId xmlns:a16="http://schemas.microsoft.com/office/drawing/2014/main" id="{360D2E26-18EE-4281-987A-A659A23091B0}"/>
            </a:ext>
          </a:extLst>
        </xdr:cNvPr>
        <xdr:cNvSpPr txBox="1"/>
      </xdr:nvSpPr>
      <xdr:spPr>
        <a:xfrm rot="16200000">
          <a:off x="971550" y="1142047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100</a:t>
          </a:fld>
          <a:endParaRPr lang="en-US" sz="1100"/>
        </a:p>
      </xdr:txBody>
    </xdr:sp>
    <xdr:clientData/>
  </xdr:oneCellAnchor>
  <xdr:oneCellAnchor>
    <xdr:from>
      <xdr:col>1</xdr:col>
      <xdr:colOff>466725</xdr:colOff>
      <xdr:row>3</xdr:row>
      <xdr:rowOff>1123950</xdr:rowOff>
    </xdr:from>
    <xdr:ext cx="264560" cy="399148"/>
    <xdr:sp macro="" textlink="B9">
      <xdr:nvSpPr>
        <xdr:cNvPr id="12" name="TextBox 11">
          <a:extLst>
            <a:ext uri="{FF2B5EF4-FFF2-40B4-BE49-F238E27FC236}">
              <a16:creationId xmlns:a16="http://schemas.microsoft.com/office/drawing/2014/main" id="{2E142A27-E705-4640-88F9-F4D112777A4B}"/>
            </a:ext>
          </a:extLst>
        </xdr:cNvPr>
        <xdr:cNvSpPr txBox="1"/>
      </xdr:nvSpPr>
      <xdr:spPr>
        <a:xfrm rot="16200000">
          <a:off x="1009031" y="8792194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100</a:t>
          </a:fld>
          <a:endParaRPr lang="en-US" sz="1100"/>
        </a:p>
      </xdr:txBody>
    </xdr:sp>
    <xdr:clientData/>
  </xdr:oneCellAnchor>
  <xdr:oneCellAnchor>
    <xdr:from>
      <xdr:col>1</xdr:col>
      <xdr:colOff>609600</xdr:colOff>
      <xdr:row>2</xdr:row>
      <xdr:rowOff>1181100</xdr:rowOff>
    </xdr:from>
    <xdr:ext cx="264560" cy="399148"/>
    <xdr:sp macro="" textlink="B9">
      <xdr:nvSpPr>
        <xdr:cNvPr id="13" name="TextBox 12">
          <a:extLst>
            <a:ext uri="{FF2B5EF4-FFF2-40B4-BE49-F238E27FC236}">
              <a16:creationId xmlns:a16="http://schemas.microsoft.com/office/drawing/2014/main" id="{BCACB61E-7450-460B-A5C1-C84185AA854D}"/>
            </a:ext>
          </a:extLst>
        </xdr:cNvPr>
        <xdr:cNvSpPr txBox="1"/>
      </xdr:nvSpPr>
      <xdr:spPr>
        <a:xfrm rot="16200000">
          <a:off x="1151906" y="6315694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100</a:t>
          </a:fld>
          <a:endParaRPr lang="en-US" sz="1100"/>
        </a:p>
      </xdr:txBody>
    </xdr:sp>
    <xdr:clientData/>
  </xdr:oneCellAnchor>
  <xdr:oneCellAnchor>
    <xdr:from>
      <xdr:col>1</xdr:col>
      <xdr:colOff>657957</xdr:colOff>
      <xdr:row>1</xdr:row>
      <xdr:rowOff>1115158</xdr:rowOff>
    </xdr:from>
    <xdr:ext cx="264560" cy="399148"/>
    <xdr:sp macro="" textlink="B9">
      <xdr:nvSpPr>
        <xdr:cNvPr id="14" name="TextBox 13">
          <a:extLst>
            <a:ext uri="{FF2B5EF4-FFF2-40B4-BE49-F238E27FC236}">
              <a16:creationId xmlns:a16="http://schemas.microsoft.com/office/drawing/2014/main" id="{471BD8CD-B127-49BE-A314-B3149AC84B3D}"/>
            </a:ext>
          </a:extLst>
        </xdr:cNvPr>
        <xdr:cNvSpPr txBox="1"/>
      </xdr:nvSpPr>
      <xdr:spPr>
        <a:xfrm rot="16200000">
          <a:off x="1198798" y="3717567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100</a:t>
          </a:fld>
          <a:endParaRPr lang="en-US" sz="1100"/>
        </a:p>
      </xdr:txBody>
    </xdr:sp>
    <xdr:clientData/>
  </xdr:oneCellAnchor>
  <xdr:oneCellAnchor>
    <xdr:from>
      <xdr:col>1</xdr:col>
      <xdr:colOff>605937</xdr:colOff>
      <xdr:row>0</xdr:row>
      <xdr:rowOff>1068265</xdr:rowOff>
    </xdr:from>
    <xdr:ext cx="264560" cy="399148"/>
    <xdr:sp macro="" textlink="B9">
      <xdr:nvSpPr>
        <xdr:cNvPr id="15" name="TextBox 14">
          <a:extLst>
            <a:ext uri="{FF2B5EF4-FFF2-40B4-BE49-F238E27FC236}">
              <a16:creationId xmlns:a16="http://schemas.microsoft.com/office/drawing/2014/main" id="{200E6CA6-AA2D-4FB0-B906-6DCF23518CBC}"/>
            </a:ext>
          </a:extLst>
        </xdr:cNvPr>
        <xdr:cNvSpPr txBox="1"/>
      </xdr:nvSpPr>
      <xdr:spPr>
        <a:xfrm rot="16200000">
          <a:off x="1146778" y="113555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100</a:t>
          </a:fld>
          <a:endParaRPr lang="en-US" sz="1100"/>
        </a:p>
      </xdr:txBody>
    </xdr:sp>
    <xdr:clientData/>
  </xdr:oneCellAnchor>
  <xdr:oneCellAnchor>
    <xdr:from>
      <xdr:col>1</xdr:col>
      <xdr:colOff>1552575</xdr:colOff>
      <xdr:row>4</xdr:row>
      <xdr:rowOff>1981200</xdr:rowOff>
    </xdr:from>
    <xdr:ext cx="399148" cy="264560"/>
    <xdr:sp macro="" textlink="B10">
      <xdr:nvSpPr>
        <xdr:cNvPr id="17" name="TextBox 16">
          <a:extLst>
            <a:ext uri="{FF2B5EF4-FFF2-40B4-BE49-F238E27FC236}">
              <a16:creationId xmlns:a16="http://schemas.microsoft.com/office/drawing/2014/main" id="{2FF1A2D5-F8AB-4C8F-9BB8-D17D18B86D6E}"/>
            </a:ext>
          </a:extLst>
        </xdr:cNvPr>
        <xdr:cNvSpPr txBox="1"/>
      </xdr:nvSpPr>
      <xdr:spPr>
        <a:xfrm>
          <a:off x="2162175" y="1211580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300</a:t>
          </a:fld>
          <a:endParaRPr lang="en-US" sz="1100"/>
        </a:p>
      </xdr:txBody>
    </xdr:sp>
    <xdr:clientData/>
  </xdr:oneCellAnchor>
  <xdr:oneCellAnchor>
    <xdr:from>
      <xdr:col>1</xdr:col>
      <xdr:colOff>1600200</xdr:colOff>
      <xdr:row>3</xdr:row>
      <xdr:rowOff>2009775</xdr:rowOff>
    </xdr:from>
    <xdr:ext cx="399148" cy="264560"/>
    <xdr:sp macro="" textlink="B10">
      <xdr:nvSpPr>
        <xdr:cNvPr id="18" name="TextBox 17">
          <a:extLst>
            <a:ext uri="{FF2B5EF4-FFF2-40B4-BE49-F238E27FC236}">
              <a16:creationId xmlns:a16="http://schemas.microsoft.com/office/drawing/2014/main" id="{F59BBA6E-D5BA-41AD-B7D3-8D5F901D9045}"/>
            </a:ext>
          </a:extLst>
        </xdr:cNvPr>
        <xdr:cNvSpPr txBox="1"/>
      </xdr:nvSpPr>
      <xdr:spPr>
        <a:xfrm>
          <a:off x="2209800" y="961072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300</a:t>
          </a:fld>
          <a:endParaRPr lang="en-US" sz="1100"/>
        </a:p>
      </xdr:txBody>
    </xdr:sp>
    <xdr:clientData/>
  </xdr:oneCellAnchor>
  <xdr:oneCellAnchor>
    <xdr:from>
      <xdr:col>1</xdr:col>
      <xdr:colOff>1638300</xdr:colOff>
      <xdr:row>2</xdr:row>
      <xdr:rowOff>1981200</xdr:rowOff>
    </xdr:from>
    <xdr:ext cx="399148" cy="264560"/>
    <xdr:sp macro="" textlink="B10">
      <xdr:nvSpPr>
        <xdr:cNvPr id="19" name="TextBox 18">
          <a:extLst>
            <a:ext uri="{FF2B5EF4-FFF2-40B4-BE49-F238E27FC236}">
              <a16:creationId xmlns:a16="http://schemas.microsoft.com/office/drawing/2014/main" id="{477115BA-5035-4F1D-949F-390A2A259303}"/>
            </a:ext>
          </a:extLst>
        </xdr:cNvPr>
        <xdr:cNvSpPr txBox="1"/>
      </xdr:nvSpPr>
      <xdr:spPr>
        <a:xfrm>
          <a:off x="2247900" y="704850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300</a:t>
          </a:fld>
          <a:endParaRPr lang="en-US" sz="1100"/>
        </a:p>
      </xdr:txBody>
    </xdr:sp>
    <xdr:clientData/>
  </xdr:oneCellAnchor>
  <xdr:oneCellAnchor>
    <xdr:from>
      <xdr:col>1</xdr:col>
      <xdr:colOff>1647825</xdr:colOff>
      <xdr:row>1</xdr:row>
      <xdr:rowOff>1962150</xdr:rowOff>
    </xdr:from>
    <xdr:ext cx="399148" cy="264560"/>
    <xdr:sp macro="" textlink="B10">
      <xdr:nvSpPr>
        <xdr:cNvPr id="20" name="TextBox 19">
          <a:extLst>
            <a:ext uri="{FF2B5EF4-FFF2-40B4-BE49-F238E27FC236}">
              <a16:creationId xmlns:a16="http://schemas.microsoft.com/office/drawing/2014/main" id="{E97A9E2B-CAA0-4926-9BC5-0D14D6923E06}"/>
            </a:ext>
          </a:extLst>
        </xdr:cNvPr>
        <xdr:cNvSpPr txBox="1"/>
      </xdr:nvSpPr>
      <xdr:spPr>
        <a:xfrm>
          <a:off x="2257425" y="449580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300</a:t>
          </a:fld>
          <a:endParaRPr lang="en-US" sz="1100"/>
        </a:p>
      </xdr:txBody>
    </xdr:sp>
    <xdr:clientData/>
  </xdr:oneCellAnchor>
  <xdr:oneCellAnchor>
    <xdr:from>
      <xdr:col>1</xdr:col>
      <xdr:colOff>1666875</xdr:colOff>
      <xdr:row>0</xdr:row>
      <xdr:rowOff>1885950</xdr:rowOff>
    </xdr:from>
    <xdr:ext cx="399148" cy="264560"/>
    <xdr:sp macro="" textlink="B10">
      <xdr:nvSpPr>
        <xdr:cNvPr id="21" name="TextBox 20">
          <a:extLst>
            <a:ext uri="{FF2B5EF4-FFF2-40B4-BE49-F238E27FC236}">
              <a16:creationId xmlns:a16="http://schemas.microsoft.com/office/drawing/2014/main" id="{7CDD2A66-5843-4D1E-B00F-2086466706B2}"/>
            </a:ext>
          </a:extLst>
        </xdr:cNvPr>
        <xdr:cNvSpPr txBox="1"/>
      </xdr:nvSpPr>
      <xdr:spPr>
        <a:xfrm>
          <a:off x="2276475" y="18859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300</a:t>
          </a:fld>
          <a:endParaRPr lang="en-US" sz="1100"/>
        </a:p>
      </xdr:txBody>
    </xdr:sp>
    <xdr:clientData/>
  </xdr:oneCellAnchor>
  <xdr:oneCellAnchor>
    <xdr:from>
      <xdr:col>1</xdr:col>
      <xdr:colOff>2667000</xdr:colOff>
      <xdr:row>4</xdr:row>
      <xdr:rowOff>1190625</xdr:rowOff>
    </xdr:from>
    <xdr:ext cx="264560" cy="399148"/>
    <xdr:sp macro="" textlink="B11">
      <xdr:nvSpPr>
        <xdr:cNvPr id="23" name="TextBox 22">
          <a:extLst>
            <a:ext uri="{FF2B5EF4-FFF2-40B4-BE49-F238E27FC236}">
              <a16:creationId xmlns:a16="http://schemas.microsoft.com/office/drawing/2014/main" id="{FA819541-F52A-4952-87E0-643614D5F700}"/>
            </a:ext>
          </a:extLst>
        </xdr:cNvPr>
        <xdr:cNvSpPr txBox="1"/>
      </xdr:nvSpPr>
      <xdr:spPr>
        <a:xfrm rot="16200000">
          <a:off x="3209306" y="1139251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200</a:t>
          </a:fld>
          <a:endParaRPr lang="en-US" sz="1100"/>
        </a:p>
      </xdr:txBody>
    </xdr:sp>
    <xdr:clientData/>
  </xdr:oneCellAnchor>
  <xdr:oneCellAnchor>
    <xdr:from>
      <xdr:col>1</xdr:col>
      <xdr:colOff>2762250</xdr:colOff>
      <xdr:row>3</xdr:row>
      <xdr:rowOff>1152525</xdr:rowOff>
    </xdr:from>
    <xdr:ext cx="264560" cy="399148"/>
    <xdr:sp macro="" textlink="B11">
      <xdr:nvSpPr>
        <xdr:cNvPr id="24" name="TextBox 23">
          <a:extLst>
            <a:ext uri="{FF2B5EF4-FFF2-40B4-BE49-F238E27FC236}">
              <a16:creationId xmlns:a16="http://schemas.microsoft.com/office/drawing/2014/main" id="{96DA03D6-50F9-4D89-91A1-6467ACC8B6DB}"/>
            </a:ext>
          </a:extLst>
        </xdr:cNvPr>
        <xdr:cNvSpPr txBox="1"/>
      </xdr:nvSpPr>
      <xdr:spPr>
        <a:xfrm rot="16200000">
          <a:off x="3304556" y="882076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200</a:t>
          </a:fld>
          <a:endParaRPr lang="en-US" sz="1100"/>
        </a:p>
      </xdr:txBody>
    </xdr:sp>
    <xdr:clientData/>
  </xdr:oneCellAnchor>
  <xdr:oneCellAnchor>
    <xdr:from>
      <xdr:col>1</xdr:col>
      <xdr:colOff>2637692</xdr:colOff>
      <xdr:row>2</xdr:row>
      <xdr:rowOff>1208942</xdr:rowOff>
    </xdr:from>
    <xdr:ext cx="264560" cy="399148"/>
    <xdr:sp macro="" textlink="B11">
      <xdr:nvSpPr>
        <xdr:cNvPr id="25" name="TextBox 24">
          <a:extLst>
            <a:ext uri="{FF2B5EF4-FFF2-40B4-BE49-F238E27FC236}">
              <a16:creationId xmlns:a16="http://schemas.microsoft.com/office/drawing/2014/main" id="{7C94C265-D18B-44D8-9ED9-ABF06A255984}"/>
            </a:ext>
          </a:extLst>
        </xdr:cNvPr>
        <xdr:cNvSpPr txBox="1"/>
      </xdr:nvSpPr>
      <xdr:spPr>
        <a:xfrm rot="16200000">
          <a:off x="3178533" y="6346467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200</a:t>
          </a:fld>
          <a:endParaRPr lang="en-US" sz="1100"/>
        </a:p>
      </xdr:txBody>
    </xdr:sp>
    <xdr:clientData/>
  </xdr:oneCellAnchor>
  <xdr:oneCellAnchor>
    <xdr:from>
      <xdr:col>1</xdr:col>
      <xdr:colOff>2710962</xdr:colOff>
      <xdr:row>1</xdr:row>
      <xdr:rowOff>1143000</xdr:rowOff>
    </xdr:from>
    <xdr:ext cx="264560" cy="399148"/>
    <xdr:sp macro="" textlink="B11">
      <xdr:nvSpPr>
        <xdr:cNvPr id="26" name="TextBox 25">
          <a:extLst>
            <a:ext uri="{FF2B5EF4-FFF2-40B4-BE49-F238E27FC236}">
              <a16:creationId xmlns:a16="http://schemas.microsoft.com/office/drawing/2014/main" id="{49184721-908F-409F-B3D3-50B94FDC0934}"/>
            </a:ext>
          </a:extLst>
        </xdr:cNvPr>
        <xdr:cNvSpPr txBox="1"/>
      </xdr:nvSpPr>
      <xdr:spPr>
        <a:xfrm rot="16200000">
          <a:off x="3251803" y="374540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200</a:t>
          </a:fld>
          <a:endParaRPr lang="en-US" sz="1100"/>
        </a:p>
      </xdr:txBody>
    </xdr:sp>
    <xdr:clientData/>
  </xdr:oneCellAnchor>
  <xdr:oneCellAnchor>
    <xdr:from>
      <xdr:col>1</xdr:col>
      <xdr:colOff>2762250</xdr:colOff>
      <xdr:row>0</xdr:row>
      <xdr:rowOff>1077057</xdr:rowOff>
    </xdr:from>
    <xdr:ext cx="264560" cy="399148"/>
    <xdr:sp macro="" textlink="B11">
      <xdr:nvSpPr>
        <xdr:cNvPr id="27" name="TextBox 26">
          <a:extLst>
            <a:ext uri="{FF2B5EF4-FFF2-40B4-BE49-F238E27FC236}">
              <a16:creationId xmlns:a16="http://schemas.microsoft.com/office/drawing/2014/main" id="{CC09A832-C0D9-4F90-940E-8FBA3350EE5B}"/>
            </a:ext>
          </a:extLst>
        </xdr:cNvPr>
        <xdr:cNvSpPr txBox="1"/>
      </xdr:nvSpPr>
      <xdr:spPr>
        <a:xfrm rot="16200000">
          <a:off x="3303091" y="1144351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200</a:t>
          </a:fld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image" Target="../media/image7.pn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DN33"/>
  <sheetViews>
    <sheetView showGridLines="0" zoomScale="85" zoomScaleNormal="85" zoomScaleSheetLayoutView="100" workbookViewId="0">
      <selection activeCell="F1" sqref="F1:I1048576"/>
    </sheetView>
  </sheetViews>
  <sheetFormatPr defaultColWidth="7.28515625" defaultRowHeight="12.75"/>
  <cols>
    <col min="1" max="1" width="9.85546875" style="1" customWidth="1"/>
    <col min="2" max="4" width="7.28515625" style="1"/>
    <col min="5" max="5" width="7.28515625" style="1" customWidth="1"/>
    <col min="6" max="9" width="7.28515625" style="1" hidden="1" customWidth="1"/>
    <col min="10" max="10" width="3.28515625" style="10" customWidth="1"/>
    <col min="11" max="15" width="7.28515625" style="1"/>
    <col min="16" max="20" width="0" style="1" hidden="1" customWidth="1"/>
    <col min="21" max="21" width="3.28515625" style="10" customWidth="1"/>
    <col min="22" max="26" width="7.28515625" style="1"/>
    <col min="27" max="41" width="0" style="1" hidden="1" customWidth="1"/>
    <col min="42" max="46" width="7.28515625" style="1" hidden="1" customWidth="1"/>
    <col min="47" max="47" width="3.28515625" style="10" customWidth="1"/>
    <col min="48" max="50" width="7.28515625" style="1"/>
    <col min="51" max="51" width="3.28515625" style="10" customWidth="1"/>
    <col min="52" max="54" width="7.28515625" style="1"/>
    <col min="55" max="59" width="0" style="1" hidden="1" customWidth="1"/>
    <col min="60" max="60" width="3.28515625" style="10" customWidth="1"/>
    <col min="61" max="62" width="7.28515625" style="1"/>
    <col min="63" max="63" width="9.42578125" style="1" bestFit="1" customWidth="1"/>
    <col min="64" max="67" width="7.42578125" style="1" bestFit="1" customWidth="1"/>
    <col min="68" max="68" width="8.140625" style="1" bestFit="1" customWidth="1"/>
    <col min="69" max="69" width="7.28515625" style="1"/>
    <col min="70" max="79" width="0" style="1" hidden="1" customWidth="1"/>
    <col min="80" max="80" width="3.28515625" style="10" customWidth="1"/>
    <col min="81" max="81" width="9.5703125" style="115" bestFit="1" customWidth="1"/>
    <col min="82" max="83" width="9.5703125" style="140" customWidth="1"/>
    <col min="84" max="85" width="5" style="115" bestFit="1" customWidth="1"/>
    <col min="86" max="86" width="5" style="115" customWidth="1"/>
    <col min="87" max="87" width="5" style="115" bestFit="1" customWidth="1"/>
    <col min="88" max="88" width="7" style="139" bestFit="1" customWidth="1"/>
    <col min="89" max="103" width="0" style="1" hidden="1" customWidth="1"/>
    <col min="104" max="104" width="3.28515625" style="10" customWidth="1"/>
    <col min="105" max="16384" width="7.28515625" style="1"/>
  </cols>
  <sheetData>
    <row r="1" spans="1:118" ht="14.25" customHeight="1">
      <c r="A1" s="229" t="s">
        <v>2</v>
      </c>
      <c r="B1" s="7" t="s">
        <v>18</v>
      </c>
      <c r="C1" s="7" t="s">
        <v>22</v>
      </c>
      <c r="D1" s="7" t="s">
        <v>23</v>
      </c>
      <c r="E1" s="231" t="s">
        <v>325</v>
      </c>
      <c r="F1" s="101"/>
      <c r="G1" s="101"/>
      <c r="H1" s="101"/>
      <c r="I1" s="101"/>
      <c r="K1" s="315" t="s">
        <v>36</v>
      </c>
      <c r="L1" s="316"/>
      <c r="M1" s="316"/>
      <c r="N1" s="316"/>
      <c r="O1" s="316"/>
      <c r="P1" s="102"/>
      <c r="Q1" s="102"/>
      <c r="R1" s="102"/>
      <c r="S1" s="102"/>
      <c r="T1" s="102"/>
      <c r="V1" s="319" t="s">
        <v>41</v>
      </c>
      <c r="W1" s="319"/>
      <c r="X1" s="319"/>
      <c r="Y1" s="319"/>
      <c r="Z1" s="319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V1" s="321" t="s">
        <v>201</v>
      </c>
      <c r="AW1" s="322"/>
      <c r="AX1" s="323"/>
      <c r="AZ1" s="321" t="s">
        <v>32</v>
      </c>
      <c r="BA1" s="322"/>
      <c r="BB1" s="323"/>
      <c r="BI1" s="304" t="s">
        <v>202</v>
      </c>
      <c r="BJ1" s="304"/>
      <c r="BK1" s="312" t="s">
        <v>203</v>
      </c>
      <c r="BL1" s="304" t="s">
        <v>204</v>
      </c>
      <c r="BM1" s="304"/>
      <c r="BN1" s="304"/>
      <c r="BO1" s="304"/>
      <c r="BP1" s="312" t="s">
        <v>205</v>
      </c>
      <c r="BQ1" s="312"/>
      <c r="CC1" s="313" t="s">
        <v>204</v>
      </c>
      <c r="CD1" s="314"/>
      <c r="CE1" s="314"/>
      <c r="CF1" s="314"/>
      <c r="CG1" s="314"/>
      <c r="CH1" s="314"/>
      <c r="CI1" s="314"/>
      <c r="CJ1" s="314"/>
      <c r="DA1" s="313" t="s">
        <v>206</v>
      </c>
      <c r="DB1" s="314"/>
      <c r="DC1" s="314"/>
      <c r="DD1" s="314"/>
      <c r="DE1" s="314"/>
      <c r="DF1" s="303" t="s">
        <v>73</v>
      </c>
      <c r="DG1" s="303"/>
      <c r="DH1" s="1" t="s">
        <v>80</v>
      </c>
      <c r="DI1" s="1" t="s">
        <v>81</v>
      </c>
      <c r="DJ1" s="1" t="s">
        <v>90</v>
      </c>
      <c r="DK1" s="1" t="s">
        <v>91</v>
      </c>
      <c r="DL1" s="13" t="s">
        <v>89</v>
      </c>
      <c r="DM1" s="13" t="s">
        <v>93</v>
      </c>
      <c r="DN1" s="13" t="s">
        <v>94</v>
      </c>
    </row>
    <row r="2" spans="1:118" ht="14.25">
      <c r="A2" s="230"/>
      <c r="B2" s="7" t="s">
        <v>19</v>
      </c>
      <c r="C2" s="7" t="s">
        <v>19</v>
      </c>
      <c r="D2" s="7" t="s">
        <v>19</v>
      </c>
      <c r="E2" s="232"/>
      <c r="F2" s="101"/>
      <c r="G2" s="101"/>
      <c r="H2" s="101"/>
      <c r="I2" s="101"/>
      <c r="K2" s="317"/>
      <c r="L2" s="318"/>
      <c r="M2" s="318"/>
      <c r="N2" s="318"/>
      <c r="O2" s="318"/>
      <c r="P2" s="102"/>
      <c r="Q2" s="102"/>
      <c r="R2" s="102"/>
      <c r="S2" s="102"/>
      <c r="T2" s="102"/>
      <c r="V2" s="320"/>
      <c r="W2" s="320"/>
      <c r="X2" s="320"/>
      <c r="Y2" s="320"/>
      <c r="Z2" s="320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V2" s="7" t="s">
        <v>207</v>
      </c>
      <c r="AW2" s="7" t="s">
        <v>208</v>
      </c>
      <c r="AX2" s="7" t="s">
        <v>170</v>
      </c>
      <c r="AZ2" s="7" t="s">
        <v>29</v>
      </c>
      <c r="BA2" s="7" t="s">
        <v>33</v>
      </c>
      <c r="BB2" s="7" t="s">
        <v>34</v>
      </c>
      <c r="BI2" s="304"/>
      <c r="BJ2" s="304"/>
      <c r="BK2" s="312"/>
      <c r="BL2" s="304" t="s">
        <v>209</v>
      </c>
      <c r="BM2" s="304"/>
      <c r="BN2" s="304" t="s">
        <v>210</v>
      </c>
      <c r="BO2" s="304"/>
      <c r="BP2" s="312"/>
      <c r="BQ2" s="312"/>
      <c r="CC2" s="305" t="s">
        <v>211</v>
      </c>
      <c r="CD2" s="106" t="s">
        <v>212</v>
      </c>
      <c r="CE2" s="106" t="s">
        <v>207</v>
      </c>
      <c r="CF2" s="107" t="s">
        <v>213</v>
      </c>
      <c r="CG2" s="107" t="s">
        <v>214</v>
      </c>
      <c r="CH2" s="107" t="s">
        <v>215</v>
      </c>
      <c r="CI2" s="107" t="s">
        <v>216</v>
      </c>
      <c r="CJ2" s="108" t="s">
        <v>217</v>
      </c>
      <c r="DA2" s="306" t="s">
        <v>218</v>
      </c>
      <c r="DB2" s="307"/>
      <c r="DC2" s="307"/>
      <c r="DD2" s="306" t="s">
        <v>219</v>
      </c>
      <c r="DE2" s="307"/>
      <c r="DF2" s="18" t="s">
        <v>69</v>
      </c>
      <c r="DG2" s="18">
        <v>1.35</v>
      </c>
      <c r="DH2" s="1" t="s">
        <v>75</v>
      </c>
      <c r="DI2" s="1" t="s">
        <v>82</v>
      </c>
      <c r="DJ2" s="1">
        <v>6</v>
      </c>
      <c r="DK2" s="1">
        <v>4</v>
      </c>
      <c r="DL2" s="1">
        <v>0.4</v>
      </c>
      <c r="DM2" s="1">
        <v>1.3</v>
      </c>
      <c r="DN2" s="1">
        <v>1.9</v>
      </c>
    </row>
    <row r="3" spans="1:118" ht="15.75">
      <c r="A3" s="9" t="s">
        <v>24</v>
      </c>
      <c r="B3" s="4">
        <f>2.06*10^5</f>
        <v>206000</v>
      </c>
      <c r="C3" s="4">
        <v>235</v>
      </c>
      <c r="D3" s="233">
        <v>370</v>
      </c>
      <c r="E3" s="234">
        <v>1.1000000000000001</v>
      </c>
      <c r="F3" s="81"/>
      <c r="G3" s="81"/>
      <c r="H3" s="81"/>
      <c r="I3" s="81"/>
      <c r="K3" s="8" t="s">
        <v>35</v>
      </c>
      <c r="L3" s="8" t="s">
        <v>37</v>
      </c>
      <c r="M3" s="8" t="s">
        <v>38</v>
      </c>
      <c r="N3" s="8" t="s">
        <v>39</v>
      </c>
      <c r="O3" s="8" t="s">
        <v>40</v>
      </c>
      <c r="P3" s="74"/>
      <c r="Q3" s="74"/>
      <c r="R3" s="74"/>
      <c r="S3" s="74"/>
      <c r="T3" s="74"/>
      <c r="V3" s="14" t="s">
        <v>42</v>
      </c>
      <c r="W3" s="14" t="s">
        <v>43</v>
      </c>
      <c r="X3" s="14" t="s">
        <v>44</v>
      </c>
      <c r="Y3" s="14" t="s">
        <v>220</v>
      </c>
      <c r="Z3" s="19" t="s">
        <v>95</v>
      </c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V3" s="5">
        <v>360</v>
      </c>
      <c r="AW3" s="5">
        <v>560</v>
      </c>
      <c r="AX3" s="5">
        <v>475</v>
      </c>
      <c r="AZ3" s="5" t="s">
        <v>30</v>
      </c>
      <c r="BA3" s="5">
        <v>430</v>
      </c>
      <c r="BB3" s="5">
        <v>180</v>
      </c>
      <c r="BI3" s="304"/>
      <c r="BJ3" s="304"/>
      <c r="BK3" s="312"/>
      <c r="BL3" s="104" t="s">
        <v>221</v>
      </c>
      <c r="BM3" s="104" t="s">
        <v>222</v>
      </c>
      <c r="BN3" s="104" t="s">
        <v>223</v>
      </c>
      <c r="BO3" s="104" t="s">
        <v>224</v>
      </c>
      <c r="BP3" s="310" t="s">
        <v>135</v>
      </c>
      <c r="BQ3" s="110" t="s">
        <v>225</v>
      </c>
      <c r="CC3" s="305"/>
      <c r="CD3" s="105" t="s">
        <v>21</v>
      </c>
      <c r="CE3" s="105" t="s">
        <v>21</v>
      </c>
      <c r="CF3" s="105" t="s">
        <v>21</v>
      </c>
      <c r="CG3" s="105" t="s">
        <v>21</v>
      </c>
      <c r="CH3" s="105" t="s">
        <v>21</v>
      </c>
      <c r="CI3" s="105" t="s">
        <v>21</v>
      </c>
      <c r="CJ3" s="111" t="s">
        <v>21</v>
      </c>
      <c r="DA3" s="308"/>
      <c r="DB3" s="309"/>
      <c r="DC3" s="309"/>
      <c r="DD3" s="308"/>
      <c r="DE3" s="309"/>
      <c r="DF3" s="18" t="s">
        <v>70</v>
      </c>
      <c r="DG3" s="18">
        <v>1.05</v>
      </c>
      <c r="DH3" s="1" t="s">
        <v>76</v>
      </c>
      <c r="DI3" s="1" t="s">
        <v>83</v>
      </c>
      <c r="DJ3" s="1">
        <v>8</v>
      </c>
      <c r="DK3" s="1">
        <v>6</v>
      </c>
      <c r="DL3" s="1">
        <v>0.4</v>
      </c>
      <c r="DM3" s="1">
        <v>1.3</v>
      </c>
      <c r="DN3" s="1">
        <v>1.9</v>
      </c>
    </row>
    <row r="4" spans="1:118">
      <c r="A4" s="9" t="s">
        <v>25</v>
      </c>
      <c r="B4" s="4">
        <f t="shared" ref="B4:B33" si="0">2.06*10^5</f>
        <v>206000</v>
      </c>
      <c r="C4" s="4">
        <v>345</v>
      </c>
      <c r="D4" s="233">
        <v>510</v>
      </c>
      <c r="E4" s="234">
        <v>1.1000000000000001</v>
      </c>
      <c r="F4" s="81"/>
      <c r="G4" s="81"/>
      <c r="H4" s="81"/>
      <c r="I4" s="81"/>
      <c r="K4" s="8">
        <v>5.6</v>
      </c>
      <c r="L4" s="8">
        <v>500</v>
      </c>
      <c r="M4" s="8">
        <v>300</v>
      </c>
      <c r="N4" s="8">
        <v>210</v>
      </c>
      <c r="O4" s="8">
        <v>225</v>
      </c>
      <c r="P4" s="74"/>
      <c r="Q4" s="74"/>
      <c r="R4" s="74"/>
      <c r="S4" s="74"/>
      <c r="T4" s="74"/>
      <c r="V4" s="15">
        <v>10</v>
      </c>
      <c r="W4" s="5">
        <v>1.5</v>
      </c>
      <c r="X4" s="6">
        <v>78.5</v>
      </c>
      <c r="Y4" s="5">
        <v>57.1</v>
      </c>
      <c r="Z4" s="5">
        <v>1</v>
      </c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V4" s="5">
        <v>370</v>
      </c>
      <c r="AW4" s="5">
        <v>580</v>
      </c>
      <c r="AX4" s="5">
        <v>485</v>
      </c>
      <c r="AZ4" s="5" t="s">
        <v>31</v>
      </c>
      <c r="BA4" s="5">
        <v>510</v>
      </c>
      <c r="BB4" s="5">
        <v>225</v>
      </c>
      <c r="BI4" s="304"/>
      <c r="BJ4" s="304"/>
      <c r="BK4" s="104" t="s">
        <v>21</v>
      </c>
      <c r="BL4" s="104" t="s">
        <v>21</v>
      </c>
      <c r="BM4" s="104" t="s">
        <v>21</v>
      </c>
      <c r="BN4" s="104" t="s">
        <v>21</v>
      </c>
      <c r="BO4" s="104" t="s">
        <v>21</v>
      </c>
      <c r="BP4" s="311"/>
      <c r="BQ4" s="104" t="s">
        <v>21</v>
      </c>
      <c r="CC4" s="112" t="s">
        <v>226</v>
      </c>
      <c r="CD4" s="113">
        <v>235</v>
      </c>
      <c r="CE4" s="113">
        <v>373</v>
      </c>
      <c r="CF4" s="112">
        <f>CD4</f>
        <v>235</v>
      </c>
      <c r="CG4" s="112">
        <f>CF4/1.15</f>
        <v>204.34782608695653</v>
      </c>
      <c r="CH4" s="112">
        <f>CF4</f>
        <v>235</v>
      </c>
      <c r="CI4" s="112">
        <f>0.7*CD4</f>
        <v>164.5</v>
      </c>
      <c r="CJ4" s="114">
        <v>200000</v>
      </c>
      <c r="DA4" s="115" t="s">
        <v>227</v>
      </c>
      <c r="DB4" s="115" t="s">
        <v>228</v>
      </c>
      <c r="DC4" s="115" t="s">
        <v>229</v>
      </c>
      <c r="DD4" s="115" t="s">
        <v>227</v>
      </c>
      <c r="DE4" s="115" t="s">
        <v>230</v>
      </c>
      <c r="DF4" s="18" t="s">
        <v>71</v>
      </c>
      <c r="DG4" s="18">
        <v>1.18</v>
      </c>
      <c r="DH4" s="1" t="s">
        <v>77</v>
      </c>
      <c r="DI4" s="1" t="s">
        <v>84</v>
      </c>
      <c r="DJ4" s="1">
        <v>10</v>
      </c>
      <c r="DK4" s="1">
        <v>6</v>
      </c>
      <c r="DL4" s="1">
        <v>0.25</v>
      </c>
      <c r="DM4" s="1">
        <v>1.5</v>
      </c>
      <c r="DN4" s="1">
        <v>1.5</v>
      </c>
    </row>
    <row r="5" spans="1:118" ht="15.75">
      <c r="A5" s="9" t="s">
        <v>326</v>
      </c>
      <c r="B5" s="4">
        <f t="shared" si="0"/>
        <v>206000</v>
      </c>
      <c r="C5" s="4">
        <v>355</v>
      </c>
      <c r="D5" s="233">
        <v>510</v>
      </c>
      <c r="E5" s="234">
        <v>1.1000000000000001</v>
      </c>
      <c r="F5" s="81"/>
      <c r="G5" s="81"/>
      <c r="H5" s="81"/>
      <c r="I5" s="81"/>
      <c r="K5" s="8">
        <v>5.8</v>
      </c>
      <c r="L5" s="8">
        <v>500</v>
      </c>
      <c r="M5" s="8">
        <v>400</v>
      </c>
      <c r="N5" s="8">
        <v>210</v>
      </c>
      <c r="O5" s="8">
        <v>210</v>
      </c>
      <c r="P5" s="74"/>
      <c r="Q5" s="74"/>
      <c r="R5" s="74"/>
      <c r="S5" s="74"/>
      <c r="T5" s="74"/>
      <c r="V5" s="15">
        <v>12</v>
      </c>
      <c r="W5" s="5">
        <v>1.5</v>
      </c>
      <c r="X5" s="6">
        <v>113</v>
      </c>
      <c r="Y5" s="5">
        <v>84.2</v>
      </c>
      <c r="Z5" s="5">
        <v>1</v>
      </c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V5" s="5">
        <v>380</v>
      </c>
      <c r="AW5" s="5">
        <v>590</v>
      </c>
      <c r="AX5" s="5">
        <v>500</v>
      </c>
      <c r="AZ5" s="5" t="s">
        <v>130</v>
      </c>
      <c r="BA5" s="5">
        <v>410</v>
      </c>
      <c r="BB5" s="5">
        <v>180</v>
      </c>
      <c r="BI5" s="116" t="s">
        <v>231</v>
      </c>
      <c r="BJ5" s="117" t="s">
        <v>232</v>
      </c>
      <c r="BK5" s="118">
        <v>19000</v>
      </c>
      <c r="BL5" s="119">
        <v>7.5</v>
      </c>
      <c r="BM5" s="119">
        <v>6</v>
      </c>
      <c r="BN5" s="120">
        <v>0.85</v>
      </c>
      <c r="BO5" s="121">
        <v>0.56000000000000005</v>
      </c>
      <c r="BP5" s="18"/>
      <c r="BQ5" s="18"/>
      <c r="CC5" s="112" t="s">
        <v>233</v>
      </c>
      <c r="CD5" s="113">
        <v>295</v>
      </c>
      <c r="CE5" s="113">
        <v>490</v>
      </c>
      <c r="CF5" s="112">
        <f t="shared" ref="CF5:CF19" si="1">CD5</f>
        <v>295</v>
      </c>
      <c r="CG5" s="112">
        <f t="shared" ref="CG5:CG19" si="2">CF5/1.15</f>
        <v>256.52173913043481</v>
      </c>
      <c r="CH5" s="112">
        <f t="shared" ref="CH5:CH19" si="3">CF5</f>
        <v>295</v>
      </c>
      <c r="CI5" s="112">
        <f t="shared" ref="CI5:CI19" si="4">0.7*CD5</f>
        <v>206.5</v>
      </c>
      <c r="CJ5" s="114">
        <v>200000</v>
      </c>
      <c r="DA5" s="115">
        <v>0</v>
      </c>
      <c r="DB5" s="115">
        <v>4.8000000000000001E-2</v>
      </c>
      <c r="DC5" s="115">
        <v>4.8000000000000001E-2</v>
      </c>
      <c r="DD5" s="122">
        <v>0</v>
      </c>
      <c r="DE5" s="115">
        <v>4.8000000000000001E-2</v>
      </c>
      <c r="DF5" s="18" t="s">
        <v>72</v>
      </c>
      <c r="DG5" s="18">
        <v>1.1499999999999999</v>
      </c>
      <c r="DH5" s="1" t="s">
        <v>78</v>
      </c>
      <c r="DI5" s="1" t="s">
        <v>85</v>
      </c>
      <c r="DJ5" s="1">
        <v>5</v>
      </c>
      <c r="DK5" s="1">
        <v>5</v>
      </c>
      <c r="DL5" s="1">
        <v>0.6</v>
      </c>
      <c r="DM5" s="1">
        <v>2</v>
      </c>
      <c r="DN5" s="1">
        <v>2.5</v>
      </c>
    </row>
    <row r="6" spans="1:118" ht="15">
      <c r="A6" s="9" t="s">
        <v>27</v>
      </c>
      <c r="B6" s="4">
        <f t="shared" si="0"/>
        <v>206000</v>
      </c>
      <c r="C6" s="4">
        <v>250</v>
      </c>
      <c r="D6" s="233">
        <v>400</v>
      </c>
      <c r="E6" s="234">
        <v>1.1000000000000001</v>
      </c>
      <c r="F6" s="81"/>
      <c r="G6" s="81"/>
      <c r="H6" s="81"/>
      <c r="I6" s="81"/>
      <c r="K6" s="8">
        <v>8.8000000000000007</v>
      </c>
      <c r="L6" s="8">
        <v>830</v>
      </c>
      <c r="M6" s="8">
        <v>660</v>
      </c>
      <c r="N6" s="8">
        <v>332</v>
      </c>
      <c r="O6" s="8">
        <v>448</v>
      </c>
      <c r="P6" s="74"/>
      <c r="Q6" s="74"/>
      <c r="R6" s="74"/>
      <c r="S6" s="74"/>
      <c r="T6" s="74"/>
      <c r="V6" s="15">
        <v>16</v>
      </c>
      <c r="W6" s="5">
        <v>2</v>
      </c>
      <c r="X6" s="6">
        <f t="shared" ref="X6:X15" si="5">PI()*V6^2/4</f>
        <v>201.06192982974676</v>
      </c>
      <c r="Y6" s="5">
        <v>157</v>
      </c>
      <c r="Z6" s="5">
        <v>1</v>
      </c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V6" s="5">
        <v>390</v>
      </c>
      <c r="AW6" s="5">
        <v>610</v>
      </c>
      <c r="AX6" s="5">
        <v>515</v>
      </c>
      <c r="AZ6" s="5" t="s">
        <v>131</v>
      </c>
      <c r="BA6" s="5">
        <v>450</v>
      </c>
      <c r="BB6" s="5">
        <v>200</v>
      </c>
      <c r="BI6" s="123" t="s">
        <v>234</v>
      </c>
      <c r="BJ6" s="16" t="s">
        <v>235</v>
      </c>
      <c r="BK6" s="124">
        <v>24000</v>
      </c>
      <c r="BL6" s="125">
        <v>11</v>
      </c>
      <c r="BM6" s="125">
        <v>8.5</v>
      </c>
      <c r="BN6" s="126">
        <v>1.1000000000000001</v>
      </c>
      <c r="BO6" s="127">
        <v>0.75</v>
      </c>
      <c r="BP6" s="18" t="s">
        <v>236</v>
      </c>
      <c r="BQ6" s="18">
        <f>VALUE(MID(BP6,2,2))</f>
        <v>12</v>
      </c>
      <c r="CC6" s="112" t="s">
        <v>237</v>
      </c>
      <c r="CD6" s="113">
        <v>390</v>
      </c>
      <c r="CE6" s="113">
        <v>590</v>
      </c>
      <c r="CF6" s="112">
        <f t="shared" si="1"/>
        <v>390</v>
      </c>
      <c r="CG6" s="112">
        <f t="shared" si="2"/>
        <v>339.13043478260875</v>
      </c>
      <c r="CH6" s="112">
        <f t="shared" si="3"/>
        <v>390</v>
      </c>
      <c r="CI6" s="112">
        <f t="shared" si="4"/>
        <v>273</v>
      </c>
      <c r="CJ6" s="114">
        <v>200000</v>
      </c>
      <c r="DA6" s="115">
        <v>1</v>
      </c>
      <c r="DB6" s="115">
        <v>4.8000000000000001E-2</v>
      </c>
      <c r="DC6" s="115">
        <v>4.8000000000000001E-2</v>
      </c>
      <c r="DD6" s="128">
        <v>0.5</v>
      </c>
      <c r="DE6" s="115">
        <v>4.8000000000000001E-2</v>
      </c>
      <c r="DH6" s="1" t="s">
        <v>92</v>
      </c>
      <c r="DI6" s="1" t="s">
        <v>85</v>
      </c>
      <c r="DJ6" s="1">
        <v>8</v>
      </c>
      <c r="DK6" s="1">
        <v>8</v>
      </c>
      <c r="DL6" s="1">
        <v>0.55000000000000004</v>
      </c>
      <c r="DM6" s="1">
        <v>1.8</v>
      </c>
      <c r="DN6" s="1">
        <v>2.2999999999999998</v>
      </c>
    </row>
    <row r="7" spans="1:118" ht="15">
      <c r="A7" s="9" t="s">
        <v>26</v>
      </c>
      <c r="B7" s="4">
        <f t="shared" si="0"/>
        <v>206000</v>
      </c>
      <c r="C7" s="4">
        <v>345</v>
      </c>
      <c r="D7" s="233">
        <v>450</v>
      </c>
      <c r="E7" s="234">
        <v>1.1000000000000001</v>
      </c>
      <c r="F7" s="81"/>
      <c r="G7" s="81"/>
      <c r="H7" s="81"/>
      <c r="I7" s="81"/>
      <c r="K7" s="8">
        <v>10.9</v>
      </c>
      <c r="L7" s="8">
        <v>1040</v>
      </c>
      <c r="M7" s="8">
        <v>940</v>
      </c>
      <c r="N7" s="8">
        <v>416</v>
      </c>
      <c r="O7" s="8">
        <v>728</v>
      </c>
      <c r="P7" s="74"/>
      <c r="Q7" s="74"/>
      <c r="R7" s="74"/>
      <c r="S7" s="74"/>
      <c r="T7" s="74"/>
      <c r="V7" s="15">
        <v>18</v>
      </c>
      <c r="W7" s="5">
        <v>2.5</v>
      </c>
      <c r="X7" s="6">
        <f t="shared" si="5"/>
        <v>254.46900494077323</v>
      </c>
      <c r="Y7" s="5">
        <v>192</v>
      </c>
      <c r="Z7" s="5">
        <v>1.05</v>
      </c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V7" s="5">
        <v>430</v>
      </c>
      <c r="AW7" s="5">
        <v>670</v>
      </c>
      <c r="AX7" s="5">
        <v>565</v>
      </c>
      <c r="AZ7" s="5" t="s">
        <v>132</v>
      </c>
      <c r="BA7" s="5">
        <v>490</v>
      </c>
      <c r="BB7" s="5">
        <v>215</v>
      </c>
      <c r="BI7" s="123" t="s">
        <v>238</v>
      </c>
      <c r="BJ7" s="16" t="s">
        <v>61</v>
      </c>
      <c r="BK7" s="124">
        <v>27500</v>
      </c>
      <c r="BL7" s="125">
        <v>15</v>
      </c>
      <c r="BM7" s="125">
        <v>11.5</v>
      </c>
      <c r="BN7" s="126">
        <v>1.35</v>
      </c>
      <c r="BO7" s="127">
        <v>0.9</v>
      </c>
      <c r="BP7" s="18" t="s">
        <v>239</v>
      </c>
      <c r="BQ7" s="18">
        <f t="shared" ref="BQ7" si="6">VALUE(MID(BP7,2,2))</f>
        <v>16</v>
      </c>
      <c r="CC7" s="112" t="s">
        <v>240</v>
      </c>
      <c r="CD7" s="113">
        <v>235</v>
      </c>
      <c r="CE7" s="113">
        <v>373</v>
      </c>
      <c r="CF7" s="112">
        <f t="shared" si="1"/>
        <v>235</v>
      </c>
      <c r="CG7" s="112">
        <f t="shared" si="2"/>
        <v>204.34782608695653</v>
      </c>
      <c r="CH7" s="112">
        <f t="shared" si="3"/>
        <v>235</v>
      </c>
      <c r="CI7" s="112">
        <f t="shared" si="4"/>
        <v>164.5</v>
      </c>
      <c r="CJ7" s="129">
        <v>200000</v>
      </c>
      <c r="DA7" s="115">
        <f>DA6+0.1</f>
        <v>1.1000000000000001</v>
      </c>
      <c r="DB7" s="115">
        <v>5.5E-2</v>
      </c>
      <c r="DC7" s="115">
        <v>4.9000000000000002E-2</v>
      </c>
      <c r="DD7" s="128">
        <f>DD6+0.1</f>
        <v>0.6</v>
      </c>
      <c r="DE7" s="115">
        <v>5.5E-2</v>
      </c>
      <c r="DH7" s="1" t="s">
        <v>79</v>
      </c>
      <c r="DI7" s="1">
        <v>8</v>
      </c>
      <c r="DJ7" s="1">
        <v>8</v>
      </c>
      <c r="DK7" s="1">
        <v>8</v>
      </c>
      <c r="DL7" s="1">
        <v>0.55000000000000004</v>
      </c>
      <c r="DM7" s="1">
        <v>1.8</v>
      </c>
      <c r="DN7" s="1">
        <v>2.2999999999999998</v>
      </c>
    </row>
    <row r="8" spans="1:118" ht="15">
      <c r="A8" s="9" t="s">
        <v>4</v>
      </c>
      <c r="B8" s="4">
        <f t="shared" si="0"/>
        <v>206000</v>
      </c>
      <c r="C8" s="4">
        <v>235</v>
      </c>
      <c r="D8" s="233">
        <v>360</v>
      </c>
      <c r="E8" s="234">
        <v>1.05</v>
      </c>
      <c r="F8" s="81"/>
      <c r="G8" s="81"/>
      <c r="H8" s="81"/>
      <c r="I8" s="81"/>
      <c r="K8" s="8">
        <v>12.9</v>
      </c>
      <c r="L8" s="8">
        <v>1220</v>
      </c>
      <c r="M8" s="8">
        <v>1100</v>
      </c>
      <c r="N8" s="8">
        <v>427</v>
      </c>
      <c r="O8" s="8">
        <v>854</v>
      </c>
      <c r="P8" s="74"/>
      <c r="Q8" s="74"/>
      <c r="R8" s="74"/>
      <c r="S8" s="74"/>
      <c r="T8" s="74"/>
      <c r="V8" s="15">
        <v>20</v>
      </c>
      <c r="W8" s="5">
        <v>2.5</v>
      </c>
      <c r="X8" s="6">
        <f t="shared" si="5"/>
        <v>314.15926535897933</v>
      </c>
      <c r="Y8" s="5">
        <v>245</v>
      </c>
      <c r="Z8" s="5">
        <v>1.1000000000000001</v>
      </c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V8" s="5">
        <v>440</v>
      </c>
      <c r="AW8" s="5">
        <v>685</v>
      </c>
      <c r="AX8" s="5">
        <v>580</v>
      </c>
      <c r="BI8" s="123" t="s">
        <v>241</v>
      </c>
      <c r="BJ8" s="16" t="s">
        <v>174</v>
      </c>
      <c r="BK8" s="124">
        <f>(BK7+BK9)/2</f>
        <v>28750</v>
      </c>
      <c r="BL8" s="125">
        <f t="shared" ref="BL8:BO8" si="7">(BL7+BL9)/2</f>
        <v>16.75</v>
      </c>
      <c r="BM8" s="125">
        <f>(BM7+BM9)/2</f>
        <v>13</v>
      </c>
      <c r="BN8" s="125">
        <f t="shared" si="7"/>
        <v>1.4500000000000002</v>
      </c>
      <c r="BO8" s="125">
        <f t="shared" si="7"/>
        <v>0.97500000000000009</v>
      </c>
      <c r="BP8" s="18" t="s">
        <v>242</v>
      </c>
      <c r="BQ8" s="18">
        <v>18</v>
      </c>
      <c r="CC8" s="112" t="s">
        <v>243</v>
      </c>
      <c r="CD8" s="113">
        <v>295</v>
      </c>
      <c r="CE8" s="113">
        <v>490</v>
      </c>
      <c r="CF8" s="112">
        <f t="shared" si="1"/>
        <v>295</v>
      </c>
      <c r="CG8" s="112">
        <f t="shared" si="2"/>
        <v>256.52173913043481</v>
      </c>
      <c r="CH8" s="112">
        <f t="shared" si="3"/>
        <v>295</v>
      </c>
      <c r="CI8" s="112">
        <f t="shared" si="4"/>
        <v>206.5</v>
      </c>
      <c r="CJ8" s="129">
        <v>200000</v>
      </c>
      <c r="DA8" s="115">
        <f t="shared" ref="DA8:DA16" si="8">DA7+0.1</f>
        <v>1.2000000000000002</v>
      </c>
      <c r="DB8" s="115">
        <v>6.3E-2</v>
      </c>
      <c r="DC8" s="115">
        <v>0.05</v>
      </c>
      <c r="DD8" s="128">
        <f>DD7+0.1</f>
        <v>0.7</v>
      </c>
      <c r="DE8" s="115">
        <v>6.3E-2</v>
      </c>
    </row>
    <row r="9" spans="1:118" ht="15">
      <c r="A9" s="9" t="s">
        <v>3</v>
      </c>
      <c r="B9" s="4">
        <f t="shared" si="0"/>
        <v>206000</v>
      </c>
      <c r="C9" s="4">
        <v>225</v>
      </c>
      <c r="D9" s="233">
        <v>360</v>
      </c>
      <c r="E9" s="234">
        <v>1.05</v>
      </c>
      <c r="F9" s="81"/>
      <c r="G9" s="81"/>
      <c r="H9" s="81"/>
      <c r="I9" s="81"/>
      <c r="V9" s="15">
        <v>22</v>
      </c>
      <c r="W9" s="5">
        <v>2.5</v>
      </c>
      <c r="X9" s="6">
        <f t="shared" si="5"/>
        <v>380.13271108436498</v>
      </c>
      <c r="Y9" s="5">
        <v>303</v>
      </c>
      <c r="Z9" s="5">
        <v>1.1000000000000001</v>
      </c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V9" s="5">
        <v>450</v>
      </c>
      <c r="AW9" s="5">
        <v>700</v>
      </c>
      <c r="AX9" s="5">
        <v>595</v>
      </c>
      <c r="BI9" s="123" t="s">
        <v>244</v>
      </c>
      <c r="BJ9" s="16" t="s">
        <v>62</v>
      </c>
      <c r="BK9" s="124">
        <v>30000</v>
      </c>
      <c r="BL9" s="125">
        <v>18.5</v>
      </c>
      <c r="BM9" s="125">
        <v>14.5</v>
      </c>
      <c r="BN9" s="126">
        <v>1.55</v>
      </c>
      <c r="BO9" s="127">
        <v>1.05</v>
      </c>
      <c r="BP9" s="18" t="s">
        <v>245</v>
      </c>
      <c r="BQ9" s="18">
        <f t="shared" ref="BQ9:BQ16" si="9">VALUE(MID(BP9,2,2))</f>
        <v>20</v>
      </c>
      <c r="CC9" s="112" t="s">
        <v>246</v>
      </c>
      <c r="CD9" s="113">
        <v>390</v>
      </c>
      <c r="CE9" s="113">
        <v>590</v>
      </c>
      <c r="CF9" s="112">
        <f t="shared" si="1"/>
        <v>390</v>
      </c>
      <c r="CG9" s="112">
        <f t="shared" si="2"/>
        <v>339.13043478260875</v>
      </c>
      <c r="CH9" s="112">
        <f t="shared" si="3"/>
        <v>390</v>
      </c>
      <c r="CI9" s="112">
        <f t="shared" si="4"/>
        <v>273</v>
      </c>
      <c r="CJ9" s="129">
        <v>200000</v>
      </c>
      <c r="DA9" s="115">
        <f t="shared" si="8"/>
        <v>1.3000000000000003</v>
      </c>
      <c r="DB9" s="115">
        <v>6.9000000000000006E-2</v>
      </c>
      <c r="DC9" s="115">
        <v>0.05</v>
      </c>
      <c r="DD9" s="128">
        <f>DD8+0.1</f>
        <v>0.79999999999999993</v>
      </c>
      <c r="DE9" s="115">
        <v>6.9000000000000006E-2</v>
      </c>
    </row>
    <row r="10" spans="1:118" ht="15">
      <c r="A10" s="9" t="s">
        <v>5</v>
      </c>
      <c r="B10" s="4">
        <f t="shared" si="0"/>
        <v>206000</v>
      </c>
      <c r="C10" s="4">
        <v>215</v>
      </c>
      <c r="D10" s="233">
        <v>360</v>
      </c>
      <c r="E10" s="234">
        <v>1.05</v>
      </c>
      <c r="F10" s="81"/>
      <c r="G10" s="81"/>
      <c r="H10" s="81"/>
      <c r="I10" s="81"/>
      <c r="V10" s="15">
        <v>24</v>
      </c>
      <c r="W10" s="5">
        <v>3</v>
      </c>
      <c r="X10" s="6">
        <f t="shared" si="5"/>
        <v>452.38934211693021</v>
      </c>
      <c r="Y10" s="5">
        <v>353</v>
      </c>
      <c r="Z10" s="5">
        <v>1.1000000000000001</v>
      </c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V10" s="5">
        <v>460</v>
      </c>
      <c r="AW10" s="5">
        <v>720</v>
      </c>
      <c r="AX10" s="5">
        <v>605</v>
      </c>
      <c r="BI10" s="123" t="s">
        <v>247</v>
      </c>
      <c r="BJ10" s="16" t="s">
        <v>63</v>
      </c>
      <c r="BK10" s="124">
        <v>32500</v>
      </c>
      <c r="BL10" s="125">
        <v>22</v>
      </c>
      <c r="BM10" s="125">
        <v>17</v>
      </c>
      <c r="BN10" s="126">
        <v>1.75</v>
      </c>
      <c r="BO10" s="127">
        <v>1.1499999999999999</v>
      </c>
      <c r="BP10" s="18" t="s">
        <v>248</v>
      </c>
      <c r="BQ10" s="18">
        <f t="shared" si="9"/>
        <v>25</v>
      </c>
      <c r="CC10" s="112" t="s">
        <v>249</v>
      </c>
      <c r="CD10" s="113">
        <v>240</v>
      </c>
      <c r="CE10" s="113">
        <v>380</v>
      </c>
      <c r="CF10" s="112">
        <f t="shared" si="1"/>
        <v>240</v>
      </c>
      <c r="CG10" s="112">
        <f>CD10/1.15</f>
        <v>208.69565217391306</v>
      </c>
      <c r="CH10" s="112">
        <f t="shared" si="3"/>
        <v>240</v>
      </c>
      <c r="CI10" s="112">
        <v>170</v>
      </c>
      <c r="CJ10" s="114">
        <v>200000</v>
      </c>
      <c r="DA10" s="115">
        <f t="shared" si="8"/>
        <v>1.4000000000000004</v>
      </c>
      <c r="DB10" s="115">
        <v>7.4999999999999997E-2</v>
      </c>
      <c r="DC10" s="115">
        <v>0.05</v>
      </c>
      <c r="DD10" s="128">
        <f>DD9+0.1</f>
        <v>0.89999999999999991</v>
      </c>
      <c r="DE10" s="115">
        <v>7.4999999999999997E-2</v>
      </c>
    </row>
    <row r="11" spans="1:118" ht="15">
      <c r="A11" s="9" t="s">
        <v>6</v>
      </c>
      <c r="B11" s="4">
        <f t="shared" si="0"/>
        <v>206000</v>
      </c>
      <c r="C11" s="4">
        <v>215</v>
      </c>
      <c r="D11" s="233">
        <v>360</v>
      </c>
      <c r="E11" s="234">
        <v>1.05</v>
      </c>
      <c r="F11" s="81"/>
      <c r="G11" s="81"/>
      <c r="H11" s="81"/>
      <c r="I11" s="81"/>
      <c r="V11" s="15">
        <v>27</v>
      </c>
      <c r="W11" s="5">
        <v>3</v>
      </c>
      <c r="X11" s="6">
        <f t="shared" si="5"/>
        <v>572.55526111673976</v>
      </c>
      <c r="Y11" s="5">
        <v>459</v>
      </c>
      <c r="Z11" s="5">
        <v>1.2</v>
      </c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V11" s="5">
        <v>470</v>
      </c>
      <c r="AW11" s="5">
        <v>735</v>
      </c>
      <c r="AX11" s="5">
        <v>620</v>
      </c>
      <c r="BI11" s="123" t="s">
        <v>250</v>
      </c>
      <c r="BJ11" s="16" t="s">
        <v>64</v>
      </c>
      <c r="BK11" s="124">
        <v>34500</v>
      </c>
      <c r="BL11" s="125">
        <v>25.5</v>
      </c>
      <c r="BM11" s="125">
        <v>19.5</v>
      </c>
      <c r="BN11" s="126">
        <v>1.95</v>
      </c>
      <c r="BO11" s="127">
        <v>1.3</v>
      </c>
      <c r="BP11" s="18" t="s">
        <v>251</v>
      </c>
      <c r="BQ11" s="18">
        <f t="shared" si="9"/>
        <v>28</v>
      </c>
      <c r="CC11" s="112" t="s">
        <v>252</v>
      </c>
      <c r="CD11" s="113">
        <v>300</v>
      </c>
      <c r="CE11" s="113">
        <v>440</v>
      </c>
      <c r="CF11" s="112">
        <f t="shared" si="1"/>
        <v>300</v>
      </c>
      <c r="CG11" s="112">
        <f t="shared" ref="CG11:CG14" si="10">CD11/1.15</f>
        <v>260.86956521739131</v>
      </c>
      <c r="CH11" s="112">
        <f t="shared" si="3"/>
        <v>300</v>
      </c>
      <c r="CI11" s="112">
        <v>210</v>
      </c>
      <c r="CJ11" s="114">
        <v>200000</v>
      </c>
      <c r="DA11" s="115">
        <f t="shared" si="8"/>
        <v>1.5000000000000004</v>
      </c>
      <c r="DB11" s="115">
        <v>8.1000000000000003E-2</v>
      </c>
      <c r="DC11" s="115">
        <v>0.05</v>
      </c>
      <c r="DD11" s="128">
        <f>DD10+0.1</f>
        <v>0.99999999999999989</v>
      </c>
      <c r="DE11" s="115">
        <v>8.1000000000000003E-2</v>
      </c>
    </row>
    <row r="12" spans="1:118" ht="15">
      <c r="A12" s="9" t="s">
        <v>7</v>
      </c>
      <c r="B12" s="4">
        <f t="shared" si="0"/>
        <v>206000</v>
      </c>
      <c r="C12" s="4">
        <v>215</v>
      </c>
      <c r="D12" s="233">
        <v>360</v>
      </c>
      <c r="E12" s="234">
        <v>1.05</v>
      </c>
      <c r="F12" s="81"/>
      <c r="G12" s="81"/>
      <c r="H12" s="81"/>
      <c r="I12" s="81"/>
      <c r="V12" s="15">
        <v>30</v>
      </c>
      <c r="W12" s="5">
        <v>3.5</v>
      </c>
      <c r="X12" s="6">
        <f t="shared" si="5"/>
        <v>706.85834705770344</v>
      </c>
      <c r="Y12" s="5">
        <v>561</v>
      </c>
      <c r="Z12" s="5">
        <v>1.3</v>
      </c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V12" s="5">
        <v>480</v>
      </c>
      <c r="AW12" s="5">
        <v>750</v>
      </c>
      <c r="AX12" s="5">
        <v>630</v>
      </c>
      <c r="BI12" s="123" t="s">
        <v>253</v>
      </c>
      <c r="BJ12" s="16" t="s">
        <v>65</v>
      </c>
      <c r="BK12" s="124">
        <v>36000</v>
      </c>
      <c r="BL12" s="125">
        <v>29</v>
      </c>
      <c r="BM12" s="125">
        <v>22</v>
      </c>
      <c r="BN12" s="126">
        <v>2.1</v>
      </c>
      <c r="BO12" s="127">
        <v>1.4</v>
      </c>
      <c r="BP12" s="18" t="s">
        <v>254</v>
      </c>
      <c r="BQ12" s="18">
        <f t="shared" si="9"/>
        <v>32</v>
      </c>
      <c r="CC12" s="112" t="s">
        <v>255</v>
      </c>
      <c r="CD12" s="113">
        <v>300</v>
      </c>
      <c r="CE12" s="113">
        <v>450</v>
      </c>
      <c r="CF12" s="112">
        <f t="shared" si="1"/>
        <v>300</v>
      </c>
      <c r="CG12" s="112">
        <f t="shared" si="10"/>
        <v>260.86956521739131</v>
      </c>
      <c r="CH12" s="112">
        <f t="shared" si="3"/>
        <v>300</v>
      </c>
      <c r="CI12" s="112">
        <v>210</v>
      </c>
      <c r="CJ12" s="114">
        <v>200000</v>
      </c>
      <c r="DA12" s="115">
        <f t="shared" si="8"/>
        <v>1.6000000000000005</v>
      </c>
      <c r="DB12" s="115">
        <v>8.5999999999999993E-2</v>
      </c>
      <c r="DC12" s="115">
        <v>4.9000000000000002E-2</v>
      </c>
      <c r="DD12" s="128">
        <v>1.2</v>
      </c>
      <c r="DE12" s="115">
        <v>8.5999999999999993E-2</v>
      </c>
    </row>
    <row r="13" spans="1:118" ht="15">
      <c r="A13" s="9" t="s">
        <v>8</v>
      </c>
      <c r="B13" s="4">
        <f t="shared" si="0"/>
        <v>206000</v>
      </c>
      <c r="C13" s="4">
        <v>275</v>
      </c>
      <c r="D13" s="233">
        <v>410</v>
      </c>
      <c r="E13" s="234">
        <v>1.05</v>
      </c>
      <c r="F13" s="81"/>
      <c r="G13" s="81"/>
      <c r="H13" s="81"/>
      <c r="I13" s="81"/>
      <c r="V13" s="15">
        <v>36</v>
      </c>
      <c r="W13" s="5">
        <v>4</v>
      </c>
      <c r="X13" s="6">
        <f t="shared" si="5"/>
        <v>1017.8760197630929</v>
      </c>
      <c r="Y13" s="5">
        <v>816</v>
      </c>
      <c r="Z13" s="5">
        <v>1.3</v>
      </c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V13" s="5">
        <v>490</v>
      </c>
      <c r="AW13" s="5">
        <v>765</v>
      </c>
      <c r="AX13" s="5">
        <v>645</v>
      </c>
      <c r="BI13" s="123" t="s">
        <v>256</v>
      </c>
      <c r="BJ13" s="16" t="s">
        <v>257</v>
      </c>
      <c r="BK13" s="124">
        <v>37000</v>
      </c>
      <c r="BL13" s="125">
        <v>32</v>
      </c>
      <c r="BM13" s="125">
        <v>25</v>
      </c>
      <c r="BN13" s="126">
        <v>2.25</v>
      </c>
      <c r="BO13" s="127">
        <v>1.5</v>
      </c>
      <c r="BP13" s="18" t="s">
        <v>258</v>
      </c>
      <c r="BQ13" s="18">
        <f t="shared" si="9"/>
        <v>35</v>
      </c>
      <c r="CC13" s="112" t="s">
        <v>259</v>
      </c>
      <c r="CD13" s="113">
        <v>400</v>
      </c>
      <c r="CE13" s="113">
        <v>570</v>
      </c>
      <c r="CF13" s="112">
        <f t="shared" si="1"/>
        <v>400</v>
      </c>
      <c r="CG13" s="112">
        <f t="shared" si="10"/>
        <v>347.82608695652175</v>
      </c>
      <c r="CH13" s="112">
        <f t="shared" si="3"/>
        <v>400</v>
      </c>
      <c r="CI13" s="112">
        <v>280</v>
      </c>
      <c r="CJ13" s="114">
        <v>200000</v>
      </c>
      <c r="DA13" s="115">
        <f t="shared" si="8"/>
        <v>1.7000000000000006</v>
      </c>
      <c r="DB13" s="115">
        <v>9.0999999999999998E-2</v>
      </c>
      <c r="DC13" s="115">
        <v>4.8000000000000001E-2</v>
      </c>
      <c r="DD13" s="128">
        <v>1.4</v>
      </c>
      <c r="DE13" s="115">
        <v>9.0999999999999998E-2</v>
      </c>
    </row>
    <row r="14" spans="1:118" ht="15">
      <c r="A14" s="9" t="s">
        <v>9</v>
      </c>
      <c r="B14" s="4">
        <f t="shared" si="0"/>
        <v>206000</v>
      </c>
      <c r="C14" s="4">
        <v>265</v>
      </c>
      <c r="D14" s="233">
        <v>410</v>
      </c>
      <c r="E14" s="234">
        <v>1.05</v>
      </c>
      <c r="F14" s="81"/>
      <c r="G14" s="81"/>
      <c r="H14" s="81"/>
      <c r="I14" s="81"/>
      <c r="V14" s="15">
        <v>42</v>
      </c>
      <c r="W14" s="5">
        <v>4.5</v>
      </c>
      <c r="X14" s="6">
        <f t="shared" si="5"/>
        <v>1385.4423602330987</v>
      </c>
      <c r="Y14" s="5">
        <v>1120</v>
      </c>
      <c r="Z14" s="5">
        <v>1.6</v>
      </c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V14" s="5">
        <v>510</v>
      </c>
      <c r="AW14" s="5">
        <v>795</v>
      </c>
      <c r="AX14" s="5">
        <v>670</v>
      </c>
      <c r="BI14" s="123" t="s">
        <v>260</v>
      </c>
      <c r="BJ14" s="16" t="s">
        <v>261</v>
      </c>
      <c r="BK14" s="124">
        <v>38000</v>
      </c>
      <c r="BL14" s="125">
        <v>36</v>
      </c>
      <c r="BM14" s="125">
        <v>27.5</v>
      </c>
      <c r="BN14" s="126">
        <v>2.4500000000000002</v>
      </c>
      <c r="BO14" s="127">
        <v>1.6</v>
      </c>
      <c r="BP14" s="18" t="s">
        <v>262</v>
      </c>
      <c r="BQ14" s="18">
        <f t="shared" si="9"/>
        <v>40</v>
      </c>
      <c r="CC14" s="112" t="s">
        <v>263</v>
      </c>
      <c r="CD14" s="113">
        <v>500</v>
      </c>
      <c r="CE14" s="113">
        <v>650</v>
      </c>
      <c r="CF14" s="112">
        <f t="shared" si="1"/>
        <v>500</v>
      </c>
      <c r="CG14" s="112">
        <f t="shared" si="10"/>
        <v>434.78260869565219</v>
      </c>
      <c r="CH14" s="112">
        <f t="shared" si="3"/>
        <v>500</v>
      </c>
      <c r="CI14" s="112">
        <v>300</v>
      </c>
      <c r="CJ14" s="114">
        <v>200000</v>
      </c>
      <c r="DA14" s="115">
        <f t="shared" si="8"/>
        <v>1.8000000000000007</v>
      </c>
      <c r="DB14" s="115">
        <v>9.4E-2</v>
      </c>
      <c r="DC14" s="115">
        <v>4.8000000000000001E-2</v>
      </c>
      <c r="DD14" s="128">
        <v>2</v>
      </c>
      <c r="DE14" s="115">
        <v>9.4E-2</v>
      </c>
    </row>
    <row r="15" spans="1:118" ht="15">
      <c r="A15" s="9" t="s">
        <v>10</v>
      </c>
      <c r="B15" s="4">
        <f t="shared" si="0"/>
        <v>206000</v>
      </c>
      <c r="C15" s="4">
        <v>255</v>
      </c>
      <c r="D15" s="233">
        <v>410</v>
      </c>
      <c r="E15" s="234">
        <v>1.05</v>
      </c>
      <c r="F15" s="81"/>
      <c r="G15" s="81"/>
      <c r="H15" s="81"/>
      <c r="I15" s="81"/>
      <c r="V15" s="15">
        <v>48</v>
      </c>
      <c r="W15" s="5">
        <v>5</v>
      </c>
      <c r="X15" s="6">
        <f t="shared" si="5"/>
        <v>1809.5573684677208</v>
      </c>
      <c r="Y15" s="5">
        <v>1472</v>
      </c>
      <c r="Z15" s="5">
        <v>1.6</v>
      </c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V15" s="5">
        <v>540</v>
      </c>
      <c r="AW15" s="5">
        <v>845</v>
      </c>
      <c r="AX15" s="5">
        <v>710</v>
      </c>
      <c r="BI15" s="123" t="s">
        <v>260</v>
      </c>
      <c r="BJ15" s="16" t="s">
        <v>264</v>
      </c>
      <c r="BK15" s="124">
        <v>39000</v>
      </c>
      <c r="BL15" s="125">
        <v>39.5</v>
      </c>
      <c r="BM15" s="125">
        <v>30</v>
      </c>
      <c r="BN15" s="126">
        <v>2.6</v>
      </c>
      <c r="BO15" s="127">
        <v>1.7</v>
      </c>
      <c r="BP15" s="18" t="s">
        <v>265</v>
      </c>
      <c r="BQ15" s="18">
        <f t="shared" si="9"/>
        <v>45</v>
      </c>
      <c r="CC15" s="112" t="s">
        <v>266</v>
      </c>
      <c r="CD15" s="113">
        <v>235</v>
      </c>
      <c r="CE15" s="113">
        <v>380</v>
      </c>
      <c r="CF15" s="112">
        <f t="shared" si="1"/>
        <v>235</v>
      </c>
      <c r="CG15" s="112">
        <f t="shared" si="2"/>
        <v>204.34782608695653</v>
      </c>
      <c r="CH15" s="112">
        <f t="shared" si="3"/>
        <v>235</v>
      </c>
      <c r="CI15" s="112">
        <f t="shared" si="4"/>
        <v>164.5</v>
      </c>
      <c r="CJ15" s="130">
        <v>200000</v>
      </c>
      <c r="DA15" s="115">
        <f t="shared" si="8"/>
        <v>1.9000000000000008</v>
      </c>
      <c r="DB15" s="115">
        <v>9.8000000000000004E-2</v>
      </c>
      <c r="DC15" s="115">
        <v>4.7E-2</v>
      </c>
      <c r="DD15" s="128">
        <v>2.0000100000000001</v>
      </c>
      <c r="DE15" s="115">
        <v>9.8000000000000004E-2</v>
      </c>
    </row>
    <row r="16" spans="1:118" ht="15.75" thickBot="1">
      <c r="A16" s="9" t="s">
        <v>11</v>
      </c>
      <c r="B16" s="4">
        <f t="shared" si="0"/>
        <v>206000</v>
      </c>
      <c r="C16" s="4">
        <v>245</v>
      </c>
      <c r="D16" s="233">
        <v>410</v>
      </c>
      <c r="E16" s="234">
        <v>1.05</v>
      </c>
      <c r="F16" s="81"/>
      <c r="G16" s="81"/>
      <c r="H16" s="81"/>
      <c r="I16" s="81"/>
      <c r="AV16" s="5">
        <v>570</v>
      </c>
      <c r="AW16" s="5">
        <v>890</v>
      </c>
      <c r="AX16" s="5">
        <v>750</v>
      </c>
      <c r="BI16" s="131" t="s">
        <v>267</v>
      </c>
      <c r="BJ16" s="132" t="s">
        <v>268</v>
      </c>
      <c r="BK16" s="133">
        <v>39500</v>
      </c>
      <c r="BL16" s="134">
        <v>43</v>
      </c>
      <c r="BM16" s="134">
        <v>33</v>
      </c>
      <c r="BN16" s="135">
        <v>2.75</v>
      </c>
      <c r="BO16" s="136">
        <v>1.8</v>
      </c>
      <c r="BP16" s="18" t="s">
        <v>269</v>
      </c>
      <c r="BQ16" s="18">
        <f t="shared" si="9"/>
        <v>50</v>
      </c>
      <c r="CC16" s="112" t="s">
        <v>270</v>
      </c>
      <c r="CD16" s="113">
        <v>295</v>
      </c>
      <c r="CE16" s="113">
        <v>440</v>
      </c>
      <c r="CF16" s="112">
        <f t="shared" si="1"/>
        <v>295</v>
      </c>
      <c r="CG16" s="112">
        <f t="shared" si="2"/>
        <v>256.52173913043481</v>
      </c>
      <c r="CH16" s="112">
        <f t="shared" si="3"/>
        <v>295</v>
      </c>
      <c r="CI16" s="112">
        <f t="shared" si="4"/>
        <v>206.5</v>
      </c>
      <c r="CJ16" s="130">
        <v>200000</v>
      </c>
      <c r="DA16" s="115">
        <f t="shared" si="8"/>
        <v>2.0000000000000009</v>
      </c>
      <c r="DB16" s="115">
        <v>0.1</v>
      </c>
      <c r="DC16" s="115">
        <v>4.5999999999999999E-2</v>
      </c>
      <c r="DD16" s="128">
        <v>100</v>
      </c>
      <c r="DE16" s="115">
        <v>9.8000000000000004E-2</v>
      </c>
    </row>
    <row r="17" spans="1:109">
      <c r="A17" s="9" t="s">
        <v>12</v>
      </c>
      <c r="B17" s="4">
        <f t="shared" si="0"/>
        <v>206000</v>
      </c>
      <c r="C17" s="4">
        <v>235</v>
      </c>
      <c r="D17" s="233">
        <v>410</v>
      </c>
      <c r="E17" s="234">
        <v>1.05</v>
      </c>
      <c r="F17" s="81"/>
      <c r="G17" s="81"/>
      <c r="H17" s="81"/>
      <c r="I17" s="81"/>
      <c r="AV17" s="5">
        <v>590</v>
      </c>
      <c r="AW17" s="5">
        <v>920</v>
      </c>
      <c r="AX17" s="5">
        <v>775</v>
      </c>
      <c r="CC17" s="112" t="s">
        <v>271</v>
      </c>
      <c r="CD17" s="113">
        <v>295</v>
      </c>
      <c r="CE17" s="113">
        <v>440</v>
      </c>
      <c r="CF17" s="112">
        <f t="shared" si="1"/>
        <v>295</v>
      </c>
      <c r="CG17" s="112">
        <f t="shared" si="2"/>
        <v>256.52173913043481</v>
      </c>
      <c r="CH17" s="112">
        <f t="shared" si="3"/>
        <v>295</v>
      </c>
      <c r="CI17" s="112">
        <f t="shared" si="4"/>
        <v>206.5</v>
      </c>
      <c r="CJ17" s="130">
        <v>200000</v>
      </c>
      <c r="DA17" s="115">
        <v>2.0001000000000002</v>
      </c>
      <c r="DB17" s="115">
        <v>0.125</v>
      </c>
      <c r="DC17" s="115">
        <v>3.6999999999999998E-2</v>
      </c>
      <c r="DD17" s="115"/>
      <c r="DE17" s="115"/>
    </row>
    <row r="18" spans="1:109">
      <c r="A18" s="9" t="s">
        <v>13</v>
      </c>
      <c r="B18" s="4">
        <f t="shared" si="0"/>
        <v>206000</v>
      </c>
      <c r="C18" s="4">
        <v>355</v>
      </c>
      <c r="D18" s="233">
        <v>470</v>
      </c>
      <c r="E18" s="234">
        <v>1.05</v>
      </c>
      <c r="F18" s="81"/>
      <c r="G18" s="81"/>
      <c r="H18" s="81"/>
      <c r="I18" s="81"/>
      <c r="AV18" s="5"/>
      <c r="AW18" s="5"/>
      <c r="AX18" s="5"/>
      <c r="CC18" s="112" t="s">
        <v>272</v>
      </c>
      <c r="CD18" s="113">
        <v>390</v>
      </c>
      <c r="CE18" s="113">
        <v>560</v>
      </c>
      <c r="CF18" s="112">
        <f t="shared" si="1"/>
        <v>390</v>
      </c>
      <c r="CG18" s="112">
        <f t="shared" si="2"/>
        <v>339.13043478260875</v>
      </c>
      <c r="CH18" s="112">
        <f t="shared" si="3"/>
        <v>390</v>
      </c>
      <c r="CI18" s="112">
        <f t="shared" si="4"/>
        <v>273</v>
      </c>
      <c r="CJ18" s="129">
        <v>200000</v>
      </c>
      <c r="DA18" s="115">
        <v>999</v>
      </c>
      <c r="DB18" s="115">
        <v>0.125</v>
      </c>
      <c r="DC18" s="115">
        <v>3.6999999999999998E-2</v>
      </c>
      <c r="DD18" s="115"/>
      <c r="DE18" s="115"/>
    </row>
    <row r="19" spans="1:109">
      <c r="A19" s="9" t="s">
        <v>14</v>
      </c>
      <c r="B19" s="4">
        <f t="shared" si="0"/>
        <v>206000</v>
      </c>
      <c r="C19" s="4">
        <v>345</v>
      </c>
      <c r="D19" s="233">
        <v>470</v>
      </c>
      <c r="E19" s="234">
        <v>1.05</v>
      </c>
      <c r="F19" s="81"/>
      <c r="G19" s="81"/>
      <c r="H19" s="81"/>
      <c r="I19" s="81"/>
      <c r="AV19" s="5"/>
      <c r="AW19" s="5"/>
      <c r="AX19" s="5"/>
      <c r="CC19" s="112" t="s">
        <v>273</v>
      </c>
      <c r="CD19" s="113">
        <v>490</v>
      </c>
      <c r="CE19" s="113">
        <v>620</v>
      </c>
      <c r="CF19" s="112">
        <f t="shared" si="1"/>
        <v>490</v>
      </c>
      <c r="CG19" s="112">
        <f t="shared" si="2"/>
        <v>426.08695652173918</v>
      </c>
      <c r="CH19" s="112">
        <f t="shared" si="3"/>
        <v>490</v>
      </c>
      <c r="CI19" s="112">
        <f t="shared" si="4"/>
        <v>343</v>
      </c>
      <c r="CJ19" s="130">
        <v>200000</v>
      </c>
    </row>
    <row r="20" spans="1:109">
      <c r="A20" s="9" t="s">
        <v>15</v>
      </c>
      <c r="B20" s="4">
        <f t="shared" si="0"/>
        <v>206000</v>
      </c>
      <c r="C20" s="4">
        <v>335</v>
      </c>
      <c r="D20" s="233">
        <v>470</v>
      </c>
      <c r="E20" s="234">
        <v>1.05</v>
      </c>
      <c r="F20" s="81"/>
      <c r="G20" s="81"/>
      <c r="H20" s="81"/>
      <c r="I20" s="81"/>
      <c r="AV20" s="5"/>
      <c r="AW20" s="5"/>
      <c r="AX20" s="5"/>
      <c r="CC20" s="137"/>
      <c r="CD20" s="138"/>
      <c r="CE20" s="138"/>
    </row>
    <row r="21" spans="1:109">
      <c r="A21" s="9" t="s">
        <v>16</v>
      </c>
      <c r="B21" s="4">
        <f t="shared" si="0"/>
        <v>206000</v>
      </c>
      <c r="C21" s="4">
        <v>325</v>
      </c>
      <c r="D21" s="233">
        <v>470</v>
      </c>
      <c r="E21" s="234">
        <v>1.05</v>
      </c>
      <c r="F21" s="81"/>
      <c r="G21" s="81"/>
      <c r="H21" s="81"/>
      <c r="I21" s="81"/>
      <c r="AV21" s="5"/>
      <c r="AW21" s="5"/>
      <c r="AX21" s="5"/>
      <c r="CC21" s="137"/>
      <c r="CD21" s="138"/>
      <c r="CE21" s="138"/>
    </row>
    <row r="22" spans="1:109">
      <c r="A22" s="9" t="s">
        <v>17</v>
      </c>
      <c r="B22" s="4">
        <f t="shared" si="0"/>
        <v>206000</v>
      </c>
      <c r="C22" s="4">
        <v>315</v>
      </c>
      <c r="D22" s="233">
        <v>470</v>
      </c>
      <c r="E22" s="234">
        <v>1.05</v>
      </c>
      <c r="F22" s="81"/>
      <c r="G22" s="81"/>
      <c r="H22" s="81"/>
      <c r="I22" s="81"/>
      <c r="AV22" s="5"/>
      <c r="AW22" s="5"/>
      <c r="AX22" s="5"/>
    </row>
    <row r="23" spans="1:109">
      <c r="A23" s="9" t="s">
        <v>161</v>
      </c>
      <c r="B23" s="4">
        <f t="shared" si="0"/>
        <v>206000</v>
      </c>
      <c r="C23" s="4">
        <v>205</v>
      </c>
      <c r="D23" s="233">
        <v>330</v>
      </c>
      <c r="E23" s="234">
        <v>1.05</v>
      </c>
      <c r="F23" s="81"/>
      <c r="G23" s="81"/>
      <c r="H23" s="81"/>
      <c r="I23" s="81"/>
      <c r="AV23" s="5"/>
      <c r="AW23" s="5"/>
      <c r="AX23" s="5"/>
    </row>
    <row r="24" spans="1:109">
      <c r="A24" s="9" t="s">
        <v>162</v>
      </c>
      <c r="B24" s="4">
        <f t="shared" si="0"/>
        <v>206000</v>
      </c>
      <c r="C24" s="4">
        <v>195</v>
      </c>
      <c r="D24" s="233">
        <v>330</v>
      </c>
      <c r="E24" s="234">
        <v>1.05</v>
      </c>
      <c r="F24" s="81"/>
      <c r="G24" s="81"/>
      <c r="H24" s="81"/>
      <c r="I24" s="81"/>
    </row>
    <row r="25" spans="1:109">
      <c r="A25" s="9" t="s">
        <v>163</v>
      </c>
      <c r="B25" s="4">
        <f t="shared" si="0"/>
        <v>206000</v>
      </c>
      <c r="C25" s="4">
        <v>245</v>
      </c>
      <c r="D25" s="233">
        <v>400</v>
      </c>
      <c r="E25" s="234">
        <v>1.05</v>
      </c>
      <c r="F25" s="81"/>
      <c r="G25" s="81"/>
      <c r="H25" s="81"/>
      <c r="I25" s="81"/>
    </row>
    <row r="26" spans="1:109">
      <c r="A26" s="9" t="s">
        <v>164</v>
      </c>
      <c r="B26" s="4">
        <f t="shared" si="0"/>
        <v>206000</v>
      </c>
      <c r="C26" s="4">
        <v>235</v>
      </c>
      <c r="D26" s="233">
        <v>400</v>
      </c>
      <c r="E26" s="234">
        <v>1.05</v>
      </c>
      <c r="F26" s="81"/>
      <c r="G26" s="81"/>
      <c r="H26" s="81"/>
      <c r="I26" s="81"/>
    </row>
    <row r="27" spans="1:109">
      <c r="A27" s="9" t="s">
        <v>165</v>
      </c>
      <c r="B27" s="4">
        <f t="shared" si="0"/>
        <v>206000</v>
      </c>
      <c r="C27" s="4">
        <v>285</v>
      </c>
      <c r="D27" s="233">
        <v>490</v>
      </c>
      <c r="E27" s="234">
        <v>1.05</v>
      </c>
      <c r="F27" s="81"/>
      <c r="G27" s="81"/>
      <c r="H27" s="81"/>
      <c r="I27" s="81"/>
    </row>
    <row r="28" spans="1:109">
      <c r="A28" s="9" t="s">
        <v>166</v>
      </c>
      <c r="B28" s="4">
        <f t="shared" si="0"/>
        <v>206000</v>
      </c>
      <c r="C28" s="4">
        <v>275</v>
      </c>
      <c r="D28" s="233">
        <v>490</v>
      </c>
      <c r="E28" s="234">
        <v>1.05</v>
      </c>
      <c r="F28" s="81"/>
      <c r="G28" s="81"/>
      <c r="H28" s="81"/>
      <c r="I28" s="81"/>
    </row>
    <row r="29" spans="1:109">
      <c r="A29" s="9" t="s">
        <v>167</v>
      </c>
      <c r="B29" s="4">
        <f t="shared" si="0"/>
        <v>206000</v>
      </c>
      <c r="C29" s="4">
        <v>400</v>
      </c>
      <c r="D29" s="233">
        <v>540</v>
      </c>
      <c r="E29" s="234">
        <v>1.05</v>
      </c>
      <c r="F29" s="81"/>
      <c r="G29" s="81"/>
      <c r="H29" s="81"/>
      <c r="I29" s="81"/>
    </row>
    <row r="30" spans="1:109">
      <c r="A30" s="9" t="s">
        <v>168</v>
      </c>
      <c r="B30" s="4">
        <f t="shared" si="0"/>
        <v>206000</v>
      </c>
      <c r="C30" s="4">
        <v>390</v>
      </c>
      <c r="D30" s="233">
        <v>540</v>
      </c>
      <c r="E30" s="234">
        <v>1.05</v>
      </c>
    </row>
    <row r="31" spans="1:109">
      <c r="A31" s="9" t="s">
        <v>327</v>
      </c>
      <c r="B31" s="4">
        <f t="shared" si="0"/>
        <v>206000</v>
      </c>
      <c r="C31" s="4">
        <v>220</v>
      </c>
      <c r="D31" s="233">
        <v>340</v>
      </c>
      <c r="E31" s="234">
        <v>1.05</v>
      </c>
    </row>
    <row r="32" spans="1:109">
      <c r="A32" s="9" t="s">
        <v>328</v>
      </c>
      <c r="B32" s="4">
        <f t="shared" si="0"/>
        <v>206000</v>
      </c>
      <c r="C32" s="4">
        <v>240</v>
      </c>
      <c r="D32" s="233">
        <v>380</v>
      </c>
      <c r="E32" s="234">
        <v>1.05</v>
      </c>
    </row>
    <row r="33" spans="1:5">
      <c r="A33" s="9" t="s">
        <v>329</v>
      </c>
      <c r="B33" s="4">
        <f t="shared" si="0"/>
        <v>206000</v>
      </c>
      <c r="C33" s="4">
        <v>260</v>
      </c>
      <c r="D33" s="233">
        <v>420</v>
      </c>
      <c r="E33" s="234">
        <v>1.05</v>
      </c>
    </row>
  </sheetData>
  <mergeCells count="17">
    <mergeCell ref="K1:O2"/>
    <mergeCell ref="V1:Z2"/>
    <mergeCell ref="AV1:AX1"/>
    <mergeCell ref="AZ1:BB1"/>
    <mergeCell ref="BI1:BJ4"/>
    <mergeCell ref="BK1:BK3"/>
    <mergeCell ref="BL1:BO1"/>
    <mergeCell ref="BP1:BQ2"/>
    <mergeCell ref="CC1:CJ1"/>
    <mergeCell ref="DA1:DE1"/>
    <mergeCell ref="DF1:DG1"/>
    <mergeCell ref="BL2:BM2"/>
    <mergeCell ref="BN2:BO2"/>
    <mergeCell ref="CC2:CC3"/>
    <mergeCell ref="DA2:DC3"/>
    <mergeCell ref="DD2:DE3"/>
    <mergeCell ref="BP3:BP4"/>
  </mergeCells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C00000"/>
    <pageSetUpPr fitToPage="1"/>
  </sheetPr>
  <dimension ref="A1:FZ732"/>
  <sheetViews>
    <sheetView showGridLines="0" tabSelected="1" topLeftCell="B88" zoomScale="145" zoomScaleNormal="145" zoomScaleSheetLayoutView="100" workbookViewId="0">
      <selection activeCell="H106" sqref="H106"/>
    </sheetView>
  </sheetViews>
  <sheetFormatPr defaultColWidth="7.28515625" defaultRowHeight="12.75"/>
  <cols>
    <col min="1" max="5" width="6.7109375" style="1" customWidth="1"/>
    <col min="6" max="6" width="5.140625" style="1" bestFit="1" customWidth="1"/>
    <col min="7" max="7" width="2.85546875" style="10" customWidth="1"/>
    <col min="8" max="9" width="7.28515625" style="1"/>
    <col min="10" max="10" width="8.42578125" style="1" bestFit="1" customWidth="1"/>
    <col min="11" max="11" width="7.28515625" style="1"/>
    <col min="12" max="12" width="7.28515625" style="1" customWidth="1"/>
    <col min="13" max="13" width="7.28515625" style="1"/>
    <col min="14" max="14" width="8.5703125" style="1" customWidth="1"/>
    <col min="15" max="16" width="7.7109375" style="1" customWidth="1"/>
    <col min="17" max="17" width="8.140625" style="1" customWidth="1"/>
    <col min="18" max="18" width="7.7109375" style="1" customWidth="1"/>
    <col min="19" max="19" width="8.85546875" style="1" customWidth="1"/>
    <col min="20" max="20" width="11.5703125" style="1" bestFit="1" customWidth="1"/>
    <col min="21" max="21" width="7.28515625" style="1" customWidth="1"/>
    <col min="22" max="25" width="7.28515625" style="1" hidden="1" customWidth="1"/>
    <col min="26" max="26" width="2.85546875" style="10" customWidth="1"/>
    <col min="27" max="29" width="4.7109375" style="26" customWidth="1"/>
    <col min="30" max="30" width="4.7109375" style="27" customWidth="1"/>
    <col min="31" max="33" width="4.7109375" style="21" customWidth="1"/>
    <col min="34" max="39" width="4.7109375" style="26" customWidth="1"/>
    <col min="40" max="41" width="4.7109375" style="26" hidden="1" customWidth="1"/>
    <col min="42" max="52" width="4.7109375" style="46" hidden="1" customWidth="1"/>
    <col min="53" max="53" width="4.7109375" style="46" customWidth="1"/>
    <col min="54" max="56" width="4.7109375" style="22" customWidth="1"/>
    <col min="57" max="70" width="4.7109375" style="34" customWidth="1"/>
    <col min="71" max="103" width="7.28515625" style="34" hidden="1" customWidth="1"/>
    <col min="104" max="104" width="2.85546875" style="10" customWidth="1"/>
    <col min="105" max="105" width="5.7109375" style="26" customWidth="1"/>
    <col min="106" max="106" width="5.28515625" style="26" customWidth="1"/>
    <col min="107" max="107" width="5.28515625" style="26" hidden="1" customWidth="1"/>
    <col min="108" max="108" width="5.28515625" style="27" customWidth="1"/>
    <col min="109" max="111" width="5.28515625" style="21" hidden="1" customWidth="1"/>
    <col min="112" max="118" width="5.28515625" style="26" hidden="1" customWidth="1"/>
    <col min="119" max="119" width="12.5703125" style="26" customWidth="1"/>
    <col min="120" max="120" width="17" style="46" customWidth="1"/>
    <col min="121" max="130" width="5.5703125" style="46" hidden="1" customWidth="1"/>
    <col min="131" max="131" width="9" style="46" customWidth="1"/>
    <col min="132" max="134" width="7.28515625" style="22" customWidth="1"/>
    <col min="135" max="136" width="5.7109375" style="34" hidden="1" customWidth="1"/>
    <col min="137" max="138" width="5.7109375" style="34" customWidth="1"/>
    <col min="139" max="139" width="5.7109375" style="34" hidden="1" customWidth="1"/>
    <col min="140" max="141" width="5.7109375" style="34" customWidth="1"/>
    <col min="142" max="142" width="6.42578125" style="34" hidden="1" customWidth="1"/>
    <col min="143" max="144" width="5.7109375" style="34" customWidth="1"/>
    <col min="145" max="146" width="5.140625" style="34" hidden="1" customWidth="1"/>
    <col min="147" max="147" width="6.42578125" style="34" customWidth="1"/>
    <col min="148" max="148" width="5.7109375" style="34" customWidth="1"/>
    <col min="149" max="181" width="7.28515625" style="34" hidden="1" customWidth="1"/>
    <col min="182" max="182" width="2.85546875" style="10" customWidth="1"/>
    <col min="183" max="16384" width="7.28515625" style="1"/>
  </cols>
  <sheetData>
    <row r="1" spans="1:182" ht="12.75" hidden="1" customHeight="1">
      <c r="AA1" s="17"/>
      <c r="AB1" s="17"/>
      <c r="AC1" s="17"/>
      <c r="AD1" s="37"/>
      <c r="AE1" s="23"/>
      <c r="AF1" s="23"/>
      <c r="AG1" s="23"/>
      <c r="AH1" s="17"/>
      <c r="AI1" s="17"/>
      <c r="AJ1" s="17"/>
      <c r="AK1" s="17"/>
      <c r="AL1" s="17"/>
      <c r="AM1" s="17"/>
      <c r="AN1" s="17"/>
      <c r="AO1" s="1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38"/>
      <c r="BC1" s="38"/>
      <c r="BD1" s="38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DA1" s="17"/>
      <c r="DB1" s="17"/>
      <c r="DC1" s="17"/>
      <c r="DD1" s="37"/>
      <c r="DE1" s="23"/>
      <c r="DF1" s="23"/>
      <c r="DG1" s="23"/>
      <c r="DH1" s="17"/>
      <c r="DI1" s="17"/>
      <c r="DJ1" s="17"/>
      <c r="DK1" s="17"/>
      <c r="DL1" s="17"/>
      <c r="DM1" s="17"/>
      <c r="DN1" s="17"/>
      <c r="DO1" s="17"/>
      <c r="DP1" s="47"/>
      <c r="DQ1" s="47"/>
      <c r="DR1" s="47"/>
      <c r="DS1" s="47"/>
      <c r="DT1" s="47"/>
      <c r="DU1" s="47"/>
      <c r="DV1" s="47"/>
      <c r="DW1" s="47"/>
      <c r="DX1" s="47"/>
      <c r="DY1" s="47"/>
      <c r="DZ1" s="47"/>
      <c r="EA1" s="47"/>
      <c r="EB1" s="38"/>
      <c r="EC1" s="38"/>
      <c r="ED1" s="38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</row>
    <row r="2" spans="1:182" ht="12.75" hidden="1" customHeight="1">
      <c r="AA2" s="17"/>
      <c r="AB2" s="17"/>
      <c r="AC2" s="17"/>
      <c r="AD2" s="37"/>
      <c r="AE2" s="23"/>
      <c r="AF2" s="23"/>
      <c r="AG2" s="23"/>
      <c r="AH2" s="17"/>
      <c r="AI2" s="17"/>
      <c r="AJ2" s="17"/>
      <c r="AK2" s="17"/>
      <c r="AL2" s="17"/>
      <c r="AM2" s="17"/>
      <c r="AN2" s="17"/>
      <c r="AO2" s="1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38"/>
      <c r="BC2" s="38"/>
      <c r="BD2" s="38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DA2" s="17"/>
      <c r="DB2" s="17"/>
      <c r="DC2" s="17"/>
      <c r="DD2" s="37"/>
      <c r="DE2" s="23"/>
      <c r="DF2" s="23"/>
      <c r="DG2" s="23"/>
      <c r="DH2" s="17"/>
      <c r="DI2" s="17"/>
      <c r="DJ2" s="17"/>
      <c r="DK2" s="17"/>
      <c r="DL2" s="17"/>
      <c r="DM2" s="17"/>
      <c r="DN2" s="17"/>
      <c r="DO2" s="17"/>
      <c r="DP2" s="47"/>
      <c r="DQ2" s="47"/>
      <c r="DR2" s="47"/>
      <c r="DS2" s="47"/>
      <c r="DT2" s="47"/>
      <c r="DU2" s="47"/>
      <c r="DV2" s="47"/>
      <c r="DW2" s="47"/>
      <c r="DX2" s="47"/>
      <c r="DY2" s="47"/>
      <c r="DZ2" s="47"/>
      <c r="EA2" s="47"/>
      <c r="EB2" s="38"/>
      <c r="EC2" s="38"/>
      <c r="ED2" s="38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</row>
    <row r="3" spans="1:182" ht="12.75" hidden="1" customHeight="1">
      <c r="AA3" s="17"/>
      <c r="AB3" s="17"/>
      <c r="AC3" s="17"/>
      <c r="AD3" s="37"/>
      <c r="AE3" s="23"/>
      <c r="AF3" s="23"/>
      <c r="AG3" s="23"/>
      <c r="AH3" s="17"/>
      <c r="AI3" s="17"/>
      <c r="AJ3" s="17"/>
      <c r="AK3" s="17"/>
      <c r="AL3" s="17"/>
      <c r="AM3" s="17"/>
      <c r="AN3" s="17"/>
      <c r="AO3" s="1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38"/>
      <c r="BC3" s="38"/>
      <c r="BD3" s="38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DA3" s="17"/>
      <c r="DB3" s="17"/>
      <c r="DC3" s="17"/>
      <c r="DD3" s="37"/>
      <c r="DE3" s="23"/>
      <c r="DF3" s="23"/>
      <c r="DG3" s="23"/>
      <c r="DH3" s="17"/>
      <c r="DI3" s="17"/>
      <c r="DJ3" s="17"/>
      <c r="DK3" s="17"/>
      <c r="DL3" s="17"/>
      <c r="DM3" s="17"/>
      <c r="DN3" s="17"/>
      <c r="DO3" s="1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38"/>
      <c r="EC3" s="38"/>
      <c r="ED3" s="38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</row>
    <row r="4" spans="1:182" ht="12.75" hidden="1" customHeight="1">
      <c r="AA4" s="17"/>
      <c r="AB4" s="17"/>
      <c r="AC4" s="17"/>
      <c r="AD4" s="37"/>
      <c r="AE4" s="23"/>
      <c r="AF4" s="23"/>
      <c r="AG4" s="23"/>
      <c r="AH4" s="17"/>
      <c r="AI4" s="17"/>
      <c r="AJ4" s="17"/>
      <c r="AK4" s="17"/>
      <c r="AL4" s="17"/>
      <c r="AM4" s="17"/>
      <c r="AN4" s="17"/>
      <c r="AO4" s="17"/>
      <c r="AP4" s="47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38"/>
      <c r="BC4" s="38"/>
      <c r="BD4" s="38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DA4" s="17"/>
      <c r="DB4" s="17"/>
      <c r="DC4" s="17"/>
      <c r="DD4" s="37"/>
      <c r="DE4" s="23"/>
      <c r="DF4" s="23"/>
      <c r="DG4" s="23"/>
      <c r="DH4" s="17"/>
      <c r="DI4" s="17"/>
      <c r="DJ4" s="17"/>
      <c r="DK4" s="17"/>
      <c r="DL4" s="17"/>
      <c r="DM4" s="17"/>
      <c r="DN4" s="17"/>
      <c r="DO4" s="17"/>
      <c r="DP4" s="47"/>
      <c r="DQ4" s="47"/>
      <c r="DR4" s="47"/>
      <c r="DS4" s="47"/>
      <c r="DT4" s="47"/>
      <c r="DU4" s="47"/>
      <c r="DV4" s="47"/>
      <c r="DW4" s="47"/>
      <c r="DX4" s="47"/>
      <c r="DY4" s="47"/>
      <c r="DZ4" s="47"/>
      <c r="EA4" s="47"/>
      <c r="EB4" s="38"/>
      <c r="EC4" s="38"/>
      <c r="ED4" s="38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</row>
    <row r="5" spans="1:182" ht="12.75" hidden="1" customHeight="1">
      <c r="AA5" s="17"/>
      <c r="AB5" s="17"/>
      <c r="AC5" s="17"/>
      <c r="AD5" s="37"/>
      <c r="AE5" s="23"/>
      <c r="AF5" s="23"/>
      <c r="AG5" s="23"/>
      <c r="AH5" s="17"/>
      <c r="AI5" s="17"/>
      <c r="AJ5" s="17"/>
      <c r="AK5" s="17"/>
      <c r="AL5" s="17"/>
      <c r="AM5" s="17"/>
      <c r="AN5" s="17"/>
      <c r="AO5" s="17"/>
      <c r="AP5" s="47"/>
      <c r="AQ5" s="47"/>
      <c r="AR5" s="47"/>
      <c r="AS5" s="47"/>
      <c r="AT5" s="47"/>
      <c r="AU5" s="47"/>
      <c r="AV5" s="47"/>
      <c r="AW5" s="47"/>
      <c r="AX5" s="47"/>
      <c r="AY5" s="47"/>
      <c r="AZ5" s="47"/>
      <c r="BA5" s="47"/>
      <c r="BB5" s="38"/>
      <c r="BC5" s="38"/>
      <c r="BD5" s="38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DA5" s="17"/>
      <c r="DB5" s="17"/>
      <c r="DC5" s="17"/>
      <c r="DD5" s="37"/>
      <c r="DE5" s="23"/>
      <c r="DF5" s="23"/>
      <c r="DG5" s="23"/>
      <c r="DH5" s="17"/>
      <c r="DI5" s="17"/>
      <c r="DJ5" s="17"/>
      <c r="DK5" s="17"/>
      <c r="DL5" s="17"/>
      <c r="DM5" s="17"/>
      <c r="DN5" s="17"/>
      <c r="DO5" s="17"/>
      <c r="DP5" s="47"/>
      <c r="DQ5" s="47"/>
      <c r="DR5" s="47"/>
      <c r="DS5" s="47"/>
      <c r="DT5" s="47"/>
      <c r="DU5" s="47"/>
      <c r="DV5" s="47"/>
      <c r="DW5" s="47"/>
      <c r="DX5" s="47"/>
      <c r="DY5" s="47"/>
      <c r="DZ5" s="47"/>
      <c r="EA5" s="47"/>
      <c r="EB5" s="38"/>
      <c r="EC5" s="38"/>
      <c r="ED5" s="38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</row>
    <row r="6" spans="1:182" ht="12.75" hidden="1" customHeight="1">
      <c r="AA6" s="17"/>
      <c r="AB6" s="17"/>
      <c r="AC6" s="17"/>
      <c r="AD6" s="37"/>
      <c r="AE6" s="23"/>
      <c r="AF6" s="23"/>
      <c r="AG6" s="23"/>
      <c r="AH6" s="17"/>
      <c r="AI6" s="17"/>
      <c r="AJ6" s="17"/>
      <c r="AK6" s="17"/>
      <c r="AL6" s="17"/>
      <c r="AM6" s="17"/>
      <c r="AN6" s="17"/>
      <c r="AO6" s="1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38"/>
      <c r="BC6" s="38"/>
      <c r="BD6" s="38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DA6" s="17"/>
      <c r="DB6" s="17"/>
      <c r="DC6" s="17"/>
      <c r="DD6" s="37"/>
      <c r="DE6" s="23"/>
      <c r="DF6" s="23"/>
      <c r="DG6" s="23"/>
      <c r="DH6" s="17"/>
      <c r="DI6" s="17"/>
      <c r="DJ6" s="17"/>
      <c r="DK6" s="17"/>
      <c r="DL6" s="17"/>
      <c r="DM6" s="17"/>
      <c r="DN6" s="17"/>
      <c r="DO6" s="17"/>
      <c r="DP6" s="47"/>
      <c r="DQ6" s="47"/>
      <c r="DR6" s="47"/>
      <c r="DS6" s="47"/>
      <c r="DT6" s="47"/>
      <c r="DU6" s="47"/>
      <c r="DV6" s="47"/>
      <c r="DW6" s="47"/>
      <c r="DX6" s="47"/>
      <c r="DY6" s="47"/>
      <c r="DZ6" s="47"/>
      <c r="EA6" s="47"/>
      <c r="EB6" s="38"/>
      <c r="EC6" s="38"/>
      <c r="ED6" s="38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</row>
    <row r="7" spans="1:182" ht="12.75" hidden="1" customHeight="1">
      <c r="AA7" s="17"/>
      <c r="AB7" s="17"/>
      <c r="AC7" s="17"/>
      <c r="AD7" s="37"/>
      <c r="AE7" s="23"/>
      <c r="AF7" s="23"/>
      <c r="AG7" s="23"/>
      <c r="AH7" s="17"/>
      <c r="AI7" s="17"/>
      <c r="AJ7" s="17"/>
      <c r="AK7" s="17"/>
      <c r="AL7" s="17"/>
      <c r="AM7" s="17"/>
      <c r="AN7" s="17"/>
      <c r="AO7" s="1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38"/>
      <c r="BC7" s="38"/>
      <c r="BD7" s="38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DA7" s="17"/>
      <c r="DB7" s="17"/>
      <c r="DC7" s="17"/>
      <c r="DD7" s="37"/>
      <c r="DE7" s="23"/>
      <c r="DF7" s="23"/>
      <c r="DG7" s="23"/>
      <c r="DH7" s="17"/>
      <c r="DI7" s="17"/>
      <c r="DJ7" s="17"/>
      <c r="DK7" s="17"/>
      <c r="DL7" s="17"/>
      <c r="DM7" s="17"/>
      <c r="DN7" s="17"/>
      <c r="DO7" s="17"/>
      <c r="DP7" s="47"/>
      <c r="DQ7" s="47"/>
      <c r="DR7" s="47"/>
      <c r="DS7" s="47"/>
      <c r="DT7" s="47"/>
      <c r="DU7" s="47"/>
      <c r="DV7" s="47"/>
      <c r="DW7" s="47"/>
      <c r="DX7" s="47"/>
      <c r="DY7" s="47"/>
      <c r="DZ7" s="47"/>
      <c r="EA7" s="47"/>
      <c r="EB7" s="38"/>
      <c r="EC7" s="38"/>
      <c r="ED7" s="38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</row>
    <row r="8" spans="1:182" ht="12.75" hidden="1" customHeight="1">
      <c r="AA8" s="17"/>
      <c r="AB8" s="17"/>
      <c r="AC8" s="17"/>
      <c r="AD8" s="37"/>
      <c r="AE8" s="23"/>
      <c r="AF8" s="23"/>
      <c r="AG8" s="23"/>
      <c r="AH8" s="17"/>
      <c r="AI8" s="17"/>
      <c r="AJ8" s="17"/>
      <c r="AK8" s="17"/>
      <c r="AL8" s="17"/>
      <c r="AM8" s="17"/>
      <c r="AN8" s="17"/>
      <c r="AO8" s="1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38"/>
      <c r="BC8" s="38"/>
      <c r="BD8" s="38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DA8" s="17"/>
      <c r="DB8" s="17"/>
      <c r="DC8" s="17"/>
      <c r="DD8" s="37"/>
      <c r="DE8" s="23"/>
      <c r="DF8" s="23"/>
      <c r="DG8" s="23"/>
      <c r="DH8" s="17"/>
      <c r="DI8" s="17"/>
      <c r="DJ8" s="17"/>
      <c r="DK8" s="17"/>
      <c r="DL8" s="17"/>
      <c r="DM8" s="17"/>
      <c r="DN8" s="17"/>
      <c r="DO8" s="17"/>
      <c r="DP8" s="47"/>
      <c r="DQ8" s="47"/>
      <c r="DR8" s="47"/>
      <c r="DS8" s="47"/>
      <c r="DT8" s="47"/>
      <c r="DU8" s="47"/>
      <c r="DV8" s="47"/>
      <c r="DW8" s="47"/>
      <c r="DX8" s="47"/>
      <c r="DY8" s="47"/>
      <c r="DZ8" s="47"/>
      <c r="EA8" s="47"/>
      <c r="EB8" s="38"/>
      <c r="EC8" s="38"/>
      <c r="ED8" s="38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</row>
    <row r="9" spans="1:182" ht="12.75" hidden="1" customHeight="1">
      <c r="AA9" s="17"/>
      <c r="AB9" s="17"/>
      <c r="AC9" s="17"/>
      <c r="AD9" s="37"/>
      <c r="AE9" s="23"/>
      <c r="AF9" s="23"/>
      <c r="AG9" s="23"/>
      <c r="AH9" s="17"/>
      <c r="AI9" s="17"/>
      <c r="AJ9" s="17"/>
      <c r="AK9" s="17"/>
      <c r="AL9" s="17"/>
      <c r="AM9" s="17"/>
      <c r="AN9" s="17"/>
      <c r="AO9" s="1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38"/>
      <c r="BC9" s="38"/>
      <c r="BD9" s="38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DA9" s="17"/>
      <c r="DB9" s="17"/>
      <c r="DC9" s="17"/>
      <c r="DD9" s="37"/>
      <c r="DE9" s="23"/>
      <c r="DF9" s="23"/>
      <c r="DG9" s="23"/>
      <c r="DH9" s="17"/>
      <c r="DI9" s="17"/>
      <c r="DJ9" s="17"/>
      <c r="DK9" s="17"/>
      <c r="DL9" s="17"/>
      <c r="DM9" s="17"/>
      <c r="DN9" s="17"/>
      <c r="DO9" s="17"/>
      <c r="DP9" s="47"/>
      <c r="DQ9" s="47"/>
      <c r="DR9" s="47"/>
      <c r="DS9" s="47"/>
      <c r="DT9" s="47"/>
      <c r="DU9" s="47"/>
      <c r="DV9" s="47"/>
      <c r="DW9" s="47"/>
      <c r="DX9" s="47"/>
      <c r="DY9" s="47"/>
      <c r="DZ9" s="47"/>
      <c r="EA9" s="47"/>
      <c r="EB9" s="38"/>
      <c r="EC9" s="38"/>
      <c r="ED9" s="38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36"/>
      <c r="FS9" s="36"/>
      <c r="FT9" s="36"/>
      <c r="FU9" s="36"/>
      <c r="FV9" s="36"/>
      <c r="FW9" s="36"/>
      <c r="FX9" s="36"/>
      <c r="FY9" s="36"/>
    </row>
    <row r="10" spans="1:182" ht="10.5" hidden="1" customHeight="1">
      <c r="AA10" s="17"/>
      <c r="AB10" s="17"/>
      <c r="AC10" s="17"/>
      <c r="AD10" s="37"/>
      <c r="AE10" s="23"/>
      <c r="AF10" s="23"/>
      <c r="AG10" s="23"/>
      <c r="AH10" s="17"/>
      <c r="AI10" s="17"/>
      <c r="AJ10" s="17"/>
      <c r="AK10" s="17"/>
      <c r="AL10" s="17"/>
      <c r="AM10" s="17"/>
      <c r="AN10" s="17"/>
      <c r="AO10" s="1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38"/>
      <c r="BC10" s="38"/>
      <c r="BD10" s="38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DA10" s="17"/>
      <c r="DB10" s="17"/>
      <c r="DC10" s="17"/>
      <c r="DD10" s="37"/>
      <c r="DE10" s="23"/>
      <c r="DF10" s="23"/>
      <c r="DG10" s="23"/>
      <c r="DH10" s="17"/>
      <c r="DI10" s="17"/>
      <c r="DJ10" s="17"/>
      <c r="DK10" s="17"/>
      <c r="DL10" s="17"/>
      <c r="DM10" s="17"/>
      <c r="DN10" s="17"/>
      <c r="DO10" s="17"/>
      <c r="DP10" s="47"/>
      <c r="DQ10" s="47"/>
      <c r="DR10" s="47"/>
      <c r="DS10" s="47"/>
      <c r="DT10" s="47"/>
      <c r="DU10" s="47"/>
      <c r="DV10" s="47"/>
      <c r="DW10" s="47"/>
      <c r="DX10" s="47"/>
      <c r="DY10" s="47"/>
      <c r="DZ10" s="47"/>
      <c r="EA10" s="47"/>
      <c r="EB10" s="38"/>
      <c r="EC10" s="38"/>
      <c r="ED10" s="38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</row>
    <row r="11" spans="1:182" ht="20.25" customHeight="1">
      <c r="A11" s="290" t="s">
        <v>147</v>
      </c>
      <c r="B11" s="290"/>
      <c r="C11" s="290"/>
      <c r="D11" s="290"/>
      <c r="E11" s="290"/>
      <c r="F11" s="33"/>
      <c r="G11" s="11">
        <f>MAX(COUNTA(#REF!)+21,23)</f>
        <v>23</v>
      </c>
      <c r="H11" s="291" t="s">
        <v>186</v>
      </c>
      <c r="I11" s="292"/>
      <c r="J11" s="292"/>
      <c r="K11" s="292"/>
      <c r="L11" s="292"/>
      <c r="M11" s="292"/>
      <c r="N11" s="292"/>
      <c r="O11" s="292"/>
      <c r="P11" s="292"/>
      <c r="Q11" s="295" t="str">
        <f>INDEX(T13:T14,MATCH(U15,U13:U15,0))</f>
        <v>100x200x2.7</v>
      </c>
      <c r="R11" s="295"/>
      <c r="S11" s="296"/>
      <c r="T11" s="301"/>
      <c r="U11" s="301"/>
      <c r="Z11" s="11">
        <f>MAX(COUNTA(#REF!)+21,23)</f>
        <v>23</v>
      </c>
      <c r="AA11" s="57" t="s">
        <v>306</v>
      </c>
      <c r="AB11" s="58"/>
      <c r="AC11" s="58"/>
      <c r="AD11" s="58"/>
      <c r="AE11" s="63"/>
      <c r="AF11" s="63"/>
      <c r="AG11" s="63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188"/>
      <c r="BB11" s="188"/>
      <c r="BC11" s="188"/>
      <c r="BD11" s="188"/>
      <c r="BE11" s="58"/>
      <c r="BF11" s="58"/>
      <c r="BG11" s="58"/>
      <c r="BH11" s="58"/>
      <c r="BI11" s="58"/>
      <c r="BJ11" s="58"/>
      <c r="BK11" s="58"/>
      <c r="BL11" s="58"/>
      <c r="BM11" s="58"/>
      <c r="BN11" s="58"/>
      <c r="BO11" s="58"/>
      <c r="BP11" s="58"/>
      <c r="BQ11" s="58"/>
      <c r="BR11" s="58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11">
        <f>MAX(COUNTA(#REF!)+21,23)</f>
        <v>23</v>
      </c>
      <c r="DA11" s="207" t="s">
        <v>306</v>
      </c>
      <c r="DB11" s="208"/>
      <c r="DC11" s="208"/>
      <c r="DD11" s="208"/>
      <c r="DE11" s="209"/>
      <c r="DF11" s="209"/>
      <c r="DG11" s="209"/>
      <c r="DH11" s="208"/>
      <c r="DI11" s="208"/>
      <c r="DJ11" s="208"/>
      <c r="DK11" s="208"/>
      <c r="DL11" s="208"/>
      <c r="DM11" s="208"/>
      <c r="DN11" s="208"/>
      <c r="DO11" s="208"/>
      <c r="DP11" s="208"/>
      <c r="DQ11" s="208"/>
      <c r="DR11" s="208"/>
      <c r="DS11" s="208"/>
      <c r="DT11" s="208"/>
      <c r="DU11" s="208"/>
      <c r="DV11" s="208"/>
      <c r="DW11" s="208"/>
      <c r="DX11" s="208"/>
      <c r="DY11" s="208"/>
      <c r="DZ11" s="208"/>
      <c r="EA11" s="210"/>
      <c r="EB11" s="210"/>
      <c r="EC11" s="210"/>
      <c r="ED11" s="210"/>
      <c r="EE11" s="208"/>
      <c r="EF11" s="208"/>
      <c r="EG11" s="208"/>
      <c r="EH11" s="208"/>
      <c r="EI11" s="208"/>
      <c r="EJ11" s="208"/>
      <c r="EK11" s="208"/>
      <c r="EL11" s="208"/>
      <c r="EM11" s="208"/>
      <c r="EN11" s="208"/>
      <c r="EO11" s="208"/>
      <c r="EP11" s="208"/>
      <c r="EQ11" s="208"/>
      <c r="ER11" s="211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11">
        <f>MAX(COUNTA(#REF!)+21,23)</f>
        <v>23</v>
      </c>
    </row>
    <row r="12" spans="1:182" ht="12.75" customHeight="1">
      <c r="A12" s="290"/>
      <c r="B12" s="290"/>
      <c r="C12" s="290"/>
      <c r="D12" s="290"/>
      <c r="E12" s="290"/>
      <c r="F12" s="33"/>
      <c r="G12" s="12"/>
      <c r="H12" s="293"/>
      <c r="I12" s="290"/>
      <c r="J12" s="290"/>
      <c r="K12" s="294"/>
      <c r="L12" s="294"/>
      <c r="M12" s="294"/>
      <c r="N12" s="294"/>
      <c r="O12" s="294"/>
      <c r="P12" s="294"/>
      <c r="Q12" s="297"/>
      <c r="R12" s="297"/>
      <c r="S12" s="298"/>
      <c r="T12" s="302"/>
      <c r="U12" s="302"/>
      <c r="Z12" s="12"/>
      <c r="AA12" s="59" t="s">
        <v>28</v>
      </c>
      <c r="AB12" s="60"/>
      <c r="AC12" s="60"/>
      <c r="AD12" s="60"/>
      <c r="AE12" s="64"/>
      <c r="AF12" s="64"/>
      <c r="AG12" s="64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189"/>
      <c r="BB12" s="189"/>
      <c r="BC12" s="189"/>
      <c r="BD12" s="189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12"/>
      <c r="DA12" s="212" t="s">
        <v>28</v>
      </c>
      <c r="DB12" s="60"/>
      <c r="DC12" s="60"/>
      <c r="DD12" s="60"/>
      <c r="DE12" s="64"/>
      <c r="DF12" s="64"/>
      <c r="DG12" s="64"/>
      <c r="DH12" s="60"/>
      <c r="DI12" s="60"/>
      <c r="DJ12" s="60"/>
      <c r="DK12" s="60"/>
      <c r="DL12" s="60"/>
      <c r="DM12" s="60"/>
      <c r="DN12" s="60"/>
      <c r="DO12" s="60"/>
      <c r="DP12" s="60"/>
      <c r="DQ12" s="60"/>
      <c r="DR12" s="60"/>
      <c r="DS12" s="60"/>
      <c r="DT12" s="60"/>
      <c r="DU12" s="60"/>
      <c r="DV12" s="60"/>
      <c r="DW12" s="60"/>
      <c r="DX12" s="60"/>
      <c r="DY12" s="60"/>
      <c r="DZ12" s="60"/>
      <c r="EA12" s="189"/>
      <c r="EB12" s="189"/>
      <c r="EC12" s="189"/>
      <c r="ED12" s="189"/>
      <c r="EE12" s="60"/>
      <c r="EF12" s="60"/>
      <c r="EG12" s="60"/>
      <c r="EH12" s="60"/>
      <c r="EI12" s="60"/>
      <c r="EJ12" s="60"/>
      <c r="EK12" s="60"/>
      <c r="EL12" s="60"/>
      <c r="EM12" s="60"/>
      <c r="EN12" s="60"/>
      <c r="EO12" s="60"/>
      <c r="EP12" s="60"/>
      <c r="EQ12" s="60"/>
      <c r="ER12" s="21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12"/>
    </row>
    <row r="13" spans="1:182" ht="15" customHeight="1">
      <c r="A13" s="147"/>
      <c r="B13" s="148" t="s">
        <v>305</v>
      </c>
      <c r="H13" s="299" t="s">
        <v>0</v>
      </c>
      <c r="I13" s="300"/>
      <c r="J13" s="300"/>
      <c r="K13" s="159"/>
      <c r="L13" s="159"/>
      <c r="M13" s="159"/>
      <c r="N13" s="159"/>
      <c r="O13" s="159"/>
      <c r="P13" s="159"/>
      <c r="Q13" s="159"/>
      <c r="R13" s="159"/>
      <c r="S13" s="69"/>
      <c r="T13" s="66" t="s">
        <v>145</v>
      </c>
      <c r="U13" s="18" t="s">
        <v>175</v>
      </c>
      <c r="AA13" s="39" t="s">
        <v>133</v>
      </c>
      <c r="AB13" s="39"/>
      <c r="AC13" s="39"/>
      <c r="AD13" s="37"/>
      <c r="AE13" s="23"/>
      <c r="AF13" s="23"/>
      <c r="AG13" s="23"/>
      <c r="AH13" s="17"/>
      <c r="AI13" s="17"/>
      <c r="AJ13" s="17"/>
      <c r="AK13" s="17"/>
      <c r="AL13" s="17"/>
      <c r="AM13" s="17"/>
      <c r="AN13" s="17"/>
      <c r="AO13" s="1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38"/>
      <c r="BC13" s="38"/>
      <c r="BD13" s="38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DA13" s="214" t="s">
        <v>133</v>
      </c>
      <c r="DB13" s="39"/>
      <c r="DC13" s="39"/>
      <c r="DD13" s="37"/>
      <c r="DE13" s="23"/>
      <c r="DF13" s="23"/>
      <c r="DG13" s="23"/>
      <c r="DH13" s="17"/>
      <c r="DI13" s="17"/>
      <c r="DJ13" s="17"/>
      <c r="DK13" s="17"/>
      <c r="DL13" s="17"/>
      <c r="DM13" s="17"/>
      <c r="DN13" s="17"/>
      <c r="DO13" s="17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47"/>
      <c r="EA13" s="47"/>
      <c r="EB13" s="38"/>
      <c r="EC13" s="38"/>
      <c r="ED13" s="38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72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</row>
    <row r="14" spans="1:182" ht="12.75" customHeight="1">
      <c r="A14" s="149">
        <v>12</v>
      </c>
      <c r="B14" s="5">
        <v>50</v>
      </c>
      <c r="H14" s="70" t="s">
        <v>50</v>
      </c>
      <c r="I14" s="159"/>
      <c r="J14" s="159"/>
      <c r="K14" s="159"/>
      <c r="L14" s="159"/>
      <c r="M14" s="159"/>
      <c r="N14" s="160"/>
      <c r="O14" s="161"/>
      <c r="P14" s="159"/>
      <c r="Q14" s="3"/>
      <c r="R14" s="3"/>
      <c r="S14" s="69"/>
      <c r="T14" s="66" t="str">
        <f>R39&amp;"x"&amp;R40&amp;"x"&amp;R41</f>
        <v>100x200x2.7</v>
      </c>
      <c r="U14" s="18" t="s">
        <v>187</v>
      </c>
      <c r="AA14" s="17"/>
      <c r="AB14" s="17"/>
      <c r="AC14" s="17"/>
      <c r="AD14" s="43" t="s">
        <v>51</v>
      </c>
      <c r="AE14" s="23"/>
      <c r="AF14" s="23"/>
      <c r="AG14" s="44">
        <f>R17</f>
        <v>5.6</v>
      </c>
      <c r="AH14" s="17"/>
      <c r="AI14" s="17"/>
      <c r="AJ14" s="17"/>
      <c r="AK14" s="17"/>
      <c r="AL14" s="17"/>
      <c r="AM14" s="17"/>
      <c r="AN14" s="17"/>
      <c r="AO14" s="1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24" t="s">
        <v>49</v>
      </c>
      <c r="BB14" s="25">
        <f>R18</f>
        <v>300</v>
      </c>
      <c r="BC14" s="45" t="s">
        <v>21</v>
      </c>
      <c r="BD14" s="38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DA14" s="215" t="s">
        <v>51</v>
      </c>
      <c r="DB14" s="17"/>
      <c r="DC14" s="17"/>
      <c r="DD14" s="37"/>
      <c r="DE14" s="23"/>
      <c r="DF14" s="23"/>
      <c r="DG14" s="23"/>
      <c r="DH14" s="17"/>
      <c r="DI14" s="17"/>
      <c r="DJ14" s="17"/>
      <c r="DK14" s="17"/>
      <c r="DL14" s="17"/>
      <c r="DM14" s="17"/>
      <c r="DN14" s="17"/>
      <c r="DO14" s="74">
        <f>R17</f>
        <v>5.6</v>
      </c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24" t="s">
        <v>49</v>
      </c>
      <c r="EB14" s="25">
        <f>R18</f>
        <v>300</v>
      </c>
      <c r="EC14" s="45" t="s">
        <v>21</v>
      </c>
      <c r="ED14" s="38"/>
      <c r="EE14" s="3"/>
      <c r="EF14" s="3"/>
      <c r="EG14" s="3" t="s">
        <v>310</v>
      </c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72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</row>
    <row r="15" spans="1:182" ht="12.75" customHeight="1">
      <c r="A15" s="149">
        <v>16</v>
      </c>
      <c r="B15" s="5">
        <v>50</v>
      </c>
      <c r="H15" s="70" t="s">
        <v>51</v>
      </c>
      <c r="I15" s="159"/>
      <c r="J15" s="159"/>
      <c r="K15" s="159"/>
      <c r="L15" s="159"/>
      <c r="M15" s="159"/>
      <c r="N15" s="160"/>
      <c r="O15" s="161"/>
      <c r="P15" s="159"/>
      <c r="Q15" s="3"/>
      <c r="R15" s="3"/>
      <c r="S15" s="69"/>
      <c r="T15" s="66" t="s">
        <v>177</v>
      </c>
      <c r="U15" s="67" t="s">
        <v>187</v>
      </c>
      <c r="AA15" s="17"/>
      <c r="AB15" s="17"/>
      <c r="AC15" s="17"/>
      <c r="AD15" s="43" t="s">
        <v>52</v>
      </c>
      <c r="AE15" s="23"/>
      <c r="AF15" s="23"/>
      <c r="AG15" s="44" t="str">
        <f>R22</f>
        <v>CCT38</v>
      </c>
      <c r="AH15" s="17"/>
      <c r="AI15" s="17"/>
      <c r="AJ15" s="17"/>
      <c r="AK15" s="17"/>
      <c r="AL15" s="17"/>
      <c r="AM15" s="17"/>
      <c r="AN15" s="17"/>
      <c r="AO15" s="1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24" t="s">
        <v>49</v>
      </c>
      <c r="BB15" s="25">
        <f>R23</f>
        <v>240</v>
      </c>
      <c r="BC15" s="45" t="s">
        <v>21</v>
      </c>
      <c r="BD15" s="38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DA15" s="215" t="s">
        <v>52</v>
      </c>
      <c r="DB15" s="17"/>
      <c r="DC15" s="17"/>
      <c r="DD15" s="37"/>
      <c r="DE15" s="23"/>
      <c r="DF15" s="23"/>
      <c r="DG15" s="23"/>
      <c r="DH15" s="17"/>
      <c r="DI15" s="17"/>
      <c r="DJ15" s="17"/>
      <c r="DK15" s="17"/>
      <c r="DL15" s="17"/>
      <c r="DM15" s="17"/>
      <c r="DN15" s="17"/>
      <c r="DO15" s="74" t="str">
        <f>R22</f>
        <v>CCT38</v>
      </c>
      <c r="DP15" s="47"/>
      <c r="DQ15" s="47"/>
      <c r="DR15" s="47"/>
      <c r="DS15" s="47"/>
      <c r="DT15" s="47"/>
      <c r="DU15" s="47"/>
      <c r="DV15" s="47"/>
      <c r="DW15" s="47"/>
      <c r="DX15" s="47"/>
      <c r="DY15" s="47"/>
      <c r="DZ15" s="47"/>
      <c r="EA15" s="24" t="s">
        <v>49</v>
      </c>
      <c r="EB15" s="25">
        <f>R23</f>
        <v>240</v>
      </c>
      <c r="EC15" s="45" t="s">
        <v>21</v>
      </c>
      <c r="ED15" s="38"/>
      <c r="EE15" s="3"/>
      <c r="EF15" s="3"/>
      <c r="EG15" s="3" t="s">
        <v>311</v>
      </c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72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</row>
    <row r="16" spans="1:182" ht="12.75" customHeight="1">
      <c r="A16" s="149">
        <v>18</v>
      </c>
      <c r="B16" s="5">
        <v>50</v>
      </c>
      <c r="H16" s="71"/>
      <c r="I16" s="159" t="str">
        <f>"- Loại bu lông:"</f>
        <v>- Loại bu lông:</v>
      </c>
      <c r="J16" s="159"/>
      <c r="K16" s="160"/>
      <c r="L16" s="162"/>
      <c r="M16" s="159"/>
      <c r="N16" s="3"/>
      <c r="O16" s="3"/>
      <c r="P16" s="3"/>
      <c r="Q16" s="3"/>
      <c r="R16" s="23" t="s">
        <v>78</v>
      </c>
      <c r="S16" s="72"/>
      <c r="AA16" s="17"/>
      <c r="AB16" s="17"/>
      <c r="AC16" s="17"/>
      <c r="AD16" s="43" t="s">
        <v>53</v>
      </c>
      <c r="AE16" s="23"/>
      <c r="AF16" s="23"/>
      <c r="AG16" s="44" t="str">
        <f>R28</f>
        <v>N42</v>
      </c>
      <c r="AH16" s="17"/>
      <c r="AI16" s="17"/>
      <c r="AJ16" s="17"/>
      <c r="AK16" s="17"/>
      <c r="AL16" s="17"/>
      <c r="AM16" s="17"/>
      <c r="AN16" s="17"/>
      <c r="AO16" s="1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24" t="s">
        <v>117</v>
      </c>
      <c r="BB16" s="25">
        <f>R29</f>
        <v>410</v>
      </c>
      <c r="BC16" s="45" t="s">
        <v>21</v>
      </c>
      <c r="BD16" s="38"/>
      <c r="BE16" s="3"/>
      <c r="BF16" s="3"/>
      <c r="BG16" s="3"/>
      <c r="BH16" s="3"/>
      <c r="BI16" s="3"/>
      <c r="BJ16" s="3"/>
      <c r="BK16" s="3"/>
      <c r="BL16" s="250" cm="1">
        <f t="array" ref="BL16">_xll.Dce_AnchorBolt_tmin(AK25, AF25, AE25, AH25, BI25)</f>
        <v>2.1497700389396827E-3</v>
      </c>
      <c r="BM16" s="250"/>
      <c r="BN16" s="250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DA16" s="215" t="s">
        <v>53</v>
      </c>
      <c r="DB16" s="17"/>
      <c r="DC16" s="17"/>
      <c r="DD16" s="37"/>
      <c r="DE16" s="23"/>
      <c r="DF16" s="23"/>
      <c r="DG16" s="23"/>
      <c r="DH16" s="17"/>
      <c r="DI16" s="17"/>
      <c r="DJ16" s="17"/>
      <c r="DK16" s="17"/>
      <c r="DL16" s="17"/>
      <c r="DM16" s="17"/>
      <c r="DN16" s="17"/>
      <c r="DO16" s="74" t="str">
        <f>R28</f>
        <v>N42</v>
      </c>
      <c r="DP16" s="47"/>
      <c r="DQ16" s="47"/>
      <c r="DR16" s="47"/>
      <c r="DS16" s="47"/>
      <c r="DT16" s="47"/>
      <c r="DU16" s="47"/>
      <c r="DV16" s="47"/>
      <c r="DW16" s="47"/>
      <c r="DX16" s="47"/>
      <c r="DY16" s="47"/>
      <c r="DZ16" s="47"/>
      <c r="EA16" s="24" t="s">
        <v>117</v>
      </c>
      <c r="EB16" s="25">
        <f>R29</f>
        <v>410</v>
      </c>
      <c r="EC16" s="45" t="s">
        <v>21</v>
      </c>
      <c r="ED16" s="38"/>
      <c r="EE16" s="3"/>
      <c r="EF16" s="3"/>
      <c r="EG16" s="3" t="s">
        <v>313</v>
      </c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72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</row>
    <row r="17" spans="1:181" ht="12.75" customHeight="1">
      <c r="A17" s="149">
        <v>20</v>
      </c>
      <c r="B17" s="5">
        <v>50</v>
      </c>
      <c r="H17" s="71"/>
      <c r="I17" s="159" t="str">
        <f>"- Cấp độ bền bu lông:"</f>
        <v>- Cấp độ bền bu lông:</v>
      </c>
      <c r="J17" s="159"/>
      <c r="K17" s="160"/>
      <c r="L17" s="162"/>
      <c r="M17" s="159"/>
      <c r="N17" s="3"/>
      <c r="O17" s="3"/>
      <c r="P17" s="3"/>
      <c r="Q17" s="3"/>
      <c r="R17" s="23">
        <v>5.6</v>
      </c>
      <c r="S17" s="72"/>
      <c r="AA17" s="17"/>
      <c r="AB17" s="17"/>
      <c r="AC17" s="17"/>
      <c r="AD17" s="43" t="s">
        <v>54</v>
      </c>
      <c r="AE17" s="23"/>
      <c r="AF17" s="23"/>
      <c r="AG17" s="44" t="str">
        <f>R35</f>
        <v>B25</v>
      </c>
      <c r="AH17" s="17"/>
      <c r="AI17" s="17"/>
      <c r="AJ17" s="17"/>
      <c r="AK17" s="17"/>
      <c r="AL17" s="17"/>
      <c r="AM17" s="17"/>
      <c r="AN17" s="17"/>
      <c r="AO17" s="1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24" t="s">
        <v>60</v>
      </c>
      <c r="BB17" s="25">
        <f>R36</f>
        <v>14.5</v>
      </c>
      <c r="BC17" s="3" t="s">
        <v>21</v>
      </c>
      <c r="BD17" s="38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DA17" s="215" t="s">
        <v>54</v>
      </c>
      <c r="DB17" s="17"/>
      <c r="DC17" s="17"/>
      <c r="DD17" s="37"/>
      <c r="DE17" s="23"/>
      <c r="DF17" s="23"/>
      <c r="DG17" s="23"/>
      <c r="DH17" s="17"/>
      <c r="DI17" s="17"/>
      <c r="DJ17" s="17"/>
      <c r="DK17" s="17"/>
      <c r="DL17" s="17"/>
      <c r="DM17" s="17"/>
      <c r="DN17" s="17"/>
      <c r="DO17" s="74" t="str">
        <f>R35</f>
        <v>B25</v>
      </c>
      <c r="DP17" s="47"/>
      <c r="DQ17" s="47"/>
      <c r="DR17" s="47"/>
      <c r="DS17" s="47"/>
      <c r="DT17" s="47"/>
      <c r="DU17" s="47"/>
      <c r="DV17" s="47"/>
      <c r="DW17" s="47"/>
      <c r="DX17" s="47"/>
      <c r="DY17" s="47"/>
      <c r="DZ17" s="47"/>
      <c r="EA17" s="24" t="s">
        <v>60</v>
      </c>
      <c r="EB17" s="25">
        <f>R36</f>
        <v>14.5</v>
      </c>
      <c r="EC17" s="3" t="s">
        <v>21</v>
      </c>
      <c r="ED17" s="38"/>
      <c r="EE17" s="3"/>
      <c r="EF17" s="3"/>
      <c r="EG17" s="3" t="s">
        <v>315</v>
      </c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72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</row>
    <row r="18" spans="1:181" ht="12.75" customHeight="1">
      <c r="A18" s="149">
        <v>24</v>
      </c>
      <c r="B18" s="5">
        <v>60</v>
      </c>
      <c r="H18" s="71"/>
      <c r="I18" s="159" t="str">
        <f>"- Giới hạn chảy của thép:"</f>
        <v>- Giới hạn chảy của thép:</v>
      </c>
      <c r="J18" s="159"/>
      <c r="K18" s="160"/>
      <c r="L18" s="162"/>
      <c r="M18" s="159"/>
      <c r="N18" s="3"/>
      <c r="O18" s="3"/>
      <c r="P18" s="163"/>
      <c r="Q18" s="24" t="s">
        <v>49</v>
      </c>
      <c r="R18" s="25">
        <f>VLOOKUP(R17,Data!K4:O99,3,FALSE)</f>
        <v>300</v>
      </c>
      <c r="S18" s="73" t="s">
        <v>21</v>
      </c>
      <c r="AA18" s="39" t="s">
        <v>134</v>
      </c>
      <c r="AB18" s="39"/>
      <c r="AC18" s="39"/>
      <c r="AD18" s="37"/>
      <c r="AE18" s="23"/>
      <c r="AF18" s="23"/>
      <c r="AG18" s="23"/>
      <c r="AH18" s="17"/>
      <c r="AI18" s="17"/>
      <c r="AJ18" s="17"/>
      <c r="AK18" s="17"/>
      <c r="AL18" s="17"/>
      <c r="AM18" s="17"/>
      <c r="AN18" s="17"/>
      <c r="AO18" s="1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38"/>
      <c r="BC18" s="38"/>
      <c r="BD18" s="38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DA18" s="214" t="s">
        <v>134</v>
      </c>
      <c r="DB18" s="39"/>
      <c r="DC18" s="39"/>
      <c r="DD18" s="37"/>
      <c r="DE18" s="23"/>
      <c r="DF18" s="23"/>
      <c r="DG18" s="23"/>
      <c r="DH18" s="17"/>
      <c r="DI18" s="17"/>
      <c r="DJ18" s="17"/>
      <c r="DK18" s="17"/>
      <c r="DL18" s="17"/>
      <c r="DM18" s="17"/>
      <c r="DN18" s="17"/>
      <c r="DO18" s="17"/>
      <c r="DP18" s="47"/>
      <c r="DQ18" s="47"/>
      <c r="DR18" s="47"/>
      <c r="DS18" s="47"/>
      <c r="DT18" s="47"/>
      <c r="DU18" s="47"/>
      <c r="DV18" s="47"/>
      <c r="DW18" s="47"/>
      <c r="DX18" s="47"/>
      <c r="DY18" s="47"/>
      <c r="DZ18" s="47"/>
      <c r="EA18" s="47"/>
      <c r="EB18" s="38"/>
      <c r="EC18" s="38"/>
      <c r="ED18" s="38"/>
      <c r="EE18" s="3"/>
      <c r="EF18" s="3"/>
      <c r="EG18" s="3" t="s">
        <v>316</v>
      </c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72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</row>
    <row r="19" spans="1:181" ht="12.75" customHeight="1">
      <c r="A19" s="149">
        <v>27</v>
      </c>
      <c r="B19" s="5">
        <v>60</v>
      </c>
      <c r="H19" s="71"/>
      <c r="I19" s="159" t="str">
        <f>"- Cường độ chịu kéo tính toán:"</f>
        <v>- Cường độ chịu kéo tính toán:</v>
      </c>
      <c r="J19" s="159"/>
      <c r="K19" s="160"/>
      <c r="L19" s="162"/>
      <c r="M19" s="159"/>
      <c r="N19" s="3"/>
      <c r="O19" s="3"/>
      <c r="P19" s="3"/>
      <c r="Q19" s="24" t="s">
        <v>48</v>
      </c>
      <c r="R19" s="25">
        <f>0.8*R18</f>
        <v>240</v>
      </c>
      <c r="S19" s="73" t="s">
        <v>21</v>
      </c>
      <c r="AA19" s="50"/>
      <c r="AB19" s="51"/>
      <c r="AC19" s="51"/>
      <c r="AD19" s="52"/>
      <c r="AE19" s="283" t="s">
        <v>295</v>
      </c>
      <c r="AF19" s="283"/>
      <c r="AG19" s="283"/>
      <c r="AH19" s="283" t="s">
        <v>142</v>
      </c>
      <c r="AI19" s="283"/>
      <c r="AJ19" s="283"/>
      <c r="AK19" s="283"/>
      <c r="AL19" s="283"/>
      <c r="AM19" s="283"/>
      <c r="AN19" s="156"/>
      <c r="AO19" s="278" t="s">
        <v>178</v>
      </c>
      <c r="AP19" s="278" t="s">
        <v>148</v>
      </c>
      <c r="AQ19" s="144"/>
      <c r="AR19" s="144"/>
      <c r="AS19" s="144"/>
      <c r="AT19" s="144"/>
      <c r="AU19" s="144"/>
      <c r="AV19" s="144"/>
      <c r="AW19" s="144"/>
      <c r="AX19" s="144"/>
      <c r="AY19" s="144"/>
      <c r="AZ19" s="144"/>
      <c r="BA19" s="274" t="s">
        <v>146</v>
      </c>
      <c r="BB19" s="275"/>
      <c r="BC19" s="275"/>
      <c r="BD19" s="275"/>
      <c r="BE19" s="271" t="s">
        <v>150</v>
      </c>
      <c r="BF19" s="271"/>
      <c r="BG19" s="271"/>
      <c r="BH19" s="271"/>
      <c r="BI19" s="263" t="s">
        <v>156</v>
      </c>
      <c r="BJ19" s="264"/>
      <c r="BK19" s="265"/>
      <c r="BL19" s="263" t="s">
        <v>309</v>
      </c>
      <c r="BM19" s="264"/>
      <c r="BN19" s="265"/>
      <c r="BO19" s="255" t="s">
        <v>160</v>
      </c>
      <c r="BP19" s="256"/>
      <c r="BQ19" s="256"/>
      <c r="BR19" s="256"/>
      <c r="DA19" s="252" t="s">
        <v>179</v>
      </c>
      <c r="DB19" s="252"/>
      <c r="DC19" s="252"/>
      <c r="DD19" s="252"/>
      <c r="DE19" s="252" t="s">
        <v>295</v>
      </c>
      <c r="DF19" s="252"/>
      <c r="DG19" s="252"/>
      <c r="DH19" s="252" t="s">
        <v>142</v>
      </c>
      <c r="DI19" s="252"/>
      <c r="DJ19" s="252"/>
      <c r="DK19" s="252"/>
      <c r="DL19" s="252"/>
      <c r="DM19" s="252"/>
      <c r="DN19" s="82"/>
      <c r="DO19" s="251" t="s">
        <v>320</v>
      </c>
      <c r="DP19" s="251" t="s">
        <v>319</v>
      </c>
      <c r="DQ19" s="82"/>
      <c r="DR19" s="82"/>
      <c r="DS19" s="82"/>
      <c r="DT19" s="82"/>
      <c r="DU19" s="82"/>
      <c r="DV19" s="82"/>
      <c r="DW19" s="82"/>
      <c r="DX19" s="82"/>
      <c r="DY19" s="82"/>
      <c r="DZ19" s="82"/>
      <c r="EA19" s="252" t="s">
        <v>146</v>
      </c>
      <c r="EB19" s="252"/>
      <c r="EC19" s="252"/>
      <c r="ED19" s="252"/>
      <c r="EE19" s="83"/>
      <c r="EF19" s="83"/>
      <c r="EG19" s="251" t="s">
        <v>312</v>
      </c>
      <c r="EH19" s="251"/>
      <c r="EI19" s="83"/>
      <c r="EJ19" s="251" t="s">
        <v>314</v>
      </c>
      <c r="EK19" s="251"/>
      <c r="EL19" s="251" t="s">
        <v>317</v>
      </c>
      <c r="EM19" s="251"/>
      <c r="EN19" s="251"/>
      <c r="EO19" s="253" t="s">
        <v>318</v>
      </c>
      <c r="EP19" s="253"/>
      <c r="EQ19" s="253"/>
      <c r="ER19" s="253"/>
      <c r="ES19" s="56"/>
    </row>
    <row r="20" spans="1:181" ht="12.75" customHeight="1">
      <c r="A20" s="149">
        <v>30</v>
      </c>
      <c r="B20" s="5">
        <v>60</v>
      </c>
      <c r="H20" s="71"/>
      <c r="I20" s="159" t="str">
        <f>"- Hệ số điều kiện làm việc bu lông:"</f>
        <v>- Hệ số điều kiện làm việc bu lông:</v>
      </c>
      <c r="J20" s="159"/>
      <c r="K20" s="160"/>
      <c r="L20" s="162"/>
      <c r="M20" s="159"/>
      <c r="N20" s="3"/>
      <c r="O20" s="3"/>
      <c r="P20" s="3"/>
      <c r="Q20" s="13" t="s">
        <v>47</v>
      </c>
      <c r="R20" s="23">
        <v>0.9</v>
      </c>
      <c r="S20" s="72"/>
      <c r="AA20" s="53"/>
      <c r="AB20" s="54"/>
      <c r="AC20" s="54"/>
      <c r="AD20" s="55"/>
      <c r="AE20" s="283"/>
      <c r="AF20" s="283"/>
      <c r="AG20" s="283"/>
      <c r="AH20" s="283"/>
      <c r="AI20" s="283"/>
      <c r="AJ20" s="283"/>
      <c r="AK20" s="283"/>
      <c r="AL20" s="283"/>
      <c r="AM20" s="283"/>
      <c r="AN20" s="142"/>
      <c r="AO20" s="279"/>
      <c r="AP20" s="279"/>
      <c r="AQ20" s="145"/>
      <c r="AR20" s="145"/>
      <c r="AS20" s="145"/>
      <c r="AT20" s="145"/>
      <c r="AU20" s="145"/>
      <c r="AV20" s="145"/>
      <c r="AW20" s="145"/>
      <c r="AX20" s="145"/>
      <c r="AY20" s="145"/>
      <c r="AZ20" s="145"/>
      <c r="BA20" s="276"/>
      <c r="BB20" s="277"/>
      <c r="BC20" s="277"/>
      <c r="BD20" s="277"/>
      <c r="BE20" s="271"/>
      <c r="BF20" s="271"/>
      <c r="BG20" s="271"/>
      <c r="BH20" s="271"/>
      <c r="BI20" s="266"/>
      <c r="BJ20" s="267"/>
      <c r="BK20" s="268"/>
      <c r="BL20" s="266"/>
      <c r="BM20" s="267"/>
      <c r="BN20" s="268"/>
      <c r="BO20" s="257"/>
      <c r="BP20" s="258"/>
      <c r="BQ20" s="258"/>
      <c r="BR20" s="258"/>
      <c r="DA20" s="252"/>
      <c r="DB20" s="252"/>
      <c r="DC20" s="252"/>
      <c r="DD20" s="252"/>
      <c r="DE20" s="252"/>
      <c r="DF20" s="252"/>
      <c r="DG20" s="252"/>
      <c r="DH20" s="252"/>
      <c r="DI20" s="252"/>
      <c r="DJ20" s="252"/>
      <c r="DK20" s="252"/>
      <c r="DL20" s="252"/>
      <c r="DM20" s="252"/>
      <c r="DN20" s="82"/>
      <c r="DO20" s="251"/>
      <c r="DP20" s="251"/>
      <c r="DQ20" s="82"/>
      <c r="DR20" s="82"/>
      <c r="DS20" s="82"/>
      <c r="DT20" s="82"/>
      <c r="DU20" s="82"/>
      <c r="DV20" s="82"/>
      <c r="DW20" s="82"/>
      <c r="DX20" s="82"/>
      <c r="DY20" s="82"/>
      <c r="DZ20" s="82"/>
      <c r="EA20" s="252"/>
      <c r="EB20" s="252"/>
      <c r="EC20" s="252"/>
      <c r="ED20" s="252"/>
      <c r="EE20" s="83"/>
      <c r="EF20" s="83"/>
      <c r="EG20" s="251"/>
      <c r="EH20" s="251"/>
      <c r="EI20" s="83"/>
      <c r="EJ20" s="251"/>
      <c r="EK20" s="251"/>
      <c r="EL20" s="251"/>
      <c r="EM20" s="251"/>
      <c r="EN20" s="251"/>
      <c r="EO20" s="253"/>
      <c r="EP20" s="253"/>
      <c r="EQ20" s="253"/>
      <c r="ER20" s="253"/>
      <c r="ES20" s="56"/>
    </row>
    <row r="21" spans="1:181" ht="15" customHeight="1">
      <c r="A21" s="149">
        <v>33</v>
      </c>
      <c r="B21" s="5">
        <v>60</v>
      </c>
      <c r="H21" s="70" t="s">
        <v>52</v>
      </c>
      <c r="I21" s="159"/>
      <c r="J21" s="159"/>
      <c r="K21" s="159"/>
      <c r="L21" s="159"/>
      <c r="M21" s="159"/>
      <c r="N21" s="160"/>
      <c r="O21" s="161"/>
      <c r="P21" s="159"/>
      <c r="Q21" s="3"/>
      <c r="R21" s="3"/>
      <c r="S21" s="69"/>
      <c r="AA21" s="48" t="s">
        <v>135</v>
      </c>
      <c r="AB21" s="281" t="s">
        <v>175</v>
      </c>
      <c r="AC21" s="281" t="s">
        <v>176</v>
      </c>
      <c r="AD21" s="30" t="s">
        <v>124</v>
      </c>
      <c r="AE21" s="28" t="s">
        <v>136</v>
      </c>
      <c r="AF21" s="28" t="s">
        <v>137</v>
      </c>
      <c r="AG21" s="28" t="s">
        <v>296</v>
      </c>
      <c r="AH21" s="30" t="s">
        <v>139</v>
      </c>
      <c r="AI21" s="30" t="s">
        <v>140</v>
      </c>
      <c r="AJ21" s="30" t="s">
        <v>141</v>
      </c>
      <c r="AK21" s="30" t="s">
        <v>308</v>
      </c>
      <c r="AL21" s="284" t="s">
        <v>149</v>
      </c>
      <c r="AM21" s="284"/>
      <c r="AN21" s="157"/>
      <c r="AO21" s="279"/>
      <c r="AP21" s="279"/>
      <c r="AQ21" s="142"/>
      <c r="AR21" s="142"/>
      <c r="AS21" s="142"/>
      <c r="AT21" s="142"/>
      <c r="AU21" s="142"/>
      <c r="AV21" s="142"/>
      <c r="AW21" s="142"/>
      <c r="AX21" s="142"/>
      <c r="AY21" s="142"/>
      <c r="AZ21" s="142"/>
      <c r="BA21" s="271" t="s">
        <v>125</v>
      </c>
      <c r="BB21" s="146" t="s">
        <v>157</v>
      </c>
      <c r="BC21" s="146" t="s">
        <v>126</v>
      </c>
      <c r="BD21" s="146" t="s">
        <v>173</v>
      </c>
      <c r="BE21" s="32" t="s">
        <v>152</v>
      </c>
      <c r="BF21" s="32" t="s">
        <v>153</v>
      </c>
      <c r="BG21" s="272" t="s">
        <v>154</v>
      </c>
      <c r="BH21" s="261" t="s">
        <v>155</v>
      </c>
      <c r="BI21" s="158" t="s">
        <v>307</v>
      </c>
      <c r="BJ21" s="272" t="s">
        <v>154</v>
      </c>
      <c r="BK21" s="261" t="s">
        <v>155</v>
      </c>
      <c r="BL21" s="29" t="s">
        <v>158</v>
      </c>
      <c r="BM21" s="259" t="s">
        <v>154</v>
      </c>
      <c r="BN21" s="261" t="s">
        <v>155</v>
      </c>
      <c r="BO21" s="29" t="s">
        <v>159</v>
      </c>
      <c r="BP21" s="29" t="s">
        <v>173</v>
      </c>
      <c r="BQ21" s="259" t="s">
        <v>154</v>
      </c>
      <c r="BR21" s="261" t="s">
        <v>155</v>
      </c>
      <c r="DA21" s="84" t="s">
        <v>135</v>
      </c>
      <c r="DB21" s="253" t="s">
        <v>175</v>
      </c>
      <c r="DC21" s="253" t="s">
        <v>176</v>
      </c>
      <c r="DD21" s="85" t="s">
        <v>124</v>
      </c>
      <c r="DE21" s="86" t="s">
        <v>136</v>
      </c>
      <c r="DF21" s="86" t="s">
        <v>137</v>
      </c>
      <c r="DG21" s="86" t="s">
        <v>296</v>
      </c>
      <c r="DH21" s="85" t="s">
        <v>139</v>
      </c>
      <c r="DI21" s="85" t="s">
        <v>140</v>
      </c>
      <c r="DJ21" s="85" t="s">
        <v>141</v>
      </c>
      <c r="DK21" s="85" t="s">
        <v>308</v>
      </c>
      <c r="DL21" s="269" t="s">
        <v>149</v>
      </c>
      <c r="DM21" s="269"/>
      <c r="DN21" s="187"/>
      <c r="DO21" s="251"/>
      <c r="DP21" s="251"/>
      <c r="DQ21" s="82"/>
      <c r="DR21" s="82"/>
      <c r="DS21" s="82"/>
      <c r="DT21" s="82"/>
      <c r="DU21" s="82"/>
      <c r="DV21" s="82"/>
      <c r="DW21" s="82"/>
      <c r="DX21" s="82"/>
      <c r="DY21" s="82"/>
      <c r="DZ21" s="82"/>
      <c r="EA21" s="251" t="s">
        <v>125</v>
      </c>
      <c r="EB21" s="87" t="s">
        <v>157</v>
      </c>
      <c r="EC21" s="87" t="s">
        <v>126</v>
      </c>
      <c r="ED21" s="87" t="s">
        <v>173</v>
      </c>
      <c r="EE21" s="82" t="s">
        <v>152</v>
      </c>
      <c r="EF21" s="82" t="s">
        <v>153</v>
      </c>
      <c r="EG21" s="270" t="s">
        <v>154</v>
      </c>
      <c r="EH21" s="254" t="s">
        <v>155</v>
      </c>
      <c r="EI21" s="202" t="s">
        <v>307</v>
      </c>
      <c r="EJ21" s="270" t="s">
        <v>154</v>
      </c>
      <c r="EK21" s="254" t="s">
        <v>155</v>
      </c>
      <c r="EL21" s="84" t="s">
        <v>158</v>
      </c>
      <c r="EM21" s="269" t="s">
        <v>154</v>
      </c>
      <c r="EN21" s="254" t="s">
        <v>155</v>
      </c>
      <c r="EO21" s="84" t="s">
        <v>159</v>
      </c>
      <c r="EP21" s="84" t="s">
        <v>173</v>
      </c>
      <c r="EQ21" s="269" t="s">
        <v>154</v>
      </c>
      <c r="ER21" s="254" t="s">
        <v>155</v>
      </c>
      <c r="ES21" s="56"/>
    </row>
    <row r="22" spans="1:181" ht="12.75" customHeight="1">
      <c r="A22" s="149">
        <v>36</v>
      </c>
      <c r="B22" s="5">
        <v>60</v>
      </c>
      <c r="H22" s="71"/>
      <c r="I22" s="159" t="str">
        <f>"- Bản đế, sườn đế:"</f>
        <v>- Bản đế, sườn đế:</v>
      </c>
      <c r="J22" s="159"/>
      <c r="K22" s="160"/>
      <c r="L22" s="162"/>
      <c r="M22" s="159"/>
      <c r="N22" s="3"/>
      <c r="O22" s="3"/>
      <c r="P22" s="3"/>
      <c r="Q22" s="3"/>
      <c r="R22" s="164" t="s">
        <v>328</v>
      </c>
      <c r="S22" s="72"/>
      <c r="AA22" s="49">
        <f>MAX(23,22+COUNTA($AB$23:$AB$99973))</f>
        <v>32</v>
      </c>
      <c r="AB22" s="282"/>
      <c r="AC22" s="282"/>
      <c r="AD22" s="28" t="s">
        <v>127</v>
      </c>
      <c r="AE22" s="28" t="s">
        <v>138</v>
      </c>
      <c r="AF22" s="28" t="s">
        <v>138</v>
      </c>
      <c r="AG22" s="28" t="s">
        <v>138</v>
      </c>
      <c r="AH22" s="28" t="s">
        <v>138</v>
      </c>
      <c r="AI22" s="28" t="s">
        <v>138</v>
      </c>
      <c r="AJ22" s="28" t="s">
        <v>138</v>
      </c>
      <c r="AK22" s="28" t="s">
        <v>138</v>
      </c>
      <c r="AL22" s="28" t="s">
        <v>143</v>
      </c>
      <c r="AM22" s="28" t="s">
        <v>144</v>
      </c>
      <c r="AN22" s="28" t="s">
        <v>305</v>
      </c>
      <c r="AO22" s="280"/>
      <c r="AP22" s="280"/>
      <c r="AQ22" s="143"/>
      <c r="AR22" s="143"/>
      <c r="AS22" s="143"/>
      <c r="AT22" s="143"/>
      <c r="AU22" s="143"/>
      <c r="AV22" s="143"/>
      <c r="AW22" s="143"/>
      <c r="AX22" s="143"/>
      <c r="AY22" s="143"/>
      <c r="AZ22" s="143"/>
      <c r="BA22" s="271"/>
      <c r="BB22" s="146" t="s">
        <v>68</v>
      </c>
      <c r="BC22" s="146" t="s">
        <v>67</v>
      </c>
      <c r="BD22" s="146" t="s">
        <v>67</v>
      </c>
      <c r="BE22" s="31" t="s">
        <v>151</v>
      </c>
      <c r="BF22" s="31" t="s">
        <v>151</v>
      </c>
      <c r="BG22" s="273"/>
      <c r="BH22" s="262"/>
      <c r="BI22" s="28" t="s">
        <v>19</v>
      </c>
      <c r="BJ22" s="273"/>
      <c r="BK22" s="262"/>
      <c r="BL22" s="29" t="s">
        <v>1</v>
      </c>
      <c r="BM22" s="260"/>
      <c r="BN22" s="262"/>
      <c r="BO22" s="29" t="s">
        <v>67</v>
      </c>
      <c r="BP22" s="29" t="s">
        <v>67</v>
      </c>
      <c r="BQ22" s="260"/>
      <c r="BR22" s="262"/>
      <c r="DA22" s="88">
        <f>MAX(23,22+COUNTA($DB$23:$DB$99973))</f>
        <v>24</v>
      </c>
      <c r="DB22" s="253"/>
      <c r="DC22" s="253"/>
      <c r="DD22" s="86" t="s">
        <v>127</v>
      </c>
      <c r="DE22" s="86" t="s">
        <v>138</v>
      </c>
      <c r="DF22" s="86" t="s">
        <v>138</v>
      </c>
      <c r="DG22" s="86" t="s">
        <v>138</v>
      </c>
      <c r="DH22" s="86" t="s">
        <v>138</v>
      </c>
      <c r="DI22" s="86" t="s">
        <v>138</v>
      </c>
      <c r="DJ22" s="86" t="s">
        <v>138</v>
      </c>
      <c r="DK22" s="86" t="s">
        <v>138</v>
      </c>
      <c r="DL22" s="86" t="s">
        <v>143</v>
      </c>
      <c r="DM22" s="86" t="s">
        <v>144</v>
      </c>
      <c r="DN22" s="86" t="s">
        <v>305</v>
      </c>
      <c r="DO22" s="251"/>
      <c r="DP22" s="251"/>
      <c r="DQ22" s="82"/>
      <c r="DR22" s="82"/>
      <c r="DS22" s="82"/>
      <c r="DT22" s="82"/>
      <c r="DU22" s="82"/>
      <c r="DV22" s="82"/>
      <c r="DW22" s="82"/>
      <c r="DX22" s="82"/>
      <c r="DY22" s="82"/>
      <c r="DZ22" s="82"/>
      <c r="EA22" s="251"/>
      <c r="EB22" s="87" t="s">
        <v>68</v>
      </c>
      <c r="EC22" s="87" t="s">
        <v>67</v>
      </c>
      <c r="ED22" s="87" t="s">
        <v>67</v>
      </c>
      <c r="EE22" s="89" t="s">
        <v>151</v>
      </c>
      <c r="EF22" s="89" t="s">
        <v>151</v>
      </c>
      <c r="EG22" s="270"/>
      <c r="EH22" s="254"/>
      <c r="EI22" s="86" t="s">
        <v>19</v>
      </c>
      <c r="EJ22" s="270"/>
      <c r="EK22" s="254"/>
      <c r="EL22" s="84" t="s">
        <v>1</v>
      </c>
      <c r="EM22" s="269"/>
      <c r="EN22" s="254"/>
      <c r="EO22" s="84" t="s">
        <v>67</v>
      </c>
      <c r="EP22" s="84" t="s">
        <v>67</v>
      </c>
      <c r="EQ22" s="269"/>
      <c r="ER22" s="254"/>
      <c r="ES22" s="56"/>
    </row>
    <row r="23" spans="1:181" ht="12.75" customHeight="1">
      <c r="H23" s="71"/>
      <c r="I23" s="159" t="str">
        <f>"- Cường độ tiêu chuẩn của thép:"</f>
        <v>- Cường độ tiêu chuẩn của thép:</v>
      </c>
      <c r="J23" s="159"/>
      <c r="K23" s="160"/>
      <c r="L23" s="162"/>
      <c r="M23" s="159"/>
      <c r="N23" s="3"/>
      <c r="O23" s="3"/>
      <c r="P23" s="3"/>
      <c r="Q23" s="24" t="s">
        <v>49</v>
      </c>
      <c r="R23" s="25">
        <f>VLOOKUP(R22,Data!$A$3:$D$99,3,FALSE)</f>
        <v>240</v>
      </c>
      <c r="S23" s="73" t="s">
        <v>21</v>
      </c>
      <c r="AA23" s="26" t="s">
        <v>145</v>
      </c>
      <c r="AB23" s="26" t="s">
        <v>297</v>
      </c>
      <c r="AC23" s="26" t="s">
        <v>298</v>
      </c>
      <c r="AD23" s="27">
        <v>0</v>
      </c>
      <c r="AE23" s="21">
        <v>200</v>
      </c>
      <c r="AF23" s="21">
        <v>100</v>
      </c>
      <c r="AG23" s="21">
        <v>2.7</v>
      </c>
      <c r="AH23" s="8">
        <v>300</v>
      </c>
      <c r="AI23" s="8">
        <v>200</v>
      </c>
      <c r="AJ23" s="8">
        <v>16</v>
      </c>
      <c r="AK23" s="8">
        <v>0</v>
      </c>
      <c r="AL23" s="8">
        <v>4</v>
      </c>
      <c r="AM23" s="8">
        <v>20</v>
      </c>
      <c r="AN23" s="8">
        <f>VLOOKUP(AM23,$A$14:$C$22,2,FALSE)</f>
        <v>50</v>
      </c>
      <c r="AO23" s="8" t="str">
        <f>AF23&amp;"x"&amp;AE23&amp;"x"&amp;AG23</f>
        <v>100x200x2.7</v>
      </c>
      <c r="AP23" s="65" t="str">
        <f>AI23&amp;"x"&amp;AH23&amp;"x"&amp;AJ23&amp;" / " &amp;AL23&amp;"M"&amp;AM23</f>
        <v>200x300x16 / 4M20</v>
      </c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21" t="s">
        <v>321</v>
      </c>
      <c r="BB23" s="46">
        <v>0.16619211621359195</v>
      </c>
      <c r="BC23" s="46">
        <v>-4.6901518938616658</v>
      </c>
      <c r="BD23" s="46">
        <v>0.11157412599260061</v>
      </c>
      <c r="BE23" s="42" cm="1">
        <f t="array" ref="BE23">_xll.Dce_AnchorBolt_Asa($R$58, BB23, BC23, $R$36, $R$19, AH23, AI23, 50, AL23)</f>
        <v>57.1</v>
      </c>
      <c r="BF23" s="5">
        <f>VLOOKUP(AM23,Data!$V$4:$Z$99,4,FALSE)</f>
        <v>245</v>
      </c>
      <c r="BG23" s="35">
        <f>BE23/BF23</f>
        <v>0.23306122448979594</v>
      </c>
      <c r="BH23" s="5" t="str">
        <f>IF(BG23&lt;=1,"OK","Check")</f>
        <v>OK</v>
      </c>
      <c r="BI23" s="42">
        <f t="shared" ref="BI23" si="0">ABS(BC23)/(AH23*AI23)*1000+6*ABS(BB23*1000000)/(AI23*AH23^2)</f>
        <v>0.13356657030222507</v>
      </c>
      <c r="BJ23" s="35">
        <f>BI23/$R$84</f>
        <v>1.2281983476066674E-2</v>
      </c>
      <c r="BK23" s="5" t="str">
        <f>IF(BJ23&lt;=1,"OK","Check")</f>
        <v>OK</v>
      </c>
      <c r="BL23" s="42" cm="1">
        <f t="array" ref="BL23">SQRT((6*_xll.Dce_AnchorBolt_tmin(AK23, AF23, AE23, AH23, BI23))/($R$25*$R$26))*1000</f>
        <v>1.9110758505882144</v>
      </c>
      <c r="BM23" s="35">
        <f>BL23/AJ23</f>
        <v>0.1194422406617634</v>
      </c>
      <c r="BN23" s="5" t="str">
        <f>IF(BM23&lt;=1,"OK","Check")</f>
        <v>OK</v>
      </c>
      <c r="BO23" s="6">
        <f>0.6*$R$45*$R$19*AL23/1000</f>
        <v>141.12</v>
      </c>
      <c r="BP23" s="42">
        <f>MAX(BC23,ABS(BD23))</f>
        <v>0.11157412599260061</v>
      </c>
      <c r="BQ23" s="35">
        <f>BP23/BO23</f>
        <v>7.9063297897250993E-4</v>
      </c>
      <c r="BR23" s="5" t="str">
        <f>IF(BQ23&lt;=1,"OK","Check")</f>
        <v>OK</v>
      </c>
      <c r="DA23" s="203" t="s">
        <v>145</v>
      </c>
      <c r="DB23" s="203" t="s">
        <v>297</v>
      </c>
      <c r="DC23" s="203" t="s">
        <v>298</v>
      </c>
      <c r="DD23" s="204">
        <v>0</v>
      </c>
      <c r="DE23" s="205">
        <v>200</v>
      </c>
      <c r="DF23" s="205">
        <v>100</v>
      </c>
      <c r="DG23" s="205">
        <v>2.7</v>
      </c>
      <c r="DH23" s="91">
        <v>300</v>
      </c>
      <c r="DI23" s="91">
        <v>200</v>
      </c>
      <c r="DJ23" s="91">
        <v>16</v>
      </c>
      <c r="DK23" s="91">
        <v>0</v>
      </c>
      <c r="DL23" s="91">
        <v>4</v>
      </c>
      <c r="DM23" s="91">
        <v>20</v>
      </c>
      <c r="DN23" s="91">
        <v>50</v>
      </c>
      <c r="DO23" s="91" t="s">
        <v>322</v>
      </c>
      <c r="DP23" s="92" t="s">
        <v>323</v>
      </c>
      <c r="DQ23" s="92"/>
      <c r="DR23" s="92"/>
      <c r="DS23" s="92"/>
      <c r="DT23" s="92"/>
      <c r="DU23" s="92"/>
      <c r="DV23" s="92"/>
      <c r="DW23" s="92"/>
      <c r="DX23" s="92"/>
      <c r="DY23" s="92"/>
      <c r="DZ23" s="92"/>
      <c r="EA23" s="205" t="s">
        <v>302</v>
      </c>
      <c r="EB23" s="206">
        <v>5.1049668693980834</v>
      </c>
      <c r="EC23" s="206">
        <v>1.0896244811430986</v>
      </c>
      <c r="ED23" s="206">
        <v>6.7035630857625925</v>
      </c>
      <c r="EE23" s="93">
        <v>57.1</v>
      </c>
      <c r="EF23" s="94">
        <v>245</v>
      </c>
      <c r="EG23" s="95">
        <v>0.23306122448979594</v>
      </c>
      <c r="EH23" s="94" t="s">
        <v>324</v>
      </c>
      <c r="EI23" s="93">
        <v>1.7198160311517461</v>
      </c>
      <c r="EJ23" s="95">
        <v>0.15814400286452837</v>
      </c>
      <c r="EK23" s="94" t="s">
        <v>324</v>
      </c>
      <c r="EL23" s="93">
        <v>5.7196059214694337</v>
      </c>
      <c r="EM23" s="95">
        <v>0.35747537009183961</v>
      </c>
      <c r="EN23" s="94" t="s">
        <v>324</v>
      </c>
      <c r="EO23" s="93">
        <v>7.622406120285774</v>
      </c>
      <c r="EP23" s="93">
        <v>6.7035630857625925</v>
      </c>
      <c r="EQ23" s="95">
        <v>0.87945498835625768</v>
      </c>
      <c r="ER23" s="94" t="s">
        <v>324</v>
      </c>
      <c r="ES23" s="56"/>
    </row>
    <row r="24" spans="1:181" ht="12.75" customHeight="1">
      <c r="H24" s="71"/>
      <c r="I24" s="159" t="str">
        <f>"- Cường độ tiêu chuẩn kéo đứt của thép:"</f>
        <v>- Cường độ tiêu chuẩn kéo đứt của thép:</v>
      </c>
      <c r="J24" s="159"/>
      <c r="K24" s="160"/>
      <c r="L24" s="162"/>
      <c r="M24" s="159"/>
      <c r="N24" s="3"/>
      <c r="O24" s="3"/>
      <c r="P24" s="3"/>
      <c r="Q24" s="24" t="s">
        <v>120</v>
      </c>
      <c r="R24" s="25">
        <f>VLOOKUP(R22,Data!$A$3:$D$99,4,FALSE)</f>
        <v>380</v>
      </c>
      <c r="S24" s="73" t="s">
        <v>21</v>
      </c>
      <c r="AA24" s="26" t="s">
        <v>145</v>
      </c>
      <c r="AB24" s="26" t="s">
        <v>297</v>
      </c>
      <c r="AC24" s="26" t="s">
        <v>298</v>
      </c>
      <c r="AD24" s="27">
        <v>0</v>
      </c>
      <c r="AE24" s="21">
        <v>200</v>
      </c>
      <c r="AF24" s="21">
        <v>100</v>
      </c>
      <c r="AG24" s="21">
        <v>2.7</v>
      </c>
      <c r="AH24" s="8">
        <v>300</v>
      </c>
      <c r="AI24" s="8">
        <v>200</v>
      </c>
      <c r="AJ24" s="8">
        <v>16</v>
      </c>
      <c r="AK24" s="8">
        <v>0</v>
      </c>
      <c r="AL24" s="8">
        <v>4</v>
      </c>
      <c r="AM24" s="8">
        <v>20</v>
      </c>
      <c r="AN24" s="8">
        <f t="shared" ref="AN24:AN32" si="1">VLOOKUP(AM24,$A$14:$C$22,2,FALSE)</f>
        <v>50</v>
      </c>
      <c r="AO24" s="8" t="str">
        <f t="shared" ref="AO24:AO32" si="2">AF24&amp;"x"&amp;AE24&amp;"x"&amp;AG24</f>
        <v>100x200x2.7</v>
      </c>
      <c r="AP24" s="65" t="str">
        <f t="shared" ref="AP24:AP32" si="3">AI24&amp;"x"&amp;AH24&amp;"x"&amp;AJ24&amp;" / " &amp;AL24&amp;"M"&amp;AM24</f>
        <v>200x300x16 / 4M20</v>
      </c>
      <c r="AQ24" s="65"/>
      <c r="AR24" s="65"/>
      <c r="AS24" s="65"/>
      <c r="AT24" s="65"/>
      <c r="AU24" s="65"/>
      <c r="AV24" s="65"/>
      <c r="AW24" s="65"/>
      <c r="AX24" s="65"/>
      <c r="AY24" s="65"/>
      <c r="AZ24" s="65"/>
      <c r="BA24" s="21" t="s">
        <v>301</v>
      </c>
      <c r="BB24" s="46">
        <v>0.45421647311081864</v>
      </c>
      <c r="BC24" s="46">
        <v>-7.3403959809669459</v>
      </c>
      <c r="BD24" s="46">
        <v>0.30899718303388685</v>
      </c>
      <c r="BE24" s="42" cm="1">
        <f t="array" ref="BE24">_xll.Dce_AnchorBolt_Asa($R$58, BB24, BC24, $R$36, $R$19, AH24, AI24, 50, AL24)</f>
        <v>57.1</v>
      </c>
      <c r="BF24" s="5">
        <f>VLOOKUP(AM24,Data!$V$4:$Z$99,4,FALSE)</f>
        <v>245</v>
      </c>
      <c r="BG24" s="35">
        <f t="shared" ref="BG24:BG32" si="4">BE24/BF24</f>
        <v>0.23306122448979594</v>
      </c>
      <c r="BH24" s="5" t="str">
        <f t="shared" ref="BH24:BH32" si="5">IF(BG24&lt;=1,"OK","Check")</f>
        <v>OK</v>
      </c>
      <c r="BI24" s="42">
        <f t="shared" ref="BI24:BI32" si="6">ABS(BC24)/(AH24*AI24)*1000+6*ABS(BB24*1000000)/(AI24*AH24^2)</f>
        <v>0.2737454240530553</v>
      </c>
      <c r="BJ24" s="35">
        <f t="shared" ref="BJ24:BJ32" si="7">BI24/$R$84</f>
        <v>2.51719930163729E-2</v>
      </c>
      <c r="BK24" s="5" t="str">
        <f t="shared" ref="BK24:BK32" si="8">IF(BJ24&lt;=1,"OK","Check")</f>
        <v>OK</v>
      </c>
      <c r="BL24" s="42" cm="1">
        <f t="array" ref="BL24">SQRT((6*_xll.Dce_AnchorBolt_tmin(AK24, AF24, AE24, AH24, BI24))/($R$25*$R$26))*1000</f>
        <v>2.735914187059004</v>
      </c>
      <c r="BM24" s="35">
        <f t="shared" ref="BM24:BM32" si="9">BL24/AJ24</f>
        <v>0.17099463669118775</v>
      </c>
      <c r="BN24" s="5" t="str">
        <f t="shared" ref="BN24:BN32" si="10">IF(BM24&lt;=1,"OK","Check")</f>
        <v>OK</v>
      </c>
      <c r="BO24" s="6">
        <f t="shared" ref="BO24:BO32" si="11">0.6*$R$45*$R$19*AL24/1000</f>
        <v>141.12</v>
      </c>
      <c r="BP24" s="42">
        <f t="shared" ref="BP24:BP32" si="12">MAX(BC24,ABS(BD24))</f>
        <v>0.30899718303388685</v>
      </c>
      <c r="BQ24" s="35">
        <f t="shared" ref="BQ24:BQ32" si="13">BP24/BO24</f>
        <v>2.1896058888455699E-3</v>
      </c>
      <c r="BR24" s="5" t="str">
        <f t="shared" ref="BR24:BR32" si="14">IF(BQ24&lt;=1,"OK","Check")</f>
        <v>OK</v>
      </c>
      <c r="DA24" s="203" t="s">
        <v>145</v>
      </c>
      <c r="DB24" s="203" t="s">
        <v>299</v>
      </c>
      <c r="DC24" s="203" t="s">
        <v>300</v>
      </c>
      <c r="DD24" s="204">
        <v>0</v>
      </c>
      <c r="DE24" s="205">
        <v>200</v>
      </c>
      <c r="DF24" s="205">
        <v>100</v>
      </c>
      <c r="DG24" s="205">
        <v>2.7</v>
      </c>
      <c r="DH24" s="91">
        <v>300</v>
      </c>
      <c r="DI24" s="91">
        <v>200</v>
      </c>
      <c r="DJ24" s="91">
        <v>16</v>
      </c>
      <c r="DK24" s="91">
        <v>0</v>
      </c>
      <c r="DL24" s="91">
        <v>4</v>
      </c>
      <c r="DM24" s="91">
        <v>20</v>
      </c>
      <c r="DN24" s="91">
        <v>50</v>
      </c>
      <c r="DO24" s="91" t="s">
        <v>322</v>
      </c>
      <c r="DP24" s="92" t="s">
        <v>323</v>
      </c>
      <c r="DQ24" s="92"/>
      <c r="DR24" s="92"/>
      <c r="DS24" s="92"/>
      <c r="DT24" s="92"/>
      <c r="DU24" s="92"/>
      <c r="DV24" s="92"/>
      <c r="DW24" s="92"/>
      <c r="DX24" s="92"/>
      <c r="DY24" s="92"/>
      <c r="DZ24" s="92"/>
      <c r="EA24" s="205" t="s">
        <v>304</v>
      </c>
      <c r="EB24" s="206">
        <v>3.4278339304401348</v>
      </c>
      <c r="EC24" s="206">
        <v>-1.8587796760636017</v>
      </c>
      <c r="ED24" s="206">
        <v>4.5561907593851076</v>
      </c>
      <c r="EE24" s="93">
        <v>57.1</v>
      </c>
      <c r="EF24" s="94">
        <v>245</v>
      </c>
      <c r="EG24" s="95">
        <v>0.23306122448979594</v>
      </c>
      <c r="EH24" s="94" t="s">
        <v>324</v>
      </c>
      <c r="EI24" s="93">
        <v>1.1735909714144381</v>
      </c>
      <c r="EJ24" s="95">
        <v>0.10791641116454603</v>
      </c>
      <c r="EK24" s="94" t="s">
        <v>324</v>
      </c>
      <c r="EL24" s="93">
        <v>4.7248006628935135</v>
      </c>
      <c r="EM24" s="95">
        <v>0.2953000414308446</v>
      </c>
      <c r="EN24" s="94" t="s">
        <v>324</v>
      </c>
      <c r="EO24" s="93">
        <v>7.8146949190159001</v>
      </c>
      <c r="EP24" s="93">
        <v>4.5561907593851076</v>
      </c>
      <c r="EQ24" s="95">
        <v>0.58302861552512997</v>
      </c>
      <c r="ER24" s="94" t="s">
        <v>324</v>
      </c>
      <c r="ES24" s="56"/>
    </row>
    <row r="25" spans="1:181" ht="12.75" customHeight="1">
      <c r="H25" s="71"/>
      <c r="I25" s="159" t="str">
        <f>"- Cường độ tính toán của thép:"</f>
        <v>- Cường độ tính toán của thép:</v>
      </c>
      <c r="J25" s="159"/>
      <c r="K25" s="160"/>
      <c r="L25" s="162"/>
      <c r="M25" s="159"/>
      <c r="N25" s="3"/>
      <c r="O25" s="13" t="s">
        <v>102</v>
      </c>
      <c r="P25" s="74">
        <f>VLOOKUP(R22,Data!$A$3:$E$99,5,FALSE)</f>
        <v>1.05</v>
      </c>
      <c r="Q25" s="24" t="s">
        <v>101</v>
      </c>
      <c r="R25" s="165">
        <f>R23/P25</f>
        <v>228.57142857142856</v>
      </c>
      <c r="S25" s="73" t="s">
        <v>21</v>
      </c>
      <c r="AA25" s="26" t="s">
        <v>145</v>
      </c>
      <c r="AB25" s="26" t="s">
        <v>297</v>
      </c>
      <c r="AC25" s="26" t="s">
        <v>298</v>
      </c>
      <c r="AD25" s="27">
        <v>0</v>
      </c>
      <c r="AE25" s="21">
        <v>200</v>
      </c>
      <c r="AF25" s="21">
        <v>100</v>
      </c>
      <c r="AG25" s="21">
        <v>2.7</v>
      </c>
      <c r="AH25" s="8">
        <v>300</v>
      </c>
      <c r="AI25" s="8">
        <v>200</v>
      </c>
      <c r="AJ25" s="8">
        <v>16</v>
      </c>
      <c r="AK25" s="8">
        <v>0</v>
      </c>
      <c r="AL25" s="8">
        <v>4</v>
      </c>
      <c r="AM25" s="8">
        <v>20</v>
      </c>
      <c r="AN25" s="8">
        <f t="shared" si="1"/>
        <v>50</v>
      </c>
      <c r="AO25" s="8" t="str">
        <f t="shared" si="2"/>
        <v>100x200x2.7</v>
      </c>
      <c r="AP25" s="65" t="str">
        <f t="shared" si="3"/>
        <v>200x300x16 / 4M20</v>
      </c>
      <c r="AQ25" s="65"/>
      <c r="AR25" s="65"/>
      <c r="AS25" s="65"/>
      <c r="AT25" s="65"/>
      <c r="AU25" s="65"/>
      <c r="AV25" s="65"/>
      <c r="AW25" s="65"/>
      <c r="AX25" s="65"/>
      <c r="AY25" s="65"/>
      <c r="AZ25" s="65"/>
      <c r="BA25" s="21" t="s">
        <v>302</v>
      </c>
      <c r="BB25" s="46">
        <v>5.1049668693980834</v>
      </c>
      <c r="BC25" s="46">
        <v>1.0896244811430986</v>
      </c>
      <c r="BD25" s="46">
        <v>6.7035630857625925</v>
      </c>
      <c r="BE25" s="42" cm="1">
        <f t="array" ref="BE25">_xll.Dce_AnchorBolt_Asa($R$58, BB25, BC25, $R$36, $R$19, AH25, AI25, 50, AL25)</f>
        <v>57.1</v>
      </c>
      <c r="BF25" s="5">
        <f>VLOOKUP(AM25,Data!$V$4:$Z$99,4,FALSE)</f>
        <v>245</v>
      </c>
      <c r="BG25" s="35">
        <f t="shared" si="4"/>
        <v>0.23306122448979594</v>
      </c>
      <c r="BH25" s="5" t="str">
        <f t="shared" si="5"/>
        <v>OK</v>
      </c>
      <c r="BI25" s="42">
        <f t="shared" si="6"/>
        <v>1.7198160311517461</v>
      </c>
      <c r="BJ25" s="35">
        <f t="shared" si="7"/>
        <v>0.15814400286452837</v>
      </c>
      <c r="BK25" s="5" t="str">
        <f t="shared" si="8"/>
        <v>OK</v>
      </c>
      <c r="BL25" s="42" cm="1">
        <f t="array" ref="BL25">SQRT((6*_xll.Dce_AnchorBolt_tmin(AK25, AF25, AE25, AH25, BI25))/($R$25*$R$26))*1000</f>
        <v>6.8575665947773015</v>
      </c>
      <c r="BM25" s="35">
        <f t="shared" si="9"/>
        <v>0.42859791217358134</v>
      </c>
      <c r="BN25" s="5" t="str">
        <f t="shared" si="10"/>
        <v>OK</v>
      </c>
      <c r="BO25" s="6">
        <f t="shared" si="11"/>
        <v>141.12</v>
      </c>
      <c r="BP25" s="42">
        <f t="shared" si="12"/>
        <v>6.7035630857625925</v>
      </c>
      <c r="BQ25" s="35">
        <f t="shared" si="13"/>
        <v>4.7502572886639685E-2</v>
      </c>
      <c r="BR25" s="5" t="str">
        <f t="shared" si="14"/>
        <v>OK</v>
      </c>
      <c r="DA25" s="203"/>
      <c r="DB25" s="203"/>
      <c r="DC25" s="203"/>
      <c r="DD25" s="204"/>
      <c r="DE25" s="205"/>
      <c r="DF25" s="205"/>
      <c r="DG25" s="205"/>
      <c r="DH25" s="91"/>
      <c r="DI25" s="91"/>
      <c r="DJ25" s="91"/>
      <c r="DK25" s="91"/>
      <c r="DL25" s="91"/>
      <c r="DM25" s="91"/>
      <c r="DN25" s="91"/>
      <c r="DO25" s="91"/>
      <c r="DP25" s="92"/>
      <c r="DQ25" s="92"/>
      <c r="DR25" s="92"/>
      <c r="DS25" s="92"/>
      <c r="DT25" s="92"/>
      <c r="DU25" s="92"/>
      <c r="DV25" s="92"/>
      <c r="DW25" s="92"/>
      <c r="DX25" s="92"/>
      <c r="DY25" s="92"/>
      <c r="DZ25" s="92"/>
      <c r="EA25" s="205"/>
      <c r="EB25" s="206"/>
      <c r="EC25" s="206"/>
      <c r="ED25" s="206"/>
      <c r="EE25" s="93"/>
      <c r="EF25" s="94"/>
      <c r="EG25" s="95"/>
      <c r="EH25" s="94"/>
      <c r="EI25" s="93"/>
      <c r="EJ25" s="95"/>
      <c r="EK25" s="94"/>
      <c r="EL25" s="93"/>
      <c r="EM25" s="95"/>
      <c r="EN25" s="94"/>
      <c r="EO25" s="93"/>
      <c r="EP25" s="93"/>
      <c r="EQ25" s="95"/>
      <c r="ER25" s="94"/>
      <c r="ES25" s="56"/>
    </row>
    <row r="26" spans="1:181" ht="12.75" customHeight="1">
      <c r="H26" s="71"/>
      <c r="I26" s="159" t="str">
        <f>"- Hệ số điều kiện làm việc của kết cấu (Bảng 1 - Mục 9):"</f>
        <v>- Hệ số điều kiện làm việc của kết cấu (Bảng 1 - Mục 9):</v>
      </c>
      <c r="J26" s="159"/>
      <c r="K26" s="160"/>
      <c r="L26" s="162"/>
      <c r="M26" s="159"/>
      <c r="N26" s="3"/>
      <c r="O26" s="3"/>
      <c r="P26" s="3"/>
      <c r="Q26" s="13" t="s">
        <v>111</v>
      </c>
      <c r="R26" s="23">
        <f>IF(R48&lt;=40,1.2,IF(R48&lt;=60,1.15,1.1))</f>
        <v>1.2</v>
      </c>
      <c r="S26" s="73" t="s">
        <v>21</v>
      </c>
      <c r="AA26" s="26" t="s">
        <v>145</v>
      </c>
      <c r="AB26" s="26" t="s">
        <v>297</v>
      </c>
      <c r="AC26" s="26" t="s">
        <v>298</v>
      </c>
      <c r="AD26" s="27">
        <v>0</v>
      </c>
      <c r="AE26" s="21">
        <v>200</v>
      </c>
      <c r="AF26" s="21">
        <v>100</v>
      </c>
      <c r="AG26" s="21">
        <v>2.7</v>
      </c>
      <c r="AH26" s="8">
        <v>300</v>
      </c>
      <c r="AI26" s="8">
        <v>200</v>
      </c>
      <c r="AJ26" s="8">
        <v>16</v>
      </c>
      <c r="AK26" s="8">
        <v>0</v>
      </c>
      <c r="AL26" s="8">
        <v>4</v>
      </c>
      <c r="AM26" s="8">
        <v>20</v>
      </c>
      <c r="AN26" s="8">
        <f t="shared" si="1"/>
        <v>50</v>
      </c>
      <c r="AO26" s="8" t="str">
        <f t="shared" si="2"/>
        <v>100x200x2.7</v>
      </c>
      <c r="AP26" s="65" t="str">
        <f t="shared" si="3"/>
        <v>200x300x16 / 4M20</v>
      </c>
      <c r="AQ26" s="65"/>
      <c r="AR26" s="65"/>
      <c r="AS26" s="65"/>
      <c r="AT26" s="65"/>
      <c r="AU26" s="65"/>
      <c r="AV26" s="65"/>
      <c r="AW26" s="65"/>
      <c r="AX26" s="65"/>
      <c r="AY26" s="65"/>
      <c r="AZ26" s="65"/>
      <c r="BA26" s="21" t="s">
        <v>303</v>
      </c>
      <c r="BB26" s="46">
        <v>3.2038912734999694</v>
      </c>
      <c r="BC26" s="46">
        <v>-1.7997704354280932</v>
      </c>
      <c r="BD26" s="46">
        <v>4.1167403194446894</v>
      </c>
      <c r="BE26" s="42" cm="1">
        <f t="array" ref="BE26">_xll.Dce_AnchorBolt_Asa($R$58, BB26, BC26, $R$36, $R$19, AH26, AI26, 50, AL26)</f>
        <v>57.1</v>
      </c>
      <c r="BF26" s="5">
        <f>VLOOKUP(AM26,Data!$V$4:$Z$99,4,FALSE)</f>
        <v>245</v>
      </c>
      <c r="BG26" s="35">
        <f t="shared" si="4"/>
        <v>0.23306122448979594</v>
      </c>
      <c r="BH26" s="5" t="str">
        <f t="shared" si="5"/>
        <v>OK</v>
      </c>
      <c r="BI26" s="42">
        <f t="shared" si="6"/>
        <v>1.0979599317571247</v>
      </c>
      <c r="BJ26" s="35">
        <f t="shared" si="7"/>
        <v>0.10096183280525285</v>
      </c>
      <c r="BK26" s="5" t="str">
        <f t="shared" si="8"/>
        <v>OK</v>
      </c>
      <c r="BL26" s="42" cm="1">
        <f t="array" ref="BL26">SQRT((6*_xll.Dce_AnchorBolt_tmin(AK26, AF26, AE26, AH26, BI26))/($R$25*$R$26))*1000</f>
        <v>5.4792647211084704</v>
      </c>
      <c r="BM26" s="35">
        <f t="shared" si="9"/>
        <v>0.3424540450692794</v>
      </c>
      <c r="BN26" s="5" t="str">
        <f t="shared" si="10"/>
        <v>OK</v>
      </c>
      <c r="BO26" s="6">
        <f t="shared" si="11"/>
        <v>141.12</v>
      </c>
      <c r="BP26" s="42">
        <f t="shared" si="12"/>
        <v>4.1167403194446894</v>
      </c>
      <c r="BQ26" s="35">
        <f t="shared" si="13"/>
        <v>2.9171912694477675E-2</v>
      </c>
      <c r="BR26" s="5" t="str">
        <f t="shared" si="14"/>
        <v>OK</v>
      </c>
      <c r="DA26" s="203"/>
      <c r="DB26" s="203"/>
      <c r="DC26" s="203"/>
      <c r="DD26" s="204"/>
      <c r="DE26" s="205"/>
      <c r="DF26" s="205"/>
      <c r="DG26" s="205"/>
      <c r="DH26" s="91"/>
      <c r="DI26" s="91"/>
      <c r="DJ26" s="91"/>
      <c r="DK26" s="91"/>
      <c r="DL26" s="91"/>
      <c r="DM26" s="91"/>
      <c r="DN26" s="91"/>
      <c r="DO26" s="91"/>
      <c r="DP26" s="92"/>
      <c r="DQ26" s="92"/>
      <c r="DR26" s="92"/>
      <c r="DS26" s="92"/>
      <c r="DT26" s="92"/>
      <c r="DU26" s="92"/>
      <c r="DV26" s="92"/>
      <c r="DW26" s="92"/>
      <c r="DX26" s="92"/>
      <c r="DY26" s="92"/>
      <c r="DZ26" s="92"/>
      <c r="EA26" s="205"/>
      <c r="EB26" s="206"/>
      <c r="EC26" s="206"/>
      <c r="ED26" s="206"/>
      <c r="EE26" s="93"/>
      <c r="EF26" s="94"/>
      <c r="EG26" s="95"/>
      <c r="EH26" s="94"/>
      <c r="EI26" s="93"/>
      <c r="EJ26" s="95"/>
      <c r="EK26" s="94"/>
      <c r="EL26" s="93"/>
      <c r="EM26" s="95"/>
      <c r="EN26" s="94"/>
      <c r="EO26" s="93"/>
      <c r="EP26" s="93"/>
      <c r="EQ26" s="95"/>
      <c r="ER26" s="94"/>
      <c r="ES26" s="56"/>
    </row>
    <row r="27" spans="1:181" ht="12.75" customHeight="1">
      <c r="H27" s="70" t="s">
        <v>53</v>
      </c>
      <c r="I27" s="159"/>
      <c r="J27" s="159"/>
      <c r="K27" s="159"/>
      <c r="L27" s="159"/>
      <c r="M27" s="159"/>
      <c r="N27" s="160"/>
      <c r="O27" s="161"/>
      <c r="P27" s="159"/>
      <c r="Q27" s="3"/>
      <c r="R27" s="3"/>
      <c r="S27" s="69"/>
      <c r="T27" s="2"/>
      <c r="AA27" s="26" t="s">
        <v>145</v>
      </c>
      <c r="AB27" s="26" t="s">
        <v>297</v>
      </c>
      <c r="AC27" s="26" t="s">
        <v>298</v>
      </c>
      <c r="AD27" s="27">
        <v>0</v>
      </c>
      <c r="AE27" s="21">
        <v>200</v>
      </c>
      <c r="AF27" s="21">
        <v>100</v>
      </c>
      <c r="AG27" s="21">
        <v>2.7</v>
      </c>
      <c r="AH27" s="8">
        <v>300</v>
      </c>
      <c r="AI27" s="8">
        <v>200</v>
      </c>
      <c r="AJ27" s="8">
        <v>16</v>
      </c>
      <c r="AK27" s="8">
        <v>0</v>
      </c>
      <c r="AL27" s="8">
        <v>4</v>
      </c>
      <c r="AM27" s="8">
        <v>20</v>
      </c>
      <c r="AN27" s="8">
        <f t="shared" si="1"/>
        <v>50</v>
      </c>
      <c r="AO27" s="8" t="str">
        <f t="shared" si="2"/>
        <v>100x200x2.7</v>
      </c>
      <c r="AP27" s="65" t="str">
        <f t="shared" si="3"/>
        <v>200x300x16 / 4M20</v>
      </c>
      <c r="AQ27" s="65"/>
      <c r="AR27" s="65"/>
      <c r="AS27" s="65"/>
      <c r="AT27" s="65"/>
      <c r="AU27" s="65"/>
      <c r="AV27" s="65"/>
      <c r="AW27" s="65"/>
      <c r="AX27" s="65"/>
      <c r="AY27" s="65"/>
      <c r="AZ27" s="65"/>
      <c r="BA27" s="21" t="s">
        <v>304</v>
      </c>
      <c r="BB27" s="46">
        <v>3.410320446596697</v>
      </c>
      <c r="BC27" s="46">
        <v>0.38936937138622479</v>
      </c>
      <c r="BD27" s="46">
        <v>4.5457718498431543</v>
      </c>
      <c r="BE27" s="42" cm="1">
        <f t="array" ref="BE27">_xll.Dce_AnchorBolt_Asa($R$58, BB27, BC27, $R$36, $R$19, AH27, AI27, 50, AL27)</f>
        <v>57.1</v>
      </c>
      <c r="BF27" s="5">
        <f>VLOOKUP(AM27,Data!$V$4:$Z$99,4,FALSE)</f>
        <v>245</v>
      </c>
      <c r="BG27" s="35">
        <f t="shared" si="4"/>
        <v>0.23306122448979594</v>
      </c>
      <c r="BH27" s="5" t="str">
        <f t="shared" si="5"/>
        <v>OK</v>
      </c>
      <c r="BI27" s="42">
        <f t="shared" si="6"/>
        <v>1.1432629717220029</v>
      </c>
      <c r="BJ27" s="35">
        <f t="shared" si="7"/>
        <v>0.10512762958363245</v>
      </c>
      <c r="BK27" s="5" t="str">
        <f t="shared" si="8"/>
        <v>OK</v>
      </c>
      <c r="BL27" s="42" cm="1">
        <f t="array" ref="BL27">SQRT((6*_xll.Dce_AnchorBolt_tmin(AK27, AF27, AE27, AH27, BI27))/($R$25*$R$26))*1000</f>
        <v>5.5911623910438797</v>
      </c>
      <c r="BM27" s="35">
        <f t="shared" si="9"/>
        <v>0.34944764944024248</v>
      </c>
      <c r="BN27" s="5" t="str">
        <f t="shared" si="10"/>
        <v>OK</v>
      </c>
      <c r="BO27" s="6">
        <f t="shared" si="11"/>
        <v>141.12</v>
      </c>
      <c r="BP27" s="42">
        <f t="shared" si="12"/>
        <v>4.5457718498431543</v>
      </c>
      <c r="BQ27" s="35">
        <f t="shared" si="13"/>
        <v>3.2212102110566569E-2</v>
      </c>
      <c r="BR27" s="5" t="str">
        <f t="shared" si="14"/>
        <v>OK</v>
      </c>
      <c r="DA27" s="203"/>
      <c r="DB27" s="203"/>
      <c r="DC27" s="203"/>
      <c r="DD27" s="204"/>
      <c r="DE27" s="205"/>
      <c r="DF27" s="205"/>
      <c r="DG27" s="205"/>
      <c r="DH27" s="91"/>
      <c r="DI27" s="91"/>
      <c r="DJ27" s="91"/>
      <c r="DK27" s="91"/>
      <c r="DL27" s="91"/>
      <c r="DM27" s="91"/>
      <c r="DN27" s="91"/>
      <c r="DO27" s="91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205"/>
      <c r="EB27" s="206"/>
      <c r="EC27" s="206"/>
      <c r="ED27" s="206"/>
      <c r="EE27" s="93"/>
      <c r="EF27" s="94"/>
      <c r="EG27" s="95"/>
      <c r="EH27" s="94"/>
      <c r="EI27" s="93"/>
      <c r="EJ27" s="95"/>
      <c r="EK27" s="94"/>
      <c r="EL27" s="93"/>
      <c r="EM27" s="95"/>
      <c r="EN27" s="94"/>
      <c r="EO27" s="93"/>
      <c r="EP27" s="93"/>
      <c r="EQ27" s="95"/>
      <c r="ER27" s="94"/>
      <c r="ES27" s="56"/>
    </row>
    <row r="28" spans="1:181" ht="12.75" customHeight="1">
      <c r="H28" s="71"/>
      <c r="I28" s="159" t="str">
        <f>"- Que hàn:"</f>
        <v>- Que hàn:</v>
      </c>
      <c r="J28" s="159"/>
      <c r="K28" s="160"/>
      <c r="L28" s="162"/>
      <c r="M28" s="159"/>
      <c r="N28" s="3"/>
      <c r="O28" s="3"/>
      <c r="P28" s="3"/>
      <c r="Q28" s="3"/>
      <c r="R28" s="23" t="s">
        <v>130</v>
      </c>
      <c r="S28" s="72"/>
      <c r="T28" s="2"/>
      <c r="AA28" s="26" t="s">
        <v>145</v>
      </c>
      <c r="AB28" s="26" t="s">
        <v>299</v>
      </c>
      <c r="AC28" s="26" t="s">
        <v>300</v>
      </c>
      <c r="AD28" s="27">
        <v>0</v>
      </c>
      <c r="AE28" s="21">
        <v>200</v>
      </c>
      <c r="AF28" s="21">
        <v>100</v>
      </c>
      <c r="AG28" s="21">
        <v>2.7</v>
      </c>
      <c r="AH28" s="8">
        <v>300</v>
      </c>
      <c r="AI28" s="8">
        <v>200</v>
      </c>
      <c r="AJ28" s="8">
        <v>16</v>
      </c>
      <c r="AK28" s="8">
        <v>0</v>
      </c>
      <c r="AL28" s="8">
        <v>4</v>
      </c>
      <c r="AM28" s="8">
        <v>20</v>
      </c>
      <c r="AN28" s="8">
        <f t="shared" si="1"/>
        <v>50</v>
      </c>
      <c r="AO28" s="8" t="str">
        <f t="shared" si="2"/>
        <v>100x200x2.7</v>
      </c>
      <c r="AP28" s="65" t="str">
        <f t="shared" si="3"/>
        <v>200x300x16 / 4M20</v>
      </c>
      <c r="AQ28" s="65"/>
      <c r="AR28" s="65"/>
      <c r="AS28" s="65"/>
      <c r="AT28" s="65"/>
      <c r="AU28" s="65"/>
      <c r="AV28" s="65"/>
      <c r="AW28" s="65"/>
      <c r="AX28" s="65"/>
      <c r="AY28" s="65"/>
      <c r="AZ28" s="65"/>
      <c r="BA28" s="21" t="s">
        <v>321</v>
      </c>
      <c r="BB28" s="46">
        <v>0.1644588443323696</v>
      </c>
      <c r="BC28" s="46">
        <v>-4.6025560142606698</v>
      </c>
      <c r="BD28" s="46">
        <v>0.11251278903137238</v>
      </c>
      <c r="BE28" s="42" cm="1">
        <f t="array" ref="BE28">_xll.Dce_AnchorBolt_Asa($R$58, BB28, BC28, $R$36, $R$19, AH28, AI28, 50, AL28)</f>
        <v>57.1</v>
      </c>
      <c r="BF28" s="5">
        <f>VLOOKUP(AM28,Data!$V$4:$Z$99,4,FALSE)</f>
        <v>245</v>
      </c>
      <c r="BG28" s="35">
        <f t="shared" si="4"/>
        <v>0.23306122448979594</v>
      </c>
      <c r="BH28" s="5" t="str">
        <f t="shared" si="5"/>
        <v>OK</v>
      </c>
      <c r="BI28" s="42">
        <f t="shared" si="6"/>
        <v>0.13152888168180102</v>
      </c>
      <c r="BJ28" s="35">
        <f t="shared" si="7"/>
        <v>1.2094609809820783E-2</v>
      </c>
      <c r="BK28" s="5" t="str">
        <f t="shared" si="8"/>
        <v>OK</v>
      </c>
      <c r="BL28" s="42" cm="1">
        <f t="array" ref="BL28">SQRT((6*_xll.Dce_AnchorBolt_tmin(AK28, AF28, AE28, AH28, BI28))/($R$25*$R$26))*1000</f>
        <v>1.8964421579596746</v>
      </c>
      <c r="BM28" s="35">
        <f t="shared" si="9"/>
        <v>0.11852763487247966</v>
      </c>
      <c r="BN28" s="5" t="str">
        <f t="shared" si="10"/>
        <v>OK</v>
      </c>
      <c r="BO28" s="6">
        <f t="shared" si="11"/>
        <v>141.12</v>
      </c>
      <c r="BP28" s="42">
        <f t="shared" si="12"/>
        <v>0.11251278903137238</v>
      </c>
      <c r="BQ28" s="35">
        <f t="shared" si="13"/>
        <v>7.9728450277333034E-4</v>
      </c>
      <c r="BR28" s="5" t="str">
        <f t="shared" si="14"/>
        <v>OK</v>
      </c>
      <c r="DA28" s="203"/>
      <c r="DB28" s="203"/>
      <c r="DC28" s="203"/>
      <c r="DD28" s="204"/>
      <c r="DE28" s="205"/>
      <c r="DF28" s="205"/>
      <c r="DG28" s="205"/>
      <c r="DH28" s="91"/>
      <c r="DI28" s="91"/>
      <c r="DJ28" s="91"/>
      <c r="DK28" s="91"/>
      <c r="DL28" s="91"/>
      <c r="DM28" s="91"/>
      <c r="DN28" s="91"/>
      <c r="DO28" s="91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205"/>
      <c r="EB28" s="206"/>
      <c r="EC28" s="206"/>
      <c r="ED28" s="206"/>
      <c r="EE28" s="93"/>
      <c r="EF28" s="94"/>
      <c r="EG28" s="95"/>
      <c r="EH28" s="94"/>
      <c r="EI28" s="93"/>
      <c r="EJ28" s="95"/>
      <c r="EK28" s="94"/>
      <c r="EL28" s="93"/>
      <c r="EM28" s="95"/>
      <c r="EN28" s="94"/>
      <c r="EO28" s="93"/>
      <c r="EP28" s="93"/>
      <c r="EQ28" s="95"/>
      <c r="ER28" s="94"/>
      <c r="ES28" s="56"/>
    </row>
    <row r="29" spans="1:181" ht="12.75" customHeight="1">
      <c r="H29" s="71"/>
      <c r="I29" s="159" t="str">
        <f>"- Cường độ tiêu chuẩn theo giới hạn bền:"</f>
        <v>- Cường độ tiêu chuẩn theo giới hạn bền:</v>
      </c>
      <c r="J29" s="159"/>
      <c r="K29" s="160"/>
      <c r="L29" s="162"/>
      <c r="M29" s="159"/>
      <c r="N29" s="3"/>
      <c r="O29" s="3"/>
      <c r="P29" s="3"/>
      <c r="Q29" s="24" t="s">
        <v>117</v>
      </c>
      <c r="R29" s="25">
        <f>VLOOKUP(R28,Data!$AZ$3:$BB$99,2,FALSE)</f>
        <v>410</v>
      </c>
      <c r="S29" s="73" t="s">
        <v>21</v>
      </c>
      <c r="AA29" s="26" t="s">
        <v>145</v>
      </c>
      <c r="AB29" s="26" t="s">
        <v>299</v>
      </c>
      <c r="AC29" s="26" t="s">
        <v>300</v>
      </c>
      <c r="AD29" s="27">
        <v>0</v>
      </c>
      <c r="AE29" s="21">
        <v>200</v>
      </c>
      <c r="AF29" s="21">
        <v>100</v>
      </c>
      <c r="AG29" s="21">
        <v>2.7</v>
      </c>
      <c r="AH29" s="8">
        <v>300</v>
      </c>
      <c r="AI29" s="8">
        <v>200</v>
      </c>
      <c r="AJ29" s="8">
        <v>16</v>
      </c>
      <c r="AK29" s="8">
        <v>0</v>
      </c>
      <c r="AL29" s="8">
        <v>4</v>
      </c>
      <c r="AM29" s="8">
        <v>20</v>
      </c>
      <c r="AN29" s="8">
        <f t="shared" si="1"/>
        <v>50</v>
      </c>
      <c r="AO29" s="8" t="str">
        <f t="shared" si="2"/>
        <v>100x200x2.7</v>
      </c>
      <c r="AP29" s="65" t="str">
        <f t="shared" si="3"/>
        <v>200x300x16 / 4M20</v>
      </c>
      <c r="AQ29" s="65"/>
      <c r="AR29" s="65"/>
      <c r="AS29" s="65"/>
      <c r="AT29" s="65"/>
      <c r="AU29" s="65"/>
      <c r="AV29" s="65"/>
      <c r="AW29" s="65"/>
      <c r="AX29" s="65"/>
      <c r="AY29" s="65"/>
      <c r="AZ29" s="65"/>
      <c r="BA29" s="46" t="s">
        <v>301</v>
      </c>
      <c r="BB29" s="46">
        <v>0.45252484019226591</v>
      </c>
      <c r="BC29" s="46">
        <v>-7.0971587951591211</v>
      </c>
      <c r="BD29" s="46">
        <v>0.31000256417760885</v>
      </c>
      <c r="BE29" s="42" cm="1">
        <f t="array" ref="BE29">_xll.Dce_AnchorBolt_Asa($R$58, BB29, BC29, $R$36, $R$19, AH29, AI29, 50, AL29)</f>
        <v>57.1</v>
      </c>
      <c r="BF29" s="5">
        <f>VLOOKUP(AM29,Data!$V$4:$Z$99,4,FALSE)</f>
        <v>245</v>
      </c>
      <c r="BG29" s="35">
        <f t="shared" si="4"/>
        <v>0.23306122448979594</v>
      </c>
      <c r="BH29" s="5" t="str">
        <f t="shared" si="5"/>
        <v>OK</v>
      </c>
      <c r="BI29" s="42">
        <f t="shared" si="6"/>
        <v>0.26912759331674069</v>
      </c>
      <c r="BJ29" s="35">
        <f t="shared" si="7"/>
        <v>2.47473649026888E-2</v>
      </c>
      <c r="BK29" s="5" t="str">
        <f t="shared" si="8"/>
        <v>OK</v>
      </c>
      <c r="BL29" s="42" cm="1">
        <f t="array" ref="BL29">SQRT((6*_xll.Dce_AnchorBolt_tmin(AK29, AF29, AE29, AH29, BI29))/($R$25*$R$26))*1000</f>
        <v>2.7127398750625957</v>
      </c>
      <c r="BM29" s="35">
        <f t="shared" si="9"/>
        <v>0.16954624219141223</v>
      </c>
      <c r="BN29" s="5" t="str">
        <f t="shared" si="10"/>
        <v>OK</v>
      </c>
      <c r="BO29" s="6">
        <f t="shared" si="11"/>
        <v>141.12</v>
      </c>
      <c r="BP29" s="42">
        <f t="shared" si="12"/>
        <v>0.31000256417760885</v>
      </c>
      <c r="BQ29" s="35">
        <f t="shared" si="13"/>
        <v>2.1967301883333958E-3</v>
      </c>
      <c r="BR29" s="5" t="str">
        <f t="shared" si="14"/>
        <v>OK</v>
      </c>
      <c r="DA29" s="203"/>
      <c r="DB29" s="203"/>
      <c r="DC29" s="203"/>
      <c r="DD29" s="204"/>
      <c r="DE29" s="205"/>
      <c r="DF29" s="205"/>
      <c r="DG29" s="205"/>
      <c r="DH29" s="91"/>
      <c r="DI29" s="91"/>
      <c r="DJ29" s="91"/>
      <c r="DK29" s="91"/>
      <c r="DL29" s="91"/>
      <c r="DM29" s="91"/>
      <c r="DN29" s="91"/>
      <c r="DO29" s="91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206"/>
      <c r="EB29" s="206"/>
      <c r="EC29" s="206"/>
      <c r="ED29" s="206"/>
      <c r="EE29" s="93"/>
      <c r="EF29" s="94"/>
      <c r="EG29" s="95"/>
      <c r="EH29" s="94"/>
      <c r="EI29" s="93"/>
      <c r="EJ29" s="95"/>
      <c r="EK29" s="94"/>
      <c r="EL29" s="93"/>
      <c r="EM29" s="95"/>
      <c r="EN29" s="94"/>
      <c r="EO29" s="93"/>
      <c r="EP29" s="93"/>
      <c r="EQ29" s="95"/>
      <c r="ER29" s="94"/>
      <c r="ES29" s="56"/>
    </row>
    <row r="30" spans="1:181" ht="12.75" customHeight="1">
      <c r="H30" s="71"/>
      <c r="I30" s="159" t="str">
        <f>"- Cường độ tính toán theo kim loại đường hàn:"</f>
        <v>- Cường độ tính toán theo kim loại đường hàn:</v>
      </c>
      <c r="J30" s="159"/>
      <c r="K30" s="160"/>
      <c r="L30" s="162"/>
      <c r="M30" s="159"/>
      <c r="N30" s="3"/>
      <c r="O30" s="13" t="s">
        <v>121</v>
      </c>
      <c r="P30" s="23">
        <v>0.7</v>
      </c>
      <c r="Q30" s="24" t="s">
        <v>118</v>
      </c>
      <c r="R30" s="25">
        <f>VLOOKUP(R28,Data!$AZ$3:$BB$99,3,FALSE)</f>
        <v>180</v>
      </c>
      <c r="S30" s="73" t="s">
        <v>21</v>
      </c>
      <c r="AA30" s="26" t="s">
        <v>145</v>
      </c>
      <c r="AB30" s="26" t="s">
        <v>299</v>
      </c>
      <c r="AC30" s="26" t="s">
        <v>300</v>
      </c>
      <c r="AD30" s="27">
        <v>0</v>
      </c>
      <c r="AE30" s="21">
        <v>200</v>
      </c>
      <c r="AF30" s="21">
        <v>100</v>
      </c>
      <c r="AG30" s="21">
        <v>2.7</v>
      </c>
      <c r="AH30" s="8">
        <v>300</v>
      </c>
      <c r="AI30" s="8">
        <v>200</v>
      </c>
      <c r="AJ30" s="8">
        <v>16</v>
      </c>
      <c r="AK30" s="8">
        <v>0</v>
      </c>
      <c r="AL30" s="8">
        <v>4</v>
      </c>
      <c r="AM30" s="8">
        <v>20</v>
      </c>
      <c r="AN30" s="8">
        <f t="shared" si="1"/>
        <v>50</v>
      </c>
      <c r="AO30" s="8" t="str">
        <f t="shared" si="2"/>
        <v>100x200x2.7</v>
      </c>
      <c r="AP30" s="65" t="str">
        <f t="shared" si="3"/>
        <v>200x300x16 / 4M20</v>
      </c>
      <c r="AQ30" s="65"/>
      <c r="AR30" s="65"/>
      <c r="AS30" s="65"/>
      <c r="AT30" s="65"/>
      <c r="AU30" s="65"/>
      <c r="AV30" s="65"/>
      <c r="AW30" s="65"/>
      <c r="AX30" s="65"/>
      <c r="AY30" s="65"/>
      <c r="AZ30" s="65"/>
      <c r="BA30" s="46" t="s">
        <v>302</v>
      </c>
      <c r="BB30" s="46">
        <v>3.3772308007545204</v>
      </c>
      <c r="BC30" s="46">
        <v>2.6134797651827379</v>
      </c>
      <c r="BD30" s="46">
        <v>4.536441232986042</v>
      </c>
      <c r="BE30" s="42" cm="1">
        <f t="array" ref="BE30">_xll.Dce_AnchorBolt_Asa($R$58, BB30, BC30, $R$36, $R$19, AH30, AI30, 50, AL30)</f>
        <v>57.1</v>
      </c>
      <c r="BF30" s="5">
        <f>VLOOKUP(AM30,Data!$V$4:$Z$99,4,FALSE)</f>
        <v>245</v>
      </c>
      <c r="BG30" s="35">
        <f t="shared" si="4"/>
        <v>0.23306122448979594</v>
      </c>
      <c r="BH30" s="5" t="str">
        <f t="shared" si="5"/>
        <v>OK</v>
      </c>
      <c r="BI30" s="42">
        <f t="shared" si="6"/>
        <v>1.1693015963378859</v>
      </c>
      <c r="BJ30" s="35">
        <f t="shared" si="7"/>
        <v>0.10752198587015042</v>
      </c>
      <c r="BK30" s="5" t="str">
        <f t="shared" si="8"/>
        <v>OK</v>
      </c>
      <c r="BL30" s="42" cm="1">
        <f t="array" ref="BL30">SQRT((6*_xll.Dce_AnchorBolt_tmin(AK30, AF30, AE30, AH30, BI30))/($R$25*$R$26))*1000</f>
        <v>5.6544752652093253</v>
      </c>
      <c r="BM30" s="35">
        <f t="shared" si="9"/>
        <v>0.35340470407558283</v>
      </c>
      <c r="BN30" s="5" t="str">
        <f t="shared" si="10"/>
        <v>OK</v>
      </c>
      <c r="BO30" s="6">
        <f t="shared" si="11"/>
        <v>141.12</v>
      </c>
      <c r="BP30" s="42">
        <f t="shared" si="12"/>
        <v>4.536441232986042</v>
      </c>
      <c r="BQ30" s="35">
        <f t="shared" si="13"/>
        <v>3.2145983793835334E-2</v>
      </c>
      <c r="BR30" s="5" t="str">
        <f t="shared" si="14"/>
        <v>OK</v>
      </c>
      <c r="DA30" s="203"/>
      <c r="DB30" s="203"/>
      <c r="DC30" s="203"/>
      <c r="DD30" s="204"/>
      <c r="DE30" s="205"/>
      <c r="DF30" s="205"/>
      <c r="DG30" s="205"/>
      <c r="DH30" s="91"/>
      <c r="DI30" s="91"/>
      <c r="DJ30" s="91"/>
      <c r="DK30" s="91"/>
      <c r="DL30" s="91"/>
      <c r="DM30" s="91"/>
      <c r="DN30" s="91"/>
      <c r="DO30" s="91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206"/>
      <c r="EB30" s="206"/>
      <c r="EC30" s="206"/>
      <c r="ED30" s="206"/>
      <c r="EE30" s="93"/>
      <c r="EF30" s="94"/>
      <c r="EG30" s="95"/>
      <c r="EH30" s="94"/>
      <c r="EI30" s="93"/>
      <c r="EJ30" s="95"/>
      <c r="EK30" s="94"/>
      <c r="EL30" s="93"/>
      <c r="EM30" s="95"/>
      <c r="EN30" s="94"/>
      <c r="EO30" s="93"/>
      <c r="EP30" s="93"/>
      <c r="EQ30" s="95"/>
      <c r="ER30" s="94"/>
      <c r="ES30" s="56"/>
    </row>
    <row r="31" spans="1:181" ht="12.75" customHeight="1">
      <c r="H31" s="71"/>
      <c r="I31" s="159" t="str">
        <f>"- Cường độ tính toán theo kim loại biên nóng chảy:"</f>
        <v>- Cường độ tính toán theo kim loại biên nóng chảy:</v>
      </c>
      <c r="J31" s="159"/>
      <c r="K31" s="160"/>
      <c r="L31" s="162"/>
      <c r="M31" s="159"/>
      <c r="N31" s="3"/>
      <c r="O31" s="13" t="s">
        <v>122</v>
      </c>
      <c r="P31" s="165">
        <v>1</v>
      </c>
      <c r="Q31" s="24" t="s">
        <v>119</v>
      </c>
      <c r="R31" s="25">
        <f>0.45*R24</f>
        <v>171</v>
      </c>
      <c r="S31" s="73" t="s">
        <v>21</v>
      </c>
      <c r="AA31" s="26" t="s">
        <v>145</v>
      </c>
      <c r="AB31" s="26" t="s">
        <v>299</v>
      </c>
      <c r="AC31" s="26" t="s">
        <v>300</v>
      </c>
      <c r="AD31" s="27">
        <v>0</v>
      </c>
      <c r="AE31" s="21">
        <v>200</v>
      </c>
      <c r="AF31" s="21">
        <v>100</v>
      </c>
      <c r="AG31" s="21">
        <v>2.7</v>
      </c>
      <c r="AH31" s="8">
        <v>300</v>
      </c>
      <c r="AI31" s="8">
        <v>200</v>
      </c>
      <c r="AJ31" s="8">
        <v>16</v>
      </c>
      <c r="AK31" s="8">
        <v>0</v>
      </c>
      <c r="AL31" s="8">
        <v>4</v>
      </c>
      <c r="AM31" s="8">
        <v>20</v>
      </c>
      <c r="AN31" s="8">
        <f t="shared" si="1"/>
        <v>50</v>
      </c>
      <c r="AO31" s="8" t="str">
        <f t="shared" si="2"/>
        <v>100x200x2.7</v>
      </c>
      <c r="AP31" s="65" t="str">
        <f t="shared" si="3"/>
        <v>200x300x16 / 4M20</v>
      </c>
      <c r="AQ31" s="65"/>
      <c r="AR31" s="65"/>
      <c r="AS31" s="65"/>
      <c r="AT31" s="65"/>
      <c r="AU31" s="65"/>
      <c r="AV31" s="65"/>
      <c r="AW31" s="65"/>
      <c r="AX31" s="65"/>
      <c r="AY31" s="65"/>
      <c r="AZ31" s="65"/>
      <c r="BA31" s="46" t="s">
        <v>303</v>
      </c>
      <c r="BB31" s="46">
        <v>1.4776300415796746</v>
      </c>
      <c r="BC31" s="46">
        <v>0.18784525952649705</v>
      </c>
      <c r="BD31" s="46">
        <v>1.9499181650983468</v>
      </c>
      <c r="BE31" s="42" cm="1">
        <f t="array" ref="BE31">_xll.Dce_AnchorBolt_Asa($R$58, BB31, BC31, $R$36, $R$19, AH31, AI31, 50, AL31)</f>
        <v>57.1</v>
      </c>
      <c r="BF31" s="5">
        <f>VLOOKUP(AM31,Data!$V$4:$Z$99,4,FALSE)</f>
        <v>245</v>
      </c>
      <c r="BG31" s="35">
        <f t="shared" si="4"/>
        <v>0.23306122448979594</v>
      </c>
      <c r="BH31" s="5" t="str">
        <f t="shared" si="5"/>
        <v>OK</v>
      </c>
      <c r="BI31" s="42">
        <f t="shared" si="6"/>
        <v>0.49567410151866648</v>
      </c>
      <c r="BJ31" s="35">
        <f t="shared" si="7"/>
        <v>4.557922772585439E-2</v>
      </c>
      <c r="BK31" s="5" t="str">
        <f t="shared" si="8"/>
        <v>OK</v>
      </c>
      <c r="BL31" s="42" cm="1">
        <f t="array" ref="BL31">SQRT((6*_xll.Dce_AnchorBolt_tmin(AK31, AF31, AE31, AH31, BI31))/($R$25*$R$26))*1000</f>
        <v>3.6815198917568051</v>
      </c>
      <c r="BM31" s="35">
        <f t="shared" si="9"/>
        <v>0.23009499323480032</v>
      </c>
      <c r="BN31" s="5" t="str">
        <f t="shared" si="10"/>
        <v>OK</v>
      </c>
      <c r="BO31" s="6">
        <f t="shared" si="11"/>
        <v>141.12</v>
      </c>
      <c r="BP31" s="42">
        <f t="shared" si="12"/>
        <v>1.9499181650983468</v>
      </c>
      <c r="BQ31" s="35">
        <f t="shared" si="13"/>
        <v>1.3817447315039305E-2</v>
      </c>
      <c r="BR31" s="5" t="str">
        <f t="shared" si="14"/>
        <v>OK</v>
      </c>
      <c r="DA31" s="203"/>
      <c r="DB31" s="203"/>
      <c r="DC31" s="203"/>
      <c r="DD31" s="204"/>
      <c r="DE31" s="205"/>
      <c r="DF31" s="205"/>
      <c r="DG31" s="205"/>
      <c r="DH31" s="91"/>
      <c r="DI31" s="91"/>
      <c r="DJ31" s="91"/>
      <c r="DK31" s="91"/>
      <c r="DL31" s="91"/>
      <c r="DM31" s="91"/>
      <c r="DN31" s="91"/>
      <c r="DO31" s="90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206"/>
      <c r="EB31" s="206"/>
      <c r="EC31" s="206"/>
      <c r="ED31" s="206"/>
      <c r="EE31" s="93"/>
      <c r="EF31" s="94"/>
      <c r="EG31" s="95"/>
      <c r="EH31" s="94"/>
      <c r="EI31" s="96"/>
      <c r="EJ31" s="95"/>
      <c r="EK31" s="94"/>
      <c r="EL31" s="98"/>
      <c r="EM31" s="95"/>
      <c r="EN31" s="94"/>
      <c r="EO31" s="93"/>
      <c r="EP31" s="93"/>
      <c r="EQ31" s="99"/>
      <c r="ER31" s="94"/>
      <c r="ES31" s="56"/>
    </row>
    <row r="32" spans="1:181" ht="12.75" customHeight="1">
      <c r="H32" s="71"/>
      <c r="I32" s="159" t="str">
        <f>"- Hệ số điều kiện làm việc :"</f>
        <v>- Hệ số điều kiện làm việc :</v>
      </c>
      <c r="J32" s="159"/>
      <c r="K32" s="160"/>
      <c r="L32" s="162"/>
      <c r="M32" s="159"/>
      <c r="N32" s="3"/>
      <c r="O32" s="3"/>
      <c r="P32" s="3"/>
      <c r="Q32" s="13" t="s">
        <v>111</v>
      </c>
      <c r="R32" s="23">
        <v>1</v>
      </c>
      <c r="S32" s="73" t="s">
        <v>21</v>
      </c>
      <c r="AA32" s="26" t="s">
        <v>145</v>
      </c>
      <c r="AB32" s="26" t="s">
        <v>299</v>
      </c>
      <c r="AC32" s="26" t="s">
        <v>300</v>
      </c>
      <c r="AD32" s="27">
        <v>0</v>
      </c>
      <c r="AE32" s="21">
        <v>200</v>
      </c>
      <c r="AF32" s="21">
        <v>100</v>
      </c>
      <c r="AG32" s="21">
        <v>2.7</v>
      </c>
      <c r="AH32" s="8">
        <v>300</v>
      </c>
      <c r="AI32" s="8">
        <v>200</v>
      </c>
      <c r="AJ32" s="8">
        <v>16</v>
      </c>
      <c r="AK32" s="8">
        <v>0</v>
      </c>
      <c r="AL32" s="8">
        <v>4</v>
      </c>
      <c r="AM32" s="8">
        <v>20</v>
      </c>
      <c r="AN32" s="8">
        <f t="shared" si="1"/>
        <v>50</v>
      </c>
      <c r="AO32" s="8" t="str">
        <f t="shared" si="2"/>
        <v>100x200x2.7</v>
      </c>
      <c r="AP32" s="65" t="str">
        <f t="shared" si="3"/>
        <v>200x300x16 / 4M20</v>
      </c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46" t="s">
        <v>304</v>
      </c>
      <c r="BB32" s="46">
        <v>3.4278339304401348</v>
      </c>
      <c r="BC32" s="46">
        <v>-1.8587796760636017</v>
      </c>
      <c r="BD32" s="46">
        <v>4.5561907593851076</v>
      </c>
      <c r="BE32" s="42" cm="1">
        <f t="array" ref="BE32">_xll.Dce_AnchorBolt_Asa($R$58, BB32, BC32, $R$36, $R$19, AH32, AI32, 50, AL32)</f>
        <v>57.1</v>
      </c>
      <c r="BF32" s="5">
        <f>VLOOKUP(AM32,Data!$V$4:$Z$99,4,FALSE)</f>
        <v>245</v>
      </c>
      <c r="BG32" s="35">
        <f t="shared" si="4"/>
        <v>0.23306122448979594</v>
      </c>
      <c r="BH32" s="5" t="str">
        <f t="shared" si="5"/>
        <v>OK</v>
      </c>
      <c r="BI32" s="42">
        <f t="shared" si="6"/>
        <v>1.1735909714144381</v>
      </c>
      <c r="BJ32" s="35">
        <f t="shared" si="7"/>
        <v>0.10791641116454603</v>
      </c>
      <c r="BK32" s="5" t="str">
        <f t="shared" si="8"/>
        <v>OK</v>
      </c>
      <c r="BL32" s="42" cm="1">
        <f t="array" ref="BL32">SQRT((6*_xll.Dce_AnchorBolt_tmin(AK32, AF32, AE32, AH32, BI32))/($R$25*$R$26))*1000</f>
        <v>5.6648369901183866</v>
      </c>
      <c r="BM32" s="35">
        <f t="shared" si="9"/>
        <v>0.35405231188239916</v>
      </c>
      <c r="BN32" s="5" t="str">
        <f t="shared" si="10"/>
        <v>OK</v>
      </c>
      <c r="BO32" s="6">
        <f t="shared" si="11"/>
        <v>141.12</v>
      </c>
      <c r="BP32" s="42">
        <f t="shared" si="12"/>
        <v>4.5561907593851076</v>
      </c>
      <c r="BQ32" s="35">
        <f t="shared" si="13"/>
        <v>3.2285932251878598E-2</v>
      </c>
      <c r="BR32" s="5" t="str">
        <f t="shared" si="14"/>
        <v>OK</v>
      </c>
      <c r="DA32" s="203"/>
      <c r="DB32" s="203"/>
      <c r="DC32" s="203"/>
      <c r="DD32" s="204"/>
      <c r="DE32" s="205"/>
      <c r="DF32" s="205"/>
      <c r="DG32" s="205"/>
      <c r="DH32" s="91"/>
      <c r="DI32" s="91"/>
      <c r="DJ32" s="91"/>
      <c r="DK32" s="91"/>
      <c r="DL32" s="91"/>
      <c r="DM32" s="91"/>
      <c r="DN32" s="91"/>
      <c r="DO32" s="90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206"/>
      <c r="EB32" s="206"/>
      <c r="EC32" s="206"/>
      <c r="ED32" s="206"/>
      <c r="EE32" s="93"/>
      <c r="EF32" s="94"/>
      <c r="EG32" s="95"/>
      <c r="EH32" s="94"/>
      <c r="EI32" s="96"/>
      <c r="EJ32" s="95"/>
      <c r="EK32" s="94"/>
      <c r="EL32" s="98"/>
      <c r="EM32" s="95"/>
      <c r="EN32" s="94"/>
      <c r="EO32" s="93"/>
      <c r="EP32" s="93"/>
      <c r="EQ32" s="99"/>
      <c r="ER32" s="94"/>
      <c r="ES32" s="56"/>
    </row>
    <row r="33" spans="8:149" ht="12.75" customHeight="1">
      <c r="H33" s="71"/>
      <c r="I33" s="159" t="str">
        <f>"- Cường độ tính toán của đường hàn:"</f>
        <v>- Cường độ tính toán của đường hàn:</v>
      </c>
      <c r="J33" s="159"/>
      <c r="K33" s="160"/>
      <c r="L33" s="162"/>
      <c r="M33" s="159"/>
      <c r="N33" s="3"/>
      <c r="O33" s="13"/>
      <c r="P33" s="23"/>
      <c r="Q33" s="24" t="s">
        <v>128</v>
      </c>
      <c r="R33" s="25">
        <f>MIN(P30*R30,P31*R31)*R32</f>
        <v>125.99999999999999</v>
      </c>
      <c r="S33" s="73" t="s">
        <v>21</v>
      </c>
      <c r="AH33" s="8"/>
      <c r="AI33" s="8"/>
      <c r="AJ33" s="8"/>
      <c r="AK33" s="8"/>
      <c r="AL33" s="8"/>
      <c r="AM33" s="8"/>
      <c r="AN33" s="8"/>
      <c r="BB33" s="46"/>
      <c r="BC33" s="46"/>
      <c r="BD33" s="46"/>
      <c r="BE33" s="42"/>
      <c r="BF33" s="5"/>
      <c r="BG33" s="35"/>
      <c r="BH33" s="5"/>
      <c r="BI33" s="6"/>
      <c r="BJ33" s="35"/>
      <c r="BK33" s="5"/>
      <c r="BL33" s="41"/>
      <c r="BM33" s="35"/>
      <c r="BN33" s="5"/>
      <c r="BO33" s="42"/>
      <c r="BP33" s="42"/>
      <c r="BQ33" s="20"/>
      <c r="BR33" s="5"/>
      <c r="DA33" s="203"/>
      <c r="DB33" s="203"/>
      <c r="DC33" s="203"/>
      <c r="DD33" s="204"/>
      <c r="DE33" s="205"/>
      <c r="DF33" s="205"/>
      <c r="DG33" s="205"/>
      <c r="DH33" s="91"/>
      <c r="DI33" s="91"/>
      <c r="DJ33" s="91"/>
      <c r="DK33" s="91"/>
      <c r="DL33" s="91"/>
      <c r="DM33" s="91"/>
      <c r="DN33" s="91"/>
      <c r="DO33" s="203"/>
      <c r="DP33" s="206"/>
      <c r="DQ33" s="206"/>
      <c r="DR33" s="206"/>
      <c r="DS33" s="206"/>
      <c r="DT33" s="206"/>
      <c r="DU33" s="206"/>
      <c r="DV33" s="206"/>
      <c r="DW33" s="206"/>
      <c r="DX33" s="206"/>
      <c r="DY33" s="206"/>
      <c r="DZ33" s="206"/>
      <c r="EA33" s="206"/>
      <c r="EB33" s="206"/>
      <c r="EC33" s="206"/>
      <c r="ED33" s="206"/>
      <c r="EE33" s="93"/>
      <c r="EF33" s="94"/>
      <c r="EG33" s="95"/>
      <c r="EH33" s="94"/>
      <c r="EI33" s="96"/>
      <c r="EJ33" s="95"/>
      <c r="EK33" s="94"/>
      <c r="EL33" s="98"/>
      <c r="EM33" s="95"/>
      <c r="EN33" s="94"/>
      <c r="EO33" s="93"/>
      <c r="EP33" s="93"/>
      <c r="EQ33" s="99"/>
      <c r="ER33" s="94"/>
      <c r="ES33" s="56"/>
    </row>
    <row r="34" spans="8:149" ht="12.75" customHeight="1">
      <c r="H34" s="70" t="s">
        <v>54</v>
      </c>
      <c r="I34" s="159"/>
      <c r="J34" s="159"/>
      <c r="K34" s="159"/>
      <c r="L34" s="159"/>
      <c r="M34" s="159"/>
      <c r="N34" s="160"/>
      <c r="O34" s="161"/>
      <c r="P34" s="159"/>
      <c r="Q34" s="3"/>
      <c r="R34" s="3"/>
      <c r="S34" s="69"/>
      <c r="T34" s="2"/>
      <c r="AH34" s="8"/>
      <c r="AI34" s="8"/>
      <c r="AJ34" s="8"/>
      <c r="AK34" s="8"/>
      <c r="AL34" s="8"/>
      <c r="AM34" s="8"/>
      <c r="AN34" s="8"/>
      <c r="BB34" s="46"/>
      <c r="BC34" s="46"/>
      <c r="BD34" s="46"/>
      <c r="BE34" s="42"/>
      <c r="BF34" s="5"/>
      <c r="BG34" s="35"/>
      <c r="BH34" s="5"/>
      <c r="BI34" s="6"/>
      <c r="BJ34" s="35"/>
      <c r="BK34" s="5"/>
      <c r="BL34" s="41"/>
      <c r="BM34" s="35"/>
      <c r="BN34" s="5"/>
      <c r="BO34" s="42"/>
      <c r="BP34" s="42"/>
      <c r="BQ34" s="20"/>
      <c r="BR34" s="5"/>
      <c r="DA34" s="203"/>
      <c r="DB34" s="203"/>
      <c r="DC34" s="203"/>
      <c r="DD34" s="204"/>
      <c r="DE34" s="205"/>
      <c r="DF34" s="205"/>
      <c r="DG34" s="205"/>
      <c r="DH34" s="91"/>
      <c r="DI34" s="91"/>
      <c r="DJ34" s="91"/>
      <c r="DK34" s="91"/>
      <c r="DL34" s="91"/>
      <c r="DM34" s="91"/>
      <c r="DN34" s="91"/>
      <c r="DO34" s="203"/>
      <c r="DP34" s="206"/>
      <c r="DQ34" s="206"/>
      <c r="DR34" s="206"/>
      <c r="DS34" s="206"/>
      <c r="DT34" s="206"/>
      <c r="DU34" s="206"/>
      <c r="DV34" s="206"/>
      <c r="DW34" s="206"/>
      <c r="DX34" s="206"/>
      <c r="DY34" s="206"/>
      <c r="DZ34" s="206"/>
      <c r="EA34" s="206"/>
      <c r="EB34" s="206"/>
      <c r="EC34" s="206"/>
      <c r="ED34" s="206"/>
      <c r="EE34" s="93"/>
      <c r="EF34" s="94"/>
      <c r="EG34" s="95"/>
      <c r="EH34" s="94"/>
      <c r="EI34" s="96"/>
      <c r="EJ34" s="95"/>
      <c r="EK34" s="94"/>
      <c r="EL34" s="98"/>
      <c r="EM34" s="95"/>
      <c r="EN34" s="94"/>
      <c r="EO34" s="93"/>
      <c r="EP34" s="93"/>
      <c r="EQ34" s="99"/>
      <c r="ER34" s="94"/>
      <c r="ES34" s="56"/>
    </row>
    <row r="35" spans="8:149" ht="12.75" customHeight="1">
      <c r="H35" s="71"/>
      <c r="I35" s="159" t="str">
        <f>"- Cấp độ bền bê tông:"</f>
        <v>- Cấp độ bền bê tông:</v>
      </c>
      <c r="J35" s="159"/>
      <c r="K35" s="160"/>
      <c r="L35" s="162"/>
      <c r="M35" s="159"/>
      <c r="N35" s="3"/>
      <c r="O35" s="3"/>
      <c r="P35" s="3"/>
      <c r="Q35" s="3"/>
      <c r="R35" s="23" t="s">
        <v>62</v>
      </c>
      <c r="S35" s="72"/>
      <c r="AH35" s="8"/>
      <c r="AI35" s="8"/>
      <c r="AJ35" s="8"/>
      <c r="AK35" s="8"/>
      <c r="AL35" s="8"/>
      <c r="AM35" s="8"/>
      <c r="AN35" s="8"/>
      <c r="BE35" s="42"/>
      <c r="BF35" s="5"/>
      <c r="BG35" s="35"/>
      <c r="BH35" s="5"/>
      <c r="BI35" s="6"/>
      <c r="BJ35" s="35"/>
      <c r="BK35" s="5"/>
      <c r="BL35" s="41"/>
      <c r="BM35" s="35"/>
      <c r="BN35" s="5"/>
      <c r="BO35" s="42"/>
      <c r="BP35" s="42"/>
      <c r="BQ35" s="20"/>
      <c r="BR35" s="5"/>
      <c r="DA35" s="203"/>
      <c r="DB35" s="203"/>
      <c r="DC35" s="203"/>
      <c r="DD35" s="204"/>
      <c r="DE35" s="205"/>
      <c r="DF35" s="205"/>
      <c r="DG35" s="205"/>
      <c r="DH35" s="91"/>
      <c r="DI35" s="91"/>
      <c r="DJ35" s="91"/>
      <c r="DK35" s="91"/>
      <c r="DL35" s="91"/>
      <c r="DM35" s="91"/>
      <c r="DN35" s="91"/>
      <c r="DO35" s="203"/>
      <c r="DP35" s="206"/>
      <c r="DQ35" s="206"/>
      <c r="DR35" s="206"/>
      <c r="DS35" s="206"/>
      <c r="DT35" s="206"/>
      <c r="DU35" s="206"/>
      <c r="DV35" s="206"/>
      <c r="DW35" s="206"/>
      <c r="DX35" s="206"/>
      <c r="DY35" s="206"/>
      <c r="DZ35" s="206"/>
      <c r="EA35" s="206"/>
      <c r="EB35" s="100"/>
      <c r="EC35" s="100"/>
      <c r="ED35" s="100"/>
      <c r="EE35" s="93"/>
      <c r="EF35" s="94"/>
      <c r="EG35" s="95"/>
      <c r="EH35" s="94"/>
      <c r="EI35" s="96"/>
      <c r="EJ35" s="95"/>
      <c r="EK35" s="94"/>
      <c r="EL35" s="98"/>
      <c r="EM35" s="95"/>
      <c r="EN35" s="94"/>
      <c r="EO35" s="93"/>
      <c r="EP35" s="93"/>
      <c r="EQ35" s="99"/>
      <c r="ER35" s="94"/>
      <c r="ES35" s="56"/>
    </row>
    <row r="36" spans="8:149" ht="12.75" customHeight="1">
      <c r="H36" s="71"/>
      <c r="I36" s="159" t="str">
        <f>"- Cường độ chịu nén của bê tông:"</f>
        <v>- Cường độ chịu nén của bê tông:</v>
      </c>
      <c r="J36" s="159"/>
      <c r="K36" s="160"/>
      <c r="L36" s="162"/>
      <c r="M36" s="159"/>
      <c r="N36" s="3"/>
      <c r="O36" s="3"/>
      <c r="P36" s="3"/>
      <c r="Q36" s="24" t="s">
        <v>60</v>
      </c>
      <c r="R36" s="25">
        <f>VLOOKUP(R35,Data!$BJ$5:$BQ$16,4,FALSE)</f>
        <v>14.5</v>
      </c>
      <c r="S36" s="72" t="s">
        <v>21</v>
      </c>
      <c r="AH36" s="8"/>
      <c r="AI36" s="8"/>
      <c r="AJ36" s="8"/>
      <c r="AK36" s="8"/>
      <c r="AL36" s="8"/>
      <c r="AM36" s="8"/>
      <c r="AN36" s="8"/>
      <c r="BE36" s="42"/>
      <c r="BF36" s="5"/>
      <c r="BG36" s="35"/>
      <c r="BH36" s="5"/>
      <c r="BI36" s="6"/>
      <c r="BJ36" s="35"/>
      <c r="BK36" s="5"/>
      <c r="BL36" s="41"/>
      <c r="BM36" s="35"/>
      <c r="BN36" s="5"/>
      <c r="BO36" s="42"/>
      <c r="BP36" s="42"/>
      <c r="BQ36" s="20"/>
      <c r="BR36" s="5"/>
      <c r="DA36" s="203"/>
      <c r="DB36" s="203"/>
      <c r="DC36" s="203"/>
      <c r="DD36" s="204"/>
      <c r="DE36" s="205"/>
      <c r="DF36" s="205"/>
      <c r="DG36" s="205"/>
      <c r="DH36" s="91"/>
      <c r="DI36" s="91"/>
      <c r="DJ36" s="91"/>
      <c r="DK36" s="91"/>
      <c r="DL36" s="91"/>
      <c r="DM36" s="91"/>
      <c r="DN36" s="91"/>
      <c r="DO36" s="203"/>
      <c r="DP36" s="206"/>
      <c r="DQ36" s="206"/>
      <c r="DR36" s="206"/>
      <c r="DS36" s="206"/>
      <c r="DT36" s="206"/>
      <c r="DU36" s="206"/>
      <c r="DV36" s="206"/>
      <c r="DW36" s="206"/>
      <c r="DX36" s="206"/>
      <c r="DY36" s="206"/>
      <c r="DZ36" s="206"/>
      <c r="EA36" s="206"/>
      <c r="EB36" s="100"/>
      <c r="EC36" s="100"/>
      <c r="ED36" s="100"/>
      <c r="EE36" s="93"/>
      <c r="EF36" s="94"/>
      <c r="EG36" s="95"/>
      <c r="EH36" s="94"/>
      <c r="EI36" s="96"/>
      <c r="EJ36" s="95"/>
      <c r="EK36" s="94"/>
      <c r="EL36" s="98"/>
      <c r="EM36" s="95"/>
      <c r="EN36" s="94"/>
      <c r="EO36" s="93"/>
      <c r="EP36" s="93"/>
      <c r="EQ36" s="99"/>
      <c r="ER36" s="94"/>
      <c r="ES36" s="56"/>
    </row>
    <row r="37" spans="8:149" ht="12.75" customHeight="1">
      <c r="H37" s="70" t="s">
        <v>55</v>
      </c>
      <c r="I37" s="159"/>
      <c r="J37" s="159"/>
      <c r="K37" s="159"/>
      <c r="L37" s="159"/>
      <c r="M37" s="159"/>
      <c r="N37" s="160"/>
      <c r="O37" s="161"/>
      <c r="P37" s="159"/>
      <c r="Q37" s="3"/>
      <c r="R37" s="3"/>
      <c r="S37" s="69"/>
      <c r="AH37" s="8"/>
      <c r="AI37" s="8"/>
      <c r="AJ37" s="8"/>
      <c r="AK37" s="8"/>
      <c r="AL37" s="8"/>
      <c r="AM37" s="8"/>
      <c r="AN37" s="8"/>
      <c r="BE37" s="42"/>
      <c r="BF37" s="5"/>
      <c r="BG37" s="35"/>
      <c r="BH37" s="5"/>
      <c r="BI37" s="6"/>
      <c r="BJ37" s="35"/>
      <c r="BK37" s="5"/>
      <c r="BL37" s="41"/>
      <c r="BM37" s="35"/>
      <c r="BN37" s="5"/>
      <c r="BO37" s="42"/>
      <c r="BP37" s="42"/>
      <c r="BQ37" s="20"/>
      <c r="BR37" s="5"/>
      <c r="DA37" s="203"/>
      <c r="DB37" s="203"/>
      <c r="DC37" s="203"/>
      <c r="DD37" s="204"/>
      <c r="DE37" s="205"/>
      <c r="DF37" s="205"/>
      <c r="DG37" s="205"/>
      <c r="DH37" s="91"/>
      <c r="DI37" s="91"/>
      <c r="DJ37" s="91"/>
      <c r="DK37" s="91"/>
      <c r="DL37" s="91"/>
      <c r="DM37" s="91"/>
      <c r="DN37" s="91"/>
      <c r="DO37" s="203"/>
      <c r="DP37" s="206"/>
      <c r="DQ37" s="206"/>
      <c r="DR37" s="206"/>
      <c r="DS37" s="206"/>
      <c r="DT37" s="206"/>
      <c r="DU37" s="206"/>
      <c r="DV37" s="206"/>
      <c r="DW37" s="206"/>
      <c r="DX37" s="206"/>
      <c r="DY37" s="206"/>
      <c r="DZ37" s="206"/>
      <c r="EA37" s="206"/>
      <c r="EB37" s="100"/>
      <c r="EC37" s="100"/>
      <c r="ED37" s="100"/>
      <c r="EE37" s="93"/>
      <c r="EF37" s="94"/>
      <c r="EG37" s="95"/>
      <c r="EH37" s="94"/>
      <c r="EI37" s="96"/>
      <c r="EJ37" s="95"/>
      <c r="EK37" s="94"/>
      <c r="EL37" s="98"/>
      <c r="EM37" s="95"/>
      <c r="EN37" s="94"/>
      <c r="EO37" s="93"/>
      <c r="EP37" s="93"/>
      <c r="EQ37" s="99"/>
      <c r="ER37" s="94"/>
      <c r="ES37" s="56"/>
    </row>
    <row r="38" spans="8:149" ht="12.75" customHeight="1">
      <c r="H38" s="70" t="s">
        <v>181</v>
      </c>
      <c r="I38" s="159"/>
      <c r="J38" s="159"/>
      <c r="K38" s="159"/>
      <c r="L38" s="159"/>
      <c r="M38" s="159"/>
      <c r="N38" s="160"/>
      <c r="O38" s="161"/>
      <c r="P38" s="159"/>
      <c r="Q38" s="3"/>
      <c r="R38" s="3"/>
      <c r="S38" s="69"/>
      <c r="AH38" s="8"/>
      <c r="AI38" s="8"/>
      <c r="AJ38" s="8"/>
      <c r="AK38" s="8"/>
      <c r="AL38" s="8"/>
      <c r="AM38" s="8"/>
      <c r="AN38" s="8"/>
      <c r="BE38" s="42"/>
      <c r="BF38" s="5"/>
      <c r="BG38" s="35"/>
      <c r="BH38" s="5"/>
      <c r="BI38" s="6"/>
      <c r="BJ38" s="35"/>
      <c r="BK38" s="5"/>
      <c r="BL38" s="41"/>
      <c r="BM38" s="35"/>
      <c r="BN38" s="5"/>
      <c r="BO38" s="42"/>
      <c r="BP38" s="42"/>
      <c r="BQ38" s="20"/>
      <c r="BR38" s="5"/>
      <c r="DA38" s="203"/>
      <c r="DB38" s="203"/>
      <c r="DC38" s="203"/>
      <c r="DD38" s="204"/>
      <c r="DE38" s="205"/>
      <c r="DF38" s="205"/>
      <c r="DG38" s="205"/>
      <c r="DH38" s="91"/>
      <c r="DI38" s="91"/>
      <c r="DJ38" s="91"/>
      <c r="DK38" s="91"/>
      <c r="DL38" s="91"/>
      <c r="DM38" s="91"/>
      <c r="DN38" s="91"/>
      <c r="DO38" s="203"/>
      <c r="DP38" s="206"/>
      <c r="DQ38" s="206"/>
      <c r="DR38" s="206"/>
      <c r="DS38" s="206"/>
      <c r="DT38" s="206"/>
      <c r="DU38" s="206"/>
      <c r="DV38" s="206"/>
      <c r="DW38" s="206"/>
      <c r="DX38" s="206"/>
      <c r="DY38" s="206"/>
      <c r="DZ38" s="206"/>
      <c r="EA38" s="206"/>
      <c r="EB38" s="100"/>
      <c r="EC38" s="100"/>
      <c r="ED38" s="100"/>
      <c r="EE38" s="93"/>
      <c r="EF38" s="94"/>
      <c r="EG38" s="95"/>
      <c r="EH38" s="94"/>
      <c r="EI38" s="96"/>
      <c r="EJ38" s="95"/>
      <c r="EK38" s="94"/>
      <c r="EL38" s="98"/>
      <c r="EM38" s="95"/>
      <c r="EN38" s="94"/>
      <c r="EO38" s="93"/>
      <c r="EP38" s="93"/>
      <c r="EQ38" s="99"/>
      <c r="ER38" s="94"/>
      <c r="ES38" s="56"/>
    </row>
    <row r="39" spans="8:149" ht="12.75" customHeight="1">
      <c r="H39" s="71"/>
      <c r="I39" s="159" t="str">
        <f>"- Bề rộng tiết diện:"</f>
        <v>- Bề rộng tiết diện:</v>
      </c>
      <c r="J39" s="159"/>
      <c r="K39" s="160"/>
      <c r="L39" s="162"/>
      <c r="M39" s="159"/>
      <c r="N39" s="3"/>
      <c r="O39" s="3"/>
      <c r="P39" s="163"/>
      <c r="Q39" s="24" t="s">
        <v>116</v>
      </c>
      <c r="R39" s="23">
        <v>100</v>
      </c>
      <c r="S39" s="73" t="s">
        <v>1</v>
      </c>
      <c r="AH39" s="8"/>
      <c r="AI39" s="8"/>
      <c r="AJ39" s="8"/>
      <c r="AK39" s="8"/>
      <c r="AL39" s="8"/>
      <c r="AM39" s="8"/>
      <c r="AN39" s="8"/>
      <c r="BE39" s="42"/>
      <c r="BF39" s="5"/>
      <c r="BG39" s="35"/>
      <c r="BH39" s="5"/>
      <c r="BI39" s="6"/>
      <c r="BJ39" s="35"/>
      <c r="BK39" s="5"/>
      <c r="BL39" s="41"/>
      <c r="BM39" s="35"/>
      <c r="BN39" s="5"/>
      <c r="BO39" s="42"/>
      <c r="BP39" s="42"/>
      <c r="BQ39" s="20"/>
      <c r="BR39" s="5"/>
      <c r="DA39" s="203"/>
      <c r="DB39" s="203"/>
      <c r="DC39" s="203"/>
      <c r="DD39" s="204"/>
      <c r="DE39" s="205"/>
      <c r="DF39" s="205"/>
      <c r="DG39" s="205"/>
      <c r="DH39" s="91"/>
      <c r="DI39" s="91"/>
      <c r="DJ39" s="91"/>
      <c r="DK39" s="91"/>
      <c r="DL39" s="91"/>
      <c r="DM39" s="91"/>
      <c r="DN39" s="91"/>
      <c r="DO39" s="203"/>
      <c r="DP39" s="206"/>
      <c r="DQ39" s="206"/>
      <c r="DR39" s="206"/>
      <c r="DS39" s="206"/>
      <c r="DT39" s="206"/>
      <c r="DU39" s="206"/>
      <c r="DV39" s="206"/>
      <c r="DW39" s="206"/>
      <c r="DX39" s="206"/>
      <c r="DY39" s="206"/>
      <c r="DZ39" s="206"/>
      <c r="EA39" s="206"/>
      <c r="EB39" s="100"/>
      <c r="EC39" s="100"/>
      <c r="ED39" s="100"/>
      <c r="EE39" s="93"/>
      <c r="EF39" s="94"/>
      <c r="EG39" s="95"/>
      <c r="EH39" s="94"/>
      <c r="EI39" s="96"/>
      <c r="EJ39" s="95"/>
      <c r="EK39" s="94"/>
      <c r="EL39" s="98"/>
      <c r="EM39" s="95"/>
      <c r="EN39" s="94"/>
      <c r="EO39" s="93"/>
      <c r="EP39" s="93"/>
      <c r="EQ39" s="99"/>
      <c r="ER39" s="94"/>
      <c r="ES39" s="56"/>
    </row>
    <row r="40" spans="8:149" ht="12.75" customHeight="1">
      <c r="H40" s="71"/>
      <c r="I40" s="159" t="str">
        <f>"- Chiều cao tiết diện:"</f>
        <v>- Chiều cao tiết diện:</v>
      </c>
      <c r="J40" s="159"/>
      <c r="K40" s="160"/>
      <c r="L40" s="162"/>
      <c r="M40" s="159"/>
      <c r="N40" s="3"/>
      <c r="O40" s="3"/>
      <c r="P40" s="3"/>
      <c r="Q40" s="24" t="s">
        <v>56</v>
      </c>
      <c r="R40" s="23">
        <v>200</v>
      </c>
      <c r="S40" s="73" t="s">
        <v>1</v>
      </c>
      <c r="AH40" s="8"/>
      <c r="AI40" s="8"/>
      <c r="AJ40" s="8"/>
      <c r="AK40" s="8"/>
      <c r="AL40" s="8"/>
      <c r="AM40" s="8"/>
      <c r="AN40" s="8"/>
      <c r="BE40" s="42"/>
      <c r="BF40" s="5"/>
      <c r="BG40" s="35"/>
      <c r="BH40" s="5"/>
      <c r="BI40" s="6"/>
      <c r="BJ40" s="35"/>
      <c r="BK40" s="5"/>
      <c r="BL40" s="41"/>
      <c r="BM40" s="35"/>
      <c r="BN40" s="5"/>
      <c r="BO40" s="42"/>
      <c r="BP40" s="42"/>
      <c r="BQ40" s="20"/>
      <c r="BR40" s="5"/>
      <c r="DA40" s="203"/>
      <c r="DB40" s="203"/>
      <c r="DC40" s="203"/>
      <c r="DD40" s="204"/>
      <c r="DE40" s="205"/>
      <c r="DF40" s="205"/>
      <c r="DG40" s="205"/>
      <c r="DH40" s="91"/>
      <c r="DI40" s="91"/>
      <c r="DJ40" s="91"/>
      <c r="DK40" s="91"/>
      <c r="DL40" s="91"/>
      <c r="DM40" s="91"/>
      <c r="DN40" s="91"/>
      <c r="DO40" s="203"/>
      <c r="DP40" s="206"/>
      <c r="DQ40" s="206"/>
      <c r="DR40" s="206"/>
      <c r="DS40" s="206"/>
      <c r="DT40" s="206"/>
      <c r="DU40" s="206"/>
      <c r="DV40" s="206"/>
      <c r="DW40" s="206"/>
      <c r="DX40" s="206"/>
      <c r="DY40" s="206"/>
      <c r="DZ40" s="206"/>
      <c r="EA40" s="206"/>
      <c r="EB40" s="100"/>
      <c r="EC40" s="100"/>
      <c r="ED40" s="100"/>
      <c r="EE40" s="93"/>
      <c r="EF40" s="94"/>
      <c r="EG40" s="95"/>
      <c r="EH40" s="94"/>
      <c r="EI40" s="96"/>
      <c r="EJ40" s="95"/>
      <c r="EK40" s="94"/>
      <c r="EL40" s="98"/>
      <c r="EM40" s="95"/>
      <c r="EN40" s="94"/>
      <c r="EO40" s="93"/>
      <c r="EP40" s="93"/>
      <c r="EQ40" s="99"/>
      <c r="ER40" s="94"/>
      <c r="ES40" s="56"/>
    </row>
    <row r="41" spans="8:149" ht="12.75" customHeight="1">
      <c r="H41" s="71"/>
      <c r="I41" s="159" t="str">
        <f>"- Chiều dày tiết diện:"</f>
        <v>- Chiều dày tiết diện:</v>
      </c>
      <c r="J41" s="159"/>
      <c r="K41" s="160"/>
      <c r="L41" s="162"/>
      <c r="M41" s="159"/>
      <c r="N41" s="3"/>
      <c r="O41" s="3"/>
      <c r="P41" s="3"/>
      <c r="Q41" s="24" t="s">
        <v>182</v>
      </c>
      <c r="R41" s="23">
        <v>2.7</v>
      </c>
      <c r="S41" s="73" t="s">
        <v>1</v>
      </c>
      <c r="AH41" s="8"/>
      <c r="AI41" s="8"/>
      <c r="AJ41" s="8"/>
      <c r="AK41" s="8"/>
      <c r="AL41" s="8"/>
      <c r="AM41" s="8"/>
      <c r="AN41" s="8"/>
      <c r="BE41" s="42"/>
      <c r="BF41" s="5"/>
      <c r="BG41" s="35"/>
      <c r="BH41" s="5"/>
      <c r="BI41" s="6"/>
      <c r="BJ41" s="35"/>
      <c r="BK41" s="5"/>
      <c r="BL41" s="41"/>
      <c r="BM41" s="35"/>
      <c r="BN41" s="5"/>
      <c r="BO41" s="42"/>
      <c r="BP41" s="42"/>
      <c r="BQ41" s="20"/>
      <c r="BR41" s="5"/>
      <c r="DA41" s="203"/>
      <c r="DB41" s="203"/>
      <c r="DC41" s="203"/>
      <c r="DD41" s="204"/>
      <c r="DE41" s="205"/>
      <c r="DF41" s="205"/>
      <c r="DG41" s="205"/>
      <c r="DH41" s="91"/>
      <c r="DI41" s="91"/>
      <c r="DJ41" s="91"/>
      <c r="DK41" s="91"/>
      <c r="DL41" s="91"/>
      <c r="DM41" s="91"/>
      <c r="DN41" s="91"/>
      <c r="DO41" s="203"/>
      <c r="DP41" s="206"/>
      <c r="DQ41" s="206"/>
      <c r="DR41" s="206"/>
      <c r="DS41" s="206"/>
      <c r="DT41" s="206"/>
      <c r="DU41" s="206"/>
      <c r="DV41" s="206"/>
      <c r="DW41" s="206"/>
      <c r="DX41" s="206"/>
      <c r="DY41" s="206"/>
      <c r="DZ41" s="206"/>
      <c r="EA41" s="206"/>
      <c r="EB41" s="100"/>
      <c r="EC41" s="100"/>
      <c r="ED41" s="100"/>
      <c r="EE41" s="93"/>
      <c r="EF41" s="94"/>
      <c r="EG41" s="95"/>
      <c r="EH41" s="94"/>
      <c r="EI41" s="96"/>
      <c r="EJ41" s="95"/>
      <c r="EK41" s="94"/>
      <c r="EL41" s="98"/>
      <c r="EM41" s="95"/>
      <c r="EN41" s="94"/>
      <c r="EO41" s="93"/>
      <c r="EP41" s="93"/>
      <c r="EQ41" s="99"/>
      <c r="ER41" s="94"/>
      <c r="ES41" s="56"/>
    </row>
    <row r="42" spans="8:149" ht="12.75" customHeight="1">
      <c r="H42" s="70" t="s">
        <v>108</v>
      </c>
      <c r="I42" s="159"/>
      <c r="J42" s="159"/>
      <c r="K42" s="159"/>
      <c r="L42" s="159"/>
      <c r="M42" s="159"/>
      <c r="N42" s="160"/>
      <c r="O42" s="161"/>
      <c r="P42" s="159"/>
      <c r="Q42" s="3"/>
      <c r="R42" s="3"/>
      <c r="S42" s="69"/>
      <c r="AH42" s="8"/>
      <c r="AI42" s="8"/>
      <c r="AJ42" s="8"/>
      <c r="AK42" s="8"/>
      <c r="AL42" s="8"/>
      <c r="AM42" s="8"/>
      <c r="AN42" s="8"/>
      <c r="BE42" s="42"/>
      <c r="BF42" s="5"/>
      <c r="BG42" s="35"/>
      <c r="BH42" s="5"/>
      <c r="BI42" s="6"/>
      <c r="BJ42" s="35"/>
      <c r="BK42" s="5"/>
      <c r="BL42" s="41"/>
      <c r="BM42" s="35"/>
      <c r="BN42" s="5"/>
      <c r="BO42" s="42"/>
      <c r="BP42" s="42"/>
      <c r="BQ42" s="20"/>
      <c r="BR42" s="5"/>
      <c r="DA42" s="203"/>
      <c r="DB42" s="203"/>
      <c r="DC42" s="203"/>
      <c r="DD42" s="204"/>
      <c r="DE42" s="205"/>
      <c r="DF42" s="205"/>
      <c r="DG42" s="205"/>
      <c r="DH42" s="91"/>
      <c r="DI42" s="91"/>
      <c r="DJ42" s="91"/>
      <c r="DK42" s="91"/>
      <c r="DL42" s="91"/>
      <c r="DM42" s="91"/>
      <c r="DN42" s="91"/>
      <c r="DO42" s="203"/>
      <c r="DP42" s="206"/>
      <c r="DQ42" s="206"/>
      <c r="DR42" s="206"/>
      <c r="DS42" s="206"/>
      <c r="DT42" s="206"/>
      <c r="DU42" s="206"/>
      <c r="DV42" s="206"/>
      <c r="DW42" s="206"/>
      <c r="DX42" s="206"/>
      <c r="DY42" s="206"/>
      <c r="DZ42" s="206"/>
      <c r="EA42" s="206"/>
      <c r="EB42" s="100"/>
      <c r="EC42" s="100"/>
      <c r="ED42" s="100"/>
      <c r="EE42" s="93"/>
      <c r="EF42" s="94"/>
      <c r="EG42" s="95"/>
      <c r="EH42" s="94"/>
      <c r="EI42" s="96"/>
      <c r="EJ42" s="95"/>
      <c r="EK42" s="94"/>
      <c r="EL42" s="98"/>
      <c r="EM42" s="95"/>
      <c r="EN42" s="94"/>
      <c r="EO42" s="93"/>
      <c r="EP42" s="93"/>
      <c r="EQ42" s="99"/>
      <c r="ER42" s="94"/>
      <c r="ES42" s="56"/>
    </row>
    <row r="43" spans="8:149" ht="12.75" customHeight="1">
      <c r="H43" s="71"/>
      <c r="I43" s="3"/>
      <c r="J43" s="159"/>
      <c r="K43" s="160"/>
      <c r="L43" s="162"/>
      <c r="M43" s="159"/>
      <c r="N43" s="159" t="str">
        <f>"- Tổng số bu lông:"</f>
        <v>- Tổng số bu lông:</v>
      </c>
      <c r="O43" s="3"/>
      <c r="P43" s="3"/>
      <c r="Q43" s="24" t="s">
        <v>112</v>
      </c>
      <c r="R43" s="23">
        <v>4</v>
      </c>
      <c r="S43" s="73" t="s">
        <v>113</v>
      </c>
      <c r="AH43" s="8"/>
      <c r="AI43" s="8"/>
      <c r="AJ43" s="8"/>
      <c r="AK43" s="8"/>
      <c r="AL43" s="8"/>
      <c r="AM43" s="8"/>
      <c r="AN43" s="8"/>
      <c r="BE43" s="42"/>
      <c r="BF43" s="5"/>
      <c r="BG43" s="35"/>
      <c r="BH43" s="5"/>
      <c r="BI43" s="6"/>
      <c r="BJ43" s="35"/>
      <c r="BK43" s="5"/>
      <c r="BL43" s="41"/>
      <c r="BM43" s="35"/>
      <c r="BN43" s="5"/>
      <c r="BO43" s="42"/>
      <c r="BP43" s="42"/>
      <c r="BQ43" s="20"/>
      <c r="BR43" s="5"/>
      <c r="DA43" s="203"/>
      <c r="DB43" s="203"/>
      <c r="DC43" s="203"/>
      <c r="DD43" s="204"/>
      <c r="DE43" s="205"/>
      <c r="DF43" s="205"/>
      <c r="DG43" s="205"/>
      <c r="DH43" s="91"/>
      <c r="DI43" s="91"/>
      <c r="DJ43" s="91"/>
      <c r="DK43" s="91"/>
      <c r="DL43" s="91"/>
      <c r="DM43" s="91"/>
      <c r="DN43" s="91"/>
      <c r="DO43" s="203"/>
      <c r="DP43" s="206"/>
      <c r="DQ43" s="206"/>
      <c r="DR43" s="206"/>
      <c r="DS43" s="206"/>
      <c r="DT43" s="206"/>
      <c r="DU43" s="206"/>
      <c r="DV43" s="206"/>
      <c r="DW43" s="206"/>
      <c r="DX43" s="206"/>
      <c r="DY43" s="206"/>
      <c r="DZ43" s="206"/>
      <c r="EA43" s="206"/>
      <c r="EB43" s="100"/>
      <c r="EC43" s="100"/>
      <c r="ED43" s="100"/>
      <c r="EE43" s="93"/>
      <c r="EF43" s="94"/>
      <c r="EG43" s="95"/>
      <c r="EH43" s="94"/>
      <c r="EI43" s="96"/>
      <c r="EJ43" s="95"/>
      <c r="EK43" s="94"/>
      <c r="EL43" s="98"/>
      <c r="EM43" s="95"/>
      <c r="EN43" s="94"/>
      <c r="EO43" s="93"/>
      <c r="EP43" s="93"/>
      <c r="EQ43" s="99"/>
      <c r="ER43" s="94"/>
      <c r="ES43" s="56"/>
    </row>
    <row r="44" spans="8:149" ht="12.75" customHeight="1">
      <c r="H44" s="71"/>
      <c r="I44" s="3"/>
      <c r="J44" s="159"/>
      <c r="K44" s="160"/>
      <c r="L44" s="162"/>
      <c r="M44" s="159"/>
      <c r="N44" s="159" t="str">
        <f>"- Đường kính ngoài bu lông:"</f>
        <v>- Đường kính ngoài bu lông:</v>
      </c>
      <c r="O44" s="3"/>
      <c r="P44" s="3"/>
      <c r="Q44" s="24" t="s">
        <v>45</v>
      </c>
      <c r="R44" s="23">
        <v>20</v>
      </c>
      <c r="S44" s="73" t="s">
        <v>1</v>
      </c>
      <c r="AH44" s="8"/>
      <c r="AI44" s="8"/>
      <c r="AJ44" s="8"/>
      <c r="AK44" s="8"/>
      <c r="AL44" s="8"/>
      <c r="AM44" s="8"/>
      <c r="AN44" s="8"/>
      <c r="BE44" s="42"/>
      <c r="BF44" s="5"/>
      <c r="BG44" s="35"/>
      <c r="BH44" s="5"/>
      <c r="BI44" s="6"/>
      <c r="BJ44" s="35"/>
      <c r="BK44" s="5"/>
      <c r="BL44" s="41"/>
      <c r="BM44" s="35"/>
      <c r="BN44" s="5"/>
      <c r="BO44" s="42"/>
      <c r="BP44" s="42"/>
      <c r="BQ44" s="20"/>
      <c r="BR44" s="5"/>
      <c r="DA44" s="203"/>
      <c r="DB44" s="203"/>
      <c r="DC44" s="203"/>
      <c r="DD44" s="204"/>
      <c r="DE44" s="205"/>
      <c r="DF44" s="205"/>
      <c r="DG44" s="205"/>
      <c r="DH44" s="91"/>
      <c r="DI44" s="91"/>
      <c r="DJ44" s="91"/>
      <c r="DK44" s="91"/>
      <c r="DL44" s="91"/>
      <c r="DM44" s="91"/>
      <c r="DN44" s="91"/>
      <c r="DO44" s="203"/>
      <c r="DP44" s="206"/>
      <c r="DQ44" s="206"/>
      <c r="DR44" s="206"/>
      <c r="DS44" s="206"/>
      <c r="DT44" s="206"/>
      <c r="DU44" s="206"/>
      <c r="DV44" s="206"/>
      <c r="DW44" s="206"/>
      <c r="DX44" s="206"/>
      <c r="DY44" s="206"/>
      <c r="DZ44" s="206"/>
      <c r="EA44" s="206"/>
      <c r="EB44" s="100"/>
      <c r="EC44" s="100"/>
      <c r="ED44" s="100"/>
      <c r="EE44" s="93"/>
      <c r="EF44" s="94"/>
      <c r="EG44" s="95"/>
      <c r="EH44" s="94"/>
      <c r="EI44" s="96"/>
      <c r="EJ44" s="95"/>
      <c r="EK44" s="94"/>
      <c r="EL44" s="98"/>
      <c r="EM44" s="95"/>
      <c r="EN44" s="94"/>
      <c r="EO44" s="93"/>
      <c r="EP44" s="93"/>
      <c r="EQ44" s="99"/>
      <c r="ER44" s="94"/>
      <c r="ES44" s="56"/>
    </row>
    <row r="45" spans="8:149" ht="12.75" customHeight="1">
      <c r="H45" s="71"/>
      <c r="I45" s="3"/>
      <c r="J45" s="159"/>
      <c r="K45" s="160"/>
      <c r="L45" s="162"/>
      <c r="M45" s="159"/>
      <c r="N45" s="150" t="str">
        <f>"- Diện tích thực thân bu lông:"</f>
        <v>- Diện tích thực thân bu lông:</v>
      </c>
      <c r="O45" s="151"/>
      <c r="P45" s="151"/>
      <c r="Q45" s="152" t="s">
        <v>114</v>
      </c>
      <c r="R45" s="153">
        <f>VLOOKUP(R44,Data!$V$4:$Z$99,4,FALSE)</f>
        <v>245</v>
      </c>
      <c r="S45" s="154" t="s">
        <v>46</v>
      </c>
      <c r="AH45" s="8"/>
      <c r="AI45" s="8"/>
      <c r="AJ45" s="8"/>
      <c r="AK45" s="8"/>
      <c r="AL45" s="8"/>
      <c r="AM45" s="8"/>
      <c r="AN45" s="8"/>
      <c r="BE45" s="42"/>
      <c r="BF45" s="5"/>
      <c r="BG45" s="35"/>
      <c r="BH45" s="5"/>
      <c r="BI45" s="6"/>
      <c r="BJ45" s="35"/>
      <c r="BK45" s="5"/>
      <c r="BL45" s="41"/>
      <c r="BM45" s="35"/>
      <c r="BN45" s="5"/>
      <c r="BO45" s="42"/>
      <c r="BP45" s="42"/>
      <c r="BQ45" s="20"/>
      <c r="BR45" s="5"/>
      <c r="DA45" s="203"/>
      <c r="DB45" s="203"/>
      <c r="DC45" s="203"/>
      <c r="DD45" s="204"/>
      <c r="DE45" s="205"/>
      <c r="DF45" s="205"/>
      <c r="DG45" s="205"/>
      <c r="DH45" s="91"/>
      <c r="DI45" s="91"/>
      <c r="DJ45" s="91"/>
      <c r="DK45" s="91"/>
      <c r="DL45" s="91"/>
      <c r="DM45" s="91"/>
      <c r="DN45" s="91"/>
      <c r="DO45" s="203"/>
      <c r="DP45" s="206"/>
      <c r="DQ45" s="206"/>
      <c r="DR45" s="206"/>
      <c r="DS45" s="206"/>
      <c r="DT45" s="206"/>
      <c r="DU45" s="206"/>
      <c r="DV45" s="206"/>
      <c r="DW45" s="206"/>
      <c r="DX45" s="206"/>
      <c r="DY45" s="206"/>
      <c r="DZ45" s="206"/>
      <c r="EA45" s="206"/>
      <c r="EB45" s="100"/>
      <c r="EC45" s="100"/>
      <c r="ED45" s="100"/>
      <c r="EE45" s="93"/>
      <c r="EF45" s="94"/>
      <c r="EG45" s="95"/>
      <c r="EH45" s="94"/>
      <c r="EI45" s="96"/>
      <c r="EJ45" s="95"/>
      <c r="EK45" s="94"/>
      <c r="EL45" s="98"/>
      <c r="EM45" s="95"/>
      <c r="EN45" s="94"/>
      <c r="EO45" s="93"/>
      <c r="EP45" s="93"/>
      <c r="EQ45" s="99"/>
      <c r="ER45" s="94"/>
      <c r="ES45" s="56"/>
    </row>
    <row r="46" spans="8:149" ht="12.75" customHeight="1">
      <c r="H46" s="71"/>
      <c r="I46" s="3"/>
      <c r="J46" s="159"/>
      <c r="K46" s="160"/>
      <c r="L46" s="162"/>
      <c r="M46" s="159"/>
      <c r="N46" s="159" t="str">
        <f>"- Chiều dài bản đế:"</f>
        <v>- Chiều dài bản đế:</v>
      </c>
      <c r="O46" s="3"/>
      <c r="P46" s="3"/>
      <c r="Q46" s="24" t="s">
        <v>199</v>
      </c>
      <c r="R46" s="23">
        <v>300</v>
      </c>
      <c r="S46" s="73" t="s">
        <v>1</v>
      </c>
      <c r="AH46" s="8"/>
      <c r="AI46" s="8"/>
      <c r="AJ46" s="8"/>
      <c r="AK46" s="8"/>
      <c r="AL46" s="8"/>
      <c r="AM46" s="8"/>
      <c r="AN46" s="8"/>
      <c r="BE46" s="42"/>
      <c r="BF46" s="5"/>
      <c r="BG46" s="35"/>
      <c r="BH46" s="5"/>
      <c r="BI46" s="6"/>
      <c r="BJ46" s="35"/>
      <c r="BK46" s="5"/>
      <c r="BL46" s="41"/>
      <c r="BM46" s="35"/>
      <c r="BN46" s="5"/>
      <c r="BO46" s="42"/>
      <c r="BP46" s="42"/>
      <c r="BQ46" s="20"/>
      <c r="BR46" s="5"/>
      <c r="DA46" s="203"/>
      <c r="DB46" s="203"/>
      <c r="DC46" s="203"/>
      <c r="DD46" s="204"/>
      <c r="DE46" s="205"/>
      <c r="DF46" s="205"/>
      <c r="DG46" s="205"/>
      <c r="DH46" s="91"/>
      <c r="DI46" s="91"/>
      <c r="DJ46" s="91"/>
      <c r="DK46" s="91"/>
      <c r="DL46" s="91"/>
      <c r="DM46" s="91"/>
      <c r="DN46" s="91"/>
      <c r="DO46" s="203"/>
      <c r="DP46" s="206"/>
      <c r="DQ46" s="206"/>
      <c r="DR46" s="206"/>
      <c r="DS46" s="206"/>
      <c r="DT46" s="206"/>
      <c r="DU46" s="206"/>
      <c r="DV46" s="206"/>
      <c r="DW46" s="206"/>
      <c r="DX46" s="206"/>
      <c r="DY46" s="206"/>
      <c r="DZ46" s="206"/>
      <c r="EA46" s="206"/>
      <c r="EB46" s="100"/>
      <c r="EC46" s="100"/>
      <c r="ED46" s="100"/>
      <c r="EE46" s="93"/>
      <c r="EF46" s="94"/>
      <c r="EG46" s="95"/>
      <c r="EH46" s="94"/>
      <c r="EI46" s="96"/>
      <c r="EJ46" s="95"/>
      <c r="EK46" s="94"/>
      <c r="EL46" s="98"/>
      <c r="EM46" s="95"/>
      <c r="EN46" s="94"/>
      <c r="EO46" s="93"/>
      <c r="EP46" s="93"/>
      <c r="EQ46" s="99"/>
      <c r="ER46" s="94"/>
      <c r="ES46" s="56"/>
    </row>
    <row r="47" spans="8:149" ht="12.75" customHeight="1">
      <c r="H47" s="71"/>
      <c r="I47" s="3"/>
      <c r="J47" s="159"/>
      <c r="K47" s="160"/>
      <c r="L47" s="162"/>
      <c r="M47" s="159"/>
      <c r="N47" s="159" t="str">
        <f>"- Bề rộng bản đế:"</f>
        <v>- Bề rộng bản đế:</v>
      </c>
      <c r="O47" s="3"/>
      <c r="P47" s="163"/>
      <c r="Q47" s="24" t="s">
        <v>200</v>
      </c>
      <c r="R47" s="23">
        <v>200</v>
      </c>
      <c r="S47" s="73" t="s">
        <v>1</v>
      </c>
      <c r="AH47" s="8"/>
      <c r="AI47" s="8"/>
      <c r="AJ47" s="8"/>
      <c r="AK47" s="8"/>
      <c r="AL47" s="8"/>
      <c r="AM47" s="8"/>
      <c r="AN47" s="8"/>
      <c r="BE47" s="42"/>
      <c r="BF47" s="5"/>
      <c r="BG47" s="35"/>
      <c r="BH47" s="5"/>
      <c r="BI47" s="6"/>
      <c r="BJ47" s="35"/>
      <c r="BK47" s="5"/>
      <c r="BL47" s="41"/>
      <c r="BM47" s="35"/>
      <c r="BN47" s="5"/>
      <c r="BO47" s="42"/>
      <c r="BP47" s="42"/>
      <c r="BQ47" s="20"/>
      <c r="BR47" s="5"/>
      <c r="DA47" s="203"/>
      <c r="DB47" s="203"/>
      <c r="DC47" s="203"/>
      <c r="DD47" s="204"/>
      <c r="DE47" s="205"/>
      <c r="DF47" s="205"/>
      <c r="DG47" s="205"/>
      <c r="DH47" s="91"/>
      <c r="DI47" s="91"/>
      <c r="DJ47" s="91"/>
      <c r="DK47" s="91"/>
      <c r="DL47" s="91"/>
      <c r="DM47" s="91"/>
      <c r="DN47" s="91"/>
      <c r="DO47" s="203"/>
      <c r="DP47" s="206"/>
      <c r="DQ47" s="206"/>
      <c r="DR47" s="206"/>
      <c r="DS47" s="206"/>
      <c r="DT47" s="206"/>
      <c r="DU47" s="206"/>
      <c r="DV47" s="206"/>
      <c r="DW47" s="206"/>
      <c r="DX47" s="206"/>
      <c r="DY47" s="206"/>
      <c r="DZ47" s="206"/>
      <c r="EA47" s="206"/>
      <c r="EB47" s="100"/>
      <c r="EC47" s="100"/>
      <c r="ED47" s="100"/>
      <c r="EE47" s="93"/>
      <c r="EF47" s="94"/>
      <c r="EG47" s="95"/>
      <c r="EH47" s="94"/>
      <c r="EI47" s="96"/>
      <c r="EJ47" s="95"/>
      <c r="EK47" s="94"/>
      <c r="EL47" s="98"/>
      <c r="EM47" s="95"/>
      <c r="EN47" s="94"/>
      <c r="EO47" s="93"/>
      <c r="EP47" s="93"/>
      <c r="EQ47" s="99"/>
      <c r="ER47" s="94"/>
      <c r="ES47" s="56"/>
    </row>
    <row r="48" spans="8:149" ht="12.75" customHeight="1">
      <c r="H48" s="71"/>
      <c r="I48" s="3"/>
      <c r="J48" s="159"/>
      <c r="K48" s="160"/>
      <c r="L48" s="162"/>
      <c r="M48" s="159"/>
      <c r="N48" s="159" t="str">
        <f>"- Chiều dày bản đế:"</f>
        <v>- Chiều dày bản đế:</v>
      </c>
      <c r="O48" s="3"/>
      <c r="P48" s="3"/>
      <c r="Q48" s="24" t="s">
        <v>57</v>
      </c>
      <c r="R48" s="23">
        <v>16</v>
      </c>
      <c r="S48" s="73" t="s">
        <v>1</v>
      </c>
      <c r="T48" s="2"/>
      <c r="AH48" s="8"/>
      <c r="AI48" s="8"/>
      <c r="AJ48" s="8"/>
      <c r="AK48" s="8"/>
      <c r="AL48" s="8"/>
      <c r="AM48" s="8"/>
      <c r="AN48" s="8"/>
      <c r="BE48" s="42"/>
      <c r="BF48" s="5"/>
      <c r="BG48" s="35"/>
      <c r="BH48" s="5"/>
      <c r="BI48" s="6"/>
      <c r="BJ48" s="35"/>
      <c r="BK48" s="5"/>
      <c r="BL48" s="41"/>
      <c r="BM48" s="35"/>
      <c r="BN48" s="5"/>
      <c r="BO48" s="42"/>
      <c r="BP48" s="42"/>
      <c r="BQ48" s="20"/>
      <c r="BR48" s="5"/>
      <c r="DA48" s="203"/>
      <c r="DB48" s="203"/>
      <c r="DC48" s="203"/>
      <c r="DD48" s="204"/>
      <c r="DE48" s="205"/>
      <c r="DF48" s="205"/>
      <c r="DG48" s="205"/>
      <c r="DH48" s="91"/>
      <c r="DI48" s="91"/>
      <c r="DJ48" s="91"/>
      <c r="DK48" s="91"/>
      <c r="DL48" s="91"/>
      <c r="DM48" s="91"/>
      <c r="DN48" s="91"/>
      <c r="DO48" s="203"/>
      <c r="DP48" s="206"/>
      <c r="DQ48" s="206"/>
      <c r="DR48" s="206"/>
      <c r="DS48" s="206"/>
      <c r="DT48" s="206"/>
      <c r="DU48" s="206"/>
      <c r="DV48" s="206"/>
      <c r="DW48" s="206"/>
      <c r="DX48" s="206"/>
      <c r="DY48" s="206"/>
      <c r="DZ48" s="206"/>
      <c r="EA48" s="206"/>
      <c r="EB48" s="100"/>
      <c r="EC48" s="100"/>
      <c r="ED48" s="100"/>
      <c r="EE48" s="93"/>
      <c r="EF48" s="94"/>
      <c r="EG48" s="95"/>
      <c r="EH48" s="94"/>
      <c r="EI48" s="96"/>
      <c r="EJ48" s="95"/>
      <c r="EK48" s="94"/>
      <c r="EL48" s="98"/>
      <c r="EM48" s="95"/>
      <c r="EN48" s="94"/>
      <c r="EO48" s="93"/>
      <c r="EP48" s="93"/>
      <c r="EQ48" s="99"/>
      <c r="ER48" s="94"/>
      <c r="ES48" s="56"/>
    </row>
    <row r="49" spans="8:149" ht="12.75" customHeight="1">
      <c r="H49" s="71"/>
      <c r="I49" s="3"/>
      <c r="J49" s="159"/>
      <c r="K49" s="160"/>
      <c r="L49" s="162"/>
      <c r="M49" s="159"/>
      <c r="N49" s="159" t="str">
        <f>"- Khoảng cách F:"</f>
        <v>- Khoảng cách F:</v>
      </c>
      <c r="O49" s="3"/>
      <c r="P49" s="3"/>
      <c r="Q49" s="24" t="s">
        <v>184</v>
      </c>
      <c r="R49" s="23">
        <f>VLOOKUP(R44,$A$14:$C$22,2,FALSE)</f>
        <v>50</v>
      </c>
      <c r="S49" s="73" t="s">
        <v>1</v>
      </c>
      <c r="T49" s="2"/>
      <c r="AH49" s="8"/>
      <c r="AI49" s="8"/>
      <c r="AJ49" s="8"/>
      <c r="AK49" s="8"/>
      <c r="AL49" s="8"/>
      <c r="AM49" s="8"/>
      <c r="AN49" s="8"/>
      <c r="BE49" s="42"/>
      <c r="BF49" s="5"/>
      <c r="BG49" s="35"/>
      <c r="BH49" s="5"/>
      <c r="BI49" s="6"/>
      <c r="BJ49" s="35"/>
      <c r="BK49" s="5"/>
      <c r="BL49" s="41"/>
      <c r="BM49" s="35"/>
      <c r="BN49" s="5"/>
      <c r="BO49" s="42"/>
      <c r="BP49" s="42"/>
      <c r="BQ49" s="20"/>
      <c r="BR49" s="5"/>
      <c r="DA49" s="203"/>
      <c r="DB49" s="203"/>
      <c r="DC49" s="203"/>
      <c r="DD49" s="204"/>
      <c r="DE49" s="205"/>
      <c r="DF49" s="205"/>
      <c r="DG49" s="205"/>
      <c r="DH49" s="91"/>
      <c r="DI49" s="91"/>
      <c r="DJ49" s="91"/>
      <c r="DK49" s="91"/>
      <c r="DL49" s="91"/>
      <c r="DM49" s="91"/>
      <c r="DN49" s="91"/>
      <c r="DO49" s="203"/>
      <c r="DP49" s="206"/>
      <c r="DQ49" s="206"/>
      <c r="DR49" s="206"/>
      <c r="DS49" s="206"/>
      <c r="DT49" s="206"/>
      <c r="DU49" s="206"/>
      <c r="DV49" s="206"/>
      <c r="DW49" s="206"/>
      <c r="DX49" s="206"/>
      <c r="DY49" s="206"/>
      <c r="DZ49" s="206"/>
      <c r="EA49" s="206"/>
      <c r="EB49" s="100"/>
      <c r="EC49" s="100"/>
      <c r="ED49" s="100"/>
      <c r="EE49" s="93"/>
      <c r="EF49" s="94"/>
      <c r="EG49" s="95"/>
      <c r="EH49" s="94"/>
      <c r="EI49" s="96"/>
      <c r="EJ49" s="95"/>
      <c r="EK49" s="94"/>
      <c r="EL49" s="98"/>
      <c r="EM49" s="95"/>
      <c r="EN49" s="94"/>
      <c r="EO49" s="93"/>
      <c r="EP49" s="93"/>
      <c r="EQ49" s="99"/>
      <c r="ER49" s="94"/>
      <c r="ES49" s="56"/>
    </row>
    <row r="50" spans="8:149" ht="12.75" customHeight="1">
      <c r="H50" s="71"/>
      <c r="I50" s="3"/>
      <c r="J50" s="159"/>
      <c r="K50" s="160"/>
      <c r="L50" s="162"/>
      <c r="M50" s="159"/>
      <c r="N50" s="150" t="str">
        <f>"- Khoảng cách B:"</f>
        <v>- Khoảng cách B:</v>
      </c>
      <c r="O50" s="151"/>
      <c r="P50" s="151"/>
      <c r="Q50" s="152" t="s">
        <v>185</v>
      </c>
      <c r="R50" s="155">
        <f>(R46-R40-2*R49)/2</f>
        <v>0</v>
      </c>
      <c r="S50" s="154" t="s">
        <v>1</v>
      </c>
      <c r="T50" s="2"/>
      <c r="AH50" s="8"/>
      <c r="AI50" s="8"/>
      <c r="AJ50" s="8"/>
      <c r="AK50" s="8"/>
      <c r="AL50" s="8"/>
      <c r="AM50" s="8"/>
      <c r="AN50" s="8"/>
      <c r="BE50" s="42"/>
      <c r="BF50" s="5"/>
      <c r="BG50" s="35"/>
      <c r="BH50" s="5"/>
      <c r="BI50" s="6"/>
      <c r="BJ50" s="35"/>
      <c r="BK50" s="5"/>
      <c r="BL50" s="41"/>
      <c r="BM50" s="35"/>
      <c r="BN50" s="5"/>
      <c r="BO50" s="42"/>
      <c r="BP50" s="42"/>
      <c r="BQ50" s="20"/>
      <c r="BR50" s="5"/>
      <c r="DA50" s="203"/>
      <c r="DB50" s="203"/>
      <c r="DC50" s="203"/>
      <c r="DD50" s="204"/>
      <c r="DE50" s="205"/>
      <c r="DF50" s="205"/>
      <c r="DG50" s="205"/>
      <c r="DH50" s="91"/>
      <c r="DI50" s="91"/>
      <c r="DJ50" s="91"/>
      <c r="DK50" s="91"/>
      <c r="DL50" s="91"/>
      <c r="DM50" s="91"/>
      <c r="DN50" s="91"/>
      <c r="DO50" s="203"/>
      <c r="DP50" s="206"/>
      <c r="DQ50" s="206"/>
      <c r="DR50" s="206"/>
      <c r="DS50" s="206"/>
      <c r="DT50" s="206"/>
      <c r="DU50" s="206"/>
      <c r="DV50" s="206"/>
      <c r="DW50" s="206"/>
      <c r="DX50" s="206"/>
      <c r="DY50" s="206"/>
      <c r="DZ50" s="206"/>
      <c r="EA50" s="206"/>
      <c r="EB50" s="100"/>
      <c r="EC50" s="100"/>
      <c r="ED50" s="100"/>
      <c r="EE50" s="93"/>
      <c r="EF50" s="94"/>
      <c r="EG50" s="95"/>
      <c r="EH50" s="94"/>
      <c r="EI50" s="96"/>
      <c r="EJ50" s="95"/>
      <c r="EK50" s="94"/>
      <c r="EL50" s="98"/>
      <c r="EM50" s="95"/>
      <c r="EN50" s="94"/>
      <c r="EO50" s="93"/>
      <c r="EP50" s="93"/>
      <c r="EQ50" s="99"/>
      <c r="ER50" s="94"/>
      <c r="ES50" s="56"/>
    </row>
    <row r="51" spans="8:149" ht="12.75" customHeight="1">
      <c r="H51" s="71"/>
      <c r="I51" s="3"/>
      <c r="J51" s="159"/>
      <c r="K51" s="160"/>
      <c r="L51" s="162"/>
      <c r="M51" s="159"/>
      <c r="N51" s="159" t="str">
        <f>"- Chiều cao sườn đế:"</f>
        <v>- Chiều cao sườn đế:</v>
      </c>
      <c r="O51" s="3"/>
      <c r="P51" s="3"/>
      <c r="Q51" s="24" t="s">
        <v>109</v>
      </c>
      <c r="R51" s="23">
        <v>150</v>
      </c>
      <c r="S51" s="73" t="s">
        <v>1</v>
      </c>
      <c r="T51" s="2"/>
      <c r="AH51" s="8"/>
      <c r="AI51" s="8"/>
      <c r="AJ51" s="8"/>
      <c r="AK51" s="8"/>
      <c r="AL51" s="8"/>
      <c r="AM51" s="8"/>
      <c r="AN51" s="8"/>
      <c r="BE51" s="42"/>
      <c r="BF51" s="5"/>
      <c r="BG51" s="35"/>
      <c r="BH51" s="5"/>
      <c r="BI51" s="6"/>
      <c r="BJ51" s="35"/>
      <c r="BK51" s="5"/>
      <c r="BL51" s="41"/>
      <c r="BM51" s="35"/>
      <c r="BN51" s="5"/>
      <c r="BO51" s="42"/>
      <c r="BP51" s="42"/>
      <c r="BQ51" s="20"/>
      <c r="BR51" s="5"/>
      <c r="DA51" s="203"/>
      <c r="DB51" s="203"/>
      <c r="DC51" s="203"/>
      <c r="DD51" s="204"/>
      <c r="DE51" s="205"/>
      <c r="DF51" s="205"/>
      <c r="DG51" s="205"/>
      <c r="DH51" s="91"/>
      <c r="DI51" s="91"/>
      <c r="DJ51" s="91"/>
      <c r="DK51" s="91"/>
      <c r="DL51" s="91"/>
      <c r="DM51" s="91"/>
      <c r="DN51" s="91"/>
      <c r="DO51" s="203"/>
      <c r="DP51" s="206"/>
      <c r="DQ51" s="206"/>
      <c r="DR51" s="206"/>
      <c r="DS51" s="206"/>
      <c r="DT51" s="206"/>
      <c r="DU51" s="206"/>
      <c r="DV51" s="206"/>
      <c r="DW51" s="206"/>
      <c r="DX51" s="206"/>
      <c r="DY51" s="206"/>
      <c r="DZ51" s="206"/>
      <c r="EA51" s="206"/>
      <c r="EB51" s="100"/>
      <c r="EC51" s="100"/>
      <c r="ED51" s="100"/>
      <c r="EE51" s="93"/>
      <c r="EF51" s="94"/>
      <c r="EG51" s="95"/>
      <c r="EH51" s="94"/>
      <c r="EI51" s="96"/>
      <c r="EJ51" s="95"/>
      <c r="EK51" s="94"/>
      <c r="EL51" s="98"/>
      <c r="EM51" s="95"/>
      <c r="EN51" s="94"/>
      <c r="EO51" s="93"/>
      <c r="EP51" s="93"/>
      <c r="EQ51" s="99"/>
      <c r="ER51" s="94"/>
      <c r="ES51" s="56"/>
    </row>
    <row r="52" spans="8:149" ht="12.75" customHeight="1">
      <c r="H52" s="71"/>
      <c r="I52" s="3"/>
      <c r="J52" s="159"/>
      <c r="K52" s="160"/>
      <c r="L52" s="162"/>
      <c r="M52" s="159"/>
      <c r="N52" s="159" t="str">
        <f>"- Chiều dày sườn đế:"</f>
        <v>- Chiều dày sườn đế:</v>
      </c>
      <c r="O52" s="3"/>
      <c r="P52" s="3"/>
      <c r="Q52" s="24" t="s">
        <v>110</v>
      </c>
      <c r="R52" s="23">
        <v>0</v>
      </c>
      <c r="S52" s="73" t="s">
        <v>1</v>
      </c>
      <c r="T52" s="2"/>
      <c r="AH52" s="8"/>
      <c r="AI52" s="8"/>
      <c r="AJ52" s="8"/>
      <c r="AK52" s="8"/>
      <c r="AL52" s="8"/>
      <c r="AM52" s="8"/>
      <c r="AN52" s="8"/>
      <c r="BE52" s="42"/>
      <c r="BF52" s="5"/>
      <c r="BG52" s="35"/>
      <c r="BH52" s="5"/>
      <c r="BI52" s="6"/>
      <c r="BJ52" s="35"/>
      <c r="BK52" s="5"/>
      <c r="BL52" s="41"/>
      <c r="BM52" s="35"/>
      <c r="BN52" s="5"/>
      <c r="BO52" s="42"/>
      <c r="BP52" s="42"/>
      <c r="BQ52" s="20"/>
      <c r="BR52" s="5"/>
      <c r="DA52" s="203"/>
      <c r="DB52" s="203"/>
      <c r="DC52" s="203"/>
      <c r="DD52" s="204"/>
      <c r="DE52" s="205"/>
      <c r="DF52" s="205"/>
      <c r="DG52" s="205"/>
      <c r="DH52" s="91"/>
      <c r="DI52" s="91"/>
      <c r="DJ52" s="91"/>
      <c r="DK52" s="91"/>
      <c r="DL52" s="91"/>
      <c r="DM52" s="91"/>
      <c r="DN52" s="91"/>
      <c r="DO52" s="203"/>
      <c r="DP52" s="206"/>
      <c r="DQ52" s="206"/>
      <c r="DR52" s="206"/>
      <c r="DS52" s="206"/>
      <c r="DT52" s="206"/>
      <c r="DU52" s="206"/>
      <c r="DV52" s="206"/>
      <c r="DW52" s="206"/>
      <c r="DX52" s="206"/>
      <c r="DY52" s="206"/>
      <c r="DZ52" s="206"/>
      <c r="EA52" s="206"/>
      <c r="EB52" s="100"/>
      <c r="EC52" s="100"/>
      <c r="ED52" s="100"/>
      <c r="EE52" s="93"/>
      <c r="EF52" s="94"/>
      <c r="EG52" s="95"/>
      <c r="EH52" s="94"/>
      <c r="EI52" s="96"/>
      <c r="EJ52" s="95"/>
      <c r="EK52" s="94"/>
      <c r="EL52" s="98"/>
      <c r="EM52" s="95"/>
      <c r="EN52" s="94"/>
      <c r="EO52" s="93"/>
      <c r="EP52" s="93"/>
      <c r="EQ52" s="99"/>
      <c r="ER52" s="94"/>
      <c r="ES52" s="56"/>
    </row>
    <row r="53" spans="8:149" ht="12.75" customHeight="1">
      <c r="H53" s="71"/>
      <c r="I53" s="3"/>
      <c r="J53" s="3"/>
      <c r="K53" s="3"/>
      <c r="L53" s="3"/>
      <c r="M53" s="3"/>
      <c r="N53" s="159" t="str">
        <f>"- Chiều cao đường hàn:"</f>
        <v>- Chiều cao đường hàn:</v>
      </c>
      <c r="O53" s="3"/>
      <c r="P53" s="3"/>
      <c r="Q53" s="24" t="s">
        <v>183</v>
      </c>
      <c r="R53" s="23">
        <v>6</v>
      </c>
      <c r="S53" s="72" t="s">
        <v>1</v>
      </c>
      <c r="T53" s="2"/>
      <c r="AH53" s="8"/>
      <c r="AI53" s="8"/>
      <c r="AJ53" s="8"/>
      <c r="AK53" s="8"/>
      <c r="AL53" s="8"/>
      <c r="AM53" s="8"/>
      <c r="AN53" s="8"/>
      <c r="BE53" s="42"/>
      <c r="BF53" s="5"/>
      <c r="BG53" s="35"/>
      <c r="BH53" s="5"/>
      <c r="BI53" s="6"/>
      <c r="BJ53" s="35"/>
      <c r="BK53" s="5"/>
      <c r="BL53" s="41"/>
      <c r="BM53" s="35"/>
      <c r="BN53" s="5"/>
      <c r="BO53" s="42"/>
      <c r="BP53" s="42"/>
      <c r="BQ53" s="20"/>
      <c r="BR53" s="5"/>
      <c r="DA53" s="203"/>
      <c r="DB53" s="203"/>
      <c r="DC53" s="203"/>
      <c r="DD53" s="204"/>
      <c r="DE53" s="205"/>
      <c r="DF53" s="205"/>
      <c r="DG53" s="205"/>
      <c r="DH53" s="91"/>
      <c r="DI53" s="91"/>
      <c r="DJ53" s="91"/>
      <c r="DK53" s="91"/>
      <c r="DL53" s="91"/>
      <c r="DM53" s="91"/>
      <c r="DN53" s="91"/>
      <c r="DO53" s="203"/>
      <c r="DP53" s="206"/>
      <c r="DQ53" s="206"/>
      <c r="DR53" s="206"/>
      <c r="DS53" s="206"/>
      <c r="DT53" s="206"/>
      <c r="DU53" s="206"/>
      <c r="DV53" s="206"/>
      <c r="DW53" s="206"/>
      <c r="DX53" s="206"/>
      <c r="DY53" s="206"/>
      <c r="DZ53" s="206"/>
      <c r="EA53" s="206"/>
      <c r="EB53" s="100"/>
      <c r="EC53" s="100"/>
      <c r="ED53" s="100"/>
      <c r="EE53" s="93"/>
      <c r="EF53" s="94"/>
      <c r="EG53" s="95"/>
      <c r="EH53" s="94"/>
      <c r="EI53" s="96"/>
      <c r="EJ53" s="95"/>
      <c r="EK53" s="94"/>
      <c r="EL53" s="98"/>
      <c r="EM53" s="95"/>
      <c r="EN53" s="94"/>
      <c r="EO53" s="93"/>
      <c r="EP53" s="93"/>
      <c r="EQ53" s="99"/>
      <c r="ER53" s="94"/>
      <c r="ES53" s="56"/>
    </row>
    <row r="54" spans="8:149" ht="12.75" customHeight="1">
      <c r="H54" s="70" t="s">
        <v>58</v>
      </c>
      <c r="I54" s="159"/>
      <c r="J54" s="159"/>
      <c r="K54" s="159"/>
      <c r="L54" s="159"/>
      <c r="M54" s="159"/>
      <c r="N54" s="160"/>
      <c r="O54" s="161"/>
      <c r="P54" s="159"/>
      <c r="Q54" s="3"/>
      <c r="R54" s="3"/>
      <c r="S54" s="69"/>
      <c r="T54" s="2"/>
      <c r="AH54" s="8"/>
      <c r="AI54" s="8"/>
      <c r="AJ54" s="8"/>
      <c r="AK54" s="8"/>
      <c r="AL54" s="8"/>
      <c r="AM54" s="8"/>
      <c r="AN54" s="8"/>
      <c r="BE54" s="42"/>
      <c r="BF54" s="5"/>
      <c r="BG54" s="35"/>
      <c r="BH54" s="5"/>
      <c r="BI54" s="6"/>
      <c r="BJ54" s="35"/>
      <c r="BK54" s="5"/>
      <c r="BL54" s="41"/>
      <c r="BM54" s="35"/>
      <c r="BN54" s="5"/>
      <c r="BO54" s="42"/>
      <c r="BP54" s="42"/>
      <c r="BQ54" s="20"/>
      <c r="BR54" s="5"/>
      <c r="DA54" s="203"/>
      <c r="DB54" s="203"/>
      <c r="DC54" s="203"/>
      <c r="DD54" s="204"/>
      <c r="DE54" s="205"/>
      <c r="DF54" s="205"/>
      <c r="DG54" s="205"/>
      <c r="DH54" s="91"/>
      <c r="DI54" s="91"/>
      <c r="DJ54" s="91"/>
      <c r="DK54" s="91"/>
      <c r="DL54" s="91"/>
      <c r="DM54" s="91"/>
      <c r="DN54" s="91"/>
      <c r="DO54" s="203"/>
      <c r="DP54" s="206"/>
      <c r="DQ54" s="206"/>
      <c r="DR54" s="206"/>
      <c r="DS54" s="206"/>
      <c r="DT54" s="206"/>
      <c r="DU54" s="206"/>
      <c r="DV54" s="206"/>
      <c r="DW54" s="206"/>
      <c r="DX54" s="206"/>
      <c r="DY54" s="206"/>
      <c r="DZ54" s="206"/>
      <c r="EA54" s="206"/>
      <c r="EB54" s="100"/>
      <c r="EC54" s="100"/>
      <c r="ED54" s="100"/>
      <c r="EE54" s="93"/>
      <c r="EF54" s="94"/>
      <c r="EG54" s="95"/>
      <c r="EH54" s="94"/>
      <c r="EI54" s="96"/>
      <c r="EJ54" s="95"/>
      <c r="EK54" s="94"/>
      <c r="EL54" s="98"/>
      <c r="EM54" s="95"/>
      <c r="EN54" s="94"/>
      <c r="EO54" s="93"/>
      <c r="EP54" s="93"/>
      <c r="EQ54" s="99"/>
      <c r="ER54" s="94"/>
      <c r="ES54" s="56"/>
    </row>
    <row r="55" spans="8:149" ht="15" customHeight="1">
      <c r="H55" s="75"/>
      <c r="I55" s="3"/>
      <c r="J55" s="3"/>
      <c r="K55" s="289" t="s">
        <v>123</v>
      </c>
      <c r="L55" s="289"/>
      <c r="M55" s="5" t="s">
        <v>124</v>
      </c>
      <c r="N55" s="285" t="s">
        <v>125</v>
      </c>
      <c r="O55" s="285"/>
      <c r="P55" s="5" t="s">
        <v>157</v>
      </c>
      <c r="Q55" s="5" t="s">
        <v>126</v>
      </c>
      <c r="R55" s="5" t="s">
        <v>173</v>
      </c>
      <c r="S55" s="72"/>
      <c r="T55" s="2"/>
      <c r="AH55" s="8"/>
      <c r="AI55" s="8"/>
      <c r="AJ55" s="8"/>
      <c r="AK55" s="8"/>
      <c r="AL55" s="8"/>
      <c r="AM55" s="8"/>
      <c r="AN55" s="8"/>
      <c r="BE55" s="42"/>
      <c r="BF55" s="5"/>
      <c r="BG55" s="35"/>
      <c r="BH55" s="5"/>
      <c r="BI55" s="6"/>
      <c r="BJ55" s="35"/>
      <c r="BK55" s="5"/>
      <c r="BL55" s="41"/>
      <c r="BM55" s="35"/>
      <c r="BN55" s="5"/>
      <c r="BO55" s="42"/>
      <c r="BP55" s="42"/>
      <c r="BQ55" s="20"/>
      <c r="BR55" s="5"/>
      <c r="DA55" s="203"/>
      <c r="DB55" s="203"/>
      <c r="DC55" s="203"/>
      <c r="DD55" s="204"/>
      <c r="DE55" s="205"/>
      <c r="DF55" s="205"/>
      <c r="DG55" s="205"/>
      <c r="DH55" s="91"/>
      <c r="DI55" s="91"/>
      <c r="DJ55" s="91"/>
      <c r="DK55" s="91"/>
      <c r="DL55" s="91"/>
      <c r="DM55" s="91"/>
      <c r="DN55" s="91"/>
      <c r="DO55" s="203"/>
      <c r="DP55" s="206"/>
      <c r="DQ55" s="206"/>
      <c r="DR55" s="206"/>
      <c r="DS55" s="206"/>
      <c r="DT55" s="206"/>
      <c r="DU55" s="206"/>
      <c r="DV55" s="206"/>
      <c r="DW55" s="206"/>
      <c r="DX55" s="206"/>
      <c r="DY55" s="206"/>
      <c r="DZ55" s="206"/>
      <c r="EA55" s="206"/>
      <c r="EB55" s="100"/>
      <c r="EC55" s="100"/>
      <c r="ED55" s="100"/>
      <c r="EE55" s="93"/>
      <c r="EF55" s="94"/>
      <c r="EG55" s="95"/>
      <c r="EH55" s="94"/>
      <c r="EI55" s="96"/>
      <c r="EJ55" s="95"/>
      <c r="EK55" s="94"/>
      <c r="EL55" s="98"/>
      <c r="EM55" s="95"/>
      <c r="EN55" s="94"/>
      <c r="EO55" s="93"/>
      <c r="EP55" s="93"/>
      <c r="EQ55" s="99"/>
      <c r="ER55" s="94"/>
      <c r="ES55" s="56"/>
    </row>
    <row r="56" spans="8:149">
      <c r="H56" s="75"/>
      <c r="I56" s="3"/>
      <c r="J56" s="3"/>
      <c r="K56" s="68" t="s">
        <v>175</v>
      </c>
      <c r="L56" s="68" t="s">
        <v>180</v>
      </c>
      <c r="M56" s="5" t="s">
        <v>189</v>
      </c>
      <c r="N56" s="285"/>
      <c r="O56" s="285"/>
      <c r="P56" s="5" t="s">
        <v>68</v>
      </c>
      <c r="Q56" s="5" t="s">
        <v>67</v>
      </c>
      <c r="R56" s="5" t="s">
        <v>67</v>
      </c>
      <c r="S56" s="72"/>
      <c r="T56" s="2"/>
      <c r="AH56" s="8"/>
      <c r="AI56" s="8"/>
      <c r="AJ56" s="8"/>
      <c r="AK56" s="8"/>
      <c r="AL56" s="8"/>
      <c r="AM56" s="8"/>
      <c r="AN56" s="8"/>
      <c r="BE56" s="42"/>
      <c r="BF56" s="5"/>
      <c r="BG56" s="35"/>
      <c r="BH56" s="5"/>
      <c r="BI56" s="6"/>
      <c r="BJ56" s="35"/>
      <c r="BK56" s="5"/>
      <c r="BL56" s="41"/>
      <c r="BM56" s="35"/>
      <c r="BN56" s="5"/>
      <c r="BO56" s="42"/>
      <c r="BP56" s="42"/>
      <c r="BQ56" s="20"/>
      <c r="BR56" s="5"/>
      <c r="DA56" s="203"/>
      <c r="DB56" s="203"/>
      <c r="DC56" s="203"/>
      <c r="DD56" s="204"/>
      <c r="DE56" s="205"/>
      <c r="DF56" s="205"/>
      <c r="DG56" s="205"/>
      <c r="DH56" s="91"/>
      <c r="DI56" s="91"/>
      <c r="DJ56" s="91"/>
      <c r="DK56" s="91"/>
      <c r="DL56" s="91"/>
      <c r="DM56" s="91"/>
      <c r="DN56" s="91"/>
      <c r="DO56" s="203"/>
      <c r="DP56" s="206"/>
      <c r="DQ56" s="206"/>
      <c r="DR56" s="206"/>
      <c r="DS56" s="206"/>
      <c r="DT56" s="206"/>
      <c r="DU56" s="206"/>
      <c r="DV56" s="206"/>
      <c r="DW56" s="206"/>
      <c r="DX56" s="206"/>
      <c r="DY56" s="206"/>
      <c r="DZ56" s="206"/>
      <c r="EA56" s="206"/>
      <c r="EB56" s="100"/>
      <c r="EC56" s="100"/>
      <c r="ED56" s="100"/>
      <c r="EE56" s="93"/>
      <c r="EF56" s="94"/>
      <c r="EG56" s="95"/>
      <c r="EH56" s="94"/>
      <c r="EI56" s="96"/>
      <c r="EJ56" s="95"/>
      <c r="EK56" s="94"/>
      <c r="EL56" s="98"/>
      <c r="EM56" s="95"/>
      <c r="EN56" s="94"/>
      <c r="EO56" s="93"/>
      <c r="EP56" s="93"/>
      <c r="EQ56" s="99"/>
      <c r="ER56" s="94"/>
      <c r="ES56" s="56"/>
    </row>
    <row r="57" spans="8:149">
      <c r="H57" s="75"/>
      <c r="I57" s="3"/>
      <c r="J57" s="3"/>
      <c r="K57" s="21" t="s">
        <v>299</v>
      </c>
      <c r="L57" s="21">
        <v>129</v>
      </c>
      <c r="M57" s="46">
        <v>0</v>
      </c>
      <c r="N57" s="286" t="s">
        <v>304</v>
      </c>
      <c r="O57" s="286"/>
      <c r="P57" s="46">
        <v>3.4278339304401348</v>
      </c>
      <c r="Q57" s="46">
        <v>-1.8587796760636017</v>
      </c>
      <c r="R57" s="46">
        <v>4.5561907593851076</v>
      </c>
      <c r="S57" s="72"/>
      <c r="T57" s="2"/>
      <c r="AH57" s="8"/>
      <c r="AI57" s="8"/>
      <c r="AJ57" s="8"/>
      <c r="AK57" s="8"/>
      <c r="AL57" s="8"/>
      <c r="AM57" s="8"/>
      <c r="AN57" s="8"/>
      <c r="BE57" s="42"/>
      <c r="BF57" s="5"/>
      <c r="BG57" s="35"/>
      <c r="BH57" s="5"/>
      <c r="BI57" s="6"/>
      <c r="BJ57" s="35"/>
      <c r="BK57" s="5"/>
      <c r="BL57" s="41"/>
      <c r="BM57" s="35"/>
      <c r="BN57" s="5"/>
      <c r="BO57" s="42"/>
      <c r="BP57" s="42"/>
      <c r="BQ57" s="20"/>
      <c r="BR57" s="5"/>
      <c r="DA57" s="203"/>
      <c r="DB57" s="203"/>
      <c r="DC57" s="203"/>
      <c r="DD57" s="204"/>
      <c r="DE57" s="205"/>
      <c r="DF57" s="205"/>
      <c r="DG57" s="205"/>
      <c r="DH57" s="91"/>
      <c r="DI57" s="91"/>
      <c r="DJ57" s="91"/>
      <c r="DK57" s="91"/>
      <c r="DL57" s="91"/>
      <c r="DM57" s="91"/>
      <c r="DN57" s="91"/>
      <c r="DO57" s="203"/>
      <c r="DP57" s="206"/>
      <c r="DQ57" s="206"/>
      <c r="DR57" s="206"/>
      <c r="DS57" s="206"/>
      <c r="DT57" s="206"/>
      <c r="DU57" s="206"/>
      <c r="DV57" s="206"/>
      <c r="DW57" s="206"/>
      <c r="DX57" s="206"/>
      <c r="DY57" s="206"/>
      <c r="DZ57" s="206"/>
      <c r="EA57" s="206"/>
      <c r="EB57" s="100"/>
      <c r="EC57" s="100"/>
      <c r="ED57" s="100"/>
      <c r="EE57" s="93"/>
      <c r="EF57" s="94"/>
      <c r="EG57" s="95"/>
      <c r="EH57" s="94"/>
      <c r="EI57" s="96"/>
      <c r="EJ57" s="95"/>
      <c r="EK57" s="94"/>
      <c r="EL57" s="98"/>
      <c r="EM57" s="95"/>
      <c r="EN57" s="94"/>
      <c r="EO57" s="93"/>
      <c r="EP57" s="93"/>
      <c r="EQ57" s="99"/>
      <c r="ER57" s="94"/>
      <c r="ES57" s="56"/>
    </row>
    <row r="58" spans="8:149" ht="14.25">
      <c r="H58" s="71"/>
      <c r="I58" s="159" t="str">
        <f>"- Loại tải trọng:"</f>
        <v>- Loại tải trọng:</v>
      </c>
      <c r="J58" s="159"/>
      <c r="K58" s="166"/>
      <c r="L58" s="166"/>
      <c r="M58" s="3"/>
      <c r="N58" s="3"/>
      <c r="O58" s="3"/>
      <c r="P58" s="162" t="s">
        <v>70</v>
      </c>
      <c r="Q58" s="24" t="s">
        <v>74</v>
      </c>
      <c r="R58" s="74">
        <f>VLOOKUP(P58,Data!$DF$2:$DG$5,2,FALSE)</f>
        <v>1.05</v>
      </c>
      <c r="S58" s="76"/>
      <c r="T58" s="2"/>
      <c r="AH58" s="8"/>
      <c r="AI58" s="8"/>
      <c r="AJ58" s="8"/>
      <c r="AK58" s="8"/>
      <c r="AL58" s="8"/>
      <c r="AM58" s="8"/>
      <c r="AN58" s="8"/>
      <c r="BE58" s="42"/>
      <c r="BF58" s="5"/>
      <c r="BG58" s="35"/>
      <c r="BH58" s="5"/>
      <c r="BI58" s="6"/>
      <c r="BJ58" s="35"/>
      <c r="BK58" s="5"/>
      <c r="BL58" s="41"/>
      <c r="BM58" s="35"/>
      <c r="BN58" s="5"/>
      <c r="BO58" s="42"/>
      <c r="BP58" s="42"/>
      <c r="BQ58" s="20"/>
      <c r="BR58" s="5"/>
      <c r="DA58" s="203"/>
      <c r="DB58" s="203"/>
      <c r="DC58" s="203"/>
      <c r="DD58" s="204"/>
      <c r="DE58" s="205"/>
      <c r="DF58" s="205"/>
      <c r="DG58" s="205"/>
      <c r="DH58" s="91"/>
      <c r="DI58" s="91"/>
      <c r="DJ58" s="91"/>
      <c r="DK58" s="91"/>
      <c r="DL58" s="91"/>
      <c r="DM58" s="91"/>
      <c r="DN58" s="91"/>
      <c r="DO58" s="203"/>
      <c r="DP58" s="206"/>
      <c r="DQ58" s="206"/>
      <c r="DR58" s="206"/>
      <c r="DS58" s="206"/>
      <c r="DT58" s="206"/>
      <c r="DU58" s="206"/>
      <c r="DV58" s="206"/>
      <c r="DW58" s="206"/>
      <c r="DX58" s="206"/>
      <c r="DY58" s="206"/>
      <c r="DZ58" s="206"/>
      <c r="EA58" s="206"/>
      <c r="EB58" s="100"/>
      <c r="EC58" s="100"/>
      <c r="ED58" s="100"/>
      <c r="EE58" s="93"/>
      <c r="EF58" s="94"/>
      <c r="EG58" s="95"/>
      <c r="EH58" s="94"/>
      <c r="EI58" s="96"/>
      <c r="EJ58" s="95"/>
      <c r="EK58" s="94"/>
      <c r="EL58" s="98"/>
      <c r="EM58" s="95"/>
      <c r="EN58" s="94"/>
      <c r="EO58" s="93"/>
      <c r="EP58" s="93"/>
      <c r="EQ58" s="99"/>
      <c r="ER58" s="94"/>
      <c r="ES58" s="56"/>
    </row>
    <row r="59" spans="8:149" ht="15" customHeight="1">
      <c r="H59" s="70"/>
      <c r="I59" s="3"/>
      <c r="J59" s="3"/>
      <c r="K59" s="3"/>
      <c r="L59" s="162"/>
      <c r="M59" s="159"/>
      <c r="N59" s="159"/>
      <c r="O59" s="159"/>
      <c r="P59" s="159"/>
      <c r="Q59" s="3"/>
      <c r="R59" s="3"/>
      <c r="S59" s="69"/>
      <c r="T59" s="2"/>
      <c r="AH59" s="8"/>
      <c r="AI59" s="8"/>
      <c r="AJ59" s="8"/>
      <c r="AK59" s="8"/>
      <c r="AL59" s="8"/>
      <c r="AM59" s="8"/>
      <c r="AN59" s="8"/>
      <c r="BE59" s="42"/>
      <c r="BF59" s="5"/>
      <c r="BG59" s="35"/>
      <c r="BH59" s="5"/>
      <c r="BI59" s="6"/>
      <c r="BJ59" s="35"/>
      <c r="BK59" s="5"/>
      <c r="BL59" s="41"/>
      <c r="BM59" s="35"/>
      <c r="BN59" s="5"/>
      <c r="BO59" s="42"/>
      <c r="BP59" s="42"/>
      <c r="BQ59" s="20"/>
      <c r="BR59" s="5"/>
      <c r="DA59" s="203"/>
      <c r="DB59" s="203"/>
      <c r="DC59" s="203"/>
      <c r="DD59" s="204"/>
      <c r="DE59" s="205"/>
      <c r="DF59" s="205"/>
      <c r="DG59" s="205"/>
      <c r="DH59" s="91"/>
      <c r="DI59" s="91"/>
      <c r="DJ59" s="91"/>
      <c r="DK59" s="91"/>
      <c r="DL59" s="91"/>
      <c r="DM59" s="91"/>
      <c r="DN59" s="91"/>
      <c r="DO59" s="203"/>
      <c r="DP59" s="206"/>
      <c r="DQ59" s="206"/>
      <c r="DR59" s="206"/>
      <c r="DS59" s="206"/>
      <c r="DT59" s="206"/>
      <c r="DU59" s="206"/>
      <c r="DV59" s="206"/>
      <c r="DW59" s="206"/>
      <c r="DX59" s="206"/>
      <c r="DY59" s="206"/>
      <c r="DZ59" s="206"/>
      <c r="EA59" s="206"/>
      <c r="EB59" s="100"/>
      <c r="EC59" s="100"/>
      <c r="ED59" s="100"/>
      <c r="EE59" s="93"/>
      <c r="EF59" s="94"/>
      <c r="EG59" s="95"/>
      <c r="EH59" s="94"/>
      <c r="EI59" s="96"/>
      <c r="EJ59" s="95"/>
      <c r="EK59" s="94"/>
      <c r="EL59" s="98"/>
      <c r="EM59" s="95"/>
      <c r="EN59" s="94"/>
      <c r="EO59" s="93"/>
      <c r="EP59" s="93"/>
      <c r="EQ59" s="99"/>
      <c r="ER59" s="94"/>
      <c r="ES59" s="56"/>
    </row>
    <row r="60" spans="8:149">
      <c r="H60" s="287" t="s">
        <v>20</v>
      </c>
      <c r="I60" s="288"/>
      <c r="J60" s="288"/>
      <c r="K60" s="24"/>
      <c r="L60" s="167"/>
      <c r="M60" s="168"/>
      <c r="N60" s="159"/>
      <c r="O60" s="159"/>
      <c r="P60" s="159"/>
      <c r="Q60" s="3"/>
      <c r="R60" s="3"/>
      <c r="S60" s="69"/>
      <c r="T60" s="2"/>
      <c r="AH60" s="8"/>
      <c r="AI60" s="8"/>
      <c r="AJ60" s="8"/>
      <c r="AK60" s="8"/>
      <c r="AL60" s="8"/>
      <c r="AM60" s="8"/>
      <c r="AN60" s="8"/>
      <c r="BE60" s="42"/>
      <c r="BF60" s="5"/>
      <c r="BG60" s="35"/>
      <c r="BH60" s="5"/>
      <c r="BI60" s="6"/>
      <c r="BJ60" s="35"/>
      <c r="BK60" s="5"/>
      <c r="BL60" s="41"/>
      <c r="BM60" s="35"/>
      <c r="BN60" s="5"/>
      <c r="BO60" s="42"/>
      <c r="BP60" s="42"/>
      <c r="BQ60" s="20"/>
      <c r="BR60" s="5"/>
      <c r="DA60" s="203"/>
      <c r="DB60" s="203"/>
      <c r="DC60" s="203"/>
      <c r="DD60" s="204"/>
      <c r="DE60" s="205"/>
      <c r="DF60" s="205"/>
      <c r="DG60" s="205"/>
      <c r="DH60" s="91"/>
      <c r="DI60" s="91"/>
      <c r="DJ60" s="91"/>
      <c r="DK60" s="91"/>
      <c r="DL60" s="91"/>
      <c r="DM60" s="91"/>
      <c r="DN60" s="91"/>
      <c r="DO60" s="203"/>
      <c r="DP60" s="206"/>
      <c r="DQ60" s="206"/>
      <c r="DR60" s="206"/>
      <c r="DS60" s="206"/>
      <c r="DT60" s="206"/>
      <c r="DU60" s="206"/>
      <c r="DV60" s="206"/>
      <c r="DW60" s="206"/>
      <c r="DX60" s="206"/>
      <c r="DY60" s="206"/>
      <c r="DZ60" s="206"/>
      <c r="EA60" s="206"/>
      <c r="EB60" s="100"/>
      <c r="EC60" s="100"/>
      <c r="ED60" s="100"/>
      <c r="EE60" s="93"/>
      <c r="EF60" s="94"/>
      <c r="EG60" s="95"/>
      <c r="EH60" s="94"/>
      <c r="EI60" s="96"/>
      <c r="EJ60" s="95"/>
      <c r="EK60" s="94"/>
      <c r="EL60" s="98"/>
      <c r="EM60" s="95"/>
      <c r="EN60" s="94"/>
      <c r="EO60" s="93"/>
      <c r="EP60" s="93"/>
      <c r="EQ60" s="99"/>
      <c r="ER60" s="94"/>
      <c r="ES60" s="56"/>
    </row>
    <row r="61" spans="8:149" ht="12.75" customHeight="1">
      <c r="H61" s="70" t="s">
        <v>86</v>
      </c>
      <c r="I61" s="159"/>
      <c r="J61" s="159"/>
      <c r="K61" s="159"/>
      <c r="L61" s="159"/>
      <c r="M61" s="159"/>
      <c r="N61" s="160"/>
      <c r="O61" s="161"/>
      <c r="P61" s="159"/>
      <c r="Q61" s="3"/>
      <c r="R61" s="3"/>
      <c r="S61" s="69"/>
      <c r="T61" s="2"/>
      <c r="AH61" s="8"/>
      <c r="AI61" s="8"/>
      <c r="AJ61" s="8"/>
      <c r="AK61" s="8"/>
      <c r="AL61" s="8"/>
      <c r="AM61" s="8"/>
      <c r="AN61" s="8"/>
      <c r="BE61" s="42"/>
      <c r="BF61" s="5"/>
      <c r="BG61" s="35"/>
      <c r="BH61" s="5"/>
      <c r="BI61" s="6"/>
      <c r="BJ61" s="35"/>
      <c r="BK61" s="5"/>
      <c r="BL61" s="41"/>
      <c r="BM61" s="35"/>
      <c r="BN61" s="5"/>
      <c r="BO61" s="42"/>
      <c r="BP61" s="42"/>
      <c r="BQ61" s="20"/>
      <c r="BR61" s="5"/>
      <c r="DA61" s="203"/>
      <c r="DB61" s="203"/>
      <c r="DC61" s="203"/>
      <c r="DD61" s="204"/>
      <c r="DE61" s="205"/>
      <c r="DF61" s="205"/>
      <c r="DG61" s="205"/>
      <c r="DH61" s="91"/>
      <c r="DI61" s="91"/>
      <c r="DJ61" s="91"/>
      <c r="DK61" s="91"/>
      <c r="DL61" s="91"/>
      <c r="DM61" s="91"/>
      <c r="DN61" s="91"/>
      <c r="DO61" s="203"/>
      <c r="DP61" s="206"/>
      <c r="DQ61" s="206"/>
      <c r="DR61" s="206"/>
      <c r="DS61" s="206"/>
      <c r="DT61" s="206"/>
      <c r="DU61" s="206"/>
      <c r="DV61" s="206"/>
      <c r="DW61" s="206"/>
      <c r="DX61" s="206"/>
      <c r="DY61" s="206"/>
      <c r="DZ61" s="206"/>
      <c r="EA61" s="206"/>
      <c r="EB61" s="100"/>
      <c r="EC61" s="100"/>
      <c r="ED61" s="100"/>
      <c r="EE61" s="93"/>
      <c r="EF61" s="94"/>
      <c r="EG61" s="95"/>
      <c r="EH61" s="94"/>
      <c r="EI61" s="96"/>
      <c r="EJ61" s="95"/>
      <c r="EK61" s="94"/>
      <c r="EL61" s="98"/>
      <c r="EM61" s="95"/>
      <c r="EN61" s="94"/>
      <c r="EO61" s="93"/>
      <c r="EP61" s="93"/>
      <c r="EQ61" s="99"/>
      <c r="ER61" s="94"/>
      <c r="ES61" s="56"/>
    </row>
    <row r="62" spans="8:149" ht="14.25">
      <c r="H62" s="71" t="str">
        <f>"- Độ lệch tâm của điểm đặt tải trọng:"</f>
        <v>- Độ lệch tâm của điểm đặt tải trọng:</v>
      </c>
      <c r="I62" s="159"/>
      <c r="J62" s="159"/>
      <c r="K62" s="159"/>
      <c r="L62" s="159"/>
      <c r="M62" s="159"/>
      <c r="N62" s="160"/>
      <c r="O62" s="161"/>
      <c r="P62" s="159"/>
      <c r="Q62" s="24" t="s">
        <v>188</v>
      </c>
      <c r="R62" s="80">
        <f>ABS(P57/Q57)</f>
        <v>1.84413138070208</v>
      </c>
      <c r="S62" s="73" t="s">
        <v>189</v>
      </c>
      <c r="T62" s="2"/>
      <c r="AH62" s="8"/>
      <c r="AI62" s="8"/>
      <c r="AJ62" s="8"/>
      <c r="AK62" s="8"/>
      <c r="AL62" s="8"/>
      <c r="AM62" s="8"/>
      <c r="AN62" s="8"/>
      <c r="BE62" s="42"/>
      <c r="BF62" s="5"/>
      <c r="BG62" s="35"/>
      <c r="BH62" s="5"/>
      <c r="BI62" s="6"/>
      <c r="BJ62" s="35"/>
      <c r="BK62" s="5"/>
      <c r="BL62" s="41"/>
      <c r="BM62" s="35"/>
      <c r="BN62" s="5"/>
      <c r="BO62" s="42"/>
      <c r="BP62" s="42"/>
      <c r="BQ62" s="20"/>
      <c r="BR62" s="5"/>
      <c r="DA62" s="203"/>
      <c r="DB62" s="203"/>
      <c r="DC62" s="203"/>
      <c r="DD62" s="204"/>
      <c r="DE62" s="205"/>
      <c r="DF62" s="205"/>
      <c r="DG62" s="205"/>
      <c r="DH62" s="91"/>
      <c r="DI62" s="91"/>
      <c r="DJ62" s="91"/>
      <c r="DK62" s="91"/>
      <c r="DL62" s="91"/>
      <c r="DM62" s="91"/>
      <c r="DN62" s="91"/>
      <c r="DO62" s="203"/>
      <c r="DP62" s="206"/>
      <c r="DQ62" s="206"/>
      <c r="DR62" s="206"/>
      <c r="DS62" s="206"/>
      <c r="DT62" s="206"/>
      <c r="DU62" s="206"/>
      <c r="DV62" s="206"/>
      <c r="DW62" s="206"/>
      <c r="DX62" s="206"/>
      <c r="DY62" s="206"/>
      <c r="DZ62" s="206"/>
      <c r="EA62" s="206"/>
      <c r="EB62" s="100"/>
      <c r="EC62" s="100"/>
      <c r="ED62" s="100"/>
      <c r="EE62" s="93"/>
      <c r="EF62" s="94"/>
      <c r="EG62" s="95"/>
      <c r="EH62" s="94"/>
      <c r="EI62" s="96"/>
      <c r="EJ62" s="95"/>
      <c r="EK62" s="94"/>
      <c r="EL62" s="98"/>
      <c r="EM62" s="95"/>
      <c r="EN62" s="94"/>
      <c r="EO62" s="93"/>
      <c r="EP62" s="93"/>
      <c r="EQ62" s="99"/>
      <c r="ER62" s="94"/>
      <c r="ES62" s="56"/>
    </row>
    <row r="63" spans="8:149">
      <c r="H63" s="71" t="str">
        <f>"- Khoảng cách từ trục của cột đến tâm nhóm bu lông chịu kéo:"</f>
        <v>- Khoảng cách từ trục của cột đến tâm nhóm bu lông chịu kéo:</v>
      </c>
      <c r="I63" s="159"/>
      <c r="J63" s="159"/>
      <c r="K63" s="159"/>
      <c r="L63" s="159"/>
      <c r="M63" s="159"/>
      <c r="N63" s="160"/>
      <c r="O63" s="161"/>
      <c r="P63" s="23"/>
      <c r="Q63" s="24" t="s">
        <v>190</v>
      </c>
      <c r="R63" s="169">
        <f>R40/2+R50</f>
        <v>100</v>
      </c>
      <c r="S63" s="73" t="s">
        <v>1</v>
      </c>
      <c r="T63" s="2"/>
      <c r="AH63" s="8"/>
      <c r="AI63" s="8"/>
      <c r="AJ63" s="8"/>
      <c r="AK63" s="8"/>
      <c r="AL63" s="8"/>
      <c r="AM63" s="8"/>
      <c r="AN63" s="8"/>
      <c r="BE63" s="42"/>
      <c r="BF63" s="5"/>
      <c r="BG63" s="35"/>
      <c r="BH63" s="5"/>
      <c r="BI63" s="6"/>
      <c r="BJ63" s="35"/>
      <c r="BK63" s="5"/>
      <c r="BL63" s="41"/>
      <c r="BM63" s="35"/>
      <c r="BN63" s="5"/>
      <c r="BO63" s="42"/>
      <c r="BP63" s="42"/>
      <c r="BQ63" s="20"/>
      <c r="BR63" s="5"/>
      <c r="DA63" s="203"/>
      <c r="DB63" s="203"/>
      <c r="DC63" s="203"/>
      <c r="DD63" s="204"/>
      <c r="DE63" s="205"/>
      <c r="DF63" s="205"/>
      <c r="DG63" s="205"/>
      <c r="DH63" s="91"/>
      <c r="DI63" s="91"/>
      <c r="DJ63" s="91"/>
      <c r="DK63" s="91"/>
      <c r="DL63" s="91"/>
      <c r="DM63" s="91"/>
      <c r="DN63" s="91"/>
      <c r="DO63" s="203"/>
      <c r="DP63" s="206"/>
      <c r="DQ63" s="206"/>
      <c r="DR63" s="206"/>
      <c r="DS63" s="206"/>
      <c r="DT63" s="206"/>
      <c r="DU63" s="206"/>
      <c r="DV63" s="206"/>
      <c r="DW63" s="206"/>
      <c r="DX63" s="206"/>
      <c r="DY63" s="206"/>
      <c r="DZ63" s="206"/>
      <c r="EA63" s="206"/>
      <c r="EB63" s="100"/>
      <c r="EC63" s="100"/>
      <c r="ED63" s="100"/>
      <c r="EE63" s="93"/>
      <c r="EF63" s="94"/>
      <c r="EG63" s="95"/>
      <c r="EH63" s="94"/>
      <c r="EI63" s="96"/>
      <c r="EJ63" s="95"/>
      <c r="EK63" s="94"/>
      <c r="EL63" s="98"/>
      <c r="EM63" s="95"/>
      <c r="EN63" s="94"/>
      <c r="EO63" s="93"/>
      <c r="EP63" s="93"/>
      <c r="EQ63" s="99"/>
      <c r="ER63" s="94"/>
      <c r="ES63" s="56"/>
    </row>
    <row r="64" spans="8:149" ht="14.25">
      <c r="H64" s="71" t="str">
        <f>"- Khoảng cách từ hợp lực trong bu lông chịu kéo đến mép đối diện:"</f>
        <v>- Khoảng cách từ hợp lực trong bu lông chịu kéo đến mép đối diện:</v>
      </c>
      <c r="I64" s="159"/>
      <c r="J64" s="159"/>
      <c r="K64" s="159"/>
      <c r="L64" s="159"/>
      <c r="M64" s="159"/>
      <c r="N64" s="160"/>
      <c r="O64" s="161"/>
      <c r="P64" s="159"/>
      <c r="Q64" s="24" t="s">
        <v>191</v>
      </c>
      <c r="R64" s="169">
        <f>R46/2+R63</f>
        <v>250</v>
      </c>
      <c r="S64" s="73" t="s">
        <v>1</v>
      </c>
      <c r="T64" s="2"/>
      <c r="AH64" s="8"/>
      <c r="AI64" s="8"/>
      <c r="AJ64" s="8"/>
      <c r="AK64" s="8"/>
      <c r="AL64" s="8"/>
      <c r="AM64" s="8"/>
      <c r="AN64" s="8"/>
      <c r="BE64" s="42"/>
      <c r="BF64" s="5"/>
      <c r="BG64" s="35"/>
      <c r="BH64" s="5"/>
      <c r="BI64" s="6"/>
      <c r="BJ64" s="35"/>
      <c r="BK64" s="5"/>
      <c r="BL64" s="41"/>
      <c r="BM64" s="35"/>
      <c r="BN64" s="5"/>
      <c r="BO64" s="42"/>
      <c r="BP64" s="42"/>
      <c r="BQ64" s="20"/>
      <c r="BR64" s="5"/>
      <c r="DA64" s="203"/>
      <c r="DB64" s="203"/>
      <c r="DC64" s="203"/>
      <c r="DD64" s="204"/>
      <c r="DE64" s="205"/>
      <c r="DF64" s="205"/>
      <c r="DG64" s="205"/>
      <c r="DH64" s="91"/>
      <c r="DI64" s="91"/>
      <c r="DJ64" s="91"/>
      <c r="DK64" s="91"/>
      <c r="DL64" s="91"/>
      <c r="DM64" s="91"/>
      <c r="DN64" s="91"/>
      <c r="DO64" s="203"/>
      <c r="DP64" s="206"/>
      <c r="DQ64" s="206"/>
      <c r="DR64" s="206"/>
      <c r="DS64" s="206"/>
      <c r="DT64" s="206"/>
      <c r="DU64" s="206"/>
      <c r="DV64" s="206"/>
      <c r="DW64" s="206"/>
      <c r="DX64" s="206"/>
      <c r="DY64" s="206"/>
      <c r="DZ64" s="206"/>
      <c r="EA64" s="206"/>
      <c r="EB64" s="100"/>
      <c r="EC64" s="100"/>
      <c r="ED64" s="100"/>
      <c r="EE64" s="93"/>
      <c r="EF64" s="94"/>
      <c r="EG64" s="95"/>
      <c r="EH64" s="94"/>
      <c r="EI64" s="96"/>
      <c r="EJ64" s="95"/>
      <c r="EK64" s="94"/>
      <c r="EL64" s="98"/>
      <c r="EM64" s="95"/>
      <c r="EN64" s="94"/>
      <c r="EO64" s="93"/>
      <c r="EP64" s="93"/>
      <c r="EQ64" s="99"/>
      <c r="ER64" s="94"/>
      <c r="ES64" s="56"/>
    </row>
    <row r="65" spans="8:149">
      <c r="H65" s="71" t="str">
        <f>"- Chiều cao vùng nén bê tông dưới bản đế:"</f>
        <v>- Chiều cao vùng nén bê tông dưới bản đế:</v>
      </c>
      <c r="I65" s="159"/>
      <c r="J65" s="159"/>
      <c r="K65" s="159"/>
      <c r="L65" s="159"/>
      <c r="M65" s="159"/>
      <c r="N65" s="160"/>
      <c r="O65" s="161"/>
      <c r="P65" s="159"/>
      <c r="Q65" s="24" t="s">
        <v>192</v>
      </c>
      <c r="R65" s="169">
        <f>IFERROR(R64 - (R64 ^ 2 - 2 * ABS(Q57)*1000 *  (1000 *R62 + R63) / (R36 * R47)) ^ 0.5,"O/S")</f>
        <v>5.0351353808081853</v>
      </c>
      <c r="S65" s="73" t="s">
        <v>1</v>
      </c>
      <c r="T65" s="2"/>
      <c r="AH65" s="8"/>
      <c r="AI65" s="8"/>
      <c r="AJ65" s="8"/>
      <c r="AK65" s="8"/>
      <c r="AL65" s="8"/>
      <c r="AM65" s="8"/>
      <c r="AN65" s="8"/>
      <c r="BE65" s="42"/>
      <c r="BF65" s="5"/>
      <c r="BG65" s="35"/>
      <c r="BH65" s="5"/>
      <c r="BI65" s="6"/>
      <c r="BJ65" s="35"/>
      <c r="BK65" s="5"/>
      <c r="BL65" s="41"/>
      <c r="BM65" s="35"/>
      <c r="BN65" s="5"/>
      <c r="BO65" s="42"/>
      <c r="BP65" s="42"/>
      <c r="BQ65" s="20"/>
      <c r="BR65" s="5"/>
      <c r="DA65" s="203"/>
      <c r="DB65" s="203"/>
      <c r="DC65" s="203"/>
      <c r="DD65" s="204"/>
      <c r="DE65" s="205"/>
      <c r="DF65" s="205"/>
      <c r="DG65" s="205"/>
      <c r="DH65" s="91"/>
      <c r="DI65" s="91"/>
      <c r="DJ65" s="91"/>
      <c r="DK65" s="91"/>
      <c r="DL65" s="91"/>
      <c r="DM65" s="91"/>
      <c r="DN65" s="91"/>
      <c r="DO65" s="203"/>
      <c r="DP65" s="206"/>
      <c r="DQ65" s="206"/>
      <c r="DR65" s="206"/>
      <c r="DS65" s="206"/>
      <c r="DT65" s="206"/>
      <c r="DU65" s="206"/>
      <c r="DV65" s="206"/>
      <c r="DW65" s="206"/>
      <c r="DX65" s="206"/>
      <c r="DY65" s="206"/>
      <c r="DZ65" s="206"/>
      <c r="EA65" s="206"/>
      <c r="EB65" s="100"/>
      <c r="EC65" s="100"/>
      <c r="ED65" s="100"/>
      <c r="EE65" s="93"/>
      <c r="EF65" s="94"/>
      <c r="EG65" s="95"/>
      <c r="EH65" s="94"/>
      <c r="EI65" s="96"/>
      <c r="EJ65" s="95"/>
      <c r="EK65" s="94"/>
      <c r="EL65" s="98"/>
      <c r="EM65" s="95"/>
      <c r="EN65" s="94"/>
      <c r="EO65" s="93"/>
      <c r="EP65" s="93"/>
      <c r="EQ65" s="99"/>
      <c r="ER65" s="94"/>
      <c r="ES65" s="56"/>
    </row>
    <row r="66" spans="8:149" ht="14.25">
      <c r="H66" s="71" t="str">
        <f>"- Biến dạng tương đối:"</f>
        <v>- Biến dạng tương đối:</v>
      </c>
      <c r="I66" s="159"/>
      <c r="J66" s="159"/>
      <c r="K66" s="170" t="s">
        <v>193</v>
      </c>
      <c r="L66" s="159">
        <f>(R18/1.15)/210000</f>
        <v>1.2422360248447205E-3</v>
      </c>
      <c r="M66" s="171" t="s">
        <v>194</v>
      </c>
      <c r="N66" s="159">
        <v>3.5000000000000001E-3</v>
      </c>
      <c r="O66" s="3"/>
      <c r="P66" s="3"/>
      <c r="Q66" s="13" t="s">
        <v>195</v>
      </c>
      <c r="R66" s="172">
        <f>0.8/(1+L66/N66)</f>
        <v>0.59043876882776691</v>
      </c>
      <c r="S66" s="69"/>
      <c r="T66" s="2"/>
      <c r="AH66" s="8"/>
      <c r="AI66" s="8"/>
      <c r="AJ66" s="8"/>
      <c r="AK66" s="8"/>
      <c r="AL66" s="8"/>
      <c r="AM66" s="8"/>
      <c r="AN66" s="8"/>
      <c r="BE66" s="42"/>
      <c r="BF66" s="5"/>
      <c r="BG66" s="35"/>
      <c r="BH66" s="5"/>
      <c r="BI66" s="6"/>
      <c r="BJ66" s="35"/>
      <c r="BK66" s="5"/>
      <c r="BL66" s="41"/>
      <c r="BM66" s="35"/>
      <c r="BN66" s="5"/>
      <c r="BO66" s="42"/>
      <c r="BP66" s="42"/>
      <c r="BQ66" s="20"/>
      <c r="BR66" s="5"/>
      <c r="DA66" s="203"/>
      <c r="DB66" s="203"/>
      <c r="DC66" s="203"/>
      <c r="DD66" s="204"/>
      <c r="DE66" s="205"/>
      <c r="DF66" s="205"/>
      <c r="DG66" s="205"/>
      <c r="DH66" s="91"/>
      <c r="DI66" s="91"/>
      <c r="DJ66" s="91"/>
      <c r="DK66" s="91"/>
      <c r="DL66" s="91"/>
      <c r="DM66" s="91"/>
      <c r="DN66" s="91"/>
      <c r="DO66" s="203"/>
      <c r="DP66" s="206"/>
      <c r="DQ66" s="206"/>
      <c r="DR66" s="206"/>
      <c r="DS66" s="206"/>
      <c r="DT66" s="206"/>
      <c r="DU66" s="206"/>
      <c r="DV66" s="206"/>
      <c r="DW66" s="206"/>
      <c r="DX66" s="206"/>
      <c r="DY66" s="206"/>
      <c r="DZ66" s="206"/>
      <c r="EA66" s="206"/>
      <c r="EB66" s="100"/>
      <c r="EC66" s="100"/>
      <c r="ED66" s="100"/>
      <c r="EE66" s="93"/>
      <c r="EF66" s="94"/>
      <c r="EG66" s="95"/>
      <c r="EH66" s="94"/>
      <c r="EI66" s="96"/>
      <c r="EJ66" s="95"/>
      <c r="EK66" s="94"/>
      <c r="EL66" s="98"/>
      <c r="EM66" s="95"/>
      <c r="EN66" s="94"/>
      <c r="EO66" s="93"/>
      <c r="EP66" s="93"/>
      <c r="EQ66" s="99"/>
      <c r="ER66" s="94"/>
      <c r="ES66" s="56"/>
    </row>
    <row r="67" spans="8:149" ht="14.25">
      <c r="H67" s="71" t="str">
        <f>"- Chiều cao giới hạn vùng nén:"</f>
        <v>- Chiều cao giới hạn vùng nén:</v>
      </c>
      <c r="I67" s="159"/>
      <c r="J67" s="159"/>
      <c r="K67" s="159"/>
      <c r="L67" s="159"/>
      <c r="M67" s="159"/>
      <c r="N67" s="160"/>
      <c r="O67" s="161"/>
      <c r="P67" s="159"/>
      <c r="Q67" s="24" t="s">
        <v>196</v>
      </c>
      <c r="R67" s="169">
        <f>R66*R64</f>
        <v>147.60969220694173</v>
      </c>
      <c r="S67" s="73" t="s">
        <v>1</v>
      </c>
      <c r="T67" s="2"/>
      <c r="AH67" s="8"/>
      <c r="AI67" s="8"/>
      <c r="AJ67" s="8"/>
      <c r="AK67" s="8"/>
      <c r="AL67" s="8"/>
      <c r="AM67" s="8"/>
      <c r="AN67" s="8"/>
      <c r="BE67" s="42"/>
      <c r="BF67" s="5"/>
      <c r="BG67" s="35"/>
      <c r="BH67" s="5"/>
      <c r="BI67" s="6"/>
      <c r="BJ67" s="35"/>
      <c r="BK67" s="5"/>
      <c r="BL67" s="41"/>
      <c r="BM67" s="35"/>
      <c r="BN67" s="5"/>
      <c r="BO67" s="42"/>
      <c r="BP67" s="42"/>
      <c r="BQ67" s="20"/>
      <c r="BR67" s="5"/>
      <c r="DA67" s="203"/>
      <c r="DB67" s="203"/>
      <c r="DC67" s="203"/>
      <c r="DD67" s="204"/>
      <c r="DE67" s="205"/>
      <c r="DF67" s="205"/>
      <c r="DG67" s="205"/>
      <c r="DH67" s="91"/>
      <c r="DI67" s="91"/>
      <c r="DJ67" s="91"/>
      <c r="DK67" s="91"/>
      <c r="DL67" s="91"/>
      <c r="DM67" s="91"/>
      <c r="DN67" s="91"/>
      <c r="DO67" s="203"/>
      <c r="DP67" s="206"/>
      <c r="DQ67" s="206"/>
      <c r="DR67" s="206"/>
      <c r="DS67" s="206"/>
      <c r="DT67" s="206"/>
      <c r="DU67" s="206"/>
      <c r="DV67" s="206"/>
      <c r="DW67" s="206"/>
      <c r="DX67" s="206"/>
      <c r="DY67" s="206"/>
      <c r="DZ67" s="206"/>
      <c r="EA67" s="206"/>
      <c r="EB67" s="100"/>
      <c r="EC67" s="100"/>
      <c r="ED67" s="100"/>
      <c r="EE67" s="93"/>
      <c r="EF67" s="94"/>
      <c r="EG67" s="95"/>
      <c r="EH67" s="94"/>
      <c r="EI67" s="96"/>
      <c r="EJ67" s="95"/>
      <c r="EK67" s="94"/>
      <c r="EL67" s="98"/>
      <c r="EM67" s="95"/>
      <c r="EN67" s="94"/>
      <c r="EO67" s="93"/>
      <c r="EP67" s="93"/>
      <c r="EQ67" s="99"/>
      <c r="ER67" s="94"/>
      <c r="ES67" s="56"/>
    </row>
    <row r="68" spans="8:149" ht="12.75" customHeight="1">
      <c r="H68" s="71" t="str">
        <f>"- Kiểm tra điều kiện chiều cao của vùng nén:"</f>
        <v>- Kiểm tra điều kiện chiều cao của vùng nén:</v>
      </c>
      <c r="I68" s="159"/>
      <c r="J68" s="159"/>
      <c r="K68" s="159"/>
      <c r="L68" s="159"/>
      <c r="M68" s="159"/>
      <c r="N68" s="160"/>
      <c r="O68" s="161"/>
      <c r="P68" s="159"/>
      <c r="Q68" s="24" t="s">
        <v>197</v>
      </c>
      <c r="R68" s="173">
        <f>R65/R67</f>
        <v>3.4111143418341164E-2</v>
      </c>
      <c r="S68" s="79" t="str">
        <f>IF(R68&lt;=1,"OK","Check")</f>
        <v>OK</v>
      </c>
      <c r="T68" s="2"/>
      <c r="AH68" s="8"/>
      <c r="AI68" s="8"/>
      <c r="AJ68" s="8"/>
      <c r="AK68" s="8"/>
      <c r="AL68" s="8"/>
      <c r="AM68" s="8"/>
      <c r="AN68" s="8"/>
      <c r="BE68" s="42"/>
      <c r="BF68" s="5"/>
      <c r="BG68" s="35"/>
      <c r="BH68" s="5"/>
      <c r="BI68" s="6"/>
      <c r="BJ68" s="35"/>
      <c r="BK68" s="5"/>
      <c r="BL68" s="41"/>
      <c r="BM68" s="35"/>
      <c r="BN68" s="5"/>
      <c r="BO68" s="42"/>
      <c r="BP68" s="42"/>
      <c r="BQ68" s="20"/>
      <c r="BR68" s="5"/>
      <c r="DA68" s="203"/>
      <c r="DB68" s="203"/>
      <c r="DC68" s="203"/>
      <c r="DD68" s="204"/>
      <c r="DE68" s="205"/>
      <c r="DF68" s="205"/>
      <c r="DG68" s="205"/>
      <c r="DH68" s="91"/>
      <c r="DI68" s="91"/>
      <c r="DJ68" s="91"/>
      <c r="DK68" s="91"/>
      <c r="DL68" s="91"/>
      <c r="DM68" s="91"/>
      <c r="DN68" s="91"/>
      <c r="DO68" s="203"/>
      <c r="DP68" s="206"/>
      <c r="DQ68" s="206"/>
      <c r="DR68" s="206"/>
      <c r="DS68" s="206"/>
      <c r="DT68" s="206"/>
      <c r="DU68" s="206"/>
      <c r="DV68" s="206"/>
      <c r="DW68" s="206"/>
      <c r="DX68" s="206"/>
      <c r="DY68" s="206"/>
      <c r="DZ68" s="206"/>
      <c r="EA68" s="206"/>
      <c r="EB68" s="100"/>
      <c r="EC68" s="100"/>
      <c r="ED68" s="100"/>
      <c r="EE68" s="93"/>
      <c r="EF68" s="94"/>
      <c r="EG68" s="95"/>
      <c r="EH68" s="94"/>
      <c r="EI68" s="96"/>
      <c r="EJ68" s="95"/>
      <c r="EK68" s="94"/>
      <c r="EL68" s="98"/>
      <c r="EM68" s="95"/>
      <c r="EN68" s="94"/>
      <c r="EO68" s="93"/>
      <c r="EP68" s="93"/>
      <c r="EQ68" s="99"/>
      <c r="ER68" s="94"/>
      <c r="ES68" s="56"/>
    </row>
    <row r="69" spans="8:149">
      <c r="H69" s="71" t="str">
        <f>"- Số lượng bu lông chịu kéo nằm ở một phía chân cột:"</f>
        <v>- Số lượng bu lông chịu kéo nằm ở một phía chân cột:</v>
      </c>
      <c r="I69" s="159"/>
      <c r="J69" s="159"/>
      <c r="K69" s="159"/>
      <c r="L69" s="159"/>
      <c r="M69" s="159"/>
      <c r="N69" s="160"/>
      <c r="O69" s="161"/>
      <c r="P69" s="159"/>
      <c r="Q69" s="24" t="s">
        <v>115</v>
      </c>
      <c r="R69" s="25">
        <f>R43/2</f>
        <v>2</v>
      </c>
      <c r="S69" s="69"/>
      <c r="T69" s="2"/>
      <c r="AH69" s="8"/>
      <c r="AI69" s="8"/>
      <c r="AJ69" s="8"/>
      <c r="AK69" s="8"/>
      <c r="AL69" s="8"/>
      <c r="AM69" s="8"/>
      <c r="AN69" s="8"/>
      <c r="BE69" s="42"/>
      <c r="BF69" s="5"/>
      <c r="BG69" s="35"/>
      <c r="BH69" s="5"/>
      <c r="BI69" s="6"/>
      <c r="BJ69" s="35"/>
      <c r="BK69" s="5"/>
      <c r="BL69" s="41"/>
      <c r="BM69" s="35"/>
      <c r="BN69" s="5"/>
      <c r="BO69" s="42"/>
      <c r="BP69" s="42"/>
      <c r="BQ69" s="20"/>
      <c r="BR69" s="5"/>
      <c r="DA69" s="203"/>
      <c r="DB69" s="203"/>
      <c r="DC69" s="203"/>
      <c r="DD69" s="204"/>
      <c r="DE69" s="205"/>
      <c r="DF69" s="205"/>
      <c r="DG69" s="205"/>
      <c r="DH69" s="91"/>
      <c r="DI69" s="91"/>
      <c r="DJ69" s="91"/>
      <c r="DK69" s="91"/>
      <c r="DL69" s="91"/>
      <c r="DM69" s="91"/>
      <c r="DN69" s="91"/>
      <c r="DO69" s="203"/>
      <c r="DP69" s="206"/>
      <c r="DQ69" s="206"/>
      <c r="DR69" s="206"/>
      <c r="DS69" s="206"/>
      <c r="DT69" s="206"/>
      <c r="DU69" s="206"/>
      <c r="DV69" s="206"/>
      <c r="DW69" s="206"/>
      <c r="DX69" s="206"/>
      <c r="DY69" s="206"/>
      <c r="DZ69" s="206"/>
      <c r="EA69" s="206"/>
      <c r="EB69" s="100"/>
      <c r="EC69" s="100"/>
      <c r="ED69" s="100"/>
      <c r="EE69" s="93"/>
      <c r="EF69" s="94"/>
      <c r="EG69" s="95"/>
      <c r="EH69" s="94"/>
      <c r="EI69" s="96"/>
      <c r="EJ69" s="95"/>
      <c r="EK69" s="94"/>
      <c r="EL69" s="98"/>
      <c r="EM69" s="95"/>
      <c r="EN69" s="94"/>
      <c r="EO69" s="93"/>
      <c r="EP69" s="93"/>
      <c r="EQ69" s="99"/>
      <c r="ER69" s="94"/>
      <c r="ES69" s="56"/>
    </row>
    <row r="70" spans="8:149" ht="14.25">
      <c r="H70" s="71" t="str">
        <f>"- Tải trọng tính toán tác dụng lên bu lông:"</f>
        <v>- Tải trọng tính toán tác dụng lên bu lông:</v>
      </c>
      <c r="I70" s="159"/>
      <c r="J70" s="159"/>
      <c r="K70" s="159"/>
      <c r="L70" s="159"/>
      <c r="M70" s="159"/>
      <c r="N70" s="160"/>
      <c r="O70" s="161"/>
      <c r="P70" s="159"/>
      <c r="Q70" s="24" t="s">
        <v>198</v>
      </c>
      <c r="R70" s="169">
        <f>($R$36*R47*R65/1000-ABS(Q57))/R69</f>
        <v>6.3715564641400677</v>
      </c>
      <c r="S70" s="73" t="s">
        <v>67</v>
      </c>
      <c r="T70" s="2"/>
      <c r="AH70" s="8"/>
      <c r="AI70" s="8"/>
      <c r="AJ70" s="8"/>
      <c r="AK70" s="8"/>
      <c r="AL70" s="8"/>
      <c r="AM70" s="8"/>
      <c r="AN70" s="8"/>
      <c r="BE70" s="42"/>
      <c r="BF70" s="5"/>
      <c r="BG70" s="35"/>
      <c r="BH70" s="5"/>
      <c r="BI70" s="6"/>
      <c r="BJ70" s="35"/>
      <c r="BK70" s="5"/>
      <c r="BL70" s="41"/>
      <c r="BM70" s="35"/>
      <c r="BN70" s="5"/>
      <c r="BO70" s="42"/>
      <c r="BP70" s="42"/>
      <c r="BQ70" s="20"/>
      <c r="BR70" s="5"/>
      <c r="DA70" s="203"/>
      <c r="DB70" s="203"/>
      <c r="DC70" s="203"/>
      <c r="DD70" s="204"/>
      <c r="DE70" s="205"/>
      <c r="DF70" s="205"/>
      <c r="DG70" s="205"/>
      <c r="DH70" s="91"/>
      <c r="DI70" s="91"/>
      <c r="DJ70" s="91"/>
      <c r="DK70" s="91"/>
      <c r="DL70" s="91"/>
      <c r="DM70" s="91"/>
      <c r="DN70" s="91"/>
      <c r="DO70" s="203"/>
      <c r="DP70" s="206"/>
      <c r="DQ70" s="206"/>
      <c r="DR70" s="206"/>
      <c r="DS70" s="206"/>
      <c r="DT70" s="206"/>
      <c r="DU70" s="206"/>
      <c r="DV70" s="206"/>
      <c r="DW70" s="206"/>
      <c r="DX70" s="206"/>
      <c r="DY70" s="206"/>
      <c r="DZ70" s="206"/>
      <c r="EA70" s="206"/>
      <c r="EB70" s="100"/>
      <c r="EC70" s="100"/>
      <c r="ED70" s="100"/>
      <c r="EE70" s="93"/>
      <c r="EF70" s="94"/>
      <c r="EG70" s="95"/>
      <c r="EH70" s="94"/>
      <c r="EI70" s="96"/>
      <c r="EJ70" s="95"/>
      <c r="EK70" s="94"/>
      <c r="EL70" s="98"/>
      <c r="EM70" s="95"/>
      <c r="EN70" s="94"/>
      <c r="EO70" s="93"/>
      <c r="EP70" s="93"/>
      <c r="EQ70" s="99"/>
      <c r="ER70" s="94"/>
      <c r="ES70" s="56"/>
    </row>
    <row r="71" spans="8:149" ht="15">
      <c r="H71" s="71" t="str">
        <f>"- Diện tích tiết diện ngang tối thiểu theo điều kiện độ bền (L.1)"</f>
        <v>- Diện tích tiết diện ngang tối thiểu theo điều kiện độ bền (L.1)</v>
      </c>
      <c r="I71" s="174"/>
      <c r="J71" s="174"/>
      <c r="K71" s="24"/>
      <c r="L71" s="167"/>
      <c r="M71" s="168"/>
      <c r="N71" s="3"/>
      <c r="O71" s="3"/>
      <c r="P71" s="3"/>
      <c r="Q71" s="24" t="s">
        <v>87</v>
      </c>
      <c r="R71" s="169">
        <f>MAX((R58*R70*1000/R19),0)</f>
        <v>27.875559530612797</v>
      </c>
      <c r="S71" s="73" t="s">
        <v>46</v>
      </c>
      <c r="T71" s="2"/>
      <c r="AH71" s="8"/>
      <c r="AI71" s="8"/>
      <c r="AJ71" s="8"/>
      <c r="AK71" s="8"/>
      <c r="AL71" s="8"/>
      <c r="AM71" s="8"/>
      <c r="AN71" s="8"/>
      <c r="BE71" s="42"/>
      <c r="BF71" s="5"/>
      <c r="BG71" s="35"/>
      <c r="BH71" s="5"/>
      <c r="BI71" s="6"/>
      <c r="BJ71" s="35"/>
      <c r="BK71" s="5"/>
      <c r="BL71" s="41"/>
      <c r="BM71" s="35"/>
      <c r="BN71" s="5"/>
      <c r="BO71" s="42"/>
      <c r="BP71" s="42"/>
      <c r="BQ71" s="20"/>
      <c r="BR71" s="5"/>
      <c r="DA71" s="203"/>
      <c r="DB71" s="203"/>
      <c r="DC71" s="203"/>
      <c r="DD71" s="204"/>
      <c r="DE71" s="205"/>
      <c r="DF71" s="205"/>
      <c r="DG71" s="205"/>
      <c r="DH71" s="91"/>
      <c r="DI71" s="91"/>
      <c r="DJ71" s="91"/>
      <c r="DK71" s="91"/>
      <c r="DL71" s="91"/>
      <c r="DM71" s="91"/>
      <c r="DN71" s="91"/>
      <c r="DO71" s="203"/>
      <c r="DP71" s="206"/>
      <c r="DQ71" s="206"/>
      <c r="DR71" s="206"/>
      <c r="DS71" s="206"/>
      <c r="DT71" s="206"/>
      <c r="DU71" s="206"/>
      <c r="DV71" s="206"/>
      <c r="DW71" s="206"/>
      <c r="DX71" s="206"/>
      <c r="DY71" s="206"/>
      <c r="DZ71" s="206"/>
      <c r="EA71" s="206"/>
      <c r="EB71" s="100"/>
      <c r="EC71" s="100"/>
      <c r="ED71" s="100"/>
      <c r="EE71" s="93"/>
      <c r="EF71" s="94"/>
      <c r="EG71" s="95"/>
      <c r="EH71" s="94"/>
      <c r="EI71" s="96"/>
      <c r="EJ71" s="95"/>
      <c r="EK71" s="94"/>
      <c r="EL71" s="98"/>
      <c r="EM71" s="95"/>
      <c r="EN71" s="94"/>
      <c r="EO71" s="93"/>
      <c r="EP71" s="93"/>
      <c r="EQ71" s="99"/>
      <c r="ER71" s="94"/>
      <c r="ES71" s="56"/>
    </row>
    <row r="72" spans="8:149">
      <c r="H72" s="71" t="str">
        <f>"- Diện tích tiết diện ngang tối thiểu theo chịu mỏi (L.2)"</f>
        <v>- Diện tích tiết diện ngang tối thiểu theo chịu mỏi (L.2)</v>
      </c>
      <c r="I72" s="174"/>
      <c r="J72" s="174"/>
      <c r="K72" s="24"/>
      <c r="L72" s="167"/>
      <c r="M72" s="168"/>
      <c r="N72" s="3"/>
      <c r="O72" s="3"/>
      <c r="P72" s="3"/>
      <c r="Q72" s="24"/>
      <c r="R72" s="77"/>
      <c r="S72" s="73"/>
      <c r="T72" s="2"/>
      <c r="AH72" s="8"/>
      <c r="AI72" s="8"/>
      <c r="AJ72" s="8"/>
      <c r="AK72" s="8"/>
      <c r="AL72" s="8"/>
      <c r="AM72" s="8"/>
      <c r="AN72" s="8"/>
      <c r="BE72" s="42"/>
      <c r="BF72" s="5"/>
      <c r="BG72" s="35"/>
      <c r="BH72" s="5"/>
      <c r="BI72" s="6"/>
      <c r="BJ72" s="35"/>
      <c r="BK72" s="5"/>
      <c r="BL72" s="41"/>
      <c r="BM72" s="35"/>
      <c r="BN72" s="5"/>
      <c r="BO72" s="42"/>
      <c r="BP72" s="42"/>
      <c r="BQ72" s="20"/>
      <c r="BR72" s="5"/>
      <c r="DA72" s="203"/>
      <c r="DB72" s="203"/>
      <c r="DC72" s="203"/>
      <c r="DD72" s="204"/>
      <c r="DE72" s="205"/>
      <c r="DF72" s="205"/>
      <c r="DG72" s="205"/>
      <c r="DH72" s="91"/>
      <c r="DI72" s="91"/>
      <c r="DJ72" s="91"/>
      <c r="DK72" s="91"/>
      <c r="DL72" s="91"/>
      <c r="DM72" s="91"/>
      <c r="DN72" s="91"/>
      <c r="DO72" s="203"/>
      <c r="DP72" s="206"/>
      <c r="DQ72" s="206"/>
      <c r="DR72" s="206"/>
      <c r="DS72" s="206"/>
      <c r="DT72" s="206"/>
      <c r="DU72" s="206"/>
      <c r="DV72" s="206"/>
      <c r="DW72" s="206"/>
      <c r="DX72" s="206"/>
      <c r="DY72" s="206"/>
      <c r="DZ72" s="206"/>
      <c r="EA72" s="206"/>
      <c r="EB72" s="100"/>
      <c r="EC72" s="100"/>
      <c r="ED72" s="100"/>
      <c r="EE72" s="93"/>
      <c r="EF72" s="94"/>
      <c r="EG72" s="95"/>
      <c r="EH72" s="94"/>
      <c r="EI72" s="96"/>
      <c r="EJ72" s="95"/>
      <c r="EK72" s="94"/>
      <c r="EL72" s="98"/>
      <c r="EM72" s="95"/>
      <c r="EN72" s="94"/>
      <c r="EO72" s="93"/>
      <c r="EP72" s="93"/>
      <c r="EQ72" s="99"/>
      <c r="ER72" s="94"/>
      <c r="ES72" s="56"/>
    </row>
    <row r="73" spans="8:149" ht="15">
      <c r="H73" s="78" t="s">
        <v>88</v>
      </c>
      <c r="I73" s="175">
        <f>VLOOKUP(R16,Data!$DH$2:$DN$7,5,FALSE)</f>
        <v>0.6</v>
      </c>
      <c r="J73" s="13" t="s">
        <v>96</v>
      </c>
      <c r="K73" s="175">
        <f>VLOOKUP(R44,Data!$V$4:$Z$15,5,FALSE)</f>
        <v>1.1000000000000001</v>
      </c>
      <c r="L73" s="13" t="s">
        <v>97</v>
      </c>
      <c r="M73" s="176">
        <v>1</v>
      </c>
      <c r="N73" s="3"/>
      <c r="O73" s="3"/>
      <c r="P73" s="24" t="str">
        <f>IF(P49="Tải trọng động","","Không áp dụng")</f>
        <v>Không áp dụng</v>
      </c>
      <c r="Q73" s="24" t="s">
        <v>87</v>
      </c>
      <c r="R73" s="77" t="str">
        <f>IF(P49="Tải trọng động",1.8*I73*K73*R70*1000/(M73*R2),"-")</f>
        <v>-</v>
      </c>
      <c r="S73" s="73" t="s">
        <v>46</v>
      </c>
      <c r="T73" s="2"/>
      <c r="AH73" s="8"/>
      <c r="AI73" s="8"/>
      <c r="AJ73" s="8"/>
      <c r="AK73" s="8"/>
      <c r="AL73" s="8"/>
      <c r="AM73" s="8"/>
      <c r="AN73" s="8"/>
      <c r="BE73" s="42"/>
      <c r="BF73" s="5"/>
      <c r="BG73" s="35"/>
      <c r="BH73" s="5"/>
      <c r="BI73" s="6"/>
      <c r="BJ73" s="35"/>
      <c r="BK73" s="5"/>
      <c r="BL73" s="41"/>
      <c r="BM73" s="35"/>
      <c r="BN73" s="5"/>
      <c r="BO73" s="42"/>
      <c r="BP73" s="42"/>
      <c r="BQ73" s="20"/>
      <c r="BR73" s="5"/>
      <c r="DA73" s="203"/>
      <c r="DB73" s="203"/>
      <c r="DC73" s="203"/>
      <c r="DD73" s="204"/>
      <c r="DE73" s="205"/>
      <c r="DF73" s="205"/>
      <c r="DG73" s="205"/>
      <c r="DH73" s="91"/>
      <c r="DI73" s="91"/>
      <c r="DJ73" s="91"/>
      <c r="DK73" s="91"/>
      <c r="DL73" s="91"/>
      <c r="DM73" s="91"/>
      <c r="DN73" s="91"/>
      <c r="DO73" s="203"/>
      <c r="DP73" s="206"/>
      <c r="DQ73" s="206"/>
      <c r="DR73" s="206"/>
      <c r="DS73" s="206"/>
      <c r="DT73" s="206"/>
      <c r="DU73" s="206"/>
      <c r="DV73" s="206"/>
      <c r="DW73" s="206"/>
      <c r="DX73" s="206"/>
      <c r="DY73" s="206"/>
      <c r="DZ73" s="206"/>
      <c r="EA73" s="206"/>
      <c r="EB73" s="100"/>
      <c r="EC73" s="100"/>
      <c r="ED73" s="100"/>
      <c r="EE73" s="93"/>
      <c r="EF73" s="94"/>
      <c r="EG73" s="95"/>
      <c r="EH73" s="94"/>
      <c r="EI73" s="96"/>
      <c r="EJ73" s="95"/>
      <c r="EK73" s="94"/>
      <c r="EL73" s="98"/>
      <c r="EM73" s="95"/>
      <c r="EN73" s="94"/>
      <c r="EO73" s="93"/>
      <c r="EP73" s="93"/>
      <c r="EQ73" s="99"/>
      <c r="ER73" s="94"/>
      <c r="ES73" s="56"/>
    </row>
    <row r="74" spans="8:149" ht="14.25" customHeight="1">
      <c r="H74" s="71" t="str">
        <f>"- Diện tích tiết diện ngang tối thiểu:"</f>
        <v>- Diện tích tiết diện ngang tối thiểu:</v>
      </c>
      <c r="I74" s="174"/>
      <c r="J74" s="174"/>
      <c r="K74" s="24"/>
      <c r="L74" s="167"/>
      <c r="M74" s="168"/>
      <c r="N74" s="3"/>
      <c r="O74" s="3"/>
      <c r="P74" s="3"/>
      <c r="Q74" s="24" t="s">
        <v>98</v>
      </c>
      <c r="R74" s="169">
        <f>MAX(MAX(R71,IFERROR(VALUE(R73),0)),57.1)</f>
        <v>57.1</v>
      </c>
      <c r="S74" s="73" t="s">
        <v>46</v>
      </c>
      <c r="T74" s="2"/>
      <c r="AH74" s="8"/>
      <c r="AI74" s="8"/>
      <c r="AJ74" s="8"/>
      <c r="AK74" s="8"/>
      <c r="AL74" s="8"/>
      <c r="AM74" s="8"/>
      <c r="AN74" s="8"/>
      <c r="BE74" s="42"/>
      <c r="BF74" s="5"/>
      <c r="BG74" s="35"/>
      <c r="BH74" s="5"/>
      <c r="BI74" s="6"/>
      <c r="BJ74" s="35"/>
      <c r="BK74" s="5"/>
      <c r="BL74" s="41"/>
      <c r="BM74" s="35"/>
      <c r="BN74" s="5"/>
      <c r="BO74" s="42"/>
      <c r="BP74" s="42"/>
      <c r="BQ74" s="40"/>
      <c r="BR74" s="5"/>
      <c r="DA74" s="203"/>
      <c r="DB74" s="203"/>
      <c r="DC74" s="203"/>
      <c r="DD74" s="204"/>
      <c r="DE74" s="205"/>
      <c r="DF74" s="205"/>
      <c r="DG74" s="205"/>
      <c r="DH74" s="91"/>
      <c r="DI74" s="91"/>
      <c r="DJ74" s="91"/>
      <c r="DK74" s="91"/>
      <c r="DL74" s="91"/>
      <c r="DM74" s="91"/>
      <c r="DN74" s="91"/>
      <c r="DO74" s="203"/>
      <c r="DP74" s="206"/>
      <c r="DQ74" s="206"/>
      <c r="DR74" s="206"/>
      <c r="DS74" s="206"/>
      <c r="DT74" s="206"/>
      <c r="DU74" s="206"/>
      <c r="DV74" s="206"/>
      <c r="DW74" s="206"/>
      <c r="DX74" s="206"/>
      <c r="DY74" s="206"/>
      <c r="DZ74" s="206"/>
      <c r="EA74" s="206"/>
      <c r="EB74" s="100"/>
      <c r="EC74" s="100"/>
      <c r="ED74" s="100"/>
      <c r="EE74" s="93"/>
      <c r="EF74" s="94"/>
      <c r="EG74" s="95"/>
      <c r="EH74" s="94"/>
      <c r="EI74" s="96"/>
      <c r="EJ74" s="95"/>
      <c r="EK74" s="94"/>
      <c r="EL74" s="98"/>
      <c r="EM74" s="95"/>
      <c r="EN74" s="94"/>
      <c r="EO74" s="93"/>
      <c r="EP74" s="93"/>
      <c r="EQ74" s="97"/>
      <c r="ER74" s="94"/>
      <c r="ES74" s="56"/>
    </row>
    <row r="75" spans="8:149">
      <c r="H75" s="71" t="str">
        <f>"- Tỷ số huy động cấu kiện:"</f>
        <v>- Tỷ số huy động cấu kiện:</v>
      </c>
      <c r="I75" s="3"/>
      <c r="J75" s="3"/>
      <c r="K75" s="24"/>
      <c r="L75" s="167"/>
      <c r="M75" s="168"/>
      <c r="N75" s="3"/>
      <c r="O75" s="3"/>
      <c r="P75" s="3"/>
      <c r="Q75" s="24"/>
      <c r="R75" s="173">
        <f>R74/R45</f>
        <v>0.23306122448979594</v>
      </c>
      <c r="S75" s="79" t="str">
        <f>IF(R75&lt;=1,"OK","Check")</f>
        <v>OK</v>
      </c>
      <c r="T75" s="2"/>
      <c r="AH75" s="8"/>
      <c r="AI75" s="8"/>
      <c r="AJ75" s="8"/>
      <c r="AK75" s="8"/>
      <c r="AL75" s="8"/>
      <c r="AM75" s="8"/>
      <c r="AN75" s="8"/>
      <c r="BE75" s="42"/>
      <c r="BF75" s="5"/>
      <c r="BG75" s="35"/>
      <c r="BH75" s="5"/>
      <c r="BI75" s="6"/>
      <c r="BJ75" s="35"/>
      <c r="BK75" s="5"/>
      <c r="BL75" s="41"/>
      <c r="BM75" s="35"/>
      <c r="BN75" s="5"/>
      <c r="BO75" s="42"/>
      <c r="BP75" s="42"/>
      <c r="BQ75" s="40"/>
      <c r="BR75" s="5"/>
      <c r="DA75" s="203"/>
      <c r="DB75" s="203"/>
      <c r="DC75" s="203"/>
      <c r="DD75" s="204"/>
      <c r="DE75" s="205"/>
      <c r="DF75" s="205"/>
      <c r="DG75" s="205"/>
      <c r="DH75" s="91"/>
      <c r="DI75" s="91"/>
      <c r="DJ75" s="91"/>
      <c r="DK75" s="91"/>
      <c r="DL75" s="91"/>
      <c r="DM75" s="91"/>
      <c r="DN75" s="91"/>
      <c r="DO75" s="203"/>
      <c r="DP75" s="206"/>
      <c r="DQ75" s="206"/>
      <c r="DR75" s="206"/>
      <c r="DS75" s="206"/>
      <c r="DT75" s="206"/>
      <c r="DU75" s="206"/>
      <c r="DV75" s="206"/>
      <c r="DW75" s="206"/>
      <c r="DX75" s="206"/>
      <c r="DY75" s="206"/>
      <c r="DZ75" s="206"/>
      <c r="EA75" s="206"/>
      <c r="EB75" s="100"/>
      <c r="EC75" s="100"/>
      <c r="ED75" s="100"/>
      <c r="EE75" s="93"/>
      <c r="EF75" s="94"/>
      <c r="EG75" s="95"/>
      <c r="EH75" s="94"/>
      <c r="EI75" s="96"/>
      <c r="EJ75" s="95"/>
      <c r="EK75" s="94"/>
      <c r="EL75" s="98"/>
      <c r="EM75" s="95"/>
      <c r="EN75" s="94"/>
      <c r="EO75" s="93"/>
      <c r="EP75" s="93"/>
      <c r="EQ75" s="97"/>
      <c r="ER75" s="94"/>
      <c r="ES75" s="56"/>
    </row>
    <row r="76" spans="8:149">
      <c r="H76" s="70" t="s">
        <v>129</v>
      </c>
      <c r="I76" s="159"/>
      <c r="J76" s="159"/>
      <c r="K76" s="159"/>
      <c r="L76" s="159"/>
      <c r="M76" s="159"/>
      <c r="N76" s="160"/>
      <c r="O76" s="161"/>
      <c r="P76" s="159"/>
      <c r="Q76" s="3"/>
      <c r="R76" s="3"/>
      <c r="S76" s="69"/>
      <c r="T76" s="2"/>
      <c r="AH76" s="8"/>
      <c r="AI76" s="8"/>
      <c r="AJ76" s="8"/>
      <c r="AK76" s="8"/>
      <c r="AL76" s="8"/>
      <c r="AM76" s="8"/>
      <c r="AN76" s="8"/>
      <c r="BE76" s="42"/>
      <c r="BF76" s="5"/>
      <c r="BG76" s="35"/>
      <c r="BH76" s="5"/>
      <c r="BI76" s="6"/>
      <c r="BJ76" s="35"/>
      <c r="BK76" s="5"/>
      <c r="BL76" s="41"/>
      <c r="BM76" s="35"/>
      <c r="BN76" s="5"/>
      <c r="BO76" s="42"/>
      <c r="BP76" s="42"/>
      <c r="BQ76" s="40"/>
      <c r="BR76" s="5"/>
      <c r="DA76" s="203"/>
      <c r="DB76" s="203"/>
      <c r="DC76" s="203"/>
      <c r="DD76" s="204"/>
      <c r="DE76" s="205"/>
      <c r="DF76" s="205"/>
      <c r="DG76" s="205"/>
      <c r="DH76" s="91"/>
      <c r="DI76" s="91"/>
      <c r="DJ76" s="91"/>
      <c r="DK76" s="91"/>
      <c r="DL76" s="91"/>
      <c r="DM76" s="91"/>
      <c r="DN76" s="91"/>
      <c r="DO76" s="203"/>
      <c r="DP76" s="206"/>
      <c r="DQ76" s="206"/>
      <c r="DR76" s="206"/>
      <c r="DS76" s="206"/>
      <c r="DT76" s="206"/>
      <c r="DU76" s="206"/>
      <c r="DV76" s="206"/>
      <c r="DW76" s="206"/>
      <c r="DX76" s="206"/>
      <c r="DY76" s="206"/>
      <c r="DZ76" s="206"/>
      <c r="EA76" s="206"/>
      <c r="EB76" s="100"/>
      <c r="EC76" s="100"/>
      <c r="ED76" s="100"/>
      <c r="EE76" s="93"/>
      <c r="EF76" s="94"/>
      <c r="EG76" s="95"/>
      <c r="EH76" s="94"/>
      <c r="EI76" s="96"/>
      <c r="EJ76" s="95"/>
      <c r="EK76" s="94"/>
      <c r="EL76" s="98"/>
      <c r="EM76" s="95"/>
      <c r="EN76" s="94"/>
      <c r="EO76" s="93"/>
      <c r="EP76" s="93"/>
      <c r="EQ76" s="97"/>
      <c r="ER76" s="94"/>
      <c r="ES76" s="56"/>
    </row>
    <row r="77" spans="8:149" ht="14.25">
      <c r="H77" s="71" t="str">
        <f>"- Tỉ số cường độ chịu kéo tính toán của bê tông:"</f>
        <v>- Tỉ số cường độ chịu kéo tính toán của bê tông:</v>
      </c>
      <c r="I77" s="174"/>
      <c r="J77" s="174"/>
      <c r="K77" s="24"/>
      <c r="L77" s="167"/>
      <c r="M77" s="168"/>
      <c r="N77" s="3"/>
      <c r="O77" s="3"/>
      <c r="P77" s="3"/>
      <c r="Q77" s="24" t="s">
        <v>100</v>
      </c>
      <c r="R77" s="172">
        <f>0.66/VLOOKUP(R35,Data!BJ5:BQ21,6,FALSE)</f>
        <v>0.62857142857142856</v>
      </c>
      <c r="S77" s="73"/>
      <c r="T77" s="2"/>
      <c r="AH77" s="8"/>
      <c r="AI77" s="8"/>
      <c r="AJ77" s="8"/>
      <c r="AK77" s="8"/>
      <c r="AL77" s="8"/>
      <c r="AM77" s="8"/>
      <c r="AN77" s="8"/>
      <c r="BE77" s="42"/>
      <c r="BF77" s="5"/>
      <c r="BG77" s="35"/>
      <c r="BH77" s="5"/>
      <c r="BI77" s="6"/>
      <c r="BJ77" s="35"/>
      <c r="BK77" s="5"/>
      <c r="BL77" s="41"/>
      <c r="BM77" s="35"/>
      <c r="BN77" s="5"/>
      <c r="BO77" s="42"/>
      <c r="BP77" s="42"/>
      <c r="BQ77" s="40"/>
      <c r="BR77" s="5"/>
      <c r="DA77" s="203"/>
      <c r="DB77" s="203"/>
      <c r="DC77" s="203"/>
      <c r="DD77" s="204"/>
      <c r="DE77" s="205"/>
      <c r="DF77" s="205"/>
      <c r="DG77" s="205"/>
      <c r="DH77" s="91"/>
      <c r="DI77" s="91"/>
      <c r="DJ77" s="91"/>
      <c r="DK77" s="91"/>
      <c r="DL77" s="91"/>
      <c r="DM77" s="91"/>
      <c r="DN77" s="91"/>
      <c r="DO77" s="203"/>
      <c r="DP77" s="206"/>
      <c r="DQ77" s="206"/>
      <c r="DR77" s="206"/>
      <c r="DS77" s="206"/>
      <c r="DT77" s="206"/>
      <c r="DU77" s="206"/>
      <c r="DV77" s="206"/>
      <c r="DW77" s="206"/>
      <c r="DX77" s="206"/>
      <c r="DY77" s="206"/>
      <c r="DZ77" s="206"/>
      <c r="EA77" s="206"/>
      <c r="EB77" s="100"/>
      <c r="EC77" s="100"/>
      <c r="ED77" s="100"/>
      <c r="EE77" s="93"/>
      <c r="EF77" s="94"/>
      <c r="EG77" s="95"/>
      <c r="EH77" s="94"/>
      <c r="EI77" s="96"/>
      <c r="EJ77" s="95"/>
      <c r="EK77" s="94"/>
      <c r="EL77" s="98"/>
      <c r="EM77" s="95"/>
      <c r="EN77" s="94"/>
      <c r="EO77" s="93"/>
      <c r="EP77" s="93"/>
      <c r="EQ77" s="97"/>
      <c r="ER77" s="94"/>
      <c r="ES77" s="56"/>
    </row>
    <row r="78" spans="8:149" ht="14.25">
      <c r="H78" s="71" t="str">
        <f>"- Tỉ số cường độ chịu kéo tính toán của thép bu lông:"</f>
        <v>- Tỉ số cường độ chịu kéo tính toán của thép bu lông:</v>
      </c>
      <c r="I78" s="174"/>
      <c r="J78" s="174"/>
      <c r="K78" s="24"/>
      <c r="L78" s="167"/>
      <c r="M78" s="168"/>
      <c r="N78" s="3"/>
      <c r="O78" s="3"/>
      <c r="P78" s="3"/>
      <c r="Q78" s="24" t="s">
        <v>99</v>
      </c>
      <c r="R78" s="80">
        <f>R19/(235/1.05)</f>
        <v>1.0723404255319149</v>
      </c>
      <c r="S78" s="73"/>
      <c r="T78" s="2"/>
      <c r="AH78" s="8"/>
      <c r="AI78" s="8"/>
      <c r="AJ78" s="8"/>
      <c r="AK78" s="8"/>
      <c r="AL78" s="8"/>
      <c r="AM78" s="8"/>
      <c r="AN78" s="8"/>
      <c r="BE78" s="42"/>
      <c r="BF78" s="5"/>
      <c r="BG78" s="35"/>
      <c r="BH78" s="5"/>
      <c r="BI78" s="6"/>
      <c r="BJ78" s="35"/>
      <c r="BK78" s="5"/>
      <c r="BL78" s="41"/>
      <c r="BM78" s="35"/>
      <c r="BN78" s="5"/>
      <c r="BO78" s="42"/>
      <c r="BP78" s="42"/>
      <c r="BQ78" s="40"/>
      <c r="BR78" s="5"/>
      <c r="DA78" s="203"/>
      <c r="DB78" s="203"/>
      <c r="DC78" s="203"/>
      <c r="DD78" s="204"/>
      <c r="DE78" s="205"/>
      <c r="DF78" s="205"/>
      <c r="DG78" s="205"/>
      <c r="DH78" s="91"/>
      <c r="DI78" s="91"/>
      <c r="DJ78" s="91"/>
      <c r="DK78" s="91"/>
      <c r="DL78" s="91"/>
      <c r="DM78" s="91"/>
      <c r="DN78" s="91"/>
      <c r="DO78" s="203"/>
      <c r="DP78" s="206"/>
      <c r="DQ78" s="206"/>
      <c r="DR78" s="206"/>
      <c r="DS78" s="206"/>
      <c r="DT78" s="206"/>
      <c r="DU78" s="206"/>
      <c r="DV78" s="206"/>
      <c r="DW78" s="206"/>
      <c r="DX78" s="206"/>
      <c r="DY78" s="206"/>
      <c r="DZ78" s="206"/>
      <c r="EA78" s="206"/>
      <c r="EB78" s="100"/>
      <c r="EC78" s="100"/>
      <c r="ED78" s="100"/>
      <c r="EE78" s="93"/>
      <c r="EF78" s="94"/>
      <c r="EG78" s="95"/>
      <c r="EH78" s="94"/>
      <c r="EI78" s="96"/>
      <c r="EJ78" s="95"/>
      <c r="EK78" s="94"/>
      <c r="EL78" s="98"/>
      <c r="EM78" s="95"/>
      <c r="EN78" s="94"/>
      <c r="EO78" s="93"/>
      <c r="EP78" s="93"/>
      <c r="EQ78" s="97"/>
      <c r="ER78" s="94"/>
      <c r="ES78" s="56"/>
    </row>
    <row r="79" spans="8:149">
      <c r="H79" s="71" t="str">
        <f>"- Chiều sâu ngàm tối thiểu H (Bê tông B12.5 &amp; mác thép S235C):"</f>
        <v>- Chiều sâu ngàm tối thiểu H (Bê tông B12.5 &amp; mác thép S235C):</v>
      </c>
      <c r="I79" s="174"/>
      <c r="J79" s="174"/>
      <c r="K79" s="24"/>
      <c r="L79" s="24"/>
      <c r="M79" s="168"/>
      <c r="N79" s="3"/>
      <c r="O79" s="24" t="str">
        <f>VLOOKUP(R16,Data!$DH$2:$DN$7,2,FALSE)</f>
        <v>10db</v>
      </c>
      <c r="P79" s="168" t="s">
        <v>104</v>
      </c>
      <c r="Q79" s="24" t="s">
        <v>103</v>
      </c>
      <c r="R79" s="169">
        <f>IFERROR(VALUE(LEFT(O79,2)),VALUE(LEFT(O79,1)))*R44</f>
        <v>200</v>
      </c>
      <c r="S79" s="73" t="s">
        <v>1</v>
      </c>
      <c r="T79" s="2"/>
      <c r="AH79" s="8"/>
      <c r="AI79" s="8"/>
      <c r="AJ79" s="8"/>
      <c r="AK79" s="8"/>
      <c r="AL79" s="8"/>
      <c r="AM79" s="8"/>
      <c r="AN79" s="8"/>
      <c r="BE79" s="42"/>
      <c r="BF79" s="5"/>
      <c r="BG79" s="35"/>
      <c r="BH79" s="5"/>
      <c r="BI79" s="6"/>
      <c r="BJ79" s="35"/>
      <c r="BK79" s="5"/>
      <c r="BL79" s="41"/>
      <c r="BM79" s="35"/>
      <c r="BN79" s="5"/>
      <c r="BO79" s="42"/>
      <c r="BP79" s="42"/>
      <c r="BQ79" s="40"/>
      <c r="BR79" s="5"/>
      <c r="DA79" s="203"/>
      <c r="DB79" s="203"/>
      <c r="DC79" s="203"/>
      <c r="DD79" s="204"/>
      <c r="DE79" s="205"/>
      <c r="DF79" s="205"/>
      <c r="DG79" s="205"/>
      <c r="DH79" s="91"/>
      <c r="DI79" s="91"/>
      <c r="DJ79" s="91"/>
      <c r="DK79" s="91"/>
      <c r="DL79" s="91"/>
      <c r="DM79" s="91"/>
      <c r="DN79" s="91"/>
      <c r="DO79" s="203"/>
      <c r="DP79" s="206"/>
      <c r="DQ79" s="206"/>
      <c r="DR79" s="206"/>
      <c r="DS79" s="206"/>
      <c r="DT79" s="206"/>
      <c r="DU79" s="206"/>
      <c r="DV79" s="206"/>
      <c r="DW79" s="206"/>
      <c r="DX79" s="206"/>
      <c r="DY79" s="206"/>
      <c r="DZ79" s="206"/>
      <c r="EA79" s="206"/>
      <c r="EB79" s="100"/>
      <c r="EC79" s="100"/>
      <c r="ED79" s="100"/>
      <c r="EE79" s="93"/>
      <c r="EF79" s="94"/>
      <c r="EG79" s="95"/>
      <c r="EH79" s="94"/>
      <c r="EI79" s="96"/>
      <c r="EJ79" s="95"/>
      <c r="EK79" s="94"/>
      <c r="EL79" s="98"/>
      <c r="EM79" s="95"/>
      <c r="EN79" s="94"/>
      <c r="EO79" s="93"/>
      <c r="EP79" s="93"/>
      <c r="EQ79" s="97"/>
      <c r="ER79" s="94"/>
      <c r="ES79" s="56"/>
    </row>
    <row r="80" spans="8:149" ht="14.25">
      <c r="H80" s="71" t="s">
        <v>105</v>
      </c>
      <c r="I80" s="174"/>
      <c r="J80" s="174"/>
      <c r="K80" s="24"/>
      <c r="L80" s="24"/>
      <c r="M80" s="168"/>
      <c r="N80" s="3"/>
      <c r="O80" s="3"/>
      <c r="P80" s="3"/>
      <c r="Q80" s="24" t="s">
        <v>106</v>
      </c>
      <c r="R80" s="169">
        <f>R79*R77*R78</f>
        <v>134.80851063829786</v>
      </c>
      <c r="S80" s="73" t="s">
        <v>1</v>
      </c>
      <c r="T80" s="2"/>
      <c r="AH80" s="8"/>
      <c r="AI80" s="8"/>
      <c r="AJ80" s="8"/>
      <c r="AK80" s="8"/>
      <c r="AL80" s="8"/>
      <c r="AM80" s="8"/>
      <c r="AN80" s="8"/>
      <c r="BE80" s="42"/>
      <c r="BF80" s="5"/>
      <c r="BG80" s="35"/>
      <c r="BH80" s="5"/>
      <c r="BI80" s="6"/>
      <c r="BJ80" s="35"/>
      <c r="BK80" s="5"/>
      <c r="BL80" s="41"/>
      <c r="BM80" s="35"/>
      <c r="BN80" s="5"/>
      <c r="BO80" s="42"/>
      <c r="BP80" s="42"/>
      <c r="BQ80" s="40"/>
      <c r="BR80" s="5"/>
      <c r="DA80" s="203"/>
      <c r="DB80" s="203"/>
      <c r="DC80" s="203"/>
      <c r="DD80" s="204"/>
      <c r="DE80" s="205"/>
      <c r="DF80" s="205"/>
      <c r="DG80" s="205"/>
      <c r="DH80" s="91"/>
      <c r="DI80" s="91"/>
      <c r="DJ80" s="91"/>
      <c r="DK80" s="91"/>
      <c r="DL80" s="91"/>
      <c r="DM80" s="91"/>
      <c r="DN80" s="91"/>
      <c r="DO80" s="203"/>
      <c r="DP80" s="206"/>
      <c r="DQ80" s="206"/>
      <c r="DR80" s="206"/>
      <c r="DS80" s="206"/>
      <c r="DT80" s="206"/>
      <c r="DU80" s="206"/>
      <c r="DV80" s="206"/>
      <c r="DW80" s="206"/>
      <c r="DX80" s="206"/>
      <c r="DY80" s="206"/>
      <c r="DZ80" s="206"/>
      <c r="EA80" s="206"/>
      <c r="EB80" s="100"/>
      <c r="EC80" s="100"/>
      <c r="ED80" s="100"/>
      <c r="EE80" s="93"/>
      <c r="EF80" s="94"/>
      <c r="EG80" s="95"/>
      <c r="EH80" s="94"/>
      <c r="EI80" s="96"/>
      <c r="EJ80" s="95"/>
      <c r="EK80" s="94"/>
      <c r="EL80" s="98"/>
      <c r="EM80" s="95"/>
      <c r="EN80" s="94"/>
      <c r="EO80" s="93"/>
      <c r="EP80" s="93"/>
      <c r="EQ80" s="97"/>
      <c r="ER80" s="94"/>
      <c r="ES80" s="56"/>
    </row>
    <row r="81" spans="8:149">
      <c r="H81" s="70" t="s">
        <v>107</v>
      </c>
      <c r="I81" s="3"/>
      <c r="J81" s="3"/>
      <c r="K81" s="24"/>
      <c r="L81" s="167"/>
      <c r="M81" s="168"/>
      <c r="N81" s="3"/>
      <c r="O81" s="3"/>
      <c r="P81" s="3"/>
      <c r="Q81" s="3"/>
      <c r="R81" s="3"/>
      <c r="S81" s="72"/>
      <c r="T81" s="2"/>
      <c r="AH81" s="8"/>
      <c r="AI81" s="8"/>
      <c r="AJ81" s="8"/>
      <c r="AK81" s="8"/>
      <c r="AL81" s="8"/>
      <c r="AM81" s="8"/>
      <c r="AN81" s="8"/>
      <c r="BE81" s="42"/>
      <c r="BF81" s="5"/>
      <c r="BG81" s="35"/>
      <c r="BH81" s="5"/>
      <c r="BI81" s="6"/>
      <c r="BJ81" s="35"/>
      <c r="BK81" s="5"/>
      <c r="BL81" s="41"/>
      <c r="BM81" s="35"/>
      <c r="BN81" s="5"/>
      <c r="BO81" s="42"/>
      <c r="BP81" s="42"/>
      <c r="BQ81" s="40"/>
      <c r="BR81" s="5"/>
      <c r="DA81" s="203"/>
      <c r="DB81" s="203"/>
      <c r="DC81" s="203"/>
      <c r="DD81" s="204"/>
      <c r="DE81" s="205"/>
      <c r="DF81" s="205"/>
      <c r="DG81" s="205"/>
      <c r="DH81" s="91"/>
      <c r="DI81" s="91"/>
      <c r="DJ81" s="91"/>
      <c r="DK81" s="91"/>
      <c r="DL81" s="91"/>
      <c r="DM81" s="91"/>
      <c r="DN81" s="91"/>
      <c r="DO81" s="203"/>
      <c r="DP81" s="206"/>
      <c r="DQ81" s="206"/>
      <c r="DR81" s="206"/>
      <c r="DS81" s="206"/>
      <c r="DT81" s="206"/>
      <c r="DU81" s="206"/>
      <c r="DV81" s="206"/>
      <c r="DW81" s="206"/>
      <c r="DX81" s="206"/>
      <c r="DY81" s="206"/>
      <c r="DZ81" s="206"/>
      <c r="EA81" s="206"/>
      <c r="EB81" s="100"/>
      <c r="EC81" s="100"/>
      <c r="ED81" s="100"/>
      <c r="EE81" s="93"/>
      <c r="EF81" s="94"/>
      <c r="EG81" s="95"/>
      <c r="EH81" s="94"/>
      <c r="EI81" s="96"/>
      <c r="EJ81" s="95"/>
      <c r="EK81" s="94"/>
      <c r="EL81" s="98"/>
      <c r="EM81" s="95"/>
      <c r="EN81" s="94"/>
      <c r="EO81" s="93"/>
      <c r="EP81" s="93"/>
      <c r="EQ81" s="97"/>
      <c r="ER81" s="94"/>
      <c r="ES81" s="56"/>
    </row>
    <row r="82" spans="8:149" ht="18">
      <c r="H82" s="71" t="str">
        <f>"- Ứng suất dưới bản đế:"</f>
        <v>- Ứng suất dưới bản đế:</v>
      </c>
      <c r="I82" s="3"/>
      <c r="J82" s="3"/>
      <c r="K82" s="24"/>
      <c r="L82" s="167"/>
      <c r="M82" s="13"/>
      <c r="N82" s="168"/>
      <c r="O82" s="168"/>
      <c r="P82" s="168"/>
      <c r="Q82" s="13" t="s">
        <v>274</v>
      </c>
      <c r="R82" s="62">
        <f>ABS(Q57)/(R46*R47)*1000+6*ABS(P57*1000000)/(R47*R46^2)</f>
        <v>1.1735909714144381</v>
      </c>
      <c r="S82" s="72" t="s">
        <v>21</v>
      </c>
      <c r="T82" s="2"/>
      <c r="AH82" s="8"/>
      <c r="AI82" s="8"/>
      <c r="AJ82" s="8"/>
      <c r="AK82" s="8"/>
      <c r="AL82" s="8"/>
      <c r="AM82" s="8"/>
      <c r="AN82" s="8"/>
      <c r="BE82" s="42"/>
      <c r="BF82" s="5"/>
      <c r="BG82" s="35"/>
      <c r="BH82" s="5"/>
      <c r="BI82" s="6"/>
      <c r="BJ82" s="35"/>
      <c r="BK82" s="5"/>
      <c r="BL82" s="41"/>
      <c r="BM82" s="35"/>
      <c r="BN82" s="5"/>
      <c r="BO82" s="42"/>
      <c r="BP82" s="42"/>
      <c r="BQ82" s="40"/>
      <c r="BR82" s="5"/>
      <c r="DA82" s="203"/>
      <c r="DB82" s="203"/>
      <c r="DC82" s="203"/>
      <c r="DD82" s="204"/>
      <c r="DE82" s="205"/>
      <c r="DF82" s="205"/>
      <c r="DG82" s="205"/>
      <c r="DH82" s="91"/>
      <c r="DI82" s="91"/>
      <c r="DJ82" s="91"/>
      <c r="DK82" s="91"/>
      <c r="DL82" s="91"/>
      <c r="DM82" s="91"/>
      <c r="DN82" s="91"/>
      <c r="DO82" s="203"/>
      <c r="DP82" s="206"/>
      <c r="DQ82" s="206"/>
      <c r="DR82" s="206"/>
      <c r="DS82" s="206"/>
      <c r="DT82" s="206"/>
      <c r="DU82" s="206"/>
      <c r="DV82" s="206"/>
      <c r="DW82" s="206"/>
      <c r="DX82" s="206"/>
      <c r="DY82" s="206"/>
      <c r="DZ82" s="206"/>
      <c r="EA82" s="206"/>
      <c r="EB82" s="100"/>
      <c r="EC82" s="100"/>
      <c r="ED82" s="100"/>
      <c r="EE82" s="93"/>
      <c r="EF82" s="94"/>
      <c r="EG82" s="95"/>
      <c r="EH82" s="94"/>
      <c r="EI82" s="96"/>
      <c r="EJ82" s="95"/>
      <c r="EK82" s="94"/>
      <c r="EL82" s="98"/>
      <c r="EM82" s="95"/>
      <c r="EN82" s="94"/>
      <c r="EO82" s="93"/>
      <c r="EP82" s="93"/>
      <c r="EQ82" s="97"/>
      <c r="ER82" s="94"/>
      <c r="ES82" s="56"/>
    </row>
    <row r="83" spans="8:149" ht="18">
      <c r="H83" s="71"/>
      <c r="I83" s="3"/>
      <c r="J83" s="3"/>
      <c r="K83" s="24"/>
      <c r="L83" s="167"/>
      <c r="M83" s="13"/>
      <c r="N83" s="168"/>
      <c r="O83" s="168"/>
      <c r="P83" s="168"/>
      <c r="Q83" s="13" t="s">
        <v>275</v>
      </c>
      <c r="R83" s="62">
        <f>ABS(Q57)/(R46*R47)*1000-6*ABS(P57*1000000)/(R47*R46^2)</f>
        <v>-1.1116316488789848</v>
      </c>
      <c r="S83" s="72" t="s">
        <v>21</v>
      </c>
      <c r="AH83" s="8"/>
      <c r="AI83" s="8"/>
      <c r="AJ83" s="8"/>
      <c r="AK83" s="8"/>
      <c r="AL83" s="8"/>
      <c r="AM83" s="8"/>
      <c r="AN83" s="8"/>
      <c r="BE83" s="42"/>
      <c r="BF83" s="5"/>
      <c r="BG83" s="35"/>
      <c r="BH83" s="5"/>
      <c r="BI83" s="6"/>
      <c r="BJ83" s="35"/>
      <c r="BK83" s="5"/>
      <c r="BL83" s="41"/>
      <c r="BM83" s="35"/>
      <c r="BN83" s="5"/>
      <c r="BO83" s="42"/>
      <c r="BP83" s="42"/>
      <c r="BQ83" s="40"/>
      <c r="BR83" s="5"/>
      <c r="DA83" s="203"/>
      <c r="DB83" s="203"/>
      <c r="DC83" s="203"/>
      <c r="DD83" s="204"/>
      <c r="DE83" s="205"/>
      <c r="DF83" s="205"/>
      <c r="DG83" s="205"/>
      <c r="DH83" s="91"/>
      <c r="DI83" s="91"/>
      <c r="DJ83" s="91"/>
      <c r="DK83" s="91"/>
      <c r="DL83" s="91"/>
      <c r="DM83" s="91"/>
      <c r="DN83" s="91"/>
      <c r="DO83" s="203"/>
      <c r="DP83" s="206"/>
      <c r="DQ83" s="206"/>
      <c r="DR83" s="206"/>
      <c r="DS83" s="206"/>
      <c r="DT83" s="206"/>
      <c r="DU83" s="206"/>
      <c r="DV83" s="206"/>
      <c r="DW83" s="206"/>
      <c r="DX83" s="206"/>
      <c r="DY83" s="206"/>
      <c r="DZ83" s="206"/>
      <c r="EA83" s="206"/>
      <c r="EB83" s="100"/>
      <c r="EC83" s="100"/>
      <c r="ED83" s="100"/>
      <c r="EE83" s="93"/>
      <c r="EF83" s="94"/>
      <c r="EG83" s="95"/>
      <c r="EH83" s="94"/>
      <c r="EI83" s="96"/>
      <c r="EJ83" s="95"/>
      <c r="EK83" s="94"/>
      <c r="EL83" s="98"/>
      <c r="EM83" s="95"/>
      <c r="EN83" s="94"/>
      <c r="EO83" s="93"/>
      <c r="EP83" s="93"/>
      <c r="EQ83" s="97"/>
      <c r="ER83" s="94"/>
      <c r="ES83" s="56"/>
    </row>
    <row r="84" spans="8:149" ht="14.25">
      <c r="H84" s="71" t="str">
        <f>"- Cường độ chịu nén cục bộ của bê tông:"</f>
        <v>- Cường độ chịu nén cục bộ của bê tông:</v>
      </c>
      <c r="I84" s="3"/>
      <c r="J84" s="3"/>
      <c r="K84" s="24"/>
      <c r="L84" s="167"/>
      <c r="M84" s="13" t="s">
        <v>59</v>
      </c>
      <c r="N84" s="175">
        <v>1</v>
      </c>
      <c r="O84" s="13" t="s">
        <v>66</v>
      </c>
      <c r="P84" s="175">
        <v>0.75</v>
      </c>
      <c r="Q84" s="13" t="s">
        <v>276</v>
      </c>
      <c r="R84" s="62">
        <f>N84*R36*P84</f>
        <v>10.875</v>
      </c>
      <c r="S84" s="72" t="s">
        <v>21</v>
      </c>
      <c r="AH84" s="8"/>
      <c r="AI84" s="8"/>
      <c r="AJ84" s="8"/>
      <c r="AK84" s="8"/>
      <c r="AL84" s="8"/>
      <c r="AM84" s="8"/>
      <c r="AN84" s="8"/>
      <c r="BE84" s="42"/>
      <c r="BF84" s="5"/>
      <c r="BG84" s="35"/>
      <c r="BH84" s="5"/>
      <c r="BI84" s="6"/>
      <c r="BJ84" s="35"/>
      <c r="BK84" s="5"/>
      <c r="BL84" s="41"/>
      <c r="BM84" s="35"/>
      <c r="BN84" s="5"/>
      <c r="BO84" s="42"/>
      <c r="BP84" s="42"/>
      <c r="BQ84" s="40"/>
      <c r="BR84" s="5"/>
      <c r="DA84" s="203"/>
      <c r="DB84" s="203"/>
      <c r="DC84" s="203"/>
      <c r="DD84" s="204"/>
      <c r="DE84" s="205"/>
      <c r="DF84" s="205"/>
      <c r="DG84" s="205"/>
      <c r="DH84" s="91"/>
      <c r="DI84" s="91"/>
      <c r="DJ84" s="91"/>
      <c r="DK84" s="91"/>
      <c r="DL84" s="91"/>
      <c r="DM84" s="91"/>
      <c r="DN84" s="91"/>
      <c r="DO84" s="203"/>
      <c r="DP84" s="206"/>
      <c r="DQ84" s="206"/>
      <c r="DR84" s="206"/>
      <c r="DS84" s="206"/>
      <c r="DT84" s="206"/>
      <c r="DU84" s="206"/>
      <c r="DV84" s="206"/>
      <c r="DW84" s="206"/>
      <c r="DX84" s="206"/>
      <c r="DY84" s="206"/>
      <c r="DZ84" s="206"/>
      <c r="EA84" s="206"/>
      <c r="EB84" s="100"/>
      <c r="EC84" s="100"/>
      <c r="ED84" s="100"/>
      <c r="EE84" s="93"/>
      <c r="EF84" s="94"/>
      <c r="EG84" s="95"/>
      <c r="EH84" s="94"/>
      <c r="EI84" s="96"/>
      <c r="EJ84" s="95"/>
      <c r="EK84" s="94"/>
      <c r="EL84" s="98"/>
      <c r="EM84" s="95"/>
      <c r="EN84" s="94"/>
      <c r="EO84" s="93"/>
      <c r="EP84" s="93"/>
      <c r="EQ84" s="97"/>
      <c r="ER84" s="94"/>
      <c r="ES84" s="56"/>
    </row>
    <row r="85" spans="8:149" ht="14.25">
      <c r="H85" s="71" t="str">
        <f>"- Tỷ số huy động cấu kiện:"</f>
        <v>- Tỷ số huy động cấu kiện:</v>
      </c>
      <c r="I85" s="3"/>
      <c r="J85" s="3"/>
      <c r="K85" s="24"/>
      <c r="L85" s="167"/>
      <c r="M85" s="168"/>
      <c r="N85" s="3"/>
      <c r="O85" s="3"/>
      <c r="P85" s="3"/>
      <c r="Q85" s="13" t="s">
        <v>277</v>
      </c>
      <c r="R85" s="173">
        <f>R82/R84</f>
        <v>0.10791641116454603</v>
      </c>
      <c r="S85" s="79" t="str">
        <f>IF(R85&lt;=1,"OK","Check")</f>
        <v>OK</v>
      </c>
      <c r="T85" s="2"/>
      <c r="AH85" s="8"/>
      <c r="AI85" s="8"/>
      <c r="AJ85" s="8"/>
      <c r="AK85" s="8"/>
      <c r="AL85" s="8"/>
      <c r="AM85" s="8"/>
      <c r="AN85" s="8"/>
      <c r="BE85" s="42"/>
      <c r="BF85" s="5"/>
      <c r="BG85" s="35"/>
      <c r="BH85" s="5"/>
      <c r="BI85" s="6"/>
      <c r="BJ85" s="35"/>
      <c r="BK85" s="5"/>
      <c r="BL85" s="41"/>
      <c r="BM85" s="35"/>
      <c r="BN85" s="5"/>
      <c r="BO85" s="42"/>
      <c r="BP85" s="42"/>
      <c r="BQ85" s="40"/>
      <c r="BR85" s="5"/>
      <c r="DA85" s="203"/>
      <c r="DB85" s="203"/>
      <c r="DC85" s="203"/>
      <c r="DD85" s="204"/>
      <c r="DE85" s="205"/>
      <c r="DF85" s="205"/>
      <c r="DG85" s="205"/>
      <c r="DH85" s="91"/>
      <c r="DI85" s="91"/>
      <c r="DJ85" s="91"/>
      <c r="DK85" s="91"/>
      <c r="DL85" s="91"/>
      <c r="DM85" s="91"/>
      <c r="DN85" s="91"/>
      <c r="DO85" s="203"/>
      <c r="DP85" s="206"/>
      <c r="DQ85" s="206"/>
      <c r="DR85" s="206"/>
      <c r="DS85" s="206"/>
      <c r="DT85" s="206"/>
      <c r="DU85" s="206"/>
      <c r="DV85" s="206"/>
      <c r="DW85" s="206"/>
      <c r="DX85" s="206"/>
      <c r="DY85" s="206"/>
      <c r="DZ85" s="206"/>
      <c r="EA85" s="206"/>
      <c r="EB85" s="100"/>
      <c r="EC85" s="100"/>
      <c r="ED85" s="100"/>
      <c r="EE85" s="93"/>
      <c r="EF85" s="94"/>
      <c r="EG85" s="95"/>
      <c r="EH85" s="94"/>
      <c r="EI85" s="96"/>
      <c r="EJ85" s="95"/>
      <c r="EK85" s="94"/>
      <c r="EL85" s="98"/>
      <c r="EM85" s="95"/>
      <c r="EN85" s="94"/>
      <c r="EO85" s="93"/>
      <c r="EP85" s="93"/>
      <c r="EQ85" s="97"/>
      <c r="ER85" s="94"/>
      <c r="ES85" s="56"/>
    </row>
    <row r="86" spans="8:149">
      <c r="H86" s="70" t="s">
        <v>278</v>
      </c>
      <c r="I86" s="168"/>
      <c r="J86" s="168"/>
      <c r="K86" s="168"/>
      <c r="L86" s="168"/>
      <c r="M86" s="168"/>
      <c r="N86" s="168"/>
      <c r="O86" s="168"/>
      <c r="P86" s="168"/>
      <c r="Q86" s="168"/>
      <c r="R86" s="168"/>
      <c r="S86" s="76"/>
      <c r="AH86" s="8"/>
      <c r="AI86" s="8"/>
      <c r="AJ86" s="8"/>
      <c r="AK86" s="8"/>
      <c r="AL86" s="8"/>
      <c r="AM86" s="8"/>
      <c r="AN86" s="8"/>
      <c r="BE86" s="42"/>
      <c r="BF86" s="5"/>
      <c r="BG86" s="35"/>
      <c r="BH86" s="5"/>
      <c r="BI86" s="6"/>
      <c r="BJ86" s="35"/>
      <c r="BK86" s="5"/>
      <c r="BL86" s="41"/>
      <c r="BM86" s="35"/>
      <c r="BN86" s="5"/>
      <c r="BO86" s="42"/>
      <c r="BP86" s="42"/>
      <c r="BQ86" s="40"/>
      <c r="BR86" s="5"/>
      <c r="DA86" s="203"/>
      <c r="DB86" s="203"/>
      <c r="DC86" s="203"/>
      <c r="DD86" s="204"/>
      <c r="DE86" s="205"/>
      <c r="DF86" s="205"/>
      <c r="DG86" s="205"/>
      <c r="DH86" s="91"/>
      <c r="DI86" s="91"/>
      <c r="DJ86" s="91"/>
      <c r="DK86" s="91"/>
      <c r="DL86" s="91"/>
      <c r="DM86" s="91"/>
      <c r="DN86" s="91"/>
      <c r="DO86" s="203"/>
      <c r="DP86" s="206"/>
      <c r="DQ86" s="206"/>
      <c r="DR86" s="206"/>
      <c r="DS86" s="206"/>
      <c r="DT86" s="206"/>
      <c r="DU86" s="206"/>
      <c r="DV86" s="206"/>
      <c r="DW86" s="206"/>
      <c r="DX86" s="206"/>
      <c r="DY86" s="206"/>
      <c r="DZ86" s="206"/>
      <c r="EA86" s="206"/>
      <c r="EB86" s="100"/>
      <c r="EC86" s="100"/>
      <c r="ED86" s="100"/>
      <c r="EE86" s="93"/>
      <c r="EF86" s="94"/>
      <c r="EG86" s="95"/>
      <c r="EH86" s="94"/>
      <c r="EI86" s="96"/>
      <c r="EJ86" s="95"/>
      <c r="EK86" s="94"/>
      <c r="EL86" s="98"/>
      <c r="EM86" s="95"/>
      <c r="EN86" s="94"/>
      <c r="EO86" s="93"/>
      <c r="EP86" s="93"/>
      <c r="EQ86" s="97"/>
      <c r="ER86" s="94"/>
      <c r="ES86" s="56"/>
    </row>
    <row r="87" spans="8:149">
      <c r="H87" s="177" t="s">
        <v>279</v>
      </c>
      <c r="I87" s="168"/>
      <c r="J87" s="168"/>
      <c r="K87" s="168"/>
      <c r="L87" s="168"/>
      <c r="M87" s="168"/>
      <c r="N87" s="168"/>
      <c r="O87" s="168"/>
      <c r="P87" s="168"/>
      <c r="Q87" s="168"/>
      <c r="R87" s="168"/>
      <c r="S87" s="76"/>
      <c r="AH87" s="8"/>
      <c r="AI87" s="8"/>
      <c r="AJ87" s="8"/>
      <c r="AK87" s="8"/>
      <c r="AL87" s="8"/>
      <c r="AM87" s="8"/>
      <c r="AN87" s="8"/>
      <c r="BE87" s="42"/>
      <c r="BF87" s="5"/>
      <c r="BG87" s="35"/>
      <c r="BH87" s="5"/>
      <c r="BI87" s="6"/>
      <c r="BJ87" s="35"/>
      <c r="BK87" s="5"/>
      <c r="BL87" s="41"/>
      <c r="BM87" s="35"/>
      <c r="BN87" s="5"/>
      <c r="BO87" s="42"/>
      <c r="BP87" s="42"/>
      <c r="BQ87" s="40"/>
      <c r="BR87" s="5"/>
      <c r="DA87" s="203"/>
      <c r="DB87" s="203"/>
      <c r="DC87" s="203"/>
      <c r="DD87" s="204"/>
      <c r="DE87" s="205"/>
      <c r="DF87" s="205"/>
      <c r="DG87" s="205"/>
      <c r="DH87" s="91"/>
      <c r="DI87" s="91"/>
      <c r="DJ87" s="91"/>
      <c r="DK87" s="91"/>
      <c r="DL87" s="91"/>
      <c r="DM87" s="91"/>
      <c r="DN87" s="91"/>
      <c r="DO87" s="203"/>
      <c r="DP87" s="206"/>
      <c r="DQ87" s="206"/>
      <c r="DR87" s="206"/>
      <c r="DS87" s="206"/>
      <c r="DT87" s="206"/>
      <c r="DU87" s="206"/>
      <c r="DV87" s="206"/>
      <c r="DW87" s="206"/>
      <c r="DX87" s="206"/>
      <c r="DY87" s="206"/>
      <c r="DZ87" s="206"/>
      <c r="EA87" s="206"/>
      <c r="EB87" s="100"/>
      <c r="EC87" s="100"/>
      <c r="ED87" s="100"/>
      <c r="EE87" s="93"/>
      <c r="EF87" s="94"/>
      <c r="EG87" s="95"/>
      <c r="EH87" s="94"/>
      <c r="EI87" s="96"/>
      <c r="EJ87" s="95"/>
      <c r="EK87" s="94"/>
      <c r="EL87" s="98"/>
      <c r="EM87" s="95"/>
      <c r="EN87" s="94"/>
      <c r="EO87" s="93"/>
      <c r="EP87" s="93"/>
      <c r="EQ87" s="97"/>
      <c r="ER87" s="94"/>
      <c r="ES87" s="56"/>
    </row>
    <row r="88" spans="8:149" ht="14.25">
      <c r="H88" s="141" t="str">
        <f>"+ Độ vươn bản đế:"</f>
        <v>+ Độ vươn bản đế:</v>
      </c>
      <c r="I88" s="168"/>
      <c r="J88" s="168"/>
      <c r="K88" s="168"/>
      <c r="L88" s="168"/>
      <c r="M88" s="168"/>
      <c r="N88" s="168"/>
      <c r="O88" s="168"/>
      <c r="P88" s="168"/>
      <c r="Q88" s="24" t="s">
        <v>281</v>
      </c>
      <c r="R88" s="169">
        <f>(R46-R40)/2</f>
        <v>50</v>
      </c>
      <c r="S88" s="73" t="s">
        <v>1</v>
      </c>
      <c r="AH88" s="8"/>
      <c r="AI88" s="8"/>
      <c r="AJ88" s="8"/>
      <c r="AK88" s="8"/>
      <c r="AL88" s="8"/>
      <c r="AM88" s="8"/>
      <c r="AN88" s="8"/>
      <c r="BE88" s="42"/>
      <c r="BF88" s="5"/>
      <c r="BG88" s="35"/>
      <c r="BH88" s="5"/>
      <c r="BI88" s="6"/>
      <c r="BJ88" s="35"/>
      <c r="BK88" s="5"/>
      <c r="BL88" s="41"/>
      <c r="BM88" s="35"/>
      <c r="BN88" s="5"/>
      <c r="BO88" s="42"/>
      <c r="BP88" s="42"/>
      <c r="BQ88" s="40"/>
      <c r="BR88" s="5"/>
      <c r="DA88" s="203"/>
      <c r="DB88" s="203"/>
      <c r="DC88" s="203"/>
      <c r="DD88" s="204"/>
      <c r="DE88" s="205"/>
      <c r="DF88" s="205"/>
      <c r="DG88" s="205"/>
      <c r="DH88" s="91"/>
      <c r="DI88" s="91"/>
      <c r="DJ88" s="91"/>
      <c r="DK88" s="91"/>
      <c r="DL88" s="91"/>
      <c r="DM88" s="91"/>
      <c r="DN88" s="91"/>
      <c r="DO88" s="203"/>
      <c r="DP88" s="206"/>
      <c r="DQ88" s="206"/>
      <c r="DR88" s="206"/>
      <c r="DS88" s="206"/>
      <c r="DT88" s="206"/>
      <c r="DU88" s="206"/>
      <c r="DV88" s="206"/>
      <c r="DW88" s="206"/>
      <c r="DX88" s="206"/>
      <c r="DY88" s="206"/>
      <c r="DZ88" s="206"/>
      <c r="EA88" s="206"/>
      <c r="EB88" s="100"/>
      <c r="EC88" s="100"/>
      <c r="ED88" s="100"/>
      <c r="EE88" s="93"/>
      <c r="EF88" s="94"/>
      <c r="EG88" s="95"/>
      <c r="EH88" s="94"/>
      <c r="EI88" s="96"/>
      <c r="EJ88" s="95"/>
      <c r="EK88" s="94"/>
      <c r="EL88" s="98"/>
      <c r="EM88" s="95"/>
      <c r="EN88" s="94"/>
      <c r="EO88" s="93"/>
      <c r="EP88" s="93"/>
      <c r="EQ88" s="97"/>
      <c r="ER88" s="94"/>
      <c r="ES88" s="56"/>
    </row>
    <row r="89" spans="8:149" ht="18">
      <c r="H89" s="141" t="str">
        <f>"+ Moment lớn nhất:"</f>
        <v>+ Moment lớn nhất:</v>
      </c>
      <c r="I89" s="168"/>
      <c r="J89" s="168"/>
      <c r="K89" s="13" t="s">
        <v>282</v>
      </c>
      <c r="L89" s="175">
        <v>0.5</v>
      </c>
      <c r="M89" s="13" t="s">
        <v>283</v>
      </c>
      <c r="N89" s="178">
        <f>R82</f>
        <v>1.1735909714144381</v>
      </c>
      <c r="O89" s="168"/>
      <c r="P89" s="168"/>
      <c r="Q89" s="24" t="s">
        <v>284</v>
      </c>
      <c r="R89" s="168">
        <f>IF(R52=0,L89*N89*R88^2/1000000,"-")</f>
        <v>1.4669887142680477E-3</v>
      </c>
      <c r="S89" s="76" t="s">
        <v>68</v>
      </c>
      <c r="AH89" s="8"/>
      <c r="AI89" s="8"/>
      <c r="AJ89" s="8"/>
      <c r="AK89" s="8"/>
      <c r="AL89" s="8"/>
      <c r="AM89" s="8"/>
      <c r="AN89" s="8"/>
      <c r="BE89" s="42"/>
      <c r="BF89" s="5"/>
      <c r="BG89" s="35"/>
      <c r="BH89" s="5"/>
      <c r="BI89" s="6"/>
      <c r="BJ89" s="35"/>
      <c r="BK89" s="5"/>
      <c r="BL89" s="41"/>
      <c r="BM89" s="35"/>
      <c r="BN89" s="5"/>
      <c r="BO89" s="42"/>
      <c r="BP89" s="42"/>
      <c r="BQ89" s="40"/>
      <c r="BR89" s="5"/>
      <c r="DA89" s="203"/>
      <c r="DB89" s="203"/>
      <c r="DC89" s="203"/>
      <c r="DD89" s="204"/>
      <c r="DE89" s="205"/>
      <c r="DF89" s="205"/>
      <c r="DG89" s="205"/>
      <c r="DH89" s="91"/>
      <c r="DI89" s="91"/>
      <c r="DJ89" s="91"/>
      <c r="DK89" s="91"/>
      <c r="DL89" s="91"/>
      <c r="DM89" s="91"/>
      <c r="DN89" s="91"/>
      <c r="DO89" s="203"/>
      <c r="DP89" s="206"/>
      <c r="DQ89" s="206"/>
      <c r="DR89" s="206"/>
      <c r="DS89" s="206"/>
      <c r="DT89" s="206"/>
      <c r="DU89" s="206"/>
      <c r="DV89" s="206"/>
      <c r="DW89" s="206"/>
      <c r="DX89" s="206"/>
      <c r="DY89" s="206"/>
      <c r="DZ89" s="206"/>
      <c r="EA89" s="206"/>
      <c r="EB89" s="100"/>
      <c r="EC89" s="100"/>
      <c r="ED89" s="100"/>
      <c r="EE89" s="93"/>
      <c r="EF89" s="94"/>
      <c r="EG89" s="95"/>
      <c r="EH89" s="94"/>
      <c r="EI89" s="96"/>
      <c r="EJ89" s="95"/>
      <c r="EK89" s="94"/>
      <c r="EL89" s="98"/>
      <c r="EM89" s="95"/>
      <c r="EN89" s="94"/>
      <c r="EO89" s="93"/>
      <c r="EP89" s="93"/>
      <c r="EQ89" s="97"/>
      <c r="ER89" s="94"/>
      <c r="ES89" s="56"/>
    </row>
    <row r="90" spans="8:149">
      <c r="H90" s="177" t="s">
        <v>280</v>
      </c>
      <c r="I90" s="168"/>
      <c r="J90" s="168"/>
      <c r="K90" s="168"/>
      <c r="L90" s="168"/>
      <c r="M90" s="168"/>
      <c r="N90" s="168"/>
      <c r="O90" s="168"/>
      <c r="P90" s="168"/>
      <c r="Q90" s="168"/>
      <c r="R90" s="168"/>
      <c r="S90" s="76"/>
      <c r="AH90" s="8"/>
      <c r="AI90" s="8"/>
      <c r="AJ90" s="8"/>
      <c r="AK90" s="8"/>
      <c r="AL90" s="8"/>
      <c r="AM90" s="8"/>
      <c r="AN90" s="8"/>
      <c r="BE90" s="42"/>
      <c r="BF90" s="5"/>
      <c r="BG90" s="35"/>
      <c r="BH90" s="5"/>
      <c r="BI90" s="6"/>
      <c r="BJ90" s="35"/>
      <c r="BK90" s="5"/>
      <c r="BL90" s="41"/>
      <c r="BM90" s="35"/>
      <c r="BN90" s="5"/>
      <c r="BO90" s="42"/>
      <c r="BP90" s="42"/>
      <c r="BQ90" s="40"/>
      <c r="BR90" s="5"/>
      <c r="DA90" s="203"/>
      <c r="DB90" s="203"/>
      <c r="DC90" s="203"/>
      <c r="DD90" s="204"/>
      <c r="DE90" s="205"/>
      <c r="DF90" s="205"/>
      <c r="DG90" s="205"/>
      <c r="DH90" s="91"/>
      <c r="DI90" s="91"/>
      <c r="DJ90" s="91"/>
      <c r="DK90" s="91"/>
      <c r="DL90" s="91"/>
      <c r="DM90" s="91"/>
      <c r="DN90" s="91"/>
      <c r="DO90" s="203"/>
      <c r="DP90" s="206"/>
      <c r="DQ90" s="206"/>
      <c r="DR90" s="206"/>
      <c r="DS90" s="206"/>
      <c r="DT90" s="206"/>
      <c r="DU90" s="206"/>
      <c r="DV90" s="206"/>
      <c r="DW90" s="206"/>
      <c r="DX90" s="206"/>
      <c r="DY90" s="206"/>
      <c r="DZ90" s="206"/>
      <c r="EA90" s="206"/>
      <c r="EB90" s="100"/>
      <c r="EC90" s="100"/>
      <c r="ED90" s="100"/>
      <c r="EE90" s="93"/>
      <c r="EF90" s="94"/>
      <c r="EG90" s="95"/>
      <c r="EH90" s="94"/>
      <c r="EI90" s="96"/>
      <c r="EJ90" s="95"/>
      <c r="EK90" s="94"/>
      <c r="EL90" s="98"/>
      <c r="EM90" s="95"/>
      <c r="EN90" s="94"/>
      <c r="EO90" s="93"/>
      <c r="EP90" s="93"/>
      <c r="EQ90" s="97"/>
      <c r="ER90" s="94"/>
      <c r="ES90" s="56"/>
    </row>
    <row r="91" spans="8:149" ht="14.25">
      <c r="H91" s="141" t="str">
        <f>"+ Độ vươn bản đế:"</f>
        <v>+ Độ vươn bản đế:</v>
      </c>
      <c r="I91" s="168"/>
      <c r="J91" s="168"/>
      <c r="K91" s="24" t="s">
        <v>286</v>
      </c>
      <c r="L91" s="175">
        <f>R39/2</f>
        <v>50</v>
      </c>
      <c r="M91" s="24" t="s">
        <v>45</v>
      </c>
      <c r="N91" s="175">
        <f>R49+R50</f>
        <v>50</v>
      </c>
      <c r="O91" s="24" t="s">
        <v>281</v>
      </c>
      <c r="P91" s="169">
        <f>SQRT(L91^2+N91^2)</f>
        <v>70.710678118654755</v>
      </c>
      <c r="Q91" s="24" t="s">
        <v>285</v>
      </c>
      <c r="R91" s="169">
        <f>L91*N91/P91</f>
        <v>35.355339059327378</v>
      </c>
      <c r="S91" s="73" t="s">
        <v>1</v>
      </c>
      <c r="AH91" s="8"/>
      <c r="AI91" s="8"/>
      <c r="AJ91" s="8"/>
      <c r="AK91" s="8"/>
      <c r="AL91" s="8"/>
      <c r="AM91" s="8"/>
      <c r="AN91" s="8"/>
      <c r="BE91" s="42"/>
      <c r="BF91" s="5"/>
      <c r="BG91" s="35"/>
      <c r="BH91" s="5"/>
      <c r="BI91" s="6"/>
      <c r="BJ91" s="35"/>
      <c r="BK91" s="5"/>
      <c r="BL91" s="41"/>
      <c r="BM91" s="35"/>
      <c r="BN91" s="5"/>
      <c r="BO91" s="42"/>
      <c r="BP91" s="42"/>
      <c r="BQ91" s="40"/>
      <c r="BR91" s="5"/>
      <c r="DA91" s="203"/>
      <c r="DB91" s="203"/>
      <c r="DC91" s="203"/>
      <c r="DD91" s="204"/>
      <c r="DE91" s="205"/>
      <c r="DF91" s="205"/>
      <c r="DG91" s="205"/>
      <c r="DH91" s="91"/>
      <c r="DI91" s="91"/>
      <c r="DJ91" s="91"/>
      <c r="DK91" s="91"/>
      <c r="DL91" s="91"/>
      <c r="DM91" s="91"/>
      <c r="DN91" s="91"/>
      <c r="DO91" s="203"/>
      <c r="DP91" s="206"/>
      <c r="DQ91" s="206"/>
      <c r="DR91" s="206"/>
      <c r="DS91" s="206"/>
      <c r="DT91" s="206"/>
      <c r="DU91" s="206"/>
      <c r="DV91" s="206"/>
      <c r="DW91" s="206"/>
      <c r="DX91" s="206"/>
      <c r="DY91" s="206"/>
      <c r="DZ91" s="206"/>
      <c r="EA91" s="206"/>
      <c r="EB91" s="100"/>
      <c r="EC91" s="100"/>
      <c r="ED91" s="100"/>
      <c r="EE91" s="93"/>
      <c r="EF91" s="94"/>
      <c r="EG91" s="95"/>
      <c r="EH91" s="94"/>
      <c r="EI91" s="96"/>
      <c r="EJ91" s="95"/>
      <c r="EK91" s="94"/>
      <c r="EL91" s="98"/>
      <c r="EM91" s="95"/>
      <c r="EN91" s="94"/>
      <c r="EO91" s="93"/>
      <c r="EP91" s="93"/>
      <c r="EQ91" s="97"/>
      <c r="ER91" s="94"/>
      <c r="ES91" s="56"/>
    </row>
    <row r="92" spans="8:149" ht="12.75" customHeight="1">
      <c r="H92" s="141" t="str">
        <f>"+ Moment lớn nhất:"</f>
        <v>+ Moment lớn nhất:</v>
      </c>
      <c r="I92" s="168"/>
      <c r="J92" s="168"/>
      <c r="K92" s="13" t="s">
        <v>282</v>
      </c>
      <c r="L92" s="175" cm="1">
        <f t="array" ref="L92">IFERROR(noisuy1chieu(R91/P91,Data!$DD$5:$DD$16,Data!$DE$5:$DE$16),"-")</f>
        <v>4.8000000417232513E-2</v>
      </c>
      <c r="M92" s="13" t="s">
        <v>283</v>
      </c>
      <c r="N92" s="178">
        <f>R82</f>
        <v>1.1735909714144381</v>
      </c>
      <c r="O92" s="168"/>
      <c r="P92" s="168"/>
      <c r="Q92" s="24" t="s">
        <v>284</v>
      </c>
      <c r="R92" s="25" t="str">
        <f>IF(R52=0,"-",L92*N92*P91^2/1000000)</f>
        <v>-</v>
      </c>
      <c r="S92" s="76" t="s">
        <v>68</v>
      </c>
      <c r="AH92" s="8"/>
      <c r="AI92" s="8"/>
      <c r="AJ92" s="8"/>
      <c r="AK92" s="8"/>
      <c r="AL92" s="8"/>
      <c r="AM92" s="8"/>
      <c r="AN92" s="8"/>
      <c r="BE92" s="42"/>
      <c r="BF92" s="5"/>
      <c r="BG92" s="35"/>
      <c r="BH92" s="5"/>
      <c r="BI92" s="6"/>
      <c r="BJ92" s="35"/>
      <c r="BK92" s="5"/>
      <c r="BL92" s="41"/>
      <c r="BM92" s="35"/>
      <c r="BN92" s="5"/>
      <c r="BO92" s="42"/>
      <c r="BP92" s="42"/>
      <c r="BQ92" s="40"/>
      <c r="BR92" s="5"/>
      <c r="DA92" s="203"/>
      <c r="DB92" s="203"/>
      <c r="DC92" s="203"/>
      <c r="DD92" s="204"/>
      <c r="DE92" s="205"/>
      <c r="DF92" s="205"/>
      <c r="DG92" s="205"/>
      <c r="DH92" s="91"/>
      <c r="DI92" s="91"/>
      <c r="DJ92" s="91"/>
      <c r="DK92" s="91"/>
      <c r="DL92" s="91"/>
      <c r="DM92" s="91"/>
      <c r="DN92" s="91"/>
      <c r="DO92" s="203"/>
      <c r="DP92" s="206"/>
      <c r="DQ92" s="206"/>
      <c r="DR92" s="206"/>
      <c r="DS92" s="206"/>
      <c r="DT92" s="206"/>
      <c r="DU92" s="206"/>
      <c r="DV92" s="206"/>
      <c r="DW92" s="206"/>
      <c r="DX92" s="206"/>
      <c r="DY92" s="206"/>
      <c r="DZ92" s="206"/>
      <c r="EA92" s="206"/>
      <c r="EB92" s="100"/>
      <c r="EC92" s="100"/>
      <c r="ED92" s="100"/>
      <c r="EE92" s="93"/>
      <c r="EF92" s="94"/>
      <c r="EG92" s="95"/>
      <c r="EH92" s="94"/>
      <c r="EI92" s="96"/>
      <c r="EJ92" s="95"/>
      <c r="EK92" s="94"/>
      <c r="EL92" s="98"/>
      <c r="EM92" s="95"/>
      <c r="EN92" s="94"/>
      <c r="EO92" s="93"/>
      <c r="EP92" s="93"/>
      <c r="EQ92" s="97"/>
      <c r="ER92" s="94"/>
      <c r="ES92" s="56"/>
    </row>
    <row r="93" spans="8:149" ht="12.75" customHeight="1">
      <c r="H93" s="71" t="str">
        <f>"- Moment uốn trong bản đế:"</f>
        <v>- Moment uốn trong bản đế:</v>
      </c>
      <c r="I93" s="3"/>
      <c r="J93" s="3"/>
      <c r="K93" s="3"/>
      <c r="L93" s="3"/>
      <c r="M93" s="3"/>
      <c r="N93" s="3"/>
      <c r="O93" s="3"/>
      <c r="P93" s="3"/>
      <c r="Q93" s="24" t="s">
        <v>287</v>
      </c>
      <c r="R93" s="179">
        <f>IF(R52=0,R89,R92)</f>
        <v>1.4669887142680477E-3</v>
      </c>
      <c r="S93" s="72" t="s">
        <v>288</v>
      </c>
      <c r="AH93" s="8"/>
      <c r="AI93" s="8"/>
      <c r="AJ93" s="8"/>
      <c r="AK93" s="8"/>
      <c r="AL93" s="8"/>
      <c r="AM93" s="8"/>
      <c r="AN93" s="8"/>
      <c r="BE93" s="42"/>
      <c r="BF93" s="5"/>
      <c r="BG93" s="35"/>
      <c r="BH93" s="5"/>
      <c r="BI93" s="6"/>
      <c r="BJ93" s="35"/>
      <c r="BK93" s="5"/>
      <c r="BL93" s="41"/>
      <c r="BM93" s="35"/>
      <c r="BN93" s="5"/>
      <c r="BO93" s="42"/>
      <c r="BP93" s="42"/>
      <c r="BQ93" s="40"/>
      <c r="BR93" s="5"/>
      <c r="DA93" s="203"/>
      <c r="DB93" s="203"/>
      <c r="DC93" s="203"/>
      <c r="DD93" s="204"/>
      <c r="DE93" s="205"/>
      <c r="DF93" s="205"/>
      <c r="DG93" s="205"/>
      <c r="DH93" s="91"/>
      <c r="DI93" s="91"/>
      <c r="DJ93" s="91"/>
      <c r="DK93" s="91"/>
      <c r="DL93" s="91"/>
      <c r="DM93" s="91"/>
      <c r="DN93" s="91"/>
      <c r="DO93" s="203"/>
      <c r="DP93" s="206"/>
      <c r="DQ93" s="206"/>
      <c r="DR93" s="206"/>
      <c r="DS93" s="206"/>
      <c r="DT93" s="206"/>
      <c r="DU93" s="206"/>
      <c r="DV93" s="206"/>
      <c r="DW93" s="206"/>
      <c r="DX93" s="206"/>
      <c r="DY93" s="206"/>
      <c r="DZ93" s="206"/>
      <c r="EA93" s="206"/>
      <c r="EB93" s="100"/>
      <c r="EC93" s="100"/>
      <c r="ED93" s="100"/>
      <c r="EE93" s="93"/>
      <c r="EF93" s="94"/>
      <c r="EG93" s="95"/>
      <c r="EH93" s="94"/>
      <c r="EI93" s="96"/>
      <c r="EJ93" s="95"/>
      <c r="EK93" s="94"/>
      <c r="EL93" s="98"/>
      <c r="EM93" s="95"/>
      <c r="EN93" s="94"/>
      <c r="EO93" s="93"/>
      <c r="EP93" s="93"/>
      <c r="EQ93" s="97"/>
      <c r="ER93" s="94"/>
      <c r="ES93" s="56"/>
    </row>
    <row r="94" spans="8:149" ht="15">
      <c r="H94" s="71" t="str">
        <f>"- Chiều dày tối thiểu của bản đế:"</f>
        <v>- Chiều dày tối thiểu của bản đế:</v>
      </c>
      <c r="I94" s="3"/>
      <c r="J94" s="3"/>
      <c r="K94" s="3"/>
      <c r="L94" s="3"/>
      <c r="M94" s="3"/>
      <c r="N94" s="3"/>
      <c r="O94" s="3"/>
      <c r="P94" s="3"/>
      <c r="Q94" s="24" t="s">
        <v>289</v>
      </c>
      <c r="R94" s="180">
        <f>SQRT((6*R93)/($R$25*$R$26))*1000</f>
        <v>5.6648369901183866</v>
      </c>
      <c r="S94" s="72" t="s">
        <v>1</v>
      </c>
      <c r="AH94" s="8"/>
      <c r="AI94" s="8"/>
      <c r="AJ94" s="8"/>
      <c r="AK94" s="8"/>
      <c r="AL94" s="8"/>
      <c r="AM94" s="8"/>
      <c r="AN94" s="8"/>
      <c r="BE94" s="42"/>
      <c r="BF94" s="5"/>
      <c r="BG94" s="35"/>
      <c r="BH94" s="5"/>
      <c r="BI94" s="6"/>
      <c r="BJ94" s="35"/>
      <c r="BK94" s="5"/>
      <c r="BL94" s="41"/>
      <c r="BM94" s="35"/>
      <c r="BN94" s="5"/>
      <c r="BO94" s="42"/>
      <c r="BP94" s="42"/>
      <c r="BQ94" s="40"/>
      <c r="BR94" s="5"/>
      <c r="DA94" s="203"/>
      <c r="DB94" s="203"/>
      <c r="DC94" s="203"/>
      <c r="DD94" s="204"/>
      <c r="DE94" s="205"/>
      <c r="DF94" s="205"/>
      <c r="DG94" s="205"/>
      <c r="DH94" s="91"/>
      <c r="DI94" s="91"/>
      <c r="DJ94" s="91"/>
      <c r="DK94" s="91"/>
      <c r="DL94" s="91"/>
      <c r="DM94" s="91"/>
      <c r="DN94" s="91"/>
      <c r="DO94" s="203"/>
      <c r="DP94" s="206"/>
      <c r="DQ94" s="206"/>
      <c r="DR94" s="206"/>
      <c r="DS94" s="206"/>
      <c r="DT94" s="206"/>
      <c r="DU94" s="206"/>
      <c r="DV94" s="206"/>
      <c r="DW94" s="206"/>
      <c r="DX94" s="206"/>
      <c r="DY94" s="206"/>
      <c r="DZ94" s="206"/>
      <c r="EA94" s="206"/>
      <c r="EB94" s="100"/>
      <c r="EC94" s="100"/>
      <c r="ED94" s="100"/>
      <c r="EE94" s="93"/>
      <c r="EF94" s="94"/>
      <c r="EG94" s="95"/>
      <c r="EH94" s="94"/>
      <c r="EI94" s="96"/>
      <c r="EJ94" s="95"/>
      <c r="EK94" s="94"/>
      <c r="EL94" s="98"/>
      <c r="EM94" s="95"/>
      <c r="EN94" s="94"/>
      <c r="EO94" s="93"/>
      <c r="EP94" s="93"/>
      <c r="EQ94" s="97"/>
      <c r="ER94" s="94"/>
      <c r="ES94" s="56"/>
    </row>
    <row r="95" spans="8:149" ht="12.75" customHeight="1">
      <c r="H95" s="71" t="str">
        <f>"- Tỷ số huy động cấu kiện:"</f>
        <v>- Tỷ số huy động cấu kiện:</v>
      </c>
      <c r="I95" s="3"/>
      <c r="J95" s="3"/>
      <c r="K95" s="3"/>
      <c r="L95" s="3"/>
      <c r="M95" s="3"/>
      <c r="N95" s="3"/>
      <c r="O95" s="3"/>
      <c r="P95" s="3"/>
      <c r="Q95" s="24"/>
      <c r="R95" s="173">
        <f>R94/R48</f>
        <v>0.35405231188239916</v>
      </c>
      <c r="S95" s="79" t="str">
        <f>IF(R95&lt;=1,"OK","Check")</f>
        <v>OK</v>
      </c>
      <c r="AH95" s="8"/>
      <c r="AI95" s="8"/>
      <c r="AJ95" s="8"/>
      <c r="AK95" s="8"/>
      <c r="AL95" s="8"/>
      <c r="AM95" s="8"/>
      <c r="AN95" s="8"/>
      <c r="BE95" s="42"/>
      <c r="BF95" s="5"/>
      <c r="BG95" s="35"/>
      <c r="BH95" s="5"/>
      <c r="BI95" s="6"/>
      <c r="BJ95" s="35"/>
      <c r="BK95" s="5"/>
      <c r="BL95" s="41"/>
      <c r="BM95" s="35"/>
      <c r="BN95" s="5"/>
      <c r="BO95" s="42"/>
      <c r="BP95" s="42"/>
      <c r="BQ95" s="40"/>
      <c r="BR95" s="5"/>
      <c r="DA95" s="203"/>
      <c r="DB95" s="203"/>
      <c r="DC95" s="203"/>
      <c r="DD95" s="204"/>
      <c r="DE95" s="205"/>
      <c r="DF95" s="205"/>
      <c r="DG95" s="205"/>
      <c r="DH95" s="91"/>
      <c r="DI95" s="91"/>
      <c r="DJ95" s="91"/>
      <c r="DK95" s="91"/>
      <c r="DL95" s="91"/>
      <c r="DM95" s="91"/>
      <c r="DN95" s="91"/>
      <c r="DO95" s="203"/>
      <c r="DP95" s="206"/>
      <c r="DQ95" s="206"/>
      <c r="DR95" s="206"/>
      <c r="DS95" s="206"/>
      <c r="DT95" s="206"/>
      <c r="DU95" s="206"/>
      <c r="DV95" s="206"/>
      <c r="DW95" s="206"/>
      <c r="DX95" s="206"/>
      <c r="DY95" s="206"/>
      <c r="DZ95" s="206"/>
      <c r="EA95" s="206"/>
      <c r="EB95" s="100"/>
      <c r="EC95" s="100"/>
      <c r="ED95" s="100"/>
      <c r="EE95" s="93"/>
      <c r="EF95" s="94"/>
      <c r="EG95" s="95"/>
      <c r="EH95" s="94"/>
      <c r="EI95" s="96"/>
      <c r="EJ95" s="95"/>
      <c r="EK95" s="94"/>
      <c r="EL95" s="98"/>
      <c r="EM95" s="95"/>
      <c r="EN95" s="94"/>
      <c r="EO95" s="93"/>
      <c r="EP95" s="93"/>
      <c r="EQ95" s="97"/>
      <c r="ER95" s="94"/>
      <c r="ES95" s="56"/>
    </row>
    <row r="96" spans="8:149" ht="12.75" customHeight="1">
      <c r="H96" s="235" t="s">
        <v>330</v>
      </c>
      <c r="I96" s="3"/>
      <c r="J96" s="3"/>
      <c r="K96" s="24"/>
      <c r="L96" s="167"/>
      <c r="M96" s="168"/>
      <c r="N96" s="3"/>
      <c r="O96" s="3"/>
      <c r="P96" s="3"/>
      <c r="Q96" s="3"/>
      <c r="R96" s="3"/>
      <c r="S96" s="236"/>
      <c r="AH96" s="8"/>
      <c r="AI96" s="8"/>
      <c r="AJ96" s="8"/>
      <c r="AK96" s="8"/>
      <c r="AL96" s="8"/>
      <c r="AM96" s="8"/>
      <c r="AN96" s="8"/>
      <c r="BE96" s="42"/>
      <c r="BF96" s="5"/>
      <c r="BG96" s="35"/>
      <c r="BH96" s="5"/>
      <c r="BI96" s="6"/>
      <c r="BJ96" s="35"/>
      <c r="BK96" s="5"/>
      <c r="BL96" s="41"/>
      <c r="BM96" s="35"/>
      <c r="BN96" s="5"/>
      <c r="BO96" s="42"/>
      <c r="BP96" s="42"/>
      <c r="BQ96" s="40"/>
      <c r="BR96" s="5"/>
      <c r="DA96" s="203"/>
      <c r="DB96" s="203"/>
      <c r="DC96" s="203"/>
      <c r="DD96" s="204"/>
      <c r="DE96" s="205"/>
      <c r="DF96" s="205"/>
      <c r="DG96" s="205"/>
      <c r="DH96" s="91"/>
      <c r="DI96" s="91"/>
      <c r="DJ96" s="91"/>
      <c r="DK96" s="91"/>
      <c r="DL96" s="91"/>
      <c r="DM96" s="91"/>
      <c r="DN96" s="91"/>
      <c r="DO96" s="203"/>
      <c r="DP96" s="206"/>
      <c r="DQ96" s="206"/>
      <c r="DR96" s="206"/>
      <c r="DS96" s="206"/>
      <c r="DT96" s="206"/>
      <c r="DU96" s="206"/>
      <c r="DV96" s="206"/>
      <c r="DW96" s="206"/>
      <c r="DX96" s="206"/>
      <c r="DY96" s="206"/>
      <c r="DZ96" s="206"/>
      <c r="EA96" s="206"/>
      <c r="EB96" s="100"/>
      <c r="EC96" s="100"/>
      <c r="ED96" s="100"/>
      <c r="EE96" s="93"/>
      <c r="EF96" s="94"/>
      <c r="EG96" s="95"/>
      <c r="EH96" s="94"/>
      <c r="EI96" s="96"/>
      <c r="EJ96" s="95"/>
      <c r="EK96" s="94"/>
      <c r="EL96" s="98"/>
      <c r="EM96" s="95"/>
      <c r="EN96" s="94"/>
      <c r="EO96" s="93"/>
      <c r="EP96" s="93"/>
      <c r="EQ96" s="97"/>
      <c r="ER96" s="94"/>
      <c r="ES96" s="56"/>
    </row>
    <row r="97" spans="8:149" ht="12.75" customHeight="1">
      <c r="H97" s="237"/>
      <c r="I97" s="3"/>
      <c r="J97" s="3"/>
      <c r="K97" s="3"/>
      <c r="L97" s="3"/>
      <c r="M97" s="3"/>
      <c r="N97" s="3"/>
      <c r="O97" s="3"/>
      <c r="P97" s="3"/>
      <c r="Q97" s="3"/>
      <c r="R97" s="3"/>
      <c r="S97" s="236"/>
      <c r="AH97" s="8"/>
      <c r="AI97" s="8"/>
      <c r="AJ97" s="8"/>
      <c r="AK97" s="8"/>
      <c r="AL97" s="8"/>
      <c r="AM97" s="8"/>
      <c r="AN97" s="8"/>
      <c r="BE97" s="42"/>
      <c r="BF97" s="5"/>
      <c r="BG97" s="35"/>
      <c r="BH97" s="5"/>
      <c r="BI97" s="6"/>
      <c r="BJ97" s="35"/>
      <c r="BK97" s="5"/>
      <c r="BL97" s="41"/>
      <c r="BM97" s="35"/>
      <c r="BN97" s="5"/>
      <c r="BO97" s="42"/>
      <c r="BP97" s="42"/>
      <c r="BQ97" s="40"/>
      <c r="BR97" s="5"/>
      <c r="DA97" s="203"/>
      <c r="DB97" s="203"/>
      <c r="DC97" s="203"/>
      <c r="DD97" s="204"/>
      <c r="DE97" s="205"/>
      <c r="DF97" s="205"/>
      <c r="DG97" s="205"/>
      <c r="DH97" s="91"/>
      <c r="DI97" s="91"/>
      <c r="DJ97" s="91"/>
      <c r="DK97" s="91"/>
      <c r="DL97" s="91"/>
      <c r="DM97" s="91"/>
      <c r="DN97" s="91"/>
      <c r="DO97" s="203"/>
      <c r="DP97" s="206"/>
      <c r="DQ97" s="206"/>
      <c r="DR97" s="206"/>
      <c r="DS97" s="206"/>
      <c r="DT97" s="206"/>
      <c r="DU97" s="206"/>
      <c r="DV97" s="206"/>
      <c r="DW97" s="206"/>
      <c r="DX97" s="206"/>
      <c r="DY97" s="206"/>
      <c r="DZ97" s="206"/>
      <c r="EA97" s="206"/>
      <c r="EB97" s="100"/>
      <c r="EC97" s="100"/>
      <c r="ED97" s="100"/>
      <c r="EE97" s="93"/>
      <c r="EF97" s="94"/>
      <c r="EG97" s="95"/>
      <c r="EH97" s="94"/>
      <c r="EI97" s="96"/>
      <c r="EJ97" s="95"/>
      <c r="EK97" s="94"/>
      <c r="EL97" s="98"/>
      <c r="EM97" s="95"/>
      <c r="EN97" s="94"/>
      <c r="EO97" s="93"/>
      <c r="EP97" s="93"/>
      <c r="EQ97" s="97"/>
      <c r="ER97" s="94"/>
      <c r="ES97" s="56"/>
    </row>
    <row r="98" spans="8:149" ht="12.75" customHeight="1">
      <c r="H98" s="237"/>
      <c r="I98" s="3"/>
      <c r="J98" s="3"/>
      <c r="K98" s="3"/>
      <c r="L98" s="3"/>
      <c r="M98" s="3"/>
      <c r="N98" s="3"/>
      <c r="O98" s="3"/>
      <c r="P98" s="3"/>
      <c r="Q98" s="3"/>
      <c r="R98" s="3"/>
      <c r="S98" s="236"/>
      <c r="AH98" s="8"/>
      <c r="AI98" s="8"/>
      <c r="AJ98" s="8"/>
      <c r="AK98" s="8"/>
      <c r="AL98" s="8"/>
      <c r="AM98" s="8"/>
      <c r="AN98" s="8"/>
      <c r="BE98" s="42"/>
      <c r="BF98" s="5"/>
      <c r="BG98" s="35"/>
      <c r="BH98" s="5"/>
      <c r="BI98" s="6"/>
      <c r="BJ98" s="35"/>
      <c r="BK98" s="5"/>
      <c r="BL98" s="41"/>
      <c r="BM98" s="35"/>
      <c r="BN98" s="5"/>
      <c r="BO98" s="42"/>
      <c r="BP98" s="42"/>
      <c r="BQ98" s="40"/>
      <c r="BR98" s="5"/>
      <c r="DA98" s="203"/>
      <c r="DB98" s="203"/>
      <c r="DC98" s="203"/>
      <c r="DD98" s="204"/>
      <c r="DE98" s="205"/>
      <c r="DF98" s="205"/>
      <c r="DG98" s="205"/>
      <c r="DH98" s="91"/>
      <c r="DI98" s="91"/>
      <c r="DJ98" s="91"/>
      <c r="DK98" s="91"/>
      <c r="DL98" s="91"/>
      <c r="DM98" s="91"/>
      <c r="DN98" s="91"/>
      <c r="DO98" s="203"/>
      <c r="DP98" s="206"/>
      <c r="DQ98" s="206"/>
      <c r="DR98" s="206"/>
      <c r="DS98" s="206"/>
      <c r="DT98" s="206"/>
      <c r="DU98" s="206"/>
      <c r="DV98" s="206"/>
      <c r="DW98" s="206"/>
      <c r="DX98" s="206"/>
      <c r="DY98" s="206"/>
      <c r="DZ98" s="206"/>
      <c r="EA98" s="206"/>
      <c r="EB98" s="100"/>
      <c r="EC98" s="100"/>
      <c r="ED98" s="100"/>
      <c r="EE98" s="93"/>
      <c r="EF98" s="94"/>
      <c r="EG98" s="95"/>
      <c r="EH98" s="94"/>
      <c r="EI98" s="96"/>
      <c r="EJ98" s="95"/>
      <c r="EK98" s="94"/>
      <c r="EL98" s="98"/>
      <c r="EM98" s="95"/>
      <c r="EN98" s="94"/>
      <c r="EO98" s="93"/>
      <c r="EP98" s="93"/>
      <c r="EQ98" s="97"/>
      <c r="ER98" s="94"/>
      <c r="ES98" s="56"/>
    </row>
    <row r="99" spans="8:149" ht="12.75" customHeight="1">
      <c r="H99" s="237"/>
      <c r="I99" s="3"/>
      <c r="J99" s="3"/>
      <c r="K99" s="3"/>
      <c r="L99" s="3"/>
      <c r="M99" s="3"/>
      <c r="N99" s="3"/>
      <c r="O99" s="3"/>
      <c r="P99" s="3"/>
      <c r="Q99" s="3"/>
      <c r="R99" s="3"/>
      <c r="S99" s="236"/>
      <c r="AH99" s="8"/>
      <c r="AI99" s="8"/>
      <c r="AJ99" s="8"/>
      <c r="AK99" s="8"/>
      <c r="AL99" s="8"/>
      <c r="AM99" s="8"/>
      <c r="AN99" s="8"/>
      <c r="BE99" s="42"/>
      <c r="BF99" s="5"/>
      <c r="BG99" s="35"/>
      <c r="BH99" s="5"/>
      <c r="BI99" s="6"/>
      <c r="BJ99" s="35"/>
      <c r="BK99" s="5"/>
      <c r="BL99" s="41"/>
      <c r="BM99" s="35"/>
      <c r="BN99" s="5"/>
      <c r="BO99" s="42"/>
      <c r="BP99" s="42"/>
      <c r="BQ99" s="40"/>
      <c r="BR99" s="5"/>
      <c r="DA99" s="203"/>
      <c r="DB99" s="203"/>
      <c r="DC99" s="203"/>
      <c r="DD99" s="204"/>
      <c r="DE99" s="205"/>
      <c r="DF99" s="205"/>
      <c r="DG99" s="205"/>
      <c r="DH99" s="91"/>
      <c r="DI99" s="91"/>
      <c r="DJ99" s="91"/>
      <c r="DK99" s="91"/>
      <c r="DL99" s="91"/>
      <c r="DM99" s="91"/>
      <c r="DN99" s="91"/>
      <c r="DO99" s="203"/>
      <c r="DP99" s="206"/>
      <c r="DQ99" s="206"/>
      <c r="DR99" s="206"/>
      <c r="DS99" s="206"/>
      <c r="DT99" s="206"/>
      <c r="DU99" s="206"/>
      <c r="DV99" s="206"/>
      <c r="DW99" s="206"/>
      <c r="DX99" s="206"/>
      <c r="DY99" s="206"/>
      <c r="DZ99" s="206"/>
      <c r="EA99" s="206"/>
      <c r="EB99" s="100"/>
      <c r="EC99" s="100"/>
      <c r="ED99" s="100"/>
      <c r="EE99" s="93"/>
      <c r="EF99" s="94"/>
      <c r="EG99" s="95"/>
      <c r="EH99" s="94"/>
      <c r="EI99" s="96"/>
      <c r="EJ99" s="95"/>
      <c r="EK99" s="94"/>
      <c r="EL99" s="98"/>
      <c r="EM99" s="95"/>
      <c r="EN99" s="94"/>
      <c r="EO99" s="93"/>
      <c r="EP99" s="93"/>
      <c r="EQ99" s="97"/>
      <c r="ER99" s="94"/>
      <c r="ES99" s="56"/>
    </row>
    <row r="100" spans="8:149" ht="12.75" customHeight="1">
      <c r="H100" s="237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236"/>
      <c r="AH100" s="8"/>
      <c r="AI100" s="8"/>
      <c r="AJ100" s="8"/>
      <c r="AK100" s="8"/>
      <c r="AL100" s="8"/>
      <c r="AM100" s="8"/>
      <c r="AN100" s="8"/>
      <c r="BE100" s="42"/>
      <c r="BF100" s="5"/>
      <c r="BG100" s="35"/>
      <c r="BH100" s="5"/>
      <c r="BI100" s="6"/>
      <c r="BJ100" s="35"/>
      <c r="BK100" s="5"/>
      <c r="BL100" s="41"/>
      <c r="BM100" s="35"/>
      <c r="BN100" s="5"/>
      <c r="BO100" s="42"/>
      <c r="BP100" s="42"/>
      <c r="BQ100" s="40"/>
      <c r="BR100" s="5"/>
      <c r="DA100" s="203"/>
      <c r="DB100" s="203"/>
      <c r="DC100" s="203"/>
      <c r="DD100" s="204"/>
      <c r="DE100" s="205"/>
      <c r="DF100" s="205"/>
      <c r="DG100" s="205"/>
      <c r="DH100" s="91"/>
      <c r="DI100" s="91"/>
      <c r="DJ100" s="91"/>
      <c r="DK100" s="91"/>
      <c r="DL100" s="91"/>
      <c r="DM100" s="91"/>
      <c r="DN100" s="91"/>
      <c r="DO100" s="203"/>
      <c r="DP100" s="206"/>
      <c r="DQ100" s="206"/>
      <c r="DR100" s="206"/>
      <c r="DS100" s="206"/>
      <c r="DT100" s="206"/>
      <c r="DU100" s="206"/>
      <c r="DV100" s="206"/>
      <c r="DW100" s="206"/>
      <c r="DX100" s="206"/>
      <c r="DY100" s="206"/>
      <c r="DZ100" s="206"/>
      <c r="EA100" s="206"/>
      <c r="EB100" s="100"/>
      <c r="EC100" s="100"/>
      <c r="ED100" s="100"/>
      <c r="EE100" s="93"/>
      <c r="EF100" s="94"/>
      <c r="EG100" s="95"/>
      <c r="EH100" s="94"/>
      <c r="EI100" s="96"/>
      <c r="EJ100" s="95"/>
      <c r="EK100" s="94"/>
      <c r="EL100" s="98"/>
      <c r="EM100" s="95"/>
      <c r="EN100" s="94"/>
      <c r="EO100" s="93"/>
      <c r="EP100" s="93"/>
      <c r="EQ100" s="97"/>
      <c r="ER100" s="94"/>
      <c r="ES100" s="56"/>
    </row>
    <row r="101" spans="8:149" ht="12.75" customHeight="1">
      <c r="H101" s="237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236"/>
      <c r="AH101" s="8"/>
      <c r="AI101" s="8"/>
      <c r="AJ101" s="8"/>
      <c r="AK101" s="8"/>
      <c r="AL101" s="8"/>
      <c r="AM101" s="8"/>
      <c r="AN101" s="8"/>
      <c r="BE101" s="42"/>
      <c r="BF101" s="5"/>
      <c r="BG101" s="35"/>
      <c r="BH101" s="5"/>
      <c r="BI101" s="6"/>
      <c r="BJ101" s="35"/>
      <c r="BK101" s="5"/>
      <c r="BL101" s="41"/>
      <c r="BM101" s="35"/>
      <c r="BN101" s="5"/>
      <c r="BO101" s="42"/>
      <c r="BP101" s="42"/>
      <c r="BQ101" s="40"/>
      <c r="BR101" s="5"/>
      <c r="DA101" s="203"/>
      <c r="DB101" s="203"/>
      <c r="DC101" s="203"/>
      <c r="DD101" s="204"/>
      <c r="DE101" s="205"/>
      <c r="DF101" s="205"/>
      <c r="DG101" s="205"/>
      <c r="DH101" s="91"/>
      <c r="DI101" s="91"/>
      <c r="DJ101" s="91"/>
      <c r="DK101" s="91"/>
      <c r="DL101" s="91"/>
      <c r="DM101" s="91"/>
      <c r="DN101" s="91"/>
      <c r="DO101" s="203"/>
      <c r="DP101" s="206"/>
      <c r="DQ101" s="206"/>
      <c r="DR101" s="206"/>
      <c r="DS101" s="206"/>
      <c r="DT101" s="206"/>
      <c r="DU101" s="206"/>
      <c r="DV101" s="206"/>
      <c r="DW101" s="206"/>
      <c r="DX101" s="206"/>
      <c r="DY101" s="206"/>
      <c r="DZ101" s="206"/>
      <c r="EA101" s="206"/>
      <c r="EB101" s="100"/>
      <c r="EC101" s="100"/>
      <c r="ED101" s="100"/>
      <c r="EE101" s="93"/>
      <c r="EF101" s="94"/>
      <c r="EG101" s="95"/>
      <c r="EH101" s="94"/>
      <c r="EI101" s="96"/>
      <c r="EJ101" s="95"/>
      <c r="EK101" s="94"/>
      <c r="EL101" s="98"/>
      <c r="EM101" s="95"/>
      <c r="EN101" s="94"/>
      <c r="EO101" s="93"/>
      <c r="EP101" s="93"/>
      <c r="EQ101" s="97"/>
      <c r="ER101" s="94"/>
      <c r="ES101" s="56"/>
    </row>
    <row r="102" spans="8:149" ht="12.75" customHeight="1">
      <c r="H102" s="237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236"/>
      <c r="AH102" s="8"/>
      <c r="AI102" s="8"/>
      <c r="AJ102" s="8"/>
      <c r="AK102" s="8"/>
      <c r="AL102" s="8"/>
      <c r="AM102" s="8"/>
      <c r="AN102" s="8"/>
      <c r="BE102" s="42"/>
      <c r="BF102" s="5"/>
      <c r="BG102" s="35"/>
      <c r="BH102" s="5"/>
      <c r="BI102" s="6"/>
      <c r="BJ102" s="35"/>
      <c r="BK102" s="5"/>
      <c r="BL102" s="41"/>
      <c r="BM102" s="35"/>
      <c r="BN102" s="5"/>
      <c r="BO102" s="42"/>
      <c r="BP102" s="42"/>
      <c r="BQ102" s="40"/>
      <c r="BR102" s="5"/>
      <c r="DA102" s="203"/>
      <c r="DB102" s="203"/>
      <c r="DC102" s="203"/>
      <c r="DD102" s="204"/>
      <c r="DE102" s="205"/>
      <c r="DF102" s="205"/>
      <c r="DG102" s="205"/>
      <c r="DH102" s="91"/>
      <c r="DI102" s="91"/>
      <c r="DJ102" s="91"/>
      <c r="DK102" s="91"/>
      <c r="DL102" s="91"/>
      <c r="DM102" s="91"/>
      <c r="DN102" s="91"/>
      <c r="DO102" s="203"/>
      <c r="DP102" s="206"/>
      <c r="DQ102" s="206"/>
      <c r="DR102" s="206"/>
      <c r="DS102" s="206"/>
      <c r="DT102" s="206"/>
      <c r="DU102" s="206"/>
      <c r="DV102" s="206"/>
      <c r="DW102" s="206"/>
      <c r="DX102" s="206"/>
      <c r="DY102" s="206"/>
      <c r="DZ102" s="206"/>
      <c r="EA102" s="206"/>
      <c r="EB102" s="100"/>
      <c r="EC102" s="100"/>
      <c r="ED102" s="100"/>
      <c r="EE102" s="93"/>
      <c r="EF102" s="94"/>
      <c r="EG102" s="95"/>
      <c r="EH102" s="94"/>
      <c r="EI102" s="96"/>
      <c r="EJ102" s="95"/>
      <c r="EK102" s="94"/>
      <c r="EL102" s="98"/>
      <c r="EM102" s="95"/>
      <c r="EN102" s="94"/>
      <c r="EO102" s="93"/>
      <c r="EP102" s="93"/>
      <c r="EQ102" s="97"/>
      <c r="ER102" s="94"/>
      <c r="ES102" s="56"/>
    </row>
    <row r="103" spans="8:149" ht="12.75" customHeight="1">
      <c r="H103" s="237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236"/>
      <c r="AH103" s="8"/>
      <c r="AI103" s="8"/>
      <c r="AJ103" s="8"/>
      <c r="AK103" s="8"/>
      <c r="AL103" s="8"/>
      <c r="AM103" s="8"/>
      <c r="AN103" s="8"/>
      <c r="BE103" s="42"/>
      <c r="BF103" s="5"/>
      <c r="BG103" s="35"/>
      <c r="BH103" s="5"/>
      <c r="BI103" s="6"/>
      <c r="BJ103" s="35"/>
      <c r="BK103" s="5"/>
      <c r="BL103" s="41"/>
      <c r="BM103" s="35"/>
      <c r="BN103" s="5"/>
      <c r="BO103" s="42"/>
      <c r="BP103" s="42"/>
      <c r="BQ103" s="40"/>
      <c r="BR103" s="5"/>
      <c r="DA103" s="203"/>
      <c r="DB103" s="203"/>
      <c r="DC103" s="203"/>
      <c r="DD103" s="204"/>
      <c r="DE103" s="205"/>
      <c r="DF103" s="205"/>
      <c r="DG103" s="205"/>
      <c r="DH103" s="91"/>
      <c r="DI103" s="91"/>
      <c r="DJ103" s="91"/>
      <c r="DK103" s="91"/>
      <c r="DL103" s="91"/>
      <c r="DM103" s="91"/>
      <c r="DN103" s="91"/>
      <c r="DO103" s="203"/>
      <c r="DP103" s="206"/>
      <c r="DQ103" s="206"/>
      <c r="DR103" s="206"/>
      <c r="DS103" s="206"/>
      <c r="DT103" s="206"/>
      <c r="DU103" s="206"/>
      <c r="DV103" s="206"/>
      <c r="DW103" s="206"/>
      <c r="DX103" s="206"/>
      <c r="DY103" s="206"/>
      <c r="DZ103" s="206"/>
      <c r="EA103" s="206"/>
      <c r="EB103" s="100"/>
      <c r="EC103" s="100"/>
      <c r="ED103" s="100"/>
      <c r="EE103" s="93"/>
      <c r="EF103" s="94"/>
      <c r="EG103" s="95"/>
      <c r="EH103" s="94"/>
      <c r="EI103" s="96"/>
      <c r="EJ103" s="95"/>
      <c r="EK103" s="94"/>
      <c r="EL103" s="98"/>
      <c r="EM103" s="95"/>
      <c r="EN103" s="94"/>
      <c r="EO103" s="93"/>
      <c r="EP103" s="93"/>
      <c r="EQ103" s="97"/>
      <c r="ER103" s="94"/>
      <c r="ES103" s="56"/>
    </row>
    <row r="104" spans="8:149" ht="12.75" customHeight="1">
      <c r="H104" s="247" t="s">
        <v>341</v>
      </c>
      <c r="I104" s="248"/>
      <c r="J104" s="248"/>
      <c r="K104" s="248"/>
      <c r="L104" s="248"/>
      <c r="M104" s="248"/>
      <c r="N104" s="248"/>
      <c r="O104" s="248"/>
      <c r="P104" s="248"/>
      <c r="Q104" s="248"/>
      <c r="R104" s="248"/>
      <c r="S104" s="249"/>
      <c r="AH104" s="8"/>
      <c r="AI104" s="8"/>
      <c r="AJ104" s="8"/>
      <c r="AK104" s="8"/>
      <c r="AL104" s="8"/>
      <c r="AM104" s="8"/>
      <c r="AN104" s="8"/>
      <c r="BE104" s="42"/>
      <c r="BF104" s="5"/>
      <c r="BG104" s="35"/>
      <c r="BH104" s="5"/>
      <c r="BI104" s="6"/>
      <c r="BJ104" s="35"/>
      <c r="BK104" s="5"/>
      <c r="BL104" s="41"/>
      <c r="BM104" s="35"/>
      <c r="BN104" s="5"/>
      <c r="BO104" s="42"/>
      <c r="BP104" s="42"/>
      <c r="BQ104" s="40"/>
      <c r="BR104" s="5"/>
      <c r="DA104" s="203"/>
      <c r="DB104" s="203"/>
      <c r="DC104" s="203"/>
      <c r="DD104" s="204"/>
      <c r="DE104" s="205"/>
      <c r="DF104" s="205"/>
      <c r="DG104" s="205"/>
      <c r="DH104" s="91"/>
      <c r="DI104" s="91"/>
      <c r="DJ104" s="91"/>
      <c r="DK104" s="91"/>
      <c r="DL104" s="91"/>
      <c r="DM104" s="91"/>
      <c r="DN104" s="91"/>
      <c r="DO104" s="203"/>
      <c r="DP104" s="206"/>
      <c r="DQ104" s="206"/>
      <c r="DR104" s="206"/>
      <c r="DS104" s="206"/>
      <c r="DT104" s="206"/>
      <c r="DU104" s="206"/>
      <c r="DV104" s="206"/>
      <c r="DW104" s="206"/>
      <c r="DX104" s="206"/>
      <c r="DY104" s="206"/>
      <c r="DZ104" s="206"/>
      <c r="EA104" s="206"/>
      <c r="EB104" s="100"/>
      <c r="EC104" s="100"/>
      <c r="ED104" s="100"/>
      <c r="EE104" s="93"/>
      <c r="EF104" s="94"/>
      <c r="EG104" s="95"/>
      <c r="EH104" s="94"/>
      <c r="EI104" s="96"/>
      <c r="EJ104" s="95"/>
      <c r="EK104" s="94"/>
      <c r="EL104" s="98"/>
      <c r="EM104" s="95"/>
      <c r="EN104" s="94"/>
      <c r="EO104" s="93"/>
      <c r="EP104" s="93"/>
      <c r="EQ104" s="97"/>
      <c r="ER104" s="94"/>
      <c r="ES104" s="56"/>
    </row>
    <row r="105" spans="8:149" ht="12.75" customHeight="1">
      <c r="H105" s="247"/>
      <c r="I105" s="248"/>
      <c r="J105" s="248"/>
      <c r="K105" s="248"/>
      <c r="L105" s="248"/>
      <c r="M105" s="248"/>
      <c r="N105" s="248"/>
      <c r="O105" s="248"/>
      <c r="P105" s="248"/>
      <c r="Q105" s="248"/>
      <c r="R105" s="248"/>
      <c r="S105" s="249"/>
      <c r="AH105" s="8"/>
      <c r="AI105" s="8"/>
      <c r="AJ105" s="8"/>
      <c r="AK105" s="8"/>
      <c r="AL105" s="8"/>
      <c r="AM105" s="8"/>
      <c r="AN105" s="8"/>
      <c r="BE105" s="42"/>
      <c r="BF105" s="5"/>
      <c r="BG105" s="35"/>
      <c r="BH105" s="5"/>
      <c r="BI105" s="6"/>
      <c r="BJ105" s="35"/>
      <c r="BK105" s="5"/>
      <c r="BL105" s="41"/>
      <c r="BM105" s="35"/>
      <c r="BN105" s="5"/>
      <c r="BO105" s="42"/>
      <c r="BP105" s="42"/>
      <c r="BQ105" s="40"/>
      <c r="BR105" s="5"/>
      <c r="DA105" s="203"/>
      <c r="DB105" s="203"/>
      <c r="DC105" s="203"/>
      <c r="DD105" s="204"/>
      <c r="DE105" s="205"/>
      <c r="DF105" s="205"/>
      <c r="DG105" s="205"/>
      <c r="DH105" s="91"/>
      <c r="DI105" s="91"/>
      <c r="DJ105" s="91"/>
      <c r="DK105" s="91"/>
      <c r="DL105" s="91"/>
      <c r="DM105" s="91"/>
      <c r="DN105" s="91"/>
      <c r="DO105" s="203"/>
      <c r="DP105" s="206"/>
      <c r="DQ105" s="206"/>
      <c r="DR105" s="206"/>
      <c r="DS105" s="206"/>
      <c r="DT105" s="206"/>
      <c r="DU105" s="206"/>
      <c r="DV105" s="206"/>
      <c r="DW105" s="206"/>
      <c r="DX105" s="206"/>
      <c r="DY105" s="206"/>
      <c r="DZ105" s="206"/>
      <c r="EA105" s="206"/>
      <c r="EB105" s="100"/>
      <c r="EC105" s="100"/>
      <c r="ED105" s="100"/>
      <c r="EE105" s="93"/>
      <c r="EF105" s="94"/>
      <c r="EG105" s="95"/>
      <c r="EH105" s="94"/>
      <c r="EI105" s="96"/>
      <c r="EJ105" s="95"/>
      <c r="EK105" s="94"/>
      <c r="EL105" s="98"/>
      <c r="EM105" s="95"/>
      <c r="EN105" s="94"/>
      <c r="EO105" s="93"/>
      <c r="EP105" s="93"/>
      <c r="EQ105" s="97"/>
      <c r="ER105" s="94"/>
      <c r="ES105" s="56"/>
    </row>
    <row r="106" spans="8:149" ht="12.75" customHeight="1">
      <c r="H106" s="238" t="s">
        <v>331</v>
      </c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236"/>
      <c r="AH106" s="8"/>
      <c r="AI106" s="8"/>
      <c r="AJ106" s="8"/>
      <c r="AK106" s="8"/>
      <c r="AL106" s="8"/>
      <c r="AM106" s="8"/>
      <c r="AN106" s="8"/>
      <c r="BE106" s="42"/>
      <c r="BF106" s="5"/>
      <c r="BG106" s="35"/>
      <c r="BH106" s="5"/>
      <c r="BI106" s="6"/>
      <c r="BJ106" s="35"/>
      <c r="BK106" s="5"/>
      <c r="BL106" s="41"/>
      <c r="BM106" s="35"/>
      <c r="BN106" s="5"/>
      <c r="BO106" s="42"/>
      <c r="BP106" s="42"/>
      <c r="BQ106" s="40"/>
      <c r="BR106" s="5"/>
      <c r="DA106" s="203"/>
      <c r="DB106" s="203"/>
      <c r="DC106" s="203"/>
      <c r="DD106" s="204"/>
      <c r="DE106" s="205"/>
      <c r="DF106" s="205"/>
      <c r="DG106" s="205"/>
      <c r="DH106" s="91"/>
      <c r="DI106" s="91"/>
      <c r="DJ106" s="91"/>
      <c r="DK106" s="91"/>
      <c r="DL106" s="91"/>
      <c r="DM106" s="91"/>
      <c r="DN106" s="91"/>
      <c r="DO106" s="203"/>
      <c r="DP106" s="206"/>
      <c r="DQ106" s="206"/>
      <c r="DR106" s="206"/>
      <c r="DS106" s="206"/>
      <c r="DT106" s="206"/>
      <c r="DU106" s="206"/>
      <c r="DV106" s="206"/>
      <c r="DW106" s="206"/>
      <c r="DX106" s="206"/>
      <c r="DY106" s="206"/>
      <c r="DZ106" s="206"/>
      <c r="EA106" s="206"/>
      <c r="EB106" s="100"/>
      <c r="EC106" s="100"/>
      <c r="ED106" s="100"/>
      <c r="EE106" s="93"/>
      <c r="EF106" s="94"/>
      <c r="EG106" s="95"/>
      <c r="EH106" s="94"/>
      <c r="EI106" s="96"/>
      <c r="EJ106" s="95"/>
      <c r="EK106" s="94"/>
      <c r="EL106" s="98"/>
      <c r="EM106" s="95"/>
      <c r="EN106" s="94"/>
      <c r="EO106" s="93"/>
      <c r="EP106" s="93"/>
      <c r="EQ106" s="97"/>
      <c r="ER106" s="94"/>
      <c r="ES106" s="56"/>
    </row>
    <row r="107" spans="8:149" ht="15" customHeight="1">
      <c r="H107" s="238" t="str">
        <f>"- Lực tính toán:"</f>
        <v>- Lực tính toán:</v>
      </c>
      <c r="I107" s="3"/>
      <c r="J107" s="3"/>
      <c r="K107" s="3"/>
      <c r="L107" s="24"/>
      <c r="M107" s="24" t="s">
        <v>332</v>
      </c>
      <c r="N107" s="62">
        <f>MAX(Q57,0)</f>
        <v>0</v>
      </c>
      <c r="O107" s="3" t="s">
        <v>67</v>
      </c>
      <c r="P107" s="3"/>
      <c r="Q107" s="24" t="s">
        <v>333</v>
      </c>
      <c r="R107" s="62">
        <f>ABS(R57)</f>
        <v>4.5561907593851076</v>
      </c>
      <c r="S107" s="236" t="s">
        <v>67</v>
      </c>
      <c r="AH107" s="8"/>
      <c r="AI107" s="8"/>
      <c r="AJ107" s="8"/>
      <c r="AK107" s="8"/>
      <c r="AL107" s="8"/>
      <c r="AM107" s="8"/>
      <c r="AN107" s="8"/>
      <c r="BE107" s="42"/>
      <c r="BF107" s="5"/>
      <c r="BG107" s="35"/>
      <c r="BH107" s="5"/>
      <c r="BI107" s="6"/>
      <c r="BJ107" s="35"/>
      <c r="BK107" s="5"/>
      <c r="BL107" s="41"/>
      <c r="BM107" s="35"/>
      <c r="BN107" s="5"/>
      <c r="BO107" s="42"/>
      <c r="BP107" s="42"/>
      <c r="BQ107" s="40"/>
      <c r="BR107" s="5"/>
      <c r="DA107" s="203"/>
      <c r="DB107" s="203"/>
      <c r="DC107" s="203"/>
      <c r="DD107" s="204"/>
      <c r="DE107" s="205"/>
      <c r="DF107" s="205"/>
      <c r="DG107" s="205"/>
      <c r="DH107" s="91"/>
      <c r="DI107" s="91"/>
      <c r="DJ107" s="91"/>
      <c r="DK107" s="91"/>
      <c r="DL107" s="91"/>
      <c r="DM107" s="91"/>
      <c r="DN107" s="91"/>
      <c r="DO107" s="203"/>
      <c r="DP107" s="206"/>
      <c r="DQ107" s="206"/>
      <c r="DR107" s="206"/>
      <c r="DS107" s="206"/>
      <c r="DT107" s="206"/>
      <c r="DU107" s="206"/>
      <c r="DV107" s="206"/>
      <c r="DW107" s="206"/>
      <c r="DX107" s="206"/>
      <c r="DY107" s="206"/>
      <c r="DZ107" s="206"/>
      <c r="EA107" s="206"/>
      <c r="EB107" s="100"/>
      <c r="EC107" s="100"/>
      <c r="ED107" s="100"/>
      <c r="EE107" s="93"/>
      <c r="EF107" s="94"/>
      <c r="EG107" s="95"/>
      <c r="EH107" s="94"/>
      <c r="EI107" s="96"/>
      <c r="EJ107" s="95"/>
      <c r="EK107" s="94"/>
      <c r="EL107" s="98"/>
      <c r="EM107" s="95"/>
      <c r="EN107" s="94"/>
      <c r="EO107" s="93"/>
      <c r="EP107" s="93"/>
      <c r="EQ107" s="97"/>
      <c r="ER107" s="94"/>
      <c r="ES107" s="56"/>
    </row>
    <row r="108" spans="8:149" ht="15">
      <c r="H108" s="238" t="str">
        <f>"- Hệ số:"</f>
        <v>- Hệ số:</v>
      </c>
      <c r="I108" s="3"/>
      <c r="J108" s="24" t="s">
        <v>114</v>
      </c>
      <c r="K108" s="25">
        <f>R45</f>
        <v>245</v>
      </c>
      <c r="L108" s="3" t="s">
        <v>46</v>
      </c>
      <c r="M108" s="24" t="s">
        <v>334</v>
      </c>
      <c r="N108" s="25">
        <f>R19</f>
        <v>240</v>
      </c>
      <c r="O108" s="3" t="s">
        <v>21</v>
      </c>
      <c r="P108" s="3"/>
      <c r="Q108" s="24" t="s">
        <v>115</v>
      </c>
      <c r="R108" s="25">
        <f>R43</f>
        <v>4</v>
      </c>
      <c r="S108" s="236"/>
      <c r="AH108" s="8"/>
      <c r="AI108" s="8"/>
      <c r="AJ108" s="8"/>
      <c r="AK108" s="8"/>
      <c r="AL108" s="8"/>
      <c r="AM108" s="8"/>
      <c r="AN108" s="8"/>
      <c r="BE108" s="42"/>
      <c r="BF108" s="5"/>
      <c r="BG108" s="35"/>
      <c r="BH108" s="5"/>
      <c r="BI108" s="6"/>
      <c r="BJ108" s="35"/>
      <c r="BK108" s="5"/>
      <c r="BL108" s="41"/>
      <c r="BM108" s="35"/>
      <c r="BN108" s="5"/>
      <c r="BO108" s="42"/>
      <c r="BP108" s="42"/>
      <c r="BQ108" s="40"/>
      <c r="BR108" s="5"/>
      <c r="DA108" s="203"/>
      <c r="DB108" s="203"/>
      <c r="DC108" s="203"/>
      <c r="DD108" s="204"/>
      <c r="DE108" s="205"/>
      <c r="DF108" s="205"/>
      <c r="DG108" s="205"/>
      <c r="DH108" s="91"/>
      <c r="DI108" s="91"/>
      <c r="DJ108" s="91"/>
      <c r="DK108" s="91"/>
      <c r="DL108" s="91"/>
      <c r="DM108" s="91"/>
      <c r="DN108" s="91"/>
      <c r="DO108" s="203"/>
      <c r="DP108" s="206"/>
      <c r="DQ108" s="206"/>
      <c r="DR108" s="206"/>
      <c r="DS108" s="206"/>
      <c r="DT108" s="206"/>
      <c r="DU108" s="206"/>
      <c r="DV108" s="206"/>
      <c r="DW108" s="206"/>
      <c r="DX108" s="206"/>
      <c r="DY108" s="206"/>
      <c r="DZ108" s="206"/>
      <c r="EA108" s="206"/>
      <c r="EB108" s="100"/>
      <c r="EC108" s="100"/>
      <c r="ED108" s="100"/>
      <c r="EE108" s="93"/>
      <c r="EF108" s="94"/>
      <c r="EG108" s="95"/>
      <c r="EH108" s="94"/>
      <c r="EI108" s="96"/>
      <c r="EJ108" s="95"/>
      <c r="EK108" s="94"/>
      <c r="EL108" s="98"/>
      <c r="EM108" s="95"/>
      <c r="EN108" s="94"/>
      <c r="EO108" s="93"/>
      <c r="EP108" s="93"/>
      <c r="EQ108" s="97"/>
      <c r="ER108" s="94"/>
      <c r="ES108" s="56"/>
    </row>
    <row r="109" spans="8:149" ht="14.25">
      <c r="H109" s="238" t="str">
        <f>"- Lực trượt giới hạn:"</f>
        <v>- Lực trượt giới hạn:</v>
      </c>
      <c r="I109" s="3"/>
      <c r="J109" s="3"/>
      <c r="K109" s="3"/>
      <c r="L109" s="3"/>
      <c r="M109" s="3"/>
      <c r="N109" s="3"/>
      <c r="O109" s="3"/>
      <c r="P109" s="3"/>
      <c r="Q109" s="24" t="s">
        <v>335</v>
      </c>
      <c r="R109" s="62">
        <f>0.6*K108*N108*R108/1000</f>
        <v>141.12</v>
      </c>
      <c r="S109" s="236" t="s">
        <v>67</v>
      </c>
      <c r="AH109" s="8"/>
      <c r="AI109" s="8"/>
      <c r="AJ109" s="8"/>
      <c r="AK109" s="8"/>
      <c r="AL109" s="8"/>
      <c r="AM109" s="8"/>
      <c r="AN109" s="8"/>
      <c r="BE109" s="42"/>
      <c r="BF109" s="5"/>
      <c r="BG109" s="35"/>
      <c r="BH109" s="5"/>
      <c r="BI109" s="6"/>
      <c r="BJ109" s="35"/>
      <c r="BK109" s="5"/>
      <c r="BL109" s="41"/>
      <c r="BM109" s="35"/>
      <c r="BN109" s="5"/>
      <c r="BO109" s="42"/>
      <c r="BP109" s="42"/>
      <c r="BQ109" s="40"/>
      <c r="BR109" s="5"/>
      <c r="DA109" s="203"/>
      <c r="DB109" s="203"/>
      <c r="DC109" s="203"/>
      <c r="DD109" s="204"/>
      <c r="DE109" s="205"/>
      <c r="DF109" s="205"/>
      <c r="DG109" s="205"/>
      <c r="DH109" s="91"/>
      <c r="DI109" s="91"/>
      <c r="DJ109" s="91"/>
      <c r="DK109" s="91"/>
      <c r="DL109" s="91"/>
      <c r="DM109" s="91"/>
      <c r="DN109" s="91"/>
      <c r="DO109" s="203"/>
      <c r="DP109" s="206"/>
      <c r="DQ109" s="206"/>
      <c r="DR109" s="206"/>
      <c r="DS109" s="206"/>
      <c r="DT109" s="206"/>
      <c r="DU109" s="206"/>
      <c r="DV109" s="206"/>
      <c r="DW109" s="206"/>
      <c r="DX109" s="206"/>
      <c r="DY109" s="206"/>
      <c r="DZ109" s="206"/>
      <c r="EA109" s="206"/>
      <c r="EB109" s="100"/>
      <c r="EC109" s="100"/>
      <c r="ED109" s="100"/>
      <c r="EE109" s="93"/>
      <c r="EF109" s="94"/>
      <c r="EG109" s="95"/>
      <c r="EH109" s="94"/>
      <c r="EI109" s="96"/>
      <c r="EJ109" s="95"/>
      <c r="EK109" s="94"/>
      <c r="EL109" s="98"/>
      <c r="EM109" s="95"/>
      <c r="EN109" s="94"/>
      <c r="EO109" s="93"/>
      <c r="EP109" s="93"/>
      <c r="EQ109" s="97"/>
      <c r="ER109" s="94"/>
      <c r="ES109" s="56"/>
    </row>
    <row r="110" spans="8:149" ht="14.25">
      <c r="H110" s="238" t="str">
        <f>"- Tỷ số huy động cấu kiện:"</f>
        <v>- Tỷ số huy động cấu kiện:</v>
      </c>
      <c r="I110" s="3"/>
      <c r="J110" s="3"/>
      <c r="K110" s="24"/>
      <c r="L110" s="167"/>
      <c r="M110" s="168"/>
      <c r="N110" s="3"/>
      <c r="O110" s="3"/>
      <c r="P110" s="3"/>
      <c r="Q110" s="24" t="s">
        <v>336</v>
      </c>
      <c r="R110" s="173">
        <f>MAX(N107,R107)/R109</f>
        <v>3.2285932251878598E-2</v>
      </c>
      <c r="S110" s="239" t="str">
        <f>IF(R110&lt;=1,"OK","Shear key")</f>
        <v>OK</v>
      </c>
      <c r="AH110" s="8"/>
      <c r="AI110" s="8"/>
      <c r="AJ110" s="8"/>
      <c r="AK110" s="8"/>
      <c r="AL110" s="8"/>
      <c r="AM110" s="8"/>
      <c r="AN110" s="8"/>
      <c r="BE110" s="42"/>
      <c r="BF110" s="5"/>
      <c r="BG110" s="35"/>
      <c r="BH110" s="5"/>
      <c r="BI110" s="6"/>
      <c r="BJ110" s="35"/>
      <c r="BK110" s="5"/>
      <c r="BL110" s="41"/>
      <c r="BM110" s="35"/>
      <c r="BN110" s="5"/>
      <c r="BO110" s="42"/>
      <c r="BP110" s="42"/>
      <c r="BQ110" s="40"/>
      <c r="BR110" s="5"/>
      <c r="DA110" s="203"/>
      <c r="DB110" s="203"/>
      <c r="DC110" s="203"/>
      <c r="DD110" s="204"/>
      <c r="DE110" s="205"/>
      <c r="DF110" s="205"/>
      <c r="DG110" s="205"/>
      <c r="DH110" s="91"/>
      <c r="DI110" s="91"/>
      <c r="DJ110" s="91"/>
      <c r="DK110" s="91"/>
      <c r="DL110" s="91"/>
      <c r="DM110" s="91"/>
      <c r="DN110" s="91"/>
      <c r="DO110" s="203"/>
      <c r="DP110" s="206"/>
      <c r="DQ110" s="206"/>
      <c r="DR110" s="206"/>
      <c r="DS110" s="206"/>
      <c r="DT110" s="206"/>
      <c r="DU110" s="206"/>
      <c r="DV110" s="206"/>
      <c r="DW110" s="206"/>
      <c r="DX110" s="206"/>
      <c r="DY110" s="206"/>
      <c r="DZ110" s="206"/>
      <c r="EA110" s="206"/>
      <c r="EB110" s="100"/>
      <c r="EC110" s="100"/>
      <c r="ED110" s="100"/>
      <c r="EE110" s="93"/>
      <c r="EF110" s="94"/>
      <c r="EG110" s="95"/>
      <c r="EH110" s="94"/>
      <c r="EI110" s="96"/>
      <c r="EJ110" s="95"/>
      <c r="EK110" s="94"/>
      <c r="EL110" s="98"/>
      <c r="EM110" s="95"/>
      <c r="EN110" s="94"/>
      <c r="EO110" s="93"/>
      <c r="EP110" s="93"/>
      <c r="EQ110" s="97"/>
      <c r="ER110" s="94"/>
      <c r="ES110" s="56"/>
    </row>
    <row r="111" spans="8:149">
      <c r="H111" s="70" t="s">
        <v>294</v>
      </c>
      <c r="I111" s="3"/>
      <c r="J111" s="3"/>
      <c r="K111" s="24"/>
      <c r="L111" s="167"/>
      <c r="M111" s="168"/>
      <c r="N111" s="3"/>
      <c r="O111" s="3"/>
      <c r="P111" s="3"/>
      <c r="Q111" s="3"/>
      <c r="R111" s="3"/>
      <c r="S111" s="72"/>
      <c r="AH111" s="8"/>
      <c r="AI111" s="8"/>
      <c r="AJ111" s="8"/>
      <c r="AK111" s="8"/>
      <c r="AL111" s="8"/>
      <c r="AM111" s="8"/>
      <c r="AN111" s="8"/>
      <c r="BE111" s="42"/>
      <c r="BF111" s="5"/>
      <c r="BG111" s="35"/>
      <c r="BH111" s="5"/>
      <c r="BI111" s="6"/>
      <c r="BJ111" s="35"/>
      <c r="BK111" s="5"/>
      <c r="BL111" s="41"/>
      <c r="BM111" s="35"/>
      <c r="BN111" s="5"/>
      <c r="BO111" s="42"/>
      <c r="BP111" s="42"/>
      <c r="BQ111" s="40"/>
      <c r="BR111" s="5"/>
      <c r="DA111" s="203"/>
      <c r="DB111" s="203"/>
      <c r="DC111" s="203"/>
      <c r="DD111" s="204"/>
      <c r="DE111" s="205"/>
      <c r="DF111" s="205"/>
      <c r="DG111" s="205"/>
      <c r="DH111" s="91"/>
      <c r="DI111" s="91"/>
      <c r="DJ111" s="91"/>
      <c r="DK111" s="91"/>
      <c r="DL111" s="91"/>
      <c r="DM111" s="91"/>
      <c r="DN111" s="91"/>
      <c r="DO111" s="203"/>
      <c r="DP111" s="206"/>
      <c r="DQ111" s="206"/>
      <c r="DR111" s="206"/>
      <c r="DS111" s="206"/>
      <c r="DT111" s="206"/>
      <c r="DU111" s="206"/>
      <c r="DV111" s="206"/>
      <c r="DW111" s="206"/>
      <c r="DX111" s="206"/>
      <c r="DY111" s="206"/>
      <c r="DZ111" s="206"/>
      <c r="EA111" s="206"/>
      <c r="EB111" s="100"/>
      <c r="EC111" s="100"/>
      <c r="ED111" s="100"/>
      <c r="EE111" s="93"/>
      <c r="EF111" s="94"/>
      <c r="EG111" s="95"/>
      <c r="EH111" s="94"/>
      <c r="EI111" s="96"/>
      <c r="EJ111" s="95"/>
      <c r="EK111" s="94"/>
      <c r="EL111" s="98"/>
      <c r="EM111" s="95"/>
      <c r="EN111" s="94"/>
      <c r="EO111" s="93"/>
      <c r="EP111" s="93"/>
      <c r="EQ111" s="97"/>
      <c r="ER111" s="94"/>
      <c r="ES111" s="56"/>
    </row>
    <row r="112" spans="8:149" ht="14.25">
      <c r="H112" s="71" t="str">
        <f>"- Lực dọc do các đường hàn bản cánh chịu:"</f>
        <v>- Lực dọc do các đường hàn bản cánh chịu:</v>
      </c>
      <c r="I112" s="3"/>
      <c r="J112" s="3"/>
      <c r="K112" s="181"/>
      <c r="L112" s="175"/>
      <c r="M112" s="182"/>
      <c r="N112" s="175"/>
      <c r="O112" s="3"/>
      <c r="P112" s="168"/>
      <c r="Q112" s="24" t="s">
        <v>290</v>
      </c>
      <c r="R112" s="180">
        <f>ABS(P57*1000)/R40+ABS(Q57)/2</f>
        <v>18.068559490232474</v>
      </c>
      <c r="S112" s="72" t="s">
        <v>67</v>
      </c>
      <c r="AH112" s="8"/>
      <c r="AI112" s="8"/>
      <c r="AJ112" s="8"/>
      <c r="AK112" s="8"/>
      <c r="AL112" s="8"/>
      <c r="AM112" s="8"/>
      <c r="AN112" s="8"/>
      <c r="BE112" s="42"/>
      <c r="BF112" s="5"/>
      <c r="BG112" s="35"/>
      <c r="BH112" s="5"/>
      <c r="BI112" s="6"/>
      <c r="BJ112" s="35"/>
      <c r="BK112" s="5"/>
      <c r="BL112" s="41"/>
      <c r="BM112" s="35"/>
      <c r="BN112" s="5"/>
      <c r="BO112" s="42"/>
      <c r="BP112" s="42"/>
      <c r="BQ112" s="40"/>
      <c r="BR112" s="5"/>
      <c r="DA112" s="203"/>
      <c r="DB112" s="203"/>
      <c r="DC112" s="203"/>
      <c r="DD112" s="204"/>
      <c r="DE112" s="205"/>
      <c r="DF112" s="205"/>
      <c r="DG112" s="205"/>
      <c r="DH112" s="91"/>
      <c r="DI112" s="91"/>
      <c r="DJ112" s="91"/>
      <c r="DK112" s="91"/>
      <c r="DL112" s="91"/>
      <c r="DM112" s="91"/>
      <c r="DN112" s="91"/>
      <c r="DO112" s="203"/>
      <c r="DP112" s="206"/>
      <c r="DQ112" s="206"/>
      <c r="DR112" s="206"/>
      <c r="DS112" s="206"/>
      <c r="DT112" s="206"/>
      <c r="DU112" s="206"/>
      <c r="DV112" s="206"/>
      <c r="DW112" s="206"/>
      <c r="DX112" s="206"/>
      <c r="DY112" s="206"/>
      <c r="DZ112" s="206"/>
      <c r="EA112" s="206"/>
      <c r="EB112" s="100"/>
      <c r="EC112" s="100"/>
      <c r="ED112" s="100"/>
      <c r="EE112" s="93"/>
      <c r="EF112" s="94"/>
      <c r="EG112" s="95"/>
      <c r="EH112" s="94"/>
      <c r="EI112" s="96"/>
      <c r="EJ112" s="95"/>
      <c r="EK112" s="94"/>
      <c r="EL112" s="98"/>
      <c r="EM112" s="95"/>
      <c r="EN112" s="94"/>
      <c r="EO112" s="93"/>
      <c r="EP112" s="93"/>
      <c r="EQ112" s="97"/>
      <c r="ER112" s="94"/>
      <c r="ES112" s="56"/>
    </row>
    <row r="113" spans="8:149" ht="14.25">
      <c r="H113" s="71" t="str">
        <f>"- Tỷ số huy động đối với đường hàn bản cánh:"</f>
        <v>- Tỷ số huy động đối với đường hàn bản cánh:</v>
      </c>
      <c r="I113" s="3"/>
      <c r="J113" s="3"/>
      <c r="K113" s="3"/>
      <c r="L113" s="3"/>
      <c r="M113" s="13" t="s">
        <v>291</v>
      </c>
      <c r="N113" s="25">
        <f>2*(R39-10)</f>
        <v>180</v>
      </c>
      <c r="O113" s="3" t="s">
        <v>1</v>
      </c>
      <c r="P113" s="3"/>
      <c r="Q113" s="24" t="s">
        <v>292</v>
      </c>
      <c r="R113" s="173">
        <f>R112*1000/(R53*N113*R33)</f>
        <v>0.13277894981064431</v>
      </c>
      <c r="S113" s="79" t="str">
        <f>IF(R113&lt;=1,"OK","Check")</f>
        <v>OK</v>
      </c>
      <c r="AH113" s="8"/>
      <c r="AI113" s="8"/>
      <c r="AJ113" s="8"/>
      <c r="AK113" s="8"/>
      <c r="AL113" s="8"/>
      <c r="AM113" s="8"/>
      <c r="AN113" s="8"/>
      <c r="BE113" s="42"/>
      <c r="BF113" s="5"/>
      <c r="BG113" s="35"/>
      <c r="BH113" s="5"/>
      <c r="BI113" s="6"/>
      <c r="BJ113" s="35"/>
      <c r="BK113" s="5"/>
      <c r="BL113" s="41"/>
      <c r="BM113" s="35"/>
      <c r="BN113" s="5"/>
      <c r="BO113" s="42"/>
      <c r="BP113" s="42"/>
      <c r="BQ113" s="40"/>
      <c r="BR113" s="5"/>
      <c r="DA113" s="203"/>
      <c r="DB113" s="203"/>
      <c r="DC113" s="203"/>
      <c r="DD113" s="204"/>
      <c r="DE113" s="205"/>
      <c r="DF113" s="205"/>
      <c r="DG113" s="205"/>
      <c r="DH113" s="91"/>
      <c r="DI113" s="91"/>
      <c r="DJ113" s="91"/>
      <c r="DK113" s="91"/>
      <c r="DL113" s="91"/>
      <c r="DM113" s="91"/>
      <c r="DN113" s="91"/>
      <c r="DO113" s="203"/>
      <c r="DP113" s="206"/>
      <c r="DQ113" s="206"/>
      <c r="DR113" s="206"/>
      <c r="DS113" s="206"/>
      <c r="DT113" s="206"/>
      <c r="DU113" s="206"/>
      <c r="DV113" s="206"/>
      <c r="DW113" s="206"/>
      <c r="DX113" s="206"/>
      <c r="DY113" s="206"/>
      <c r="DZ113" s="206"/>
      <c r="EA113" s="206"/>
      <c r="EB113" s="100"/>
      <c r="EC113" s="100"/>
      <c r="ED113" s="100"/>
      <c r="EE113" s="93"/>
      <c r="EF113" s="94"/>
      <c r="EG113" s="95"/>
      <c r="EH113" s="94"/>
      <c r="EI113" s="96"/>
      <c r="EJ113" s="95"/>
      <c r="EK113" s="94"/>
      <c r="EL113" s="98"/>
      <c r="EM113" s="95"/>
      <c r="EN113" s="94"/>
      <c r="EO113" s="93"/>
      <c r="EP113" s="93"/>
      <c r="EQ113" s="97"/>
      <c r="ER113" s="94"/>
      <c r="ES113" s="56"/>
    </row>
    <row r="114" spans="8:149" ht="14.25">
      <c r="H114" s="183" t="str">
        <f>"- Tỷ số huy động đối với đường hàn bản bụng:"</f>
        <v>- Tỷ số huy động đối với đường hàn bản bụng:</v>
      </c>
      <c r="I114" s="151"/>
      <c r="J114" s="151"/>
      <c r="K114" s="151"/>
      <c r="L114" s="151"/>
      <c r="M114" s="184" t="s">
        <v>291</v>
      </c>
      <c r="N114" s="153">
        <f>2*(R40-10)</f>
        <v>380</v>
      </c>
      <c r="O114" s="151" t="s">
        <v>1</v>
      </c>
      <c r="P114" s="151"/>
      <c r="Q114" s="152" t="s">
        <v>293</v>
      </c>
      <c r="R114" s="185">
        <f>ABS(R57)*1000/(R53*N114*$R$33)</f>
        <v>1.585975619390528E-2</v>
      </c>
      <c r="S114" s="186" t="str">
        <f>IF(R114&lt;=1,"OK","Check")</f>
        <v>OK</v>
      </c>
      <c r="AH114" s="8"/>
      <c r="AI114" s="8"/>
      <c r="AJ114" s="8"/>
      <c r="AK114" s="8"/>
      <c r="AL114" s="8"/>
      <c r="AM114" s="8"/>
      <c r="AN114" s="8"/>
      <c r="BE114" s="42"/>
      <c r="BF114" s="5"/>
      <c r="BG114" s="35"/>
      <c r="BH114" s="5"/>
      <c r="BI114" s="6"/>
      <c r="BJ114" s="35"/>
      <c r="BK114" s="5"/>
      <c r="BL114" s="41"/>
      <c r="BM114" s="35"/>
      <c r="BN114" s="5"/>
      <c r="BO114" s="42"/>
      <c r="BP114" s="42"/>
      <c r="BQ114" s="40"/>
      <c r="BR114" s="5"/>
      <c r="DA114" s="203"/>
      <c r="DB114" s="203"/>
      <c r="DC114" s="203"/>
      <c r="DD114" s="204"/>
      <c r="DE114" s="205"/>
      <c r="DF114" s="205"/>
      <c r="DG114" s="205"/>
      <c r="DH114" s="91"/>
      <c r="DI114" s="91"/>
      <c r="DJ114" s="91"/>
      <c r="DK114" s="91"/>
      <c r="DL114" s="91"/>
      <c r="DM114" s="91"/>
      <c r="DN114" s="91"/>
      <c r="DO114" s="203"/>
      <c r="DP114" s="206"/>
      <c r="DQ114" s="206"/>
      <c r="DR114" s="206"/>
      <c r="DS114" s="206"/>
      <c r="DT114" s="206"/>
      <c r="DU114" s="206"/>
      <c r="DV114" s="206"/>
      <c r="DW114" s="206"/>
      <c r="DX114" s="206"/>
      <c r="DY114" s="206"/>
      <c r="DZ114" s="206"/>
      <c r="EA114" s="206"/>
      <c r="EB114" s="100"/>
      <c r="EC114" s="100"/>
      <c r="ED114" s="100"/>
      <c r="EE114" s="93"/>
      <c r="EF114" s="94"/>
      <c r="EG114" s="95"/>
      <c r="EH114" s="94"/>
      <c r="EI114" s="96"/>
      <c r="EJ114" s="95"/>
      <c r="EK114" s="94"/>
      <c r="EL114" s="98"/>
      <c r="EM114" s="95"/>
      <c r="EN114" s="94"/>
      <c r="EO114" s="93"/>
      <c r="EP114" s="93"/>
      <c r="EQ114" s="97"/>
      <c r="ER114" s="94"/>
      <c r="ES114" s="56"/>
    </row>
    <row r="115" spans="8:149">
      <c r="H115" s="240" t="s">
        <v>337</v>
      </c>
      <c r="I115" s="241"/>
      <c r="J115" s="241"/>
      <c r="K115" s="241"/>
      <c r="L115" s="241"/>
      <c r="M115" s="241"/>
      <c r="N115" s="241"/>
      <c r="O115" s="241"/>
      <c r="P115" s="241"/>
      <c r="Q115" s="241"/>
      <c r="R115" s="241"/>
      <c r="S115" s="242"/>
      <c r="AH115" s="8"/>
      <c r="AI115" s="8"/>
      <c r="AJ115" s="8"/>
      <c r="AK115" s="8"/>
      <c r="AL115" s="8"/>
      <c r="AM115" s="8"/>
      <c r="AN115" s="8"/>
      <c r="BE115" s="42"/>
      <c r="BF115" s="5"/>
      <c r="BG115" s="35"/>
      <c r="BH115" s="5"/>
      <c r="BI115" s="6"/>
      <c r="BJ115" s="35"/>
      <c r="BK115" s="5"/>
      <c r="BL115" s="41"/>
      <c r="BM115" s="35"/>
      <c r="BN115" s="5"/>
      <c r="BO115" s="42"/>
      <c r="BP115" s="42"/>
      <c r="BQ115" s="40"/>
      <c r="BR115" s="5"/>
      <c r="DA115" s="203"/>
      <c r="DB115" s="203"/>
      <c r="DC115" s="203"/>
      <c r="DD115" s="204"/>
      <c r="DE115" s="205"/>
      <c r="DF115" s="205"/>
      <c r="DG115" s="205"/>
      <c r="DH115" s="91"/>
      <c r="DI115" s="91"/>
      <c r="DJ115" s="91"/>
      <c r="DK115" s="91"/>
      <c r="DL115" s="91"/>
      <c r="DM115" s="91"/>
      <c r="DN115" s="91"/>
      <c r="DO115" s="203"/>
      <c r="DP115" s="206"/>
      <c r="DQ115" s="206"/>
      <c r="DR115" s="206"/>
      <c r="DS115" s="206"/>
      <c r="DT115" s="206"/>
      <c r="DU115" s="206"/>
      <c r="DV115" s="206"/>
      <c r="DW115" s="206"/>
      <c r="DX115" s="206"/>
      <c r="DY115" s="206"/>
      <c r="DZ115" s="206"/>
      <c r="EA115" s="206"/>
      <c r="EB115" s="100"/>
      <c r="EC115" s="100"/>
      <c r="ED115" s="100"/>
      <c r="EE115" s="93"/>
      <c r="EF115" s="94"/>
      <c r="EG115" s="95"/>
      <c r="EH115" s="94"/>
      <c r="EI115" s="96"/>
      <c r="EJ115" s="95"/>
      <c r="EK115" s="94"/>
      <c r="EL115" s="98"/>
      <c r="EM115" s="95"/>
      <c r="EN115" s="94"/>
      <c r="EO115" s="93"/>
      <c r="EP115" s="93"/>
      <c r="EQ115" s="97"/>
      <c r="ER115" s="94"/>
      <c r="ES115" s="56"/>
    </row>
    <row r="116" spans="8:149">
      <c r="H116" s="243" t="s">
        <v>338</v>
      </c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236"/>
      <c r="AH116" s="8"/>
      <c r="AI116" s="8"/>
      <c r="AJ116" s="8"/>
      <c r="AK116" s="8"/>
      <c r="AL116" s="8"/>
      <c r="AM116" s="8"/>
      <c r="AN116" s="8"/>
      <c r="BE116" s="42"/>
      <c r="BF116" s="5"/>
      <c r="BG116" s="35"/>
      <c r="BH116" s="5"/>
      <c r="BI116" s="6"/>
      <c r="BJ116" s="35"/>
      <c r="BK116" s="5"/>
      <c r="BL116" s="41"/>
      <c r="BM116" s="35"/>
      <c r="BN116" s="5"/>
      <c r="BO116" s="42"/>
      <c r="BP116" s="42"/>
      <c r="BQ116" s="40"/>
      <c r="BR116" s="5"/>
      <c r="DA116" s="203"/>
      <c r="DB116" s="203"/>
      <c r="DC116" s="203"/>
      <c r="DD116" s="204"/>
      <c r="DE116" s="205"/>
      <c r="DF116" s="205"/>
      <c r="DG116" s="205"/>
      <c r="DH116" s="91"/>
      <c r="DI116" s="91"/>
      <c r="DJ116" s="91"/>
      <c r="DK116" s="91"/>
      <c r="DL116" s="91"/>
      <c r="DM116" s="91"/>
      <c r="DN116" s="91"/>
      <c r="DO116" s="203"/>
      <c r="DP116" s="206"/>
      <c r="DQ116" s="206"/>
      <c r="DR116" s="206"/>
      <c r="DS116" s="206"/>
      <c r="DT116" s="206"/>
      <c r="DU116" s="206"/>
      <c r="DV116" s="206"/>
      <c r="DW116" s="206"/>
      <c r="DX116" s="206"/>
      <c r="DY116" s="206"/>
      <c r="DZ116" s="206"/>
      <c r="EA116" s="206"/>
      <c r="EB116" s="100"/>
      <c r="EC116" s="100"/>
      <c r="ED116" s="100"/>
      <c r="EE116" s="93"/>
      <c r="EF116" s="94"/>
      <c r="EG116" s="95"/>
      <c r="EH116" s="94"/>
      <c r="EI116" s="96"/>
      <c r="EJ116" s="95"/>
      <c r="EK116" s="94"/>
      <c r="EL116" s="98"/>
      <c r="EM116" s="95"/>
      <c r="EN116" s="94"/>
      <c r="EO116" s="93"/>
      <c r="EP116" s="93"/>
      <c r="EQ116" s="97"/>
      <c r="ER116" s="94"/>
      <c r="ES116" s="56"/>
    </row>
    <row r="117" spans="8:149">
      <c r="H117" s="243" t="s">
        <v>339</v>
      </c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236"/>
      <c r="AH117" s="8"/>
      <c r="AI117" s="8"/>
      <c r="AJ117" s="8"/>
      <c r="AK117" s="8"/>
      <c r="AL117" s="8"/>
      <c r="AM117" s="8"/>
      <c r="AN117" s="8"/>
      <c r="BE117" s="42"/>
      <c r="BF117" s="5"/>
      <c r="BG117" s="35"/>
      <c r="BH117" s="5"/>
      <c r="BI117" s="6"/>
      <c r="BJ117" s="35"/>
      <c r="BK117" s="5"/>
      <c r="BL117" s="41"/>
      <c r="BM117" s="35"/>
      <c r="BN117" s="5"/>
      <c r="BO117" s="42"/>
      <c r="BP117" s="42"/>
      <c r="BQ117" s="40"/>
      <c r="BR117" s="5"/>
      <c r="DA117" s="203"/>
      <c r="DB117" s="203"/>
      <c r="DC117" s="203"/>
      <c r="DD117" s="204"/>
      <c r="DE117" s="205"/>
      <c r="DF117" s="205"/>
      <c r="DG117" s="205"/>
      <c r="DH117" s="91"/>
      <c r="DI117" s="91"/>
      <c r="DJ117" s="91"/>
      <c r="DK117" s="91"/>
      <c r="DL117" s="91"/>
      <c r="DM117" s="91"/>
      <c r="DN117" s="91"/>
      <c r="DO117" s="203"/>
      <c r="DP117" s="206"/>
      <c r="DQ117" s="206"/>
      <c r="DR117" s="206"/>
      <c r="DS117" s="206"/>
      <c r="DT117" s="206"/>
      <c r="DU117" s="206"/>
      <c r="DV117" s="206"/>
      <c r="DW117" s="206"/>
      <c r="DX117" s="206"/>
      <c r="DY117" s="206"/>
      <c r="DZ117" s="206"/>
      <c r="EA117" s="206"/>
      <c r="EB117" s="100"/>
      <c r="EC117" s="100"/>
      <c r="ED117" s="100"/>
      <c r="EE117" s="93"/>
      <c r="EF117" s="94"/>
      <c r="EG117" s="95"/>
      <c r="EH117" s="94"/>
      <c r="EI117" s="96"/>
      <c r="EJ117" s="95"/>
      <c r="EK117" s="94"/>
      <c r="EL117" s="98"/>
      <c r="EM117" s="95"/>
      <c r="EN117" s="94"/>
      <c r="EO117" s="93"/>
      <c r="EP117" s="93"/>
      <c r="EQ117" s="97"/>
      <c r="ER117" s="94"/>
      <c r="ES117" s="56"/>
    </row>
    <row r="118" spans="8:149">
      <c r="H118" s="244" t="s">
        <v>340</v>
      </c>
      <c r="I118" s="245"/>
      <c r="J118" s="245"/>
      <c r="K118" s="245"/>
      <c r="L118" s="245"/>
      <c r="M118" s="245"/>
      <c r="N118" s="245"/>
      <c r="O118" s="245"/>
      <c r="P118" s="245"/>
      <c r="Q118" s="245"/>
      <c r="R118" s="245"/>
      <c r="S118" s="246"/>
      <c r="AH118" s="8"/>
      <c r="AI118" s="8"/>
      <c r="AJ118" s="8"/>
      <c r="AK118" s="8"/>
      <c r="AL118" s="8"/>
      <c r="AM118" s="8"/>
      <c r="AN118" s="8"/>
      <c r="BE118" s="42"/>
      <c r="BF118" s="5"/>
      <c r="BG118" s="35"/>
      <c r="BH118" s="5"/>
      <c r="BI118" s="6"/>
      <c r="BJ118" s="35"/>
      <c r="BK118" s="5"/>
      <c r="BL118" s="41"/>
      <c r="BM118" s="35"/>
      <c r="BN118" s="5"/>
      <c r="BO118" s="42"/>
      <c r="BP118" s="42"/>
      <c r="BQ118" s="40"/>
      <c r="BR118" s="5"/>
      <c r="DA118" s="203"/>
      <c r="DB118" s="203"/>
      <c r="DC118" s="203"/>
      <c r="DD118" s="204"/>
      <c r="DE118" s="205"/>
      <c r="DF118" s="205"/>
      <c r="DG118" s="205"/>
      <c r="DH118" s="91"/>
      <c r="DI118" s="91"/>
      <c r="DJ118" s="91"/>
      <c r="DK118" s="91"/>
      <c r="DL118" s="91"/>
      <c r="DM118" s="91"/>
      <c r="DN118" s="91"/>
      <c r="DO118" s="203"/>
      <c r="DP118" s="206"/>
      <c r="DQ118" s="206"/>
      <c r="DR118" s="206"/>
      <c r="DS118" s="206"/>
      <c r="DT118" s="206"/>
      <c r="DU118" s="206"/>
      <c r="DV118" s="206"/>
      <c r="DW118" s="206"/>
      <c r="DX118" s="206"/>
      <c r="DY118" s="206"/>
      <c r="DZ118" s="206"/>
      <c r="EA118" s="206"/>
      <c r="EB118" s="100"/>
      <c r="EC118" s="100"/>
      <c r="ED118" s="100"/>
      <c r="EE118" s="93"/>
      <c r="EF118" s="94"/>
      <c r="EG118" s="95"/>
      <c r="EH118" s="94"/>
      <c r="EI118" s="96"/>
      <c r="EJ118" s="95"/>
      <c r="EK118" s="94"/>
      <c r="EL118" s="98"/>
      <c r="EM118" s="95"/>
      <c r="EN118" s="94"/>
      <c r="EO118" s="93"/>
      <c r="EP118" s="93"/>
      <c r="EQ118" s="97"/>
      <c r="ER118" s="94"/>
      <c r="ES118" s="56"/>
    </row>
    <row r="119" spans="8:149">
      <c r="AH119" s="8"/>
      <c r="AI119" s="8"/>
      <c r="AJ119" s="8"/>
      <c r="AK119" s="8"/>
      <c r="AL119" s="8"/>
      <c r="AM119" s="8"/>
      <c r="AN119" s="8"/>
      <c r="BE119" s="42"/>
      <c r="BF119" s="5"/>
      <c r="BG119" s="35"/>
      <c r="BH119" s="5"/>
      <c r="BI119" s="6"/>
      <c r="BJ119" s="35"/>
      <c r="BK119" s="5"/>
      <c r="BL119" s="41"/>
      <c r="BM119" s="35"/>
      <c r="BN119" s="5"/>
      <c r="BO119" s="42"/>
      <c r="BP119" s="42"/>
      <c r="BQ119" s="40"/>
      <c r="BR119" s="5"/>
      <c r="DA119" s="203"/>
      <c r="DB119" s="203"/>
      <c r="DC119" s="203"/>
      <c r="DD119" s="204"/>
      <c r="DE119" s="205"/>
      <c r="DF119" s="205"/>
      <c r="DG119" s="205"/>
      <c r="DH119" s="91"/>
      <c r="DI119" s="91"/>
      <c r="DJ119" s="91"/>
      <c r="DK119" s="91"/>
      <c r="DL119" s="91"/>
      <c r="DM119" s="91"/>
      <c r="DN119" s="91"/>
      <c r="DO119" s="203"/>
      <c r="DP119" s="206"/>
      <c r="DQ119" s="206"/>
      <c r="DR119" s="206"/>
      <c r="DS119" s="206"/>
      <c r="DT119" s="206"/>
      <c r="DU119" s="206"/>
      <c r="DV119" s="206"/>
      <c r="DW119" s="206"/>
      <c r="DX119" s="206"/>
      <c r="DY119" s="206"/>
      <c r="DZ119" s="206"/>
      <c r="EA119" s="206"/>
      <c r="EB119" s="100"/>
      <c r="EC119" s="100"/>
      <c r="ED119" s="100"/>
      <c r="EE119" s="93"/>
      <c r="EF119" s="94"/>
      <c r="EG119" s="95"/>
      <c r="EH119" s="94"/>
      <c r="EI119" s="96"/>
      <c r="EJ119" s="95"/>
      <c r="EK119" s="94"/>
      <c r="EL119" s="98"/>
      <c r="EM119" s="95"/>
      <c r="EN119" s="94"/>
      <c r="EO119" s="93"/>
      <c r="EP119" s="93"/>
      <c r="EQ119" s="97"/>
      <c r="ER119" s="94"/>
      <c r="ES119" s="56"/>
    </row>
    <row r="120" spans="8:149">
      <c r="AH120" s="8"/>
      <c r="AI120" s="8"/>
      <c r="AJ120" s="8"/>
      <c r="AK120" s="8"/>
      <c r="AL120" s="8"/>
      <c r="AM120" s="8"/>
      <c r="AN120" s="8"/>
      <c r="BE120" s="42"/>
      <c r="BF120" s="5"/>
      <c r="BG120" s="35"/>
      <c r="BH120" s="5"/>
      <c r="BI120" s="6"/>
      <c r="BJ120" s="35"/>
      <c r="BK120" s="5"/>
      <c r="BL120" s="41"/>
      <c r="BM120" s="35"/>
      <c r="BN120" s="5"/>
      <c r="BO120" s="42"/>
      <c r="BP120" s="42"/>
      <c r="BQ120" s="40"/>
      <c r="BR120" s="5"/>
      <c r="DA120" s="203"/>
      <c r="DB120" s="203"/>
      <c r="DC120" s="203"/>
      <c r="DD120" s="204"/>
      <c r="DE120" s="205"/>
      <c r="DF120" s="205"/>
      <c r="DG120" s="205"/>
      <c r="DH120" s="91"/>
      <c r="DI120" s="91"/>
      <c r="DJ120" s="91"/>
      <c r="DK120" s="91"/>
      <c r="DL120" s="91"/>
      <c r="DM120" s="91"/>
      <c r="DN120" s="91"/>
      <c r="DO120" s="203"/>
      <c r="DP120" s="206"/>
      <c r="DQ120" s="206"/>
      <c r="DR120" s="206"/>
      <c r="DS120" s="206"/>
      <c r="DT120" s="206"/>
      <c r="DU120" s="206"/>
      <c r="DV120" s="206"/>
      <c r="DW120" s="206"/>
      <c r="DX120" s="206"/>
      <c r="DY120" s="206"/>
      <c r="DZ120" s="206"/>
      <c r="EA120" s="206"/>
      <c r="EB120" s="100"/>
      <c r="EC120" s="100"/>
      <c r="ED120" s="100"/>
      <c r="EE120" s="93"/>
      <c r="EF120" s="94"/>
      <c r="EG120" s="95"/>
      <c r="EH120" s="94"/>
      <c r="EI120" s="96"/>
      <c r="EJ120" s="95"/>
      <c r="EK120" s="94"/>
      <c r="EL120" s="98"/>
      <c r="EM120" s="95"/>
      <c r="EN120" s="94"/>
      <c r="EO120" s="93"/>
      <c r="EP120" s="93"/>
      <c r="EQ120" s="97"/>
      <c r="ER120" s="94"/>
      <c r="ES120" s="56"/>
    </row>
    <row r="121" spans="8:149">
      <c r="AH121" s="8"/>
      <c r="AI121" s="8"/>
      <c r="AJ121" s="8"/>
      <c r="AK121" s="8"/>
      <c r="AL121" s="8"/>
      <c r="AM121" s="8"/>
      <c r="AN121" s="8"/>
      <c r="BE121" s="42"/>
      <c r="BF121" s="5"/>
      <c r="BG121" s="35"/>
      <c r="BH121" s="5"/>
      <c r="BI121" s="6"/>
      <c r="BJ121" s="35"/>
      <c r="BK121" s="5"/>
      <c r="BL121" s="41"/>
      <c r="BM121" s="35"/>
      <c r="BN121" s="5"/>
      <c r="BO121" s="42"/>
      <c r="BP121" s="42"/>
      <c r="BQ121" s="40"/>
      <c r="BR121" s="5"/>
      <c r="DA121" s="203"/>
      <c r="DB121" s="203"/>
      <c r="DC121" s="203"/>
      <c r="DD121" s="204"/>
      <c r="DE121" s="205"/>
      <c r="DF121" s="205"/>
      <c r="DG121" s="205"/>
      <c r="DH121" s="91"/>
      <c r="DI121" s="91"/>
      <c r="DJ121" s="91"/>
      <c r="DK121" s="91"/>
      <c r="DL121" s="91"/>
      <c r="DM121" s="91"/>
      <c r="DN121" s="91"/>
      <c r="DO121" s="203"/>
      <c r="DP121" s="206"/>
      <c r="DQ121" s="206"/>
      <c r="DR121" s="206"/>
      <c r="DS121" s="206"/>
      <c r="DT121" s="206"/>
      <c r="DU121" s="206"/>
      <c r="DV121" s="206"/>
      <c r="DW121" s="206"/>
      <c r="DX121" s="206"/>
      <c r="DY121" s="206"/>
      <c r="DZ121" s="206"/>
      <c r="EA121" s="206"/>
      <c r="EB121" s="100"/>
      <c r="EC121" s="100"/>
      <c r="ED121" s="100"/>
      <c r="EE121" s="93"/>
      <c r="EF121" s="94"/>
      <c r="EG121" s="95"/>
      <c r="EH121" s="94"/>
      <c r="EI121" s="96"/>
      <c r="EJ121" s="95"/>
      <c r="EK121" s="94"/>
      <c r="EL121" s="98"/>
      <c r="EM121" s="95"/>
      <c r="EN121" s="94"/>
      <c r="EO121" s="93"/>
      <c r="EP121" s="93"/>
      <c r="EQ121" s="97"/>
      <c r="ER121" s="94"/>
      <c r="ES121" s="56"/>
    </row>
    <row r="122" spans="8:149">
      <c r="AH122" s="8"/>
      <c r="AI122" s="8"/>
      <c r="AJ122" s="8"/>
      <c r="AK122" s="8"/>
      <c r="AL122" s="8"/>
      <c r="AM122" s="8"/>
      <c r="AN122" s="8"/>
      <c r="BE122" s="42"/>
      <c r="BF122" s="5"/>
      <c r="BG122" s="35"/>
      <c r="BH122" s="5"/>
      <c r="BI122" s="6"/>
      <c r="BJ122" s="35"/>
      <c r="BK122" s="5"/>
      <c r="BL122" s="41"/>
      <c r="BM122" s="35"/>
      <c r="BN122" s="5"/>
      <c r="BO122" s="42"/>
      <c r="BP122" s="42"/>
      <c r="BQ122" s="40"/>
      <c r="BR122" s="5"/>
      <c r="DA122" s="203"/>
      <c r="DB122" s="203"/>
      <c r="DC122" s="203"/>
      <c r="DD122" s="204"/>
      <c r="DE122" s="205"/>
      <c r="DF122" s="205"/>
      <c r="DG122" s="205"/>
      <c r="DH122" s="91"/>
      <c r="DI122" s="91"/>
      <c r="DJ122" s="91"/>
      <c r="DK122" s="91"/>
      <c r="DL122" s="91"/>
      <c r="DM122" s="91"/>
      <c r="DN122" s="91"/>
      <c r="DO122" s="203"/>
      <c r="DP122" s="206"/>
      <c r="DQ122" s="206"/>
      <c r="DR122" s="206"/>
      <c r="DS122" s="206"/>
      <c r="DT122" s="206"/>
      <c r="DU122" s="206"/>
      <c r="DV122" s="206"/>
      <c r="DW122" s="206"/>
      <c r="DX122" s="206"/>
      <c r="DY122" s="206"/>
      <c r="DZ122" s="206"/>
      <c r="EA122" s="206"/>
      <c r="EB122" s="100"/>
      <c r="EC122" s="100"/>
      <c r="ED122" s="100"/>
      <c r="EE122" s="93"/>
      <c r="EF122" s="94"/>
      <c r="EG122" s="95"/>
      <c r="EH122" s="94"/>
      <c r="EI122" s="96"/>
      <c r="EJ122" s="95"/>
      <c r="EK122" s="94"/>
      <c r="EL122" s="98"/>
      <c r="EM122" s="95"/>
      <c r="EN122" s="94"/>
      <c r="EO122" s="93"/>
      <c r="EP122" s="93"/>
      <c r="EQ122" s="97"/>
      <c r="ER122" s="94"/>
      <c r="ES122" s="56"/>
    </row>
    <row r="123" spans="8:149">
      <c r="AH123" s="8"/>
      <c r="AI123" s="8"/>
      <c r="AJ123" s="8"/>
      <c r="AK123" s="8"/>
      <c r="AL123" s="8"/>
      <c r="AM123" s="8"/>
      <c r="AN123" s="8"/>
      <c r="BE123" s="42"/>
      <c r="BF123" s="5"/>
      <c r="BG123" s="35"/>
      <c r="BH123" s="5"/>
      <c r="BI123" s="6"/>
      <c r="BJ123" s="35"/>
      <c r="BK123" s="5"/>
      <c r="BL123" s="41"/>
      <c r="BM123" s="35"/>
      <c r="BN123" s="5"/>
      <c r="BO123" s="42"/>
      <c r="BP123" s="42"/>
      <c r="BQ123" s="40"/>
      <c r="BR123" s="5"/>
      <c r="DA123" s="203"/>
      <c r="DB123" s="203"/>
      <c r="DC123" s="203"/>
      <c r="DD123" s="204"/>
      <c r="DE123" s="205"/>
      <c r="DF123" s="205"/>
      <c r="DG123" s="205"/>
      <c r="DH123" s="91"/>
      <c r="DI123" s="91"/>
      <c r="DJ123" s="91"/>
      <c r="DK123" s="91"/>
      <c r="DL123" s="91"/>
      <c r="DM123" s="91"/>
      <c r="DN123" s="91"/>
      <c r="DO123" s="203"/>
      <c r="DP123" s="206"/>
      <c r="DQ123" s="206"/>
      <c r="DR123" s="206"/>
      <c r="DS123" s="206"/>
      <c r="DT123" s="206"/>
      <c r="DU123" s="206"/>
      <c r="DV123" s="206"/>
      <c r="DW123" s="206"/>
      <c r="DX123" s="206"/>
      <c r="DY123" s="206"/>
      <c r="DZ123" s="206"/>
      <c r="EA123" s="206"/>
      <c r="EB123" s="100"/>
      <c r="EC123" s="100"/>
      <c r="ED123" s="100"/>
      <c r="EE123" s="93"/>
      <c r="EF123" s="94"/>
      <c r="EG123" s="95"/>
      <c r="EH123" s="94"/>
      <c r="EI123" s="96"/>
      <c r="EJ123" s="95"/>
      <c r="EK123" s="94"/>
      <c r="EL123" s="98"/>
      <c r="EM123" s="95"/>
      <c r="EN123" s="94"/>
      <c r="EO123" s="93"/>
      <c r="EP123" s="93"/>
      <c r="EQ123" s="97"/>
      <c r="ER123" s="94"/>
      <c r="ES123" s="56"/>
    </row>
    <row r="124" spans="8:149">
      <c r="AH124" s="8"/>
      <c r="AI124" s="8"/>
      <c r="AJ124" s="8"/>
      <c r="AK124" s="8"/>
      <c r="AL124" s="8"/>
      <c r="AM124" s="8"/>
      <c r="AN124" s="8"/>
      <c r="BE124" s="42"/>
      <c r="BF124" s="5"/>
      <c r="BG124" s="35"/>
      <c r="BH124" s="5"/>
      <c r="BI124" s="6"/>
      <c r="BJ124" s="35"/>
      <c r="BK124" s="5"/>
      <c r="BL124" s="41"/>
      <c r="BM124" s="35"/>
      <c r="BN124" s="5"/>
      <c r="BO124" s="42"/>
      <c r="BP124" s="42"/>
      <c r="BQ124" s="40"/>
      <c r="BR124" s="5"/>
      <c r="DA124" s="203"/>
      <c r="DB124" s="203"/>
      <c r="DC124" s="203"/>
      <c r="DD124" s="204"/>
      <c r="DE124" s="205"/>
      <c r="DF124" s="205"/>
      <c r="DG124" s="205"/>
      <c r="DH124" s="91"/>
      <c r="DI124" s="91"/>
      <c r="DJ124" s="91"/>
      <c r="DK124" s="91"/>
      <c r="DL124" s="91"/>
      <c r="DM124" s="91"/>
      <c r="DN124" s="91"/>
      <c r="DO124" s="203"/>
      <c r="DP124" s="206"/>
      <c r="DQ124" s="206"/>
      <c r="DR124" s="206"/>
      <c r="DS124" s="206"/>
      <c r="DT124" s="206"/>
      <c r="DU124" s="206"/>
      <c r="DV124" s="206"/>
      <c r="DW124" s="206"/>
      <c r="DX124" s="206"/>
      <c r="DY124" s="206"/>
      <c r="DZ124" s="206"/>
      <c r="EA124" s="206"/>
      <c r="EB124" s="100"/>
      <c r="EC124" s="100"/>
      <c r="ED124" s="100"/>
      <c r="EE124" s="93"/>
      <c r="EF124" s="94"/>
      <c r="EG124" s="95"/>
      <c r="EH124" s="94"/>
      <c r="EI124" s="96"/>
      <c r="EJ124" s="95"/>
      <c r="EK124" s="94"/>
      <c r="EL124" s="98"/>
      <c r="EM124" s="95"/>
      <c r="EN124" s="94"/>
      <c r="EO124" s="93"/>
      <c r="EP124" s="93"/>
      <c r="EQ124" s="97"/>
      <c r="ER124" s="94"/>
      <c r="ES124" s="56"/>
    </row>
    <row r="125" spans="8:149">
      <c r="AH125" s="8"/>
      <c r="AI125" s="8"/>
      <c r="AJ125" s="8"/>
      <c r="AK125" s="8"/>
      <c r="AL125" s="8"/>
      <c r="AM125" s="8"/>
      <c r="AN125" s="8"/>
      <c r="BE125" s="42"/>
      <c r="BF125" s="5"/>
      <c r="BG125" s="35"/>
      <c r="BH125" s="5"/>
      <c r="BI125" s="6"/>
      <c r="BJ125" s="35"/>
      <c r="BK125" s="5"/>
      <c r="BL125" s="41"/>
      <c r="BM125" s="35"/>
      <c r="BN125" s="5"/>
      <c r="BO125" s="42"/>
      <c r="BP125" s="42"/>
      <c r="BQ125" s="40"/>
      <c r="BR125" s="5"/>
      <c r="DA125" s="203"/>
      <c r="DB125" s="203"/>
      <c r="DC125" s="203"/>
      <c r="DD125" s="204"/>
      <c r="DE125" s="205"/>
      <c r="DF125" s="205"/>
      <c r="DG125" s="205"/>
      <c r="DH125" s="91"/>
      <c r="DI125" s="91"/>
      <c r="DJ125" s="91"/>
      <c r="DK125" s="91"/>
      <c r="DL125" s="91"/>
      <c r="DM125" s="91"/>
      <c r="DN125" s="91"/>
      <c r="DO125" s="203"/>
      <c r="DP125" s="206"/>
      <c r="DQ125" s="206"/>
      <c r="DR125" s="206"/>
      <c r="DS125" s="206"/>
      <c r="DT125" s="206"/>
      <c r="DU125" s="206"/>
      <c r="DV125" s="206"/>
      <c r="DW125" s="206"/>
      <c r="DX125" s="206"/>
      <c r="DY125" s="206"/>
      <c r="DZ125" s="206"/>
      <c r="EA125" s="206"/>
      <c r="EB125" s="100"/>
      <c r="EC125" s="100"/>
      <c r="ED125" s="100"/>
      <c r="EE125" s="93"/>
      <c r="EF125" s="94"/>
      <c r="EG125" s="95"/>
      <c r="EH125" s="94"/>
      <c r="EI125" s="96"/>
      <c r="EJ125" s="95"/>
      <c r="EK125" s="94"/>
      <c r="EL125" s="98"/>
      <c r="EM125" s="95"/>
      <c r="EN125" s="94"/>
      <c r="EO125" s="93"/>
      <c r="EP125" s="93"/>
      <c r="EQ125" s="97"/>
      <c r="ER125" s="94"/>
      <c r="ES125" s="56"/>
    </row>
    <row r="126" spans="8:149">
      <c r="AH126" s="8"/>
      <c r="AI126" s="8"/>
      <c r="AJ126" s="8"/>
      <c r="AK126" s="8"/>
      <c r="AL126" s="8"/>
      <c r="AM126" s="8"/>
      <c r="AN126" s="8"/>
      <c r="BE126" s="42"/>
      <c r="BF126" s="5"/>
      <c r="BG126" s="35"/>
      <c r="BH126" s="5"/>
      <c r="BI126" s="6"/>
      <c r="BJ126" s="35"/>
      <c r="BK126" s="5"/>
      <c r="BL126" s="41"/>
      <c r="BM126" s="35"/>
      <c r="BN126" s="5"/>
      <c r="BO126" s="42"/>
      <c r="BP126" s="42"/>
      <c r="BQ126" s="40"/>
      <c r="BR126" s="5"/>
      <c r="DA126" s="203"/>
      <c r="DB126" s="203"/>
      <c r="DC126" s="203"/>
      <c r="DD126" s="204"/>
      <c r="DE126" s="205"/>
      <c r="DF126" s="205"/>
      <c r="DG126" s="205"/>
      <c r="DH126" s="91"/>
      <c r="DI126" s="91"/>
      <c r="DJ126" s="91"/>
      <c r="DK126" s="91"/>
      <c r="DL126" s="91"/>
      <c r="DM126" s="91"/>
      <c r="DN126" s="91"/>
      <c r="DO126" s="203"/>
      <c r="DP126" s="206"/>
      <c r="DQ126" s="206"/>
      <c r="DR126" s="206"/>
      <c r="DS126" s="206"/>
      <c r="DT126" s="206"/>
      <c r="DU126" s="206"/>
      <c r="DV126" s="206"/>
      <c r="DW126" s="206"/>
      <c r="DX126" s="206"/>
      <c r="DY126" s="206"/>
      <c r="DZ126" s="206"/>
      <c r="EA126" s="206"/>
      <c r="EB126" s="100"/>
      <c r="EC126" s="100"/>
      <c r="ED126" s="100"/>
      <c r="EE126" s="93"/>
      <c r="EF126" s="94"/>
      <c r="EG126" s="95"/>
      <c r="EH126" s="94"/>
      <c r="EI126" s="96"/>
      <c r="EJ126" s="95"/>
      <c r="EK126" s="94"/>
      <c r="EL126" s="98"/>
      <c r="EM126" s="95"/>
      <c r="EN126" s="94"/>
      <c r="EO126" s="93"/>
      <c r="EP126" s="93"/>
      <c r="EQ126" s="97"/>
      <c r="ER126" s="94"/>
      <c r="ES126" s="56"/>
    </row>
    <row r="127" spans="8:149">
      <c r="AH127" s="8"/>
      <c r="AI127" s="8"/>
      <c r="AJ127" s="8"/>
      <c r="AK127" s="8"/>
      <c r="AL127" s="8"/>
      <c r="AM127" s="8"/>
      <c r="AN127" s="8"/>
      <c r="BE127" s="42"/>
      <c r="BF127" s="5"/>
      <c r="BG127" s="35"/>
      <c r="BH127" s="5"/>
      <c r="BI127" s="6"/>
      <c r="BJ127" s="35"/>
      <c r="BK127" s="5"/>
      <c r="BL127" s="41"/>
      <c r="BM127" s="35"/>
      <c r="BN127" s="5"/>
      <c r="BO127" s="42"/>
      <c r="BP127" s="42"/>
      <c r="BQ127" s="40"/>
      <c r="BR127" s="5"/>
      <c r="DA127" s="203"/>
      <c r="DB127" s="203"/>
      <c r="DC127" s="203"/>
      <c r="DD127" s="204"/>
      <c r="DE127" s="205"/>
      <c r="DF127" s="205"/>
      <c r="DG127" s="205"/>
      <c r="DH127" s="91"/>
      <c r="DI127" s="91"/>
      <c r="DJ127" s="91"/>
      <c r="DK127" s="91"/>
      <c r="DL127" s="91"/>
      <c r="DM127" s="91"/>
      <c r="DN127" s="91"/>
      <c r="DO127" s="203"/>
      <c r="DP127" s="206"/>
      <c r="DQ127" s="206"/>
      <c r="DR127" s="206"/>
      <c r="DS127" s="206"/>
      <c r="DT127" s="206"/>
      <c r="DU127" s="206"/>
      <c r="DV127" s="206"/>
      <c r="DW127" s="206"/>
      <c r="DX127" s="206"/>
      <c r="DY127" s="206"/>
      <c r="DZ127" s="206"/>
      <c r="EA127" s="206"/>
      <c r="EB127" s="100"/>
      <c r="EC127" s="100"/>
      <c r="ED127" s="100"/>
      <c r="EE127" s="93"/>
      <c r="EF127" s="94"/>
      <c r="EG127" s="95"/>
      <c r="EH127" s="94"/>
      <c r="EI127" s="96"/>
      <c r="EJ127" s="95"/>
      <c r="EK127" s="94"/>
      <c r="EL127" s="98"/>
      <c r="EM127" s="95"/>
      <c r="EN127" s="94"/>
      <c r="EO127" s="93"/>
      <c r="EP127" s="93"/>
      <c r="EQ127" s="97"/>
      <c r="ER127" s="94"/>
      <c r="ES127" s="56"/>
    </row>
    <row r="128" spans="8:149">
      <c r="AH128" s="8"/>
      <c r="AI128" s="8"/>
      <c r="AJ128" s="8"/>
      <c r="AK128" s="8"/>
      <c r="AL128" s="8"/>
      <c r="AM128" s="8"/>
      <c r="AN128" s="8"/>
      <c r="BE128" s="42"/>
      <c r="BF128" s="5"/>
      <c r="BG128" s="35"/>
      <c r="BH128" s="5"/>
      <c r="BI128" s="6"/>
      <c r="BJ128" s="35"/>
      <c r="BK128" s="5"/>
      <c r="BL128" s="41"/>
      <c r="BM128" s="35"/>
      <c r="BN128" s="5"/>
      <c r="BO128" s="42"/>
      <c r="BP128" s="42"/>
      <c r="BQ128" s="40"/>
      <c r="BR128" s="5"/>
      <c r="DA128" s="203"/>
      <c r="DB128" s="203"/>
      <c r="DC128" s="203"/>
      <c r="DD128" s="204"/>
      <c r="DE128" s="205"/>
      <c r="DF128" s="205"/>
      <c r="DG128" s="205"/>
      <c r="DH128" s="91"/>
      <c r="DI128" s="91"/>
      <c r="DJ128" s="91"/>
      <c r="DK128" s="91"/>
      <c r="DL128" s="91"/>
      <c r="DM128" s="91"/>
      <c r="DN128" s="91"/>
      <c r="DO128" s="203"/>
      <c r="DP128" s="206"/>
      <c r="DQ128" s="206"/>
      <c r="DR128" s="206"/>
      <c r="DS128" s="206"/>
      <c r="DT128" s="206"/>
      <c r="DU128" s="206"/>
      <c r="DV128" s="206"/>
      <c r="DW128" s="206"/>
      <c r="DX128" s="206"/>
      <c r="DY128" s="206"/>
      <c r="DZ128" s="206"/>
      <c r="EA128" s="206"/>
      <c r="EB128" s="100"/>
      <c r="EC128" s="100"/>
      <c r="ED128" s="100"/>
      <c r="EE128" s="93"/>
      <c r="EF128" s="94"/>
      <c r="EG128" s="95"/>
      <c r="EH128" s="94"/>
      <c r="EI128" s="96"/>
      <c r="EJ128" s="95"/>
      <c r="EK128" s="94"/>
      <c r="EL128" s="98"/>
      <c r="EM128" s="95"/>
      <c r="EN128" s="94"/>
      <c r="EO128" s="93"/>
      <c r="EP128" s="93"/>
      <c r="EQ128" s="97"/>
      <c r="ER128" s="94"/>
      <c r="ES128" s="56"/>
    </row>
    <row r="129" spans="34:149">
      <c r="AH129" s="8"/>
      <c r="AI129" s="8"/>
      <c r="AJ129" s="8"/>
      <c r="AK129" s="8"/>
      <c r="AL129" s="8"/>
      <c r="AM129" s="8"/>
      <c r="AN129" s="8"/>
      <c r="BE129" s="42"/>
      <c r="BF129" s="5"/>
      <c r="BG129" s="35"/>
      <c r="BH129" s="5"/>
      <c r="BI129" s="6"/>
      <c r="BJ129" s="35"/>
      <c r="BK129" s="5"/>
      <c r="BL129" s="41"/>
      <c r="BM129" s="35"/>
      <c r="BN129" s="5"/>
      <c r="BO129" s="42"/>
      <c r="BP129" s="42"/>
      <c r="BQ129" s="40"/>
      <c r="BR129" s="5"/>
      <c r="DA129" s="203"/>
      <c r="DB129" s="203"/>
      <c r="DC129" s="203"/>
      <c r="DD129" s="204"/>
      <c r="DE129" s="205"/>
      <c r="DF129" s="205"/>
      <c r="DG129" s="205"/>
      <c r="DH129" s="91"/>
      <c r="DI129" s="91"/>
      <c r="DJ129" s="91"/>
      <c r="DK129" s="91"/>
      <c r="DL129" s="91"/>
      <c r="DM129" s="91"/>
      <c r="DN129" s="91"/>
      <c r="DO129" s="203"/>
      <c r="DP129" s="206"/>
      <c r="DQ129" s="206"/>
      <c r="DR129" s="206"/>
      <c r="DS129" s="206"/>
      <c r="DT129" s="206"/>
      <c r="DU129" s="206"/>
      <c r="DV129" s="206"/>
      <c r="DW129" s="206"/>
      <c r="DX129" s="206"/>
      <c r="DY129" s="206"/>
      <c r="DZ129" s="206"/>
      <c r="EA129" s="206"/>
      <c r="EB129" s="100"/>
      <c r="EC129" s="100"/>
      <c r="ED129" s="100"/>
      <c r="EE129" s="93"/>
      <c r="EF129" s="94"/>
      <c r="EG129" s="95"/>
      <c r="EH129" s="94"/>
      <c r="EI129" s="96"/>
      <c r="EJ129" s="95"/>
      <c r="EK129" s="94"/>
      <c r="EL129" s="98"/>
      <c r="EM129" s="95"/>
      <c r="EN129" s="94"/>
      <c r="EO129" s="93"/>
      <c r="EP129" s="93"/>
      <c r="EQ129" s="97"/>
      <c r="ER129" s="94"/>
      <c r="ES129" s="56"/>
    </row>
    <row r="130" spans="34:149">
      <c r="AH130" s="8"/>
      <c r="AI130" s="8"/>
      <c r="AJ130" s="8"/>
      <c r="AK130" s="8"/>
      <c r="AL130" s="8"/>
      <c r="AM130" s="8"/>
      <c r="AN130" s="8"/>
      <c r="BE130" s="42"/>
      <c r="BF130" s="5"/>
      <c r="BG130" s="35"/>
      <c r="BH130" s="5"/>
      <c r="BI130" s="6"/>
      <c r="BJ130" s="35"/>
      <c r="BK130" s="5"/>
      <c r="BL130" s="41"/>
      <c r="BM130" s="35"/>
      <c r="BN130" s="5"/>
      <c r="BO130" s="42"/>
      <c r="BP130" s="42"/>
      <c r="BQ130" s="40"/>
      <c r="BR130" s="5"/>
      <c r="DA130" s="203"/>
      <c r="DB130" s="203"/>
      <c r="DC130" s="203"/>
      <c r="DD130" s="204"/>
      <c r="DE130" s="205"/>
      <c r="DF130" s="205"/>
      <c r="DG130" s="205"/>
      <c r="DH130" s="91"/>
      <c r="DI130" s="91"/>
      <c r="DJ130" s="91"/>
      <c r="DK130" s="91"/>
      <c r="DL130" s="91"/>
      <c r="DM130" s="91"/>
      <c r="DN130" s="91"/>
      <c r="DO130" s="203"/>
      <c r="DP130" s="206"/>
      <c r="DQ130" s="206"/>
      <c r="DR130" s="206"/>
      <c r="DS130" s="206"/>
      <c r="DT130" s="206"/>
      <c r="DU130" s="206"/>
      <c r="DV130" s="206"/>
      <c r="DW130" s="206"/>
      <c r="DX130" s="206"/>
      <c r="DY130" s="206"/>
      <c r="DZ130" s="206"/>
      <c r="EA130" s="206"/>
      <c r="EB130" s="100"/>
      <c r="EC130" s="100"/>
      <c r="ED130" s="100"/>
      <c r="EE130" s="93"/>
      <c r="EF130" s="94"/>
      <c r="EG130" s="95"/>
      <c r="EH130" s="94"/>
      <c r="EI130" s="96"/>
      <c r="EJ130" s="95"/>
      <c r="EK130" s="94"/>
      <c r="EL130" s="98"/>
      <c r="EM130" s="95"/>
      <c r="EN130" s="94"/>
      <c r="EO130" s="93"/>
      <c r="EP130" s="93"/>
      <c r="EQ130" s="97"/>
      <c r="ER130" s="94"/>
      <c r="ES130" s="56"/>
    </row>
    <row r="131" spans="34:149">
      <c r="AH131" s="8"/>
      <c r="AI131" s="8"/>
      <c r="AJ131" s="8"/>
      <c r="AK131" s="8"/>
      <c r="AL131" s="8"/>
      <c r="AM131" s="8"/>
      <c r="AN131" s="8"/>
      <c r="BE131" s="42"/>
      <c r="BF131" s="5"/>
      <c r="BG131" s="35"/>
      <c r="BH131" s="5"/>
      <c r="BI131" s="6"/>
      <c r="BJ131" s="35"/>
      <c r="BK131" s="5"/>
      <c r="BL131" s="41"/>
      <c r="BM131" s="35"/>
      <c r="BN131" s="5"/>
      <c r="BO131" s="42"/>
      <c r="BP131" s="42"/>
      <c r="BQ131" s="40"/>
      <c r="BR131" s="5"/>
      <c r="DA131" s="203"/>
      <c r="DB131" s="203"/>
      <c r="DC131" s="203"/>
      <c r="DD131" s="204"/>
      <c r="DE131" s="205"/>
      <c r="DF131" s="205"/>
      <c r="DG131" s="205"/>
      <c r="DH131" s="91"/>
      <c r="DI131" s="91"/>
      <c r="DJ131" s="91"/>
      <c r="DK131" s="91"/>
      <c r="DL131" s="91"/>
      <c r="DM131" s="91"/>
      <c r="DN131" s="91"/>
      <c r="DO131" s="203"/>
      <c r="DP131" s="206"/>
      <c r="DQ131" s="206"/>
      <c r="DR131" s="206"/>
      <c r="DS131" s="206"/>
      <c r="DT131" s="206"/>
      <c r="DU131" s="206"/>
      <c r="DV131" s="206"/>
      <c r="DW131" s="206"/>
      <c r="DX131" s="206"/>
      <c r="DY131" s="206"/>
      <c r="DZ131" s="206"/>
      <c r="EA131" s="206"/>
      <c r="EB131" s="100"/>
      <c r="EC131" s="100"/>
      <c r="ED131" s="100"/>
      <c r="EE131" s="93"/>
      <c r="EF131" s="94"/>
      <c r="EG131" s="95"/>
      <c r="EH131" s="94"/>
      <c r="EI131" s="96"/>
      <c r="EJ131" s="95"/>
      <c r="EK131" s="94"/>
      <c r="EL131" s="98"/>
      <c r="EM131" s="95"/>
      <c r="EN131" s="94"/>
      <c r="EO131" s="93"/>
      <c r="EP131" s="93"/>
      <c r="EQ131" s="97"/>
      <c r="ER131" s="94"/>
      <c r="ES131" s="56"/>
    </row>
    <row r="132" spans="34:149">
      <c r="AH132" s="8"/>
      <c r="AI132" s="8"/>
      <c r="AJ132" s="8"/>
      <c r="AK132" s="8"/>
      <c r="AL132" s="8"/>
      <c r="AM132" s="8"/>
      <c r="AN132" s="8"/>
      <c r="BE132" s="42"/>
      <c r="BF132" s="5"/>
      <c r="BG132" s="35"/>
      <c r="BH132" s="5"/>
      <c r="BI132" s="6"/>
      <c r="BJ132" s="35"/>
      <c r="BK132" s="5"/>
      <c r="BL132" s="41"/>
      <c r="BM132" s="35"/>
      <c r="BN132" s="5"/>
      <c r="BO132" s="42"/>
      <c r="BP132" s="42"/>
      <c r="BQ132" s="40"/>
      <c r="BR132" s="5"/>
      <c r="DA132" s="203"/>
      <c r="DB132" s="203"/>
      <c r="DC132" s="203"/>
      <c r="DD132" s="204"/>
      <c r="DE132" s="205"/>
      <c r="DF132" s="205"/>
      <c r="DG132" s="205"/>
      <c r="DH132" s="91"/>
      <c r="DI132" s="91"/>
      <c r="DJ132" s="91"/>
      <c r="DK132" s="91"/>
      <c r="DL132" s="91"/>
      <c r="DM132" s="91"/>
      <c r="DN132" s="91"/>
      <c r="DO132" s="203"/>
      <c r="DP132" s="206"/>
      <c r="DQ132" s="206"/>
      <c r="DR132" s="206"/>
      <c r="DS132" s="206"/>
      <c r="DT132" s="206"/>
      <c r="DU132" s="206"/>
      <c r="DV132" s="206"/>
      <c r="DW132" s="206"/>
      <c r="DX132" s="206"/>
      <c r="DY132" s="206"/>
      <c r="DZ132" s="206"/>
      <c r="EA132" s="206"/>
      <c r="EB132" s="100"/>
      <c r="EC132" s="100"/>
      <c r="ED132" s="100"/>
      <c r="EE132" s="93"/>
      <c r="EF132" s="94"/>
      <c r="EG132" s="95"/>
      <c r="EH132" s="94"/>
      <c r="EI132" s="96"/>
      <c r="EJ132" s="95"/>
      <c r="EK132" s="94"/>
      <c r="EL132" s="98"/>
      <c r="EM132" s="95"/>
      <c r="EN132" s="94"/>
      <c r="EO132" s="93"/>
      <c r="EP132" s="93"/>
      <c r="EQ132" s="97"/>
      <c r="ER132" s="94"/>
      <c r="ES132" s="56"/>
    </row>
    <row r="133" spans="34:149">
      <c r="AH133" s="8"/>
      <c r="AI133" s="8"/>
      <c r="AJ133" s="8"/>
      <c r="AK133" s="8"/>
      <c r="AL133" s="8"/>
      <c r="AM133" s="8"/>
      <c r="AN133" s="8"/>
      <c r="BE133" s="42"/>
      <c r="BF133" s="5"/>
      <c r="BG133" s="35"/>
      <c r="BH133" s="5"/>
      <c r="BI133" s="6"/>
      <c r="BJ133" s="35"/>
      <c r="BK133" s="5"/>
      <c r="BL133" s="41"/>
      <c r="BM133" s="35"/>
      <c r="BN133" s="5"/>
      <c r="BO133" s="42"/>
      <c r="BP133" s="42"/>
      <c r="BQ133" s="40"/>
      <c r="BR133" s="5"/>
      <c r="DA133" s="203"/>
      <c r="DB133" s="203"/>
      <c r="DC133" s="203"/>
      <c r="DD133" s="204"/>
      <c r="DE133" s="205"/>
      <c r="DF133" s="205"/>
      <c r="DG133" s="205"/>
      <c r="DH133" s="91"/>
      <c r="DI133" s="91"/>
      <c r="DJ133" s="91"/>
      <c r="DK133" s="91"/>
      <c r="DL133" s="91"/>
      <c r="DM133" s="91"/>
      <c r="DN133" s="91"/>
      <c r="DO133" s="203"/>
      <c r="DP133" s="206"/>
      <c r="DQ133" s="206"/>
      <c r="DR133" s="206"/>
      <c r="DS133" s="206"/>
      <c r="DT133" s="206"/>
      <c r="DU133" s="206"/>
      <c r="DV133" s="206"/>
      <c r="DW133" s="206"/>
      <c r="DX133" s="206"/>
      <c r="DY133" s="206"/>
      <c r="DZ133" s="206"/>
      <c r="EA133" s="206"/>
      <c r="EB133" s="100"/>
      <c r="EC133" s="100"/>
      <c r="ED133" s="100"/>
      <c r="EE133" s="93"/>
      <c r="EF133" s="94"/>
      <c r="EG133" s="95"/>
      <c r="EH133" s="94"/>
      <c r="EI133" s="96"/>
      <c r="EJ133" s="95"/>
      <c r="EK133" s="94"/>
      <c r="EL133" s="98"/>
      <c r="EM133" s="95"/>
      <c r="EN133" s="94"/>
      <c r="EO133" s="93"/>
      <c r="EP133" s="93"/>
      <c r="EQ133" s="97"/>
      <c r="ER133" s="94"/>
      <c r="ES133" s="56"/>
    </row>
    <row r="134" spans="34:149">
      <c r="AH134" s="8"/>
      <c r="AI134" s="8"/>
      <c r="AJ134" s="8"/>
      <c r="AK134" s="8"/>
      <c r="AL134" s="8"/>
      <c r="AM134" s="8"/>
      <c r="AN134" s="8"/>
      <c r="BE134" s="42"/>
      <c r="BF134" s="5"/>
      <c r="BG134" s="35"/>
      <c r="BH134" s="5"/>
      <c r="BI134" s="6"/>
      <c r="BJ134" s="35"/>
      <c r="BK134" s="5"/>
      <c r="BL134" s="41"/>
      <c r="BM134" s="35"/>
      <c r="BN134" s="5"/>
      <c r="BO134" s="42"/>
      <c r="BP134" s="42"/>
      <c r="BQ134" s="40"/>
      <c r="BR134" s="5"/>
      <c r="DA134" s="203"/>
      <c r="DB134" s="203"/>
      <c r="DC134" s="203"/>
      <c r="DD134" s="204"/>
      <c r="DE134" s="205"/>
      <c r="DF134" s="205"/>
      <c r="DG134" s="205"/>
      <c r="DH134" s="91"/>
      <c r="DI134" s="91"/>
      <c r="DJ134" s="91"/>
      <c r="DK134" s="91"/>
      <c r="DL134" s="91"/>
      <c r="DM134" s="91"/>
      <c r="DN134" s="91"/>
      <c r="DO134" s="203"/>
      <c r="DP134" s="206"/>
      <c r="DQ134" s="206"/>
      <c r="DR134" s="206"/>
      <c r="DS134" s="206"/>
      <c r="DT134" s="206"/>
      <c r="DU134" s="206"/>
      <c r="DV134" s="206"/>
      <c r="DW134" s="206"/>
      <c r="DX134" s="206"/>
      <c r="DY134" s="206"/>
      <c r="DZ134" s="206"/>
      <c r="EA134" s="206"/>
      <c r="EB134" s="100"/>
      <c r="EC134" s="100"/>
      <c r="ED134" s="100"/>
      <c r="EE134" s="93"/>
      <c r="EF134" s="94"/>
      <c r="EG134" s="95"/>
      <c r="EH134" s="94"/>
      <c r="EI134" s="96"/>
      <c r="EJ134" s="95"/>
      <c r="EK134" s="94"/>
      <c r="EL134" s="98"/>
      <c r="EM134" s="95"/>
      <c r="EN134" s="94"/>
      <c r="EO134" s="93"/>
      <c r="EP134" s="93"/>
      <c r="EQ134" s="97"/>
      <c r="ER134" s="94"/>
      <c r="ES134" s="56"/>
    </row>
    <row r="135" spans="34:149">
      <c r="AH135" s="8"/>
      <c r="AI135" s="8"/>
      <c r="AJ135" s="8"/>
      <c r="AK135" s="8"/>
      <c r="AL135" s="8"/>
      <c r="AM135" s="8"/>
      <c r="AN135" s="8"/>
      <c r="BE135" s="42"/>
      <c r="BF135" s="5"/>
      <c r="BG135" s="35"/>
      <c r="BH135" s="5"/>
      <c r="BI135" s="6"/>
      <c r="BJ135" s="35"/>
      <c r="BK135" s="5"/>
      <c r="BL135" s="41"/>
      <c r="BM135" s="35"/>
      <c r="BN135" s="5"/>
      <c r="BO135" s="42"/>
      <c r="BP135" s="42"/>
      <c r="BQ135" s="40"/>
      <c r="BR135" s="5"/>
      <c r="DA135" s="203"/>
      <c r="DB135" s="203"/>
      <c r="DC135" s="203"/>
      <c r="DD135" s="204"/>
      <c r="DE135" s="205"/>
      <c r="DF135" s="205"/>
      <c r="DG135" s="205"/>
      <c r="DH135" s="91"/>
      <c r="DI135" s="91"/>
      <c r="DJ135" s="91"/>
      <c r="DK135" s="91"/>
      <c r="DL135" s="91"/>
      <c r="DM135" s="91"/>
      <c r="DN135" s="91"/>
      <c r="DO135" s="203"/>
      <c r="DP135" s="206"/>
      <c r="DQ135" s="206"/>
      <c r="DR135" s="206"/>
      <c r="DS135" s="206"/>
      <c r="DT135" s="206"/>
      <c r="DU135" s="206"/>
      <c r="DV135" s="206"/>
      <c r="DW135" s="206"/>
      <c r="DX135" s="206"/>
      <c r="DY135" s="206"/>
      <c r="DZ135" s="206"/>
      <c r="EA135" s="206"/>
      <c r="EB135" s="100"/>
      <c r="EC135" s="100"/>
      <c r="ED135" s="100"/>
      <c r="EE135" s="93"/>
      <c r="EF135" s="94"/>
      <c r="EG135" s="95"/>
      <c r="EH135" s="94"/>
      <c r="EI135" s="96"/>
      <c r="EJ135" s="95"/>
      <c r="EK135" s="94"/>
      <c r="EL135" s="98"/>
      <c r="EM135" s="95"/>
      <c r="EN135" s="94"/>
      <c r="EO135" s="93"/>
      <c r="EP135" s="93"/>
      <c r="EQ135" s="97"/>
      <c r="ER135" s="94"/>
      <c r="ES135" s="56"/>
    </row>
    <row r="136" spans="34:149">
      <c r="AH136" s="8"/>
      <c r="AI136" s="8"/>
      <c r="AJ136" s="8"/>
      <c r="AK136" s="8"/>
      <c r="AL136" s="8"/>
      <c r="AM136" s="8"/>
      <c r="AN136" s="8"/>
      <c r="BE136" s="42"/>
      <c r="BF136" s="5"/>
      <c r="BG136" s="35"/>
      <c r="BH136" s="5"/>
      <c r="BI136" s="6"/>
      <c r="BJ136" s="35"/>
      <c r="BK136" s="5"/>
      <c r="BL136" s="41"/>
      <c r="BM136" s="35"/>
      <c r="BN136" s="5"/>
      <c r="BO136" s="42"/>
      <c r="BP136" s="42"/>
      <c r="BQ136" s="40"/>
      <c r="BR136" s="5"/>
      <c r="DA136" s="203"/>
      <c r="DB136" s="203"/>
      <c r="DC136" s="203"/>
      <c r="DD136" s="204"/>
      <c r="DE136" s="205"/>
      <c r="DF136" s="205"/>
      <c r="DG136" s="205"/>
      <c r="DH136" s="91"/>
      <c r="DI136" s="91"/>
      <c r="DJ136" s="91"/>
      <c r="DK136" s="91"/>
      <c r="DL136" s="91"/>
      <c r="DM136" s="91"/>
      <c r="DN136" s="91"/>
      <c r="DO136" s="203"/>
      <c r="DP136" s="206"/>
      <c r="DQ136" s="206"/>
      <c r="DR136" s="206"/>
      <c r="DS136" s="206"/>
      <c r="DT136" s="206"/>
      <c r="DU136" s="206"/>
      <c r="DV136" s="206"/>
      <c r="DW136" s="206"/>
      <c r="DX136" s="206"/>
      <c r="DY136" s="206"/>
      <c r="DZ136" s="206"/>
      <c r="EA136" s="206"/>
      <c r="EB136" s="100"/>
      <c r="EC136" s="100"/>
      <c r="ED136" s="100"/>
      <c r="EE136" s="93"/>
      <c r="EF136" s="94"/>
      <c r="EG136" s="95"/>
      <c r="EH136" s="94"/>
      <c r="EI136" s="96"/>
      <c r="EJ136" s="95"/>
      <c r="EK136" s="94"/>
      <c r="EL136" s="98"/>
      <c r="EM136" s="95"/>
      <c r="EN136" s="94"/>
      <c r="EO136" s="93"/>
      <c r="EP136" s="93"/>
      <c r="EQ136" s="97"/>
      <c r="ER136" s="94"/>
      <c r="ES136" s="56"/>
    </row>
    <row r="137" spans="34:149">
      <c r="AH137" s="8"/>
      <c r="AI137" s="8"/>
      <c r="AJ137" s="8"/>
      <c r="AK137" s="8"/>
      <c r="AL137" s="8"/>
      <c r="AM137" s="8"/>
      <c r="AN137" s="8"/>
      <c r="BE137" s="42"/>
      <c r="BF137" s="5"/>
      <c r="BG137" s="35"/>
      <c r="BH137" s="5"/>
      <c r="BI137" s="6"/>
      <c r="BJ137" s="35"/>
      <c r="BK137" s="5"/>
      <c r="BL137" s="41"/>
      <c r="BM137" s="35"/>
      <c r="BN137" s="5"/>
      <c r="BO137" s="42"/>
      <c r="BP137" s="42"/>
      <c r="BQ137" s="40"/>
      <c r="BR137" s="5"/>
      <c r="DA137" s="203"/>
      <c r="DB137" s="203"/>
      <c r="DC137" s="203"/>
      <c r="DD137" s="204"/>
      <c r="DE137" s="205"/>
      <c r="DF137" s="205"/>
      <c r="DG137" s="205"/>
      <c r="DH137" s="91"/>
      <c r="DI137" s="91"/>
      <c r="DJ137" s="91"/>
      <c r="DK137" s="91"/>
      <c r="DL137" s="91"/>
      <c r="DM137" s="91"/>
      <c r="DN137" s="91"/>
      <c r="DO137" s="203"/>
      <c r="DP137" s="206"/>
      <c r="DQ137" s="206"/>
      <c r="DR137" s="206"/>
      <c r="DS137" s="206"/>
      <c r="DT137" s="206"/>
      <c r="DU137" s="206"/>
      <c r="DV137" s="206"/>
      <c r="DW137" s="206"/>
      <c r="DX137" s="206"/>
      <c r="DY137" s="206"/>
      <c r="DZ137" s="206"/>
      <c r="EA137" s="206"/>
      <c r="EB137" s="100"/>
      <c r="EC137" s="100"/>
      <c r="ED137" s="100"/>
      <c r="EE137" s="93"/>
      <c r="EF137" s="94"/>
      <c r="EG137" s="95"/>
      <c r="EH137" s="94"/>
      <c r="EI137" s="96"/>
      <c r="EJ137" s="95"/>
      <c r="EK137" s="94"/>
      <c r="EL137" s="98"/>
      <c r="EM137" s="95"/>
      <c r="EN137" s="94"/>
      <c r="EO137" s="93"/>
      <c r="EP137" s="93"/>
      <c r="EQ137" s="97"/>
      <c r="ER137" s="94"/>
      <c r="ES137" s="56"/>
    </row>
    <row r="138" spans="34:149">
      <c r="AH138" s="8"/>
      <c r="AI138" s="8"/>
      <c r="AJ138" s="8"/>
      <c r="AK138" s="8"/>
      <c r="AL138" s="8"/>
      <c r="AM138" s="8"/>
      <c r="AN138" s="8"/>
      <c r="BE138" s="42"/>
      <c r="BF138" s="5"/>
      <c r="BG138" s="35"/>
      <c r="BH138" s="5"/>
      <c r="BI138" s="6"/>
      <c r="BJ138" s="35"/>
      <c r="BK138" s="5"/>
      <c r="BL138" s="41"/>
      <c r="BM138" s="35"/>
      <c r="BN138" s="5"/>
      <c r="BO138" s="42"/>
      <c r="BP138" s="42"/>
      <c r="BQ138" s="40"/>
      <c r="BR138" s="5"/>
      <c r="DA138" s="203"/>
      <c r="DB138" s="203"/>
      <c r="DC138" s="203"/>
      <c r="DD138" s="204"/>
      <c r="DE138" s="205"/>
      <c r="DF138" s="205"/>
      <c r="DG138" s="205"/>
      <c r="DH138" s="91"/>
      <c r="DI138" s="91"/>
      <c r="DJ138" s="91"/>
      <c r="DK138" s="91"/>
      <c r="DL138" s="91"/>
      <c r="DM138" s="91"/>
      <c r="DN138" s="91"/>
      <c r="DO138" s="203"/>
      <c r="DP138" s="206"/>
      <c r="DQ138" s="206"/>
      <c r="DR138" s="206"/>
      <c r="DS138" s="206"/>
      <c r="DT138" s="206"/>
      <c r="DU138" s="206"/>
      <c r="DV138" s="206"/>
      <c r="DW138" s="206"/>
      <c r="DX138" s="206"/>
      <c r="DY138" s="206"/>
      <c r="DZ138" s="206"/>
      <c r="EA138" s="206"/>
      <c r="EB138" s="100"/>
      <c r="EC138" s="100"/>
      <c r="ED138" s="100"/>
      <c r="EE138" s="93"/>
      <c r="EF138" s="94"/>
      <c r="EG138" s="95"/>
      <c r="EH138" s="94"/>
      <c r="EI138" s="96"/>
      <c r="EJ138" s="95"/>
      <c r="EK138" s="94"/>
      <c r="EL138" s="98"/>
      <c r="EM138" s="95"/>
      <c r="EN138" s="94"/>
      <c r="EO138" s="93"/>
      <c r="EP138" s="93"/>
      <c r="EQ138" s="97"/>
      <c r="ER138" s="94"/>
      <c r="ES138" s="56"/>
    </row>
    <row r="139" spans="34:149">
      <c r="AH139" s="8"/>
      <c r="AI139" s="8"/>
      <c r="AJ139" s="8"/>
      <c r="AK139" s="8"/>
      <c r="AL139" s="8"/>
      <c r="AM139" s="8"/>
      <c r="AN139" s="8"/>
      <c r="BE139" s="42"/>
      <c r="BF139" s="5"/>
      <c r="BG139" s="35"/>
      <c r="BH139" s="5"/>
      <c r="BI139" s="6"/>
      <c r="BJ139" s="35"/>
      <c r="BK139" s="5"/>
      <c r="BL139" s="41"/>
      <c r="BM139" s="35"/>
      <c r="BN139" s="5"/>
      <c r="BO139" s="42"/>
      <c r="BP139" s="42"/>
      <c r="BQ139" s="40"/>
      <c r="BR139" s="5"/>
      <c r="DA139" s="203"/>
      <c r="DB139" s="203"/>
      <c r="DC139" s="203"/>
      <c r="DD139" s="204"/>
      <c r="DE139" s="205"/>
      <c r="DF139" s="205"/>
      <c r="DG139" s="205"/>
      <c r="DH139" s="91"/>
      <c r="DI139" s="91"/>
      <c r="DJ139" s="91"/>
      <c r="DK139" s="91"/>
      <c r="DL139" s="91"/>
      <c r="DM139" s="91"/>
      <c r="DN139" s="91"/>
      <c r="DO139" s="203"/>
      <c r="DP139" s="206"/>
      <c r="DQ139" s="206"/>
      <c r="DR139" s="206"/>
      <c r="DS139" s="206"/>
      <c r="DT139" s="206"/>
      <c r="DU139" s="206"/>
      <c r="DV139" s="206"/>
      <c r="DW139" s="206"/>
      <c r="DX139" s="206"/>
      <c r="DY139" s="206"/>
      <c r="DZ139" s="206"/>
      <c r="EA139" s="206"/>
      <c r="EB139" s="100"/>
      <c r="EC139" s="100"/>
      <c r="ED139" s="100"/>
      <c r="EE139" s="93"/>
      <c r="EF139" s="94"/>
      <c r="EG139" s="95"/>
      <c r="EH139" s="94"/>
      <c r="EI139" s="96"/>
      <c r="EJ139" s="95"/>
      <c r="EK139" s="94"/>
      <c r="EL139" s="98"/>
      <c r="EM139" s="95"/>
      <c r="EN139" s="94"/>
      <c r="EO139" s="93"/>
      <c r="EP139" s="93"/>
      <c r="EQ139" s="97"/>
      <c r="ER139" s="94"/>
      <c r="ES139" s="56"/>
    </row>
    <row r="140" spans="34:149">
      <c r="AH140" s="8"/>
      <c r="AI140" s="8"/>
      <c r="AJ140" s="8"/>
      <c r="AK140" s="8"/>
      <c r="AL140" s="8"/>
      <c r="AM140" s="8"/>
      <c r="AN140" s="8"/>
      <c r="BE140" s="42"/>
      <c r="BF140" s="5"/>
      <c r="BG140" s="35"/>
      <c r="BH140" s="5"/>
      <c r="BI140" s="6"/>
      <c r="BJ140" s="35"/>
      <c r="BK140" s="5"/>
      <c r="BL140" s="41"/>
      <c r="BM140" s="35"/>
      <c r="BN140" s="5"/>
      <c r="BO140" s="42"/>
      <c r="BP140" s="42"/>
      <c r="BQ140" s="40"/>
      <c r="BR140" s="5"/>
      <c r="DA140" s="203"/>
      <c r="DB140" s="203"/>
      <c r="DC140" s="203"/>
      <c r="DD140" s="204"/>
      <c r="DE140" s="205"/>
      <c r="DF140" s="205"/>
      <c r="DG140" s="205"/>
      <c r="DH140" s="91"/>
      <c r="DI140" s="91"/>
      <c r="DJ140" s="91"/>
      <c r="DK140" s="91"/>
      <c r="DL140" s="91"/>
      <c r="DM140" s="91"/>
      <c r="DN140" s="91"/>
      <c r="DO140" s="203"/>
      <c r="DP140" s="206"/>
      <c r="DQ140" s="206"/>
      <c r="DR140" s="206"/>
      <c r="DS140" s="206"/>
      <c r="DT140" s="206"/>
      <c r="DU140" s="206"/>
      <c r="DV140" s="206"/>
      <c r="DW140" s="206"/>
      <c r="DX140" s="206"/>
      <c r="DY140" s="206"/>
      <c r="DZ140" s="206"/>
      <c r="EA140" s="206"/>
      <c r="EB140" s="100"/>
      <c r="EC140" s="100"/>
      <c r="ED140" s="100"/>
      <c r="EE140" s="93"/>
      <c r="EF140" s="94"/>
      <c r="EG140" s="95"/>
      <c r="EH140" s="94"/>
      <c r="EI140" s="96"/>
      <c r="EJ140" s="95"/>
      <c r="EK140" s="94"/>
      <c r="EL140" s="98"/>
      <c r="EM140" s="95"/>
      <c r="EN140" s="94"/>
      <c r="EO140" s="93"/>
      <c r="EP140" s="93"/>
      <c r="EQ140" s="97"/>
      <c r="ER140" s="94"/>
      <c r="ES140" s="56"/>
    </row>
    <row r="141" spans="34:149">
      <c r="AH141" s="8"/>
      <c r="AI141" s="8"/>
      <c r="AJ141" s="8"/>
      <c r="AK141" s="8"/>
      <c r="AL141" s="8"/>
      <c r="AM141" s="8"/>
      <c r="AN141" s="8"/>
      <c r="BE141" s="42"/>
      <c r="BF141" s="5"/>
      <c r="BG141" s="35"/>
      <c r="BH141" s="5"/>
      <c r="BI141" s="6"/>
      <c r="BJ141" s="35"/>
      <c r="BK141" s="5"/>
      <c r="BL141" s="41"/>
      <c r="BM141" s="35"/>
      <c r="BN141" s="5"/>
      <c r="BO141" s="42"/>
      <c r="BP141" s="42"/>
      <c r="BQ141" s="40"/>
      <c r="BR141" s="5"/>
      <c r="DA141" s="203"/>
      <c r="DB141" s="203"/>
      <c r="DC141" s="203"/>
      <c r="DD141" s="204"/>
      <c r="DE141" s="205"/>
      <c r="DF141" s="205"/>
      <c r="DG141" s="205"/>
      <c r="DH141" s="91"/>
      <c r="DI141" s="91"/>
      <c r="DJ141" s="91"/>
      <c r="DK141" s="91"/>
      <c r="DL141" s="91"/>
      <c r="DM141" s="91"/>
      <c r="DN141" s="91"/>
      <c r="DO141" s="203"/>
      <c r="DP141" s="206"/>
      <c r="DQ141" s="206"/>
      <c r="DR141" s="206"/>
      <c r="DS141" s="206"/>
      <c r="DT141" s="206"/>
      <c r="DU141" s="206"/>
      <c r="DV141" s="206"/>
      <c r="DW141" s="206"/>
      <c r="DX141" s="206"/>
      <c r="DY141" s="206"/>
      <c r="DZ141" s="206"/>
      <c r="EA141" s="206"/>
      <c r="EB141" s="100"/>
      <c r="EC141" s="100"/>
      <c r="ED141" s="100"/>
      <c r="EE141" s="93"/>
      <c r="EF141" s="94"/>
      <c r="EG141" s="95"/>
      <c r="EH141" s="94"/>
      <c r="EI141" s="96"/>
      <c r="EJ141" s="95"/>
      <c r="EK141" s="94"/>
      <c r="EL141" s="98"/>
      <c r="EM141" s="95"/>
      <c r="EN141" s="94"/>
      <c r="EO141" s="93"/>
      <c r="EP141" s="93"/>
      <c r="EQ141" s="97"/>
      <c r="ER141" s="94"/>
      <c r="ES141" s="56"/>
    </row>
    <row r="142" spans="34:149">
      <c r="AH142" s="8"/>
      <c r="AI142" s="8"/>
      <c r="AJ142" s="8"/>
      <c r="AK142" s="8"/>
      <c r="AL142" s="8"/>
      <c r="AM142" s="8"/>
      <c r="AN142" s="8"/>
      <c r="BE142" s="42"/>
      <c r="BF142" s="5"/>
      <c r="BG142" s="35"/>
      <c r="BH142" s="5"/>
      <c r="BI142" s="6"/>
      <c r="BJ142" s="35"/>
      <c r="BK142" s="5"/>
      <c r="BL142" s="41"/>
      <c r="BM142" s="35"/>
      <c r="BN142" s="5"/>
      <c r="BO142" s="42"/>
      <c r="BP142" s="42"/>
      <c r="BQ142" s="40"/>
      <c r="BR142" s="5"/>
      <c r="DA142" s="203"/>
      <c r="DB142" s="203"/>
      <c r="DC142" s="203"/>
      <c r="DD142" s="204"/>
      <c r="DE142" s="205"/>
      <c r="DF142" s="205"/>
      <c r="DG142" s="205"/>
      <c r="DH142" s="91"/>
      <c r="DI142" s="91"/>
      <c r="DJ142" s="91"/>
      <c r="DK142" s="91"/>
      <c r="DL142" s="91"/>
      <c r="DM142" s="91"/>
      <c r="DN142" s="91"/>
      <c r="DO142" s="203"/>
      <c r="DP142" s="206"/>
      <c r="DQ142" s="206"/>
      <c r="DR142" s="206"/>
      <c r="DS142" s="206"/>
      <c r="DT142" s="206"/>
      <c r="DU142" s="206"/>
      <c r="DV142" s="206"/>
      <c r="DW142" s="206"/>
      <c r="DX142" s="206"/>
      <c r="DY142" s="206"/>
      <c r="DZ142" s="206"/>
      <c r="EA142" s="206"/>
      <c r="EB142" s="100"/>
      <c r="EC142" s="100"/>
      <c r="ED142" s="100"/>
      <c r="EE142" s="93"/>
      <c r="EF142" s="94"/>
      <c r="EG142" s="95"/>
      <c r="EH142" s="94"/>
      <c r="EI142" s="96"/>
      <c r="EJ142" s="95"/>
      <c r="EK142" s="94"/>
      <c r="EL142" s="98"/>
      <c r="EM142" s="95"/>
      <c r="EN142" s="94"/>
      <c r="EO142" s="93"/>
      <c r="EP142" s="93"/>
      <c r="EQ142" s="97"/>
      <c r="ER142" s="94"/>
      <c r="ES142" s="56"/>
    </row>
    <row r="143" spans="34:149">
      <c r="AH143" s="8"/>
      <c r="AI143" s="8"/>
      <c r="AJ143" s="8"/>
      <c r="AK143" s="8"/>
      <c r="AL143" s="8"/>
      <c r="AM143" s="8"/>
      <c r="AN143" s="8"/>
      <c r="BE143" s="42"/>
      <c r="BF143" s="5"/>
      <c r="BG143" s="35"/>
      <c r="BH143" s="5"/>
      <c r="BI143" s="6"/>
      <c r="BJ143" s="35"/>
      <c r="BK143" s="5"/>
      <c r="BL143" s="41"/>
      <c r="BM143" s="35"/>
      <c r="BN143" s="5"/>
      <c r="BO143" s="42"/>
      <c r="BP143" s="42"/>
      <c r="BQ143" s="40"/>
      <c r="BR143" s="5"/>
      <c r="DA143" s="203"/>
      <c r="DB143" s="203"/>
      <c r="DC143" s="203"/>
      <c r="DD143" s="204"/>
      <c r="DE143" s="205"/>
      <c r="DF143" s="205"/>
      <c r="DG143" s="205"/>
      <c r="DH143" s="91"/>
      <c r="DI143" s="91"/>
      <c r="DJ143" s="91"/>
      <c r="DK143" s="91"/>
      <c r="DL143" s="91"/>
      <c r="DM143" s="91"/>
      <c r="DN143" s="91"/>
      <c r="DO143" s="203"/>
      <c r="DP143" s="206"/>
      <c r="DQ143" s="206"/>
      <c r="DR143" s="206"/>
      <c r="DS143" s="206"/>
      <c r="DT143" s="206"/>
      <c r="DU143" s="206"/>
      <c r="DV143" s="206"/>
      <c r="DW143" s="206"/>
      <c r="DX143" s="206"/>
      <c r="DY143" s="206"/>
      <c r="DZ143" s="206"/>
      <c r="EA143" s="206"/>
      <c r="EB143" s="100"/>
      <c r="EC143" s="100"/>
      <c r="ED143" s="100"/>
      <c r="EE143" s="93"/>
      <c r="EF143" s="94"/>
      <c r="EG143" s="95"/>
      <c r="EH143" s="94"/>
      <c r="EI143" s="96"/>
      <c r="EJ143" s="95"/>
      <c r="EK143" s="94"/>
      <c r="EL143" s="98"/>
      <c r="EM143" s="95"/>
      <c r="EN143" s="94"/>
      <c r="EO143" s="93"/>
      <c r="EP143" s="93"/>
      <c r="EQ143" s="97"/>
      <c r="ER143" s="94"/>
      <c r="ES143" s="56"/>
    </row>
    <row r="144" spans="34:149">
      <c r="AH144" s="8"/>
      <c r="AI144" s="8"/>
      <c r="AJ144" s="8"/>
      <c r="AK144" s="8"/>
      <c r="AL144" s="8"/>
      <c r="AM144" s="8"/>
      <c r="AN144" s="8"/>
      <c r="BE144" s="42"/>
      <c r="BF144" s="5"/>
      <c r="BG144" s="35"/>
      <c r="BH144" s="5"/>
      <c r="BI144" s="6"/>
      <c r="BJ144" s="35"/>
      <c r="BK144" s="5"/>
      <c r="BL144" s="41"/>
      <c r="BM144" s="35"/>
      <c r="BN144" s="5"/>
      <c r="BO144" s="42"/>
      <c r="BP144" s="42"/>
      <c r="BQ144" s="40"/>
      <c r="BR144" s="5"/>
      <c r="DA144" s="203"/>
      <c r="DB144" s="203"/>
      <c r="DC144" s="203"/>
      <c r="DD144" s="204"/>
      <c r="DE144" s="205"/>
      <c r="DF144" s="205"/>
      <c r="DG144" s="205"/>
      <c r="DH144" s="91"/>
      <c r="DI144" s="91"/>
      <c r="DJ144" s="91"/>
      <c r="DK144" s="91"/>
      <c r="DL144" s="91"/>
      <c r="DM144" s="91"/>
      <c r="DN144" s="91"/>
      <c r="DO144" s="203"/>
      <c r="DP144" s="206"/>
      <c r="DQ144" s="206"/>
      <c r="DR144" s="206"/>
      <c r="DS144" s="206"/>
      <c r="DT144" s="206"/>
      <c r="DU144" s="206"/>
      <c r="DV144" s="206"/>
      <c r="DW144" s="206"/>
      <c r="DX144" s="206"/>
      <c r="DY144" s="206"/>
      <c r="DZ144" s="206"/>
      <c r="EA144" s="206"/>
      <c r="EB144" s="100"/>
      <c r="EC144" s="100"/>
      <c r="ED144" s="100"/>
      <c r="EE144" s="93"/>
      <c r="EF144" s="94"/>
      <c r="EG144" s="95"/>
      <c r="EH144" s="94"/>
      <c r="EI144" s="96"/>
      <c r="EJ144" s="95"/>
      <c r="EK144" s="94"/>
      <c r="EL144" s="98"/>
      <c r="EM144" s="95"/>
      <c r="EN144" s="94"/>
      <c r="EO144" s="93"/>
      <c r="EP144" s="93"/>
      <c r="EQ144" s="97"/>
      <c r="ER144" s="94"/>
      <c r="ES144" s="56"/>
    </row>
    <row r="145" spans="34:149">
      <c r="AH145" s="8"/>
      <c r="AI145" s="8"/>
      <c r="AJ145" s="8"/>
      <c r="AK145" s="8"/>
      <c r="AL145" s="8"/>
      <c r="AM145" s="8"/>
      <c r="AN145" s="8"/>
      <c r="BE145" s="42"/>
      <c r="BF145" s="5"/>
      <c r="BG145" s="35"/>
      <c r="BH145" s="5"/>
      <c r="BI145" s="6"/>
      <c r="BJ145" s="35"/>
      <c r="BK145" s="5"/>
      <c r="BL145" s="41"/>
      <c r="BM145" s="35"/>
      <c r="BN145" s="5"/>
      <c r="BO145" s="42"/>
      <c r="BP145" s="42"/>
      <c r="BQ145" s="40"/>
      <c r="BR145" s="5"/>
      <c r="DA145" s="203"/>
      <c r="DB145" s="203"/>
      <c r="DC145" s="203"/>
      <c r="DD145" s="204"/>
      <c r="DE145" s="205"/>
      <c r="DF145" s="205"/>
      <c r="DG145" s="205"/>
      <c r="DH145" s="91"/>
      <c r="DI145" s="91"/>
      <c r="DJ145" s="91"/>
      <c r="DK145" s="91"/>
      <c r="DL145" s="91"/>
      <c r="DM145" s="91"/>
      <c r="DN145" s="91"/>
      <c r="DO145" s="203"/>
      <c r="DP145" s="206"/>
      <c r="DQ145" s="206"/>
      <c r="DR145" s="206"/>
      <c r="DS145" s="206"/>
      <c r="DT145" s="206"/>
      <c r="DU145" s="206"/>
      <c r="DV145" s="206"/>
      <c r="DW145" s="206"/>
      <c r="DX145" s="206"/>
      <c r="DY145" s="206"/>
      <c r="DZ145" s="206"/>
      <c r="EA145" s="206"/>
      <c r="EB145" s="100"/>
      <c r="EC145" s="100"/>
      <c r="ED145" s="100"/>
      <c r="EE145" s="93"/>
      <c r="EF145" s="94"/>
      <c r="EG145" s="95"/>
      <c r="EH145" s="94"/>
      <c r="EI145" s="96"/>
      <c r="EJ145" s="95"/>
      <c r="EK145" s="94"/>
      <c r="EL145" s="98"/>
      <c r="EM145" s="95"/>
      <c r="EN145" s="94"/>
      <c r="EO145" s="93"/>
      <c r="EP145" s="93"/>
      <c r="EQ145" s="97"/>
      <c r="ER145" s="94"/>
      <c r="ES145" s="56"/>
    </row>
    <row r="146" spans="34:149">
      <c r="AH146" s="8"/>
      <c r="AI146" s="8"/>
      <c r="AJ146" s="8"/>
      <c r="AK146" s="8"/>
      <c r="AL146" s="8"/>
      <c r="AM146" s="8"/>
      <c r="AN146" s="8"/>
      <c r="BE146" s="42"/>
      <c r="BF146" s="5"/>
      <c r="BG146" s="35"/>
      <c r="BH146" s="5"/>
      <c r="BI146" s="6"/>
      <c r="BJ146" s="35"/>
      <c r="BK146" s="5"/>
      <c r="BL146" s="41"/>
      <c r="BM146" s="35"/>
      <c r="BN146" s="5"/>
      <c r="BO146" s="42"/>
      <c r="BP146" s="42"/>
      <c r="BQ146" s="40"/>
      <c r="BR146" s="5"/>
      <c r="DA146" s="203"/>
      <c r="DB146" s="203"/>
      <c r="DC146" s="203"/>
      <c r="DD146" s="204"/>
      <c r="DE146" s="205"/>
      <c r="DF146" s="205"/>
      <c r="DG146" s="205"/>
      <c r="DH146" s="91"/>
      <c r="DI146" s="91"/>
      <c r="DJ146" s="91"/>
      <c r="DK146" s="91"/>
      <c r="DL146" s="91"/>
      <c r="DM146" s="91"/>
      <c r="DN146" s="91"/>
      <c r="DO146" s="203"/>
      <c r="DP146" s="206"/>
      <c r="DQ146" s="206"/>
      <c r="DR146" s="206"/>
      <c r="DS146" s="206"/>
      <c r="DT146" s="206"/>
      <c r="DU146" s="206"/>
      <c r="DV146" s="206"/>
      <c r="DW146" s="206"/>
      <c r="DX146" s="206"/>
      <c r="DY146" s="206"/>
      <c r="DZ146" s="206"/>
      <c r="EA146" s="206"/>
      <c r="EB146" s="100"/>
      <c r="EC146" s="100"/>
      <c r="ED146" s="100"/>
      <c r="EE146" s="93"/>
      <c r="EF146" s="94"/>
      <c r="EG146" s="95"/>
      <c r="EH146" s="94"/>
      <c r="EI146" s="96"/>
      <c r="EJ146" s="95"/>
      <c r="EK146" s="94"/>
      <c r="EL146" s="98"/>
      <c r="EM146" s="95"/>
      <c r="EN146" s="94"/>
      <c r="EO146" s="93"/>
      <c r="EP146" s="93"/>
      <c r="EQ146" s="97"/>
      <c r="ER146" s="94"/>
      <c r="ES146" s="56"/>
    </row>
    <row r="147" spans="34:149">
      <c r="AH147" s="8"/>
      <c r="AI147" s="8"/>
      <c r="AJ147" s="8"/>
      <c r="AK147" s="8"/>
      <c r="AL147" s="8"/>
      <c r="AM147" s="8"/>
      <c r="AN147" s="8"/>
      <c r="BE147" s="42"/>
      <c r="BF147" s="5"/>
      <c r="BG147" s="35"/>
      <c r="BH147" s="5"/>
      <c r="BI147" s="6"/>
      <c r="BJ147" s="35"/>
      <c r="BK147" s="5"/>
      <c r="BL147" s="41"/>
      <c r="BM147" s="35"/>
      <c r="BN147" s="5"/>
      <c r="BO147" s="42"/>
      <c r="BP147" s="42"/>
      <c r="BQ147" s="40"/>
      <c r="BR147" s="5"/>
      <c r="DA147" s="203"/>
      <c r="DB147" s="203"/>
      <c r="DC147" s="203"/>
      <c r="DD147" s="204"/>
      <c r="DE147" s="205"/>
      <c r="DF147" s="205"/>
      <c r="DG147" s="205"/>
      <c r="DH147" s="91"/>
      <c r="DI147" s="91"/>
      <c r="DJ147" s="91"/>
      <c r="DK147" s="91"/>
      <c r="DL147" s="91"/>
      <c r="DM147" s="91"/>
      <c r="DN147" s="91"/>
      <c r="DO147" s="203"/>
      <c r="DP147" s="206"/>
      <c r="DQ147" s="206"/>
      <c r="DR147" s="206"/>
      <c r="DS147" s="206"/>
      <c r="DT147" s="206"/>
      <c r="DU147" s="206"/>
      <c r="DV147" s="206"/>
      <c r="DW147" s="206"/>
      <c r="DX147" s="206"/>
      <c r="DY147" s="206"/>
      <c r="DZ147" s="206"/>
      <c r="EA147" s="206"/>
      <c r="EB147" s="100"/>
      <c r="EC147" s="100"/>
      <c r="ED147" s="100"/>
      <c r="EE147" s="93"/>
      <c r="EF147" s="94"/>
      <c r="EG147" s="95"/>
      <c r="EH147" s="94"/>
      <c r="EI147" s="96"/>
      <c r="EJ147" s="95"/>
      <c r="EK147" s="94"/>
      <c r="EL147" s="98"/>
      <c r="EM147" s="95"/>
      <c r="EN147" s="94"/>
      <c r="EO147" s="93"/>
      <c r="EP147" s="93"/>
      <c r="EQ147" s="97"/>
      <c r="ER147" s="94"/>
      <c r="ES147" s="56"/>
    </row>
    <row r="148" spans="34:149">
      <c r="AH148" s="8"/>
      <c r="AI148" s="8"/>
      <c r="AJ148" s="8"/>
      <c r="AK148" s="8"/>
      <c r="AL148" s="8"/>
      <c r="AM148" s="8"/>
      <c r="AN148" s="8"/>
      <c r="BE148" s="42"/>
      <c r="BF148" s="5"/>
      <c r="BG148" s="35"/>
      <c r="BH148" s="5"/>
      <c r="BI148" s="6"/>
      <c r="BJ148" s="35"/>
      <c r="BK148" s="5"/>
      <c r="BL148" s="41"/>
      <c r="BM148" s="35"/>
      <c r="BN148" s="5"/>
      <c r="BO148" s="42"/>
      <c r="BP148" s="42"/>
      <c r="BQ148" s="40"/>
      <c r="BR148" s="5"/>
      <c r="DA148" s="203"/>
      <c r="DB148" s="203"/>
      <c r="DC148" s="203"/>
      <c r="DD148" s="204"/>
      <c r="DE148" s="205"/>
      <c r="DF148" s="205"/>
      <c r="DG148" s="205"/>
      <c r="DH148" s="91"/>
      <c r="DI148" s="91"/>
      <c r="DJ148" s="91"/>
      <c r="DK148" s="91"/>
      <c r="DL148" s="91"/>
      <c r="DM148" s="91"/>
      <c r="DN148" s="91"/>
      <c r="DO148" s="203"/>
      <c r="DP148" s="206"/>
      <c r="DQ148" s="206"/>
      <c r="DR148" s="206"/>
      <c r="DS148" s="206"/>
      <c r="DT148" s="206"/>
      <c r="DU148" s="206"/>
      <c r="DV148" s="206"/>
      <c r="DW148" s="206"/>
      <c r="DX148" s="206"/>
      <c r="DY148" s="206"/>
      <c r="DZ148" s="206"/>
      <c r="EA148" s="206"/>
      <c r="EB148" s="100"/>
      <c r="EC148" s="100"/>
      <c r="ED148" s="100"/>
      <c r="EE148" s="93"/>
      <c r="EF148" s="94"/>
      <c r="EG148" s="95"/>
      <c r="EH148" s="94"/>
      <c r="EI148" s="96"/>
      <c r="EJ148" s="95"/>
      <c r="EK148" s="94"/>
      <c r="EL148" s="98"/>
      <c r="EM148" s="95"/>
      <c r="EN148" s="94"/>
      <c r="EO148" s="93"/>
      <c r="EP148" s="93"/>
      <c r="EQ148" s="97"/>
      <c r="ER148" s="94"/>
      <c r="ES148" s="56"/>
    </row>
    <row r="149" spans="34:149">
      <c r="AH149" s="8"/>
      <c r="AI149" s="8"/>
      <c r="AJ149" s="8"/>
      <c r="AK149" s="8"/>
      <c r="AL149" s="8"/>
      <c r="AM149" s="8"/>
      <c r="AN149" s="8"/>
      <c r="BE149" s="42"/>
      <c r="BF149" s="5"/>
      <c r="BG149" s="35"/>
      <c r="BH149" s="5"/>
      <c r="BI149" s="6"/>
      <c r="BJ149" s="35"/>
      <c r="BK149" s="5"/>
      <c r="BL149" s="41"/>
      <c r="BM149" s="35"/>
      <c r="BN149" s="5"/>
      <c r="BO149" s="42"/>
      <c r="BP149" s="42"/>
      <c r="BQ149" s="40"/>
      <c r="BR149" s="5"/>
      <c r="DA149" s="203"/>
      <c r="DB149" s="203"/>
      <c r="DC149" s="203"/>
      <c r="DD149" s="204"/>
      <c r="DE149" s="205"/>
      <c r="DF149" s="205"/>
      <c r="DG149" s="205"/>
      <c r="DH149" s="91"/>
      <c r="DI149" s="91"/>
      <c r="DJ149" s="91"/>
      <c r="DK149" s="91"/>
      <c r="DL149" s="91"/>
      <c r="DM149" s="91"/>
      <c r="DN149" s="91"/>
      <c r="DO149" s="203"/>
      <c r="DP149" s="206"/>
      <c r="DQ149" s="206"/>
      <c r="DR149" s="206"/>
      <c r="DS149" s="206"/>
      <c r="DT149" s="206"/>
      <c r="DU149" s="206"/>
      <c r="DV149" s="206"/>
      <c r="DW149" s="206"/>
      <c r="DX149" s="206"/>
      <c r="DY149" s="206"/>
      <c r="DZ149" s="206"/>
      <c r="EA149" s="206"/>
      <c r="EB149" s="100"/>
      <c r="EC149" s="100"/>
      <c r="ED149" s="100"/>
      <c r="EE149" s="93"/>
      <c r="EF149" s="94"/>
      <c r="EG149" s="95"/>
      <c r="EH149" s="94"/>
      <c r="EI149" s="96"/>
      <c r="EJ149" s="95"/>
      <c r="EK149" s="94"/>
      <c r="EL149" s="98"/>
      <c r="EM149" s="95"/>
      <c r="EN149" s="94"/>
      <c r="EO149" s="93"/>
      <c r="EP149" s="93"/>
      <c r="EQ149" s="97"/>
      <c r="ER149" s="94"/>
      <c r="ES149" s="56"/>
    </row>
    <row r="150" spans="34:149">
      <c r="AH150" s="8"/>
      <c r="AI150" s="8"/>
      <c r="AJ150" s="8"/>
      <c r="AK150" s="8"/>
      <c r="AL150" s="8"/>
      <c r="AM150" s="8"/>
      <c r="AN150" s="8"/>
      <c r="BE150" s="42"/>
      <c r="BF150" s="5"/>
      <c r="BG150" s="35"/>
      <c r="BH150" s="5"/>
      <c r="BI150" s="6"/>
      <c r="BJ150" s="35"/>
      <c r="BK150" s="5"/>
      <c r="BL150" s="41"/>
      <c r="BM150" s="35"/>
      <c r="BN150" s="5"/>
      <c r="BO150" s="42"/>
      <c r="BP150" s="42"/>
      <c r="BQ150" s="40"/>
      <c r="BR150" s="5"/>
      <c r="DA150" s="203"/>
      <c r="DB150" s="203"/>
      <c r="DC150" s="203"/>
      <c r="DD150" s="204"/>
      <c r="DE150" s="205"/>
      <c r="DF150" s="205"/>
      <c r="DG150" s="205"/>
      <c r="DH150" s="91"/>
      <c r="DI150" s="91"/>
      <c r="DJ150" s="91"/>
      <c r="DK150" s="91"/>
      <c r="DL150" s="91"/>
      <c r="DM150" s="91"/>
      <c r="DN150" s="91"/>
      <c r="DO150" s="203"/>
      <c r="DP150" s="206"/>
      <c r="DQ150" s="206"/>
      <c r="DR150" s="206"/>
      <c r="DS150" s="206"/>
      <c r="DT150" s="206"/>
      <c r="DU150" s="206"/>
      <c r="DV150" s="206"/>
      <c r="DW150" s="206"/>
      <c r="DX150" s="206"/>
      <c r="DY150" s="206"/>
      <c r="DZ150" s="206"/>
      <c r="EA150" s="206"/>
      <c r="EB150" s="100"/>
      <c r="EC150" s="100"/>
      <c r="ED150" s="100"/>
      <c r="EE150" s="93"/>
      <c r="EF150" s="94"/>
      <c r="EG150" s="95"/>
      <c r="EH150" s="94"/>
      <c r="EI150" s="96"/>
      <c r="EJ150" s="95"/>
      <c r="EK150" s="94"/>
      <c r="EL150" s="98"/>
      <c r="EM150" s="95"/>
      <c r="EN150" s="94"/>
      <c r="EO150" s="93"/>
      <c r="EP150" s="93"/>
      <c r="EQ150" s="97"/>
      <c r="ER150" s="94"/>
      <c r="ES150" s="56"/>
    </row>
    <row r="151" spans="34:149">
      <c r="AH151" s="8"/>
      <c r="AI151" s="8"/>
      <c r="AJ151" s="8"/>
      <c r="AK151" s="8"/>
      <c r="AL151" s="8"/>
      <c r="AM151" s="8"/>
      <c r="AN151" s="8"/>
      <c r="BE151" s="42"/>
      <c r="BF151" s="5"/>
      <c r="BG151" s="35"/>
      <c r="BH151" s="5"/>
      <c r="BI151" s="6"/>
      <c r="BJ151" s="35"/>
      <c r="BK151" s="5"/>
      <c r="BL151" s="41"/>
      <c r="BM151" s="35"/>
      <c r="BN151" s="5"/>
      <c r="BO151" s="42"/>
      <c r="BP151" s="42"/>
      <c r="BQ151" s="40"/>
      <c r="BR151" s="5"/>
      <c r="DA151" s="203"/>
      <c r="DB151" s="203"/>
      <c r="DC151" s="203"/>
      <c r="DD151" s="204"/>
      <c r="DE151" s="205"/>
      <c r="DF151" s="205"/>
      <c r="DG151" s="205"/>
      <c r="DH151" s="91"/>
      <c r="DI151" s="91"/>
      <c r="DJ151" s="91"/>
      <c r="DK151" s="91"/>
      <c r="DL151" s="91"/>
      <c r="DM151" s="91"/>
      <c r="DN151" s="91"/>
      <c r="DO151" s="203"/>
      <c r="DP151" s="206"/>
      <c r="DQ151" s="206"/>
      <c r="DR151" s="206"/>
      <c r="DS151" s="206"/>
      <c r="DT151" s="206"/>
      <c r="DU151" s="206"/>
      <c r="DV151" s="206"/>
      <c r="DW151" s="206"/>
      <c r="DX151" s="206"/>
      <c r="DY151" s="206"/>
      <c r="DZ151" s="206"/>
      <c r="EA151" s="206"/>
      <c r="EB151" s="100"/>
      <c r="EC151" s="100"/>
      <c r="ED151" s="100"/>
      <c r="EE151" s="93"/>
      <c r="EF151" s="94"/>
      <c r="EG151" s="95"/>
      <c r="EH151" s="94"/>
      <c r="EI151" s="96"/>
      <c r="EJ151" s="95"/>
      <c r="EK151" s="94"/>
      <c r="EL151" s="98"/>
      <c r="EM151" s="95"/>
      <c r="EN151" s="94"/>
      <c r="EO151" s="93"/>
      <c r="EP151" s="93"/>
      <c r="EQ151" s="97"/>
      <c r="ER151" s="94"/>
      <c r="ES151" s="56"/>
    </row>
    <row r="152" spans="34:149">
      <c r="AH152" s="8"/>
      <c r="AI152" s="8"/>
      <c r="AJ152" s="8"/>
      <c r="AK152" s="8"/>
      <c r="AL152" s="8"/>
      <c r="AM152" s="8"/>
      <c r="AN152" s="8"/>
      <c r="BE152" s="42"/>
      <c r="BF152" s="5"/>
      <c r="BG152" s="35"/>
      <c r="BH152" s="5"/>
      <c r="BI152" s="6"/>
      <c r="BJ152" s="35"/>
      <c r="BK152" s="5"/>
      <c r="BL152" s="41"/>
      <c r="BM152" s="35"/>
      <c r="BN152" s="5"/>
      <c r="BO152" s="42"/>
      <c r="BP152" s="42"/>
      <c r="BQ152" s="40"/>
      <c r="BR152" s="5"/>
      <c r="DA152" s="203"/>
      <c r="DB152" s="203"/>
      <c r="DC152" s="203"/>
      <c r="DD152" s="204"/>
      <c r="DE152" s="205"/>
      <c r="DF152" s="205"/>
      <c r="DG152" s="205"/>
      <c r="DH152" s="91"/>
      <c r="DI152" s="91"/>
      <c r="DJ152" s="91"/>
      <c r="DK152" s="91"/>
      <c r="DL152" s="91"/>
      <c r="DM152" s="91"/>
      <c r="DN152" s="91"/>
      <c r="DO152" s="203"/>
      <c r="DP152" s="206"/>
      <c r="DQ152" s="206"/>
      <c r="DR152" s="206"/>
      <c r="DS152" s="206"/>
      <c r="DT152" s="206"/>
      <c r="DU152" s="206"/>
      <c r="DV152" s="206"/>
      <c r="DW152" s="206"/>
      <c r="DX152" s="206"/>
      <c r="DY152" s="206"/>
      <c r="DZ152" s="206"/>
      <c r="EA152" s="206"/>
      <c r="EB152" s="100"/>
      <c r="EC152" s="100"/>
      <c r="ED152" s="100"/>
      <c r="EE152" s="93"/>
      <c r="EF152" s="94"/>
      <c r="EG152" s="95"/>
      <c r="EH152" s="94"/>
      <c r="EI152" s="96"/>
      <c r="EJ152" s="95"/>
      <c r="EK152" s="94"/>
      <c r="EL152" s="98"/>
      <c r="EM152" s="95"/>
      <c r="EN152" s="94"/>
      <c r="EO152" s="93"/>
      <c r="EP152" s="93"/>
      <c r="EQ152" s="97"/>
      <c r="ER152" s="94"/>
      <c r="ES152" s="56"/>
    </row>
    <row r="153" spans="34:149">
      <c r="AH153" s="8"/>
      <c r="AI153" s="8"/>
      <c r="AJ153" s="8"/>
      <c r="AK153" s="8"/>
      <c r="AL153" s="8"/>
      <c r="AM153" s="8"/>
      <c r="AN153" s="8"/>
      <c r="BE153" s="42"/>
      <c r="BF153" s="5"/>
      <c r="BG153" s="35"/>
      <c r="BH153" s="5"/>
      <c r="BI153" s="6"/>
      <c r="BJ153" s="35"/>
      <c r="BK153" s="5"/>
      <c r="BL153" s="41"/>
      <c r="BM153" s="35"/>
      <c r="BN153" s="5"/>
      <c r="BO153" s="42"/>
      <c r="BP153" s="42"/>
      <c r="BQ153" s="40"/>
      <c r="BR153" s="5"/>
      <c r="DA153" s="216"/>
      <c r="DB153" s="190"/>
      <c r="DC153" s="190"/>
      <c r="DD153" s="191"/>
      <c r="DE153" s="192"/>
      <c r="DF153" s="192"/>
      <c r="DG153" s="192"/>
      <c r="DH153" s="193"/>
      <c r="DI153" s="193"/>
      <c r="DJ153" s="193"/>
      <c r="DK153" s="193"/>
      <c r="DL153" s="193"/>
      <c r="DM153" s="193"/>
      <c r="DN153" s="193"/>
      <c r="DO153" s="190"/>
      <c r="DP153" s="194"/>
      <c r="DQ153" s="194"/>
      <c r="DR153" s="194"/>
      <c r="DS153" s="194"/>
      <c r="DT153" s="194"/>
      <c r="DU153" s="194"/>
      <c r="DV153" s="194"/>
      <c r="DW153" s="194"/>
      <c r="DX153" s="194"/>
      <c r="DY153" s="194"/>
      <c r="DZ153" s="194"/>
      <c r="EA153" s="194"/>
      <c r="EB153" s="195"/>
      <c r="EC153" s="195"/>
      <c r="ED153" s="195"/>
      <c r="EE153" s="196"/>
      <c r="EF153" s="197"/>
      <c r="EG153" s="198"/>
      <c r="EH153" s="197"/>
      <c r="EI153" s="199"/>
      <c r="EJ153" s="198"/>
      <c r="EK153" s="197"/>
      <c r="EL153" s="200"/>
      <c r="EM153" s="198"/>
      <c r="EN153" s="197"/>
      <c r="EO153" s="196"/>
      <c r="EP153" s="196"/>
      <c r="EQ153" s="201"/>
      <c r="ER153" s="217"/>
      <c r="ES153" s="56"/>
    </row>
    <row r="154" spans="34:149">
      <c r="AH154" s="8"/>
      <c r="AI154" s="8"/>
      <c r="AJ154" s="8"/>
      <c r="AK154" s="8"/>
      <c r="AL154" s="8"/>
      <c r="AM154" s="8"/>
      <c r="AN154" s="8"/>
      <c r="BE154" s="42"/>
      <c r="BF154" s="5"/>
      <c r="BG154" s="35"/>
      <c r="BH154" s="5"/>
      <c r="BI154" s="6"/>
      <c r="BJ154" s="35"/>
      <c r="BK154" s="5"/>
      <c r="BL154" s="41"/>
      <c r="BM154" s="35"/>
      <c r="BN154" s="5"/>
      <c r="BO154" s="42"/>
      <c r="BP154" s="42"/>
      <c r="BQ154" s="40"/>
      <c r="BR154" s="5"/>
      <c r="DA154" s="218"/>
      <c r="DH154" s="8"/>
      <c r="DI154" s="8"/>
      <c r="DJ154" s="8"/>
      <c r="DK154" s="8"/>
      <c r="DL154" s="8"/>
      <c r="DM154" s="8"/>
      <c r="DN154" s="8"/>
      <c r="EE154" s="42"/>
      <c r="EF154" s="5"/>
      <c r="EG154" s="35"/>
      <c r="EH154" s="5"/>
      <c r="EI154" s="6"/>
      <c r="EJ154" s="35"/>
      <c r="EK154" s="5"/>
      <c r="EL154" s="41"/>
      <c r="EM154" s="35"/>
      <c r="EN154" s="5"/>
      <c r="EO154" s="42"/>
      <c r="EP154" s="42"/>
      <c r="EQ154" s="40"/>
      <c r="ER154" s="219"/>
      <c r="ES154" s="56"/>
    </row>
    <row r="155" spans="34:149">
      <c r="AH155" s="8"/>
      <c r="AI155" s="8"/>
      <c r="AJ155" s="8"/>
      <c r="AK155" s="8"/>
      <c r="AL155" s="8"/>
      <c r="AM155" s="8"/>
      <c r="AN155" s="8"/>
      <c r="BE155" s="42"/>
      <c r="BF155" s="5"/>
      <c r="BG155" s="35"/>
      <c r="BH155" s="5"/>
      <c r="BI155" s="6"/>
      <c r="BJ155" s="35"/>
      <c r="BK155" s="5"/>
      <c r="BL155" s="41"/>
      <c r="BM155" s="35"/>
      <c r="BN155" s="5"/>
      <c r="BO155" s="42"/>
      <c r="BP155" s="42"/>
      <c r="BQ155" s="40"/>
      <c r="BR155" s="5"/>
      <c r="DA155" s="218"/>
      <c r="DH155" s="8"/>
      <c r="DI155" s="8"/>
      <c r="DJ155" s="8"/>
      <c r="DK155" s="8"/>
      <c r="DL155" s="8"/>
      <c r="DM155" s="8"/>
      <c r="DN155" s="8"/>
      <c r="EE155" s="42"/>
      <c r="EF155" s="5"/>
      <c r="EG155" s="35"/>
      <c r="EH155" s="5"/>
      <c r="EI155" s="6"/>
      <c r="EJ155" s="35"/>
      <c r="EK155" s="5"/>
      <c r="EL155" s="41"/>
      <c r="EM155" s="35"/>
      <c r="EN155" s="5"/>
      <c r="EO155" s="42"/>
      <c r="EP155" s="42"/>
      <c r="EQ155" s="40"/>
      <c r="ER155" s="219"/>
      <c r="ES155" s="56"/>
    </row>
    <row r="156" spans="34:149">
      <c r="AH156" s="8"/>
      <c r="AI156" s="8"/>
      <c r="AJ156" s="8"/>
      <c r="AK156" s="8"/>
      <c r="AL156" s="8"/>
      <c r="AM156" s="8"/>
      <c r="AN156" s="8"/>
      <c r="BE156" s="42"/>
      <c r="BF156" s="5"/>
      <c r="BG156" s="35"/>
      <c r="BH156" s="5"/>
      <c r="BI156" s="6"/>
      <c r="BJ156" s="35"/>
      <c r="BK156" s="5"/>
      <c r="BL156" s="41"/>
      <c r="BM156" s="35"/>
      <c r="BN156" s="5"/>
      <c r="BO156" s="42"/>
      <c r="BP156" s="42"/>
      <c r="BQ156" s="40"/>
      <c r="BR156" s="5"/>
      <c r="DA156" s="218"/>
      <c r="DH156" s="8"/>
      <c r="DI156" s="8"/>
      <c r="DJ156" s="8"/>
      <c r="DK156" s="8"/>
      <c r="DL156" s="8"/>
      <c r="DM156" s="8"/>
      <c r="DN156" s="8"/>
      <c r="EE156" s="42"/>
      <c r="EF156" s="5"/>
      <c r="EG156" s="35"/>
      <c r="EH156" s="5"/>
      <c r="EI156" s="6"/>
      <c r="EJ156" s="35"/>
      <c r="EK156" s="5"/>
      <c r="EL156" s="41"/>
      <c r="EM156" s="35"/>
      <c r="EN156" s="5"/>
      <c r="EO156" s="42"/>
      <c r="EP156" s="42"/>
      <c r="EQ156" s="40"/>
      <c r="ER156" s="219"/>
      <c r="ES156" s="56"/>
    </row>
    <row r="157" spans="34:149">
      <c r="AH157" s="8"/>
      <c r="AI157" s="8"/>
      <c r="AJ157" s="8"/>
      <c r="AK157" s="8"/>
      <c r="AL157" s="8"/>
      <c r="AM157" s="8"/>
      <c r="AN157" s="8"/>
      <c r="BE157" s="42"/>
      <c r="BF157" s="5"/>
      <c r="BG157" s="35"/>
      <c r="BH157" s="5"/>
      <c r="BI157" s="6"/>
      <c r="BJ157" s="35"/>
      <c r="BK157" s="5"/>
      <c r="BL157" s="41"/>
      <c r="BM157" s="35"/>
      <c r="BN157" s="5"/>
      <c r="BO157" s="42"/>
      <c r="BP157" s="42"/>
      <c r="BQ157" s="40"/>
      <c r="BR157" s="5"/>
      <c r="DA157" s="218"/>
      <c r="DH157" s="8"/>
      <c r="DI157" s="8"/>
      <c r="DJ157" s="8"/>
      <c r="DK157" s="8"/>
      <c r="DL157" s="8"/>
      <c r="DM157" s="8"/>
      <c r="DN157" s="8"/>
      <c r="EE157" s="42"/>
      <c r="EF157" s="5"/>
      <c r="EG157" s="35"/>
      <c r="EH157" s="5"/>
      <c r="EI157" s="6"/>
      <c r="EJ157" s="35"/>
      <c r="EK157" s="5"/>
      <c r="EL157" s="41"/>
      <c r="EM157" s="35"/>
      <c r="EN157" s="5"/>
      <c r="EO157" s="42"/>
      <c r="EP157" s="42"/>
      <c r="EQ157" s="40"/>
      <c r="ER157" s="219"/>
      <c r="ES157" s="56"/>
    </row>
    <row r="158" spans="34:149">
      <c r="AH158" s="8"/>
      <c r="AI158" s="8"/>
      <c r="AJ158" s="8"/>
      <c r="AK158" s="8"/>
      <c r="AL158" s="8"/>
      <c r="AM158" s="8"/>
      <c r="AN158" s="8"/>
      <c r="BE158" s="42"/>
      <c r="BF158" s="5"/>
      <c r="BG158" s="35"/>
      <c r="BH158" s="5"/>
      <c r="BI158" s="6"/>
      <c r="BJ158" s="35"/>
      <c r="BK158" s="5"/>
      <c r="BL158" s="41"/>
      <c r="BM158" s="35"/>
      <c r="BN158" s="5"/>
      <c r="BO158" s="42"/>
      <c r="BP158" s="42"/>
      <c r="BQ158" s="40"/>
      <c r="BR158" s="5"/>
      <c r="DA158" s="218"/>
      <c r="DH158" s="8"/>
      <c r="DI158" s="8"/>
      <c r="DJ158" s="8"/>
      <c r="DK158" s="8"/>
      <c r="DL158" s="8"/>
      <c r="DM158" s="8"/>
      <c r="DN158" s="8"/>
      <c r="EE158" s="42"/>
      <c r="EF158" s="5"/>
      <c r="EG158" s="35"/>
      <c r="EH158" s="5"/>
      <c r="EI158" s="6"/>
      <c r="EJ158" s="35"/>
      <c r="EK158" s="5"/>
      <c r="EL158" s="41"/>
      <c r="EM158" s="35"/>
      <c r="EN158" s="5"/>
      <c r="EO158" s="42"/>
      <c r="EP158" s="42"/>
      <c r="EQ158" s="40"/>
      <c r="ER158" s="219"/>
      <c r="ES158" s="56"/>
    </row>
    <row r="159" spans="34:149">
      <c r="AH159" s="8"/>
      <c r="AI159" s="8"/>
      <c r="AJ159" s="8"/>
      <c r="AK159" s="8"/>
      <c r="AL159" s="8"/>
      <c r="AM159" s="8"/>
      <c r="AN159" s="8"/>
      <c r="BE159" s="42"/>
      <c r="BF159" s="5"/>
      <c r="BG159" s="35"/>
      <c r="BH159" s="5"/>
      <c r="BI159" s="6"/>
      <c r="BJ159" s="35"/>
      <c r="BK159" s="5"/>
      <c r="BL159" s="41"/>
      <c r="BM159" s="35"/>
      <c r="BN159" s="5"/>
      <c r="BO159" s="42"/>
      <c r="BP159" s="42"/>
      <c r="BQ159" s="40"/>
      <c r="BR159" s="5"/>
      <c r="DA159" s="218"/>
      <c r="DH159" s="8"/>
      <c r="DI159" s="8"/>
      <c r="DJ159" s="8"/>
      <c r="DK159" s="8"/>
      <c r="DL159" s="8"/>
      <c r="DM159" s="8"/>
      <c r="DN159" s="8"/>
      <c r="EE159" s="42"/>
      <c r="EF159" s="5"/>
      <c r="EG159" s="35"/>
      <c r="EH159" s="5"/>
      <c r="EI159" s="6"/>
      <c r="EJ159" s="35"/>
      <c r="EK159" s="5"/>
      <c r="EL159" s="41"/>
      <c r="EM159" s="35"/>
      <c r="EN159" s="5"/>
      <c r="EO159" s="42"/>
      <c r="EP159" s="42"/>
      <c r="EQ159" s="40"/>
      <c r="ER159" s="219"/>
      <c r="ES159" s="56"/>
    </row>
    <row r="160" spans="34:149">
      <c r="AH160" s="8"/>
      <c r="AI160" s="8"/>
      <c r="AJ160" s="8"/>
      <c r="AK160" s="8"/>
      <c r="AL160" s="8"/>
      <c r="AM160" s="8"/>
      <c r="AN160" s="8"/>
      <c r="BE160" s="42"/>
      <c r="BF160" s="5"/>
      <c r="BG160" s="35"/>
      <c r="BH160" s="5"/>
      <c r="BI160" s="6"/>
      <c r="BJ160" s="35"/>
      <c r="BK160" s="5"/>
      <c r="BL160" s="41"/>
      <c r="BM160" s="35"/>
      <c r="BN160" s="5"/>
      <c r="BO160" s="42"/>
      <c r="BP160" s="42"/>
      <c r="BQ160" s="40"/>
      <c r="BR160" s="5"/>
      <c r="DA160" s="218"/>
      <c r="DH160" s="8"/>
      <c r="DI160" s="8"/>
      <c r="DJ160" s="8"/>
      <c r="DK160" s="8"/>
      <c r="DL160" s="8"/>
      <c r="DM160" s="8"/>
      <c r="DN160" s="8"/>
      <c r="EE160" s="42"/>
      <c r="EF160" s="5"/>
      <c r="EG160" s="35"/>
      <c r="EH160" s="5"/>
      <c r="EI160" s="6"/>
      <c r="EJ160" s="35"/>
      <c r="EK160" s="5"/>
      <c r="EL160" s="41"/>
      <c r="EM160" s="35"/>
      <c r="EN160" s="5"/>
      <c r="EO160" s="42"/>
      <c r="EP160" s="42"/>
      <c r="EQ160" s="40"/>
      <c r="ER160" s="219"/>
      <c r="ES160" s="56"/>
    </row>
    <row r="161" spans="34:149">
      <c r="AH161" s="8"/>
      <c r="AI161" s="8"/>
      <c r="AJ161" s="8"/>
      <c r="AK161" s="8"/>
      <c r="AL161" s="8"/>
      <c r="AM161" s="8"/>
      <c r="AN161" s="8"/>
      <c r="BE161" s="42"/>
      <c r="BF161" s="5"/>
      <c r="BG161" s="35"/>
      <c r="BH161" s="5"/>
      <c r="BI161" s="6"/>
      <c r="BJ161" s="35"/>
      <c r="BK161" s="5"/>
      <c r="BL161" s="41"/>
      <c r="BM161" s="35"/>
      <c r="BN161" s="5"/>
      <c r="BO161" s="42"/>
      <c r="BP161" s="42"/>
      <c r="BQ161" s="40"/>
      <c r="BR161" s="5"/>
      <c r="DA161" s="218"/>
      <c r="DH161" s="8"/>
      <c r="DI161" s="8"/>
      <c r="DJ161" s="8"/>
      <c r="DK161" s="8"/>
      <c r="DL161" s="8"/>
      <c r="DM161" s="8"/>
      <c r="DN161" s="8"/>
      <c r="EE161" s="42"/>
      <c r="EF161" s="5"/>
      <c r="EG161" s="35"/>
      <c r="EH161" s="5"/>
      <c r="EI161" s="6"/>
      <c r="EJ161" s="35"/>
      <c r="EK161" s="5"/>
      <c r="EL161" s="41"/>
      <c r="EM161" s="35"/>
      <c r="EN161" s="5"/>
      <c r="EO161" s="42"/>
      <c r="EP161" s="42"/>
      <c r="EQ161" s="40"/>
      <c r="ER161" s="219"/>
      <c r="ES161" s="56"/>
    </row>
    <row r="162" spans="34:149">
      <c r="AH162" s="8"/>
      <c r="AI162" s="8"/>
      <c r="AJ162" s="8"/>
      <c r="AK162" s="8"/>
      <c r="AL162" s="8"/>
      <c r="AM162" s="8"/>
      <c r="AN162" s="8"/>
      <c r="BE162" s="42"/>
      <c r="BF162" s="5"/>
      <c r="BG162" s="35"/>
      <c r="BH162" s="5"/>
      <c r="BI162" s="6"/>
      <c r="BJ162" s="35"/>
      <c r="BK162" s="5"/>
      <c r="BL162" s="41"/>
      <c r="BM162" s="35"/>
      <c r="BN162" s="5"/>
      <c r="BO162" s="42"/>
      <c r="BP162" s="42"/>
      <c r="BQ162" s="40"/>
      <c r="BR162" s="5"/>
      <c r="DA162" s="218"/>
      <c r="DH162" s="8"/>
      <c r="DI162" s="8"/>
      <c r="DJ162" s="8"/>
      <c r="DK162" s="8"/>
      <c r="DL162" s="8"/>
      <c r="DM162" s="8"/>
      <c r="DN162" s="8"/>
      <c r="EE162" s="42"/>
      <c r="EF162" s="5"/>
      <c r="EG162" s="35"/>
      <c r="EH162" s="5"/>
      <c r="EI162" s="6"/>
      <c r="EJ162" s="35"/>
      <c r="EK162" s="5"/>
      <c r="EL162" s="41"/>
      <c r="EM162" s="35"/>
      <c r="EN162" s="5"/>
      <c r="EO162" s="42"/>
      <c r="EP162" s="42"/>
      <c r="EQ162" s="40"/>
      <c r="ER162" s="219"/>
      <c r="ES162" s="56"/>
    </row>
    <row r="163" spans="34:149">
      <c r="AH163" s="8"/>
      <c r="AI163" s="8"/>
      <c r="AJ163" s="8"/>
      <c r="AK163" s="8"/>
      <c r="AL163" s="8"/>
      <c r="AM163" s="8"/>
      <c r="AN163" s="8"/>
      <c r="BE163" s="42"/>
      <c r="BF163" s="5"/>
      <c r="BG163" s="35"/>
      <c r="BH163" s="5"/>
      <c r="BI163" s="6"/>
      <c r="BJ163" s="35"/>
      <c r="BK163" s="5"/>
      <c r="BL163" s="41"/>
      <c r="BM163" s="35"/>
      <c r="BN163" s="5"/>
      <c r="BO163" s="42"/>
      <c r="BP163" s="42"/>
      <c r="BQ163" s="40"/>
      <c r="BR163" s="5"/>
      <c r="DA163" s="218"/>
      <c r="DH163" s="8"/>
      <c r="DI163" s="8"/>
      <c r="DJ163" s="8"/>
      <c r="DK163" s="8"/>
      <c r="DL163" s="8"/>
      <c r="DM163" s="8"/>
      <c r="DN163" s="8"/>
      <c r="EE163" s="42"/>
      <c r="EF163" s="5"/>
      <c r="EG163" s="35"/>
      <c r="EH163" s="5"/>
      <c r="EI163" s="6"/>
      <c r="EJ163" s="35"/>
      <c r="EK163" s="5"/>
      <c r="EL163" s="41"/>
      <c r="EM163" s="35"/>
      <c r="EN163" s="5"/>
      <c r="EO163" s="42"/>
      <c r="EP163" s="42"/>
      <c r="EQ163" s="40"/>
      <c r="ER163" s="219"/>
      <c r="ES163" s="56"/>
    </row>
    <row r="164" spans="34:149">
      <c r="AH164" s="8"/>
      <c r="AI164" s="8"/>
      <c r="AJ164" s="8"/>
      <c r="AK164" s="8"/>
      <c r="AL164" s="8"/>
      <c r="AM164" s="8"/>
      <c r="AN164" s="8"/>
      <c r="BE164" s="42"/>
      <c r="BF164" s="5"/>
      <c r="BG164" s="35"/>
      <c r="BH164" s="5"/>
      <c r="BI164" s="6"/>
      <c r="BJ164" s="35"/>
      <c r="BK164" s="5"/>
      <c r="BL164" s="41"/>
      <c r="BM164" s="35"/>
      <c r="BN164" s="5"/>
      <c r="BO164" s="42"/>
      <c r="BP164" s="42"/>
      <c r="BQ164" s="40"/>
      <c r="BR164" s="5"/>
      <c r="DA164" s="218"/>
      <c r="DH164" s="8"/>
      <c r="DI164" s="8"/>
      <c r="DJ164" s="8"/>
      <c r="DK164" s="8"/>
      <c r="DL164" s="8"/>
      <c r="DM164" s="8"/>
      <c r="DN164" s="8"/>
      <c r="EE164" s="42"/>
      <c r="EF164" s="5"/>
      <c r="EG164" s="35"/>
      <c r="EH164" s="5"/>
      <c r="EI164" s="6"/>
      <c r="EJ164" s="35"/>
      <c r="EK164" s="5"/>
      <c r="EL164" s="41"/>
      <c r="EM164" s="35"/>
      <c r="EN164" s="5"/>
      <c r="EO164" s="42"/>
      <c r="EP164" s="42"/>
      <c r="EQ164" s="40"/>
      <c r="ER164" s="219"/>
      <c r="ES164" s="56"/>
    </row>
    <row r="165" spans="34:149">
      <c r="AH165" s="8"/>
      <c r="AI165" s="8"/>
      <c r="AJ165" s="8"/>
      <c r="AK165" s="8"/>
      <c r="AL165" s="8"/>
      <c r="AM165" s="8"/>
      <c r="AN165" s="8"/>
      <c r="BE165" s="42"/>
      <c r="BF165" s="5"/>
      <c r="BG165" s="35"/>
      <c r="BH165" s="5"/>
      <c r="BI165" s="6"/>
      <c r="BJ165" s="35"/>
      <c r="BK165" s="5"/>
      <c r="BL165" s="41"/>
      <c r="BM165" s="35"/>
      <c r="BN165" s="5"/>
      <c r="BO165" s="42"/>
      <c r="BP165" s="42"/>
      <c r="BQ165" s="40"/>
      <c r="BR165" s="5"/>
      <c r="DA165" s="218"/>
      <c r="DH165" s="8"/>
      <c r="DI165" s="8"/>
      <c r="DJ165" s="8"/>
      <c r="DK165" s="8"/>
      <c r="DL165" s="8"/>
      <c r="DM165" s="8"/>
      <c r="DN165" s="8"/>
      <c r="EE165" s="42"/>
      <c r="EF165" s="5"/>
      <c r="EG165" s="35"/>
      <c r="EH165" s="5"/>
      <c r="EI165" s="6"/>
      <c r="EJ165" s="35"/>
      <c r="EK165" s="5"/>
      <c r="EL165" s="41"/>
      <c r="EM165" s="35"/>
      <c r="EN165" s="5"/>
      <c r="EO165" s="42"/>
      <c r="EP165" s="42"/>
      <c r="EQ165" s="40"/>
      <c r="ER165" s="219"/>
      <c r="ES165" s="56"/>
    </row>
    <row r="166" spans="34:149">
      <c r="AH166" s="8"/>
      <c r="AI166" s="8"/>
      <c r="AJ166" s="8"/>
      <c r="AK166" s="8"/>
      <c r="AL166" s="8"/>
      <c r="AM166" s="8"/>
      <c r="AN166" s="8"/>
      <c r="BE166" s="42"/>
      <c r="BF166" s="5"/>
      <c r="BG166" s="35"/>
      <c r="BH166" s="5"/>
      <c r="BI166" s="6"/>
      <c r="BJ166" s="35"/>
      <c r="BK166" s="5"/>
      <c r="BL166" s="41"/>
      <c r="BM166" s="35"/>
      <c r="BN166" s="5"/>
      <c r="BO166" s="42"/>
      <c r="BP166" s="42"/>
      <c r="BQ166" s="40"/>
      <c r="BR166" s="5"/>
      <c r="DA166" s="218"/>
      <c r="DH166" s="8"/>
      <c r="DI166" s="8"/>
      <c r="DJ166" s="8"/>
      <c r="DK166" s="8"/>
      <c r="DL166" s="8"/>
      <c r="DM166" s="8"/>
      <c r="DN166" s="8"/>
      <c r="EE166" s="42"/>
      <c r="EF166" s="5"/>
      <c r="EG166" s="35"/>
      <c r="EH166" s="5"/>
      <c r="EI166" s="6"/>
      <c r="EJ166" s="35"/>
      <c r="EK166" s="5"/>
      <c r="EL166" s="41"/>
      <c r="EM166" s="35"/>
      <c r="EN166" s="5"/>
      <c r="EO166" s="42"/>
      <c r="EP166" s="42"/>
      <c r="EQ166" s="40"/>
      <c r="ER166" s="219"/>
      <c r="ES166" s="56"/>
    </row>
    <row r="167" spans="34:149">
      <c r="AH167" s="8"/>
      <c r="AI167" s="8"/>
      <c r="AJ167" s="8"/>
      <c r="AK167" s="8"/>
      <c r="AL167" s="8"/>
      <c r="AM167" s="8"/>
      <c r="AN167" s="8"/>
      <c r="BE167" s="42"/>
      <c r="BF167" s="5"/>
      <c r="BG167" s="35"/>
      <c r="BH167" s="5"/>
      <c r="BI167" s="6"/>
      <c r="BJ167" s="35"/>
      <c r="BK167" s="5"/>
      <c r="BL167" s="41"/>
      <c r="BM167" s="35"/>
      <c r="BN167" s="5"/>
      <c r="BO167" s="42"/>
      <c r="BP167" s="42"/>
      <c r="BQ167" s="40"/>
      <c r="BR167" s="5"/>
      <c r="DA167" s="218"/>
      <c r="DH167" s="8"/>
      <c r="DI167" s="8"/>
      <c r="DJ167" s="8"/>
      <c r="DK167" s="8"/>
      <c r="DL167" s="8"/>
      <c r="DM167" s="8"/>
      <c r="DN167" s="8"/>
      <c r="EE167" s="42"/>
      <c r="EF167" s="5"/>
      <c r="EG167" s="35"/>
      <c r="EH167" s="5"/>
      <c r="EI167" s="6"/>
      <c r="EJ167" s="35"/>
      <c r="EK167" s="5"/>
      <c r="EL167" s="41"/>
      <c r="EM167" s="35"/>
      <c r="EN167" s="5"/>
      <c r="EO167" s="42"/>
      <c r="EP167" s="42"/>
      <c r="EQ167" s="40"/>
      <c r="ER167" s="219"/>
      <c r="ES167" s="56"/>
    </row>
    <row r="168" spans="34:149">
      <c r="AH168" s="8"/>
      <c r="AI168" s="8"/>
      <c r="AJ168" s="8"/>
      <c r="AK168" s="8"/>
      <c r="AL168" s="8"/>
      <c r="AM168" s="8"/>
      <c r="AN168" s="8"/>
      <c r="BE168" s="42"/>
      <c r="BF168" s="5"/>
      <c r="BG168" s="35"/>
      <c r="BH168" s="5"/>
      <c r="BI168" s="6"/>
      <c r="BJ168" s="35"/>
      <c r="BK168" s="5"/>
      <c r="BL168" s="41"/>
      <c r="BM168" s="35"/>
      <c r="BN168" s="5"/>
      <c r="BO168" s="42"/>
      <c r="BP168" s="42"/>
      <c r="BQ168" s="40"/>
      <c r="BR168" s="5"/>
      <c r="DA168" s="218"/>
      <c r="DH168" s="8"/>
      <c r="DI168" s="8"/>
      <c r="DJ168" s="8"/>
      <c r="DK168" s="8"/>
      <c r="DL168" s="8"/>
      <c r="DM168" s="8"/>
      <c r="DN168" s="8"/>
      <c r="EE168" s="42"/>
      <c r="EF168" s="5"/>
      <c r="EG168" s="35"/>
      <c r="EH168" s="5"/>
      <c r="EI168" s="6"/>
      <c r="EJ168" s="35"/>
      <c r="EK168" s="5"/>
      <c r="EL168" s="41"/>
      <c r="EM168" s="35"/>
      <c r="EN168" s="5"/>
      <c r="EO168" s="42"/>
      <c r="EP168" s="42"/>
      <c r="EQ168" s="40"/>
      <c r="ER168" s="219"/>
      <c r="ES168" s="56"/>
    </row>
    <row r="169" spans="34:149">
      <c r="AH169" s="8"/>
      <c r="AI169" s="8"/>
      <c r="AJ169" s="8"/>
      <c r="AK169" s="8"/>
      <c r="AL169" s="8"/>
      <c r="AM169" s="8"/>
      <c r="AN169" s="8"/>
      <c r="BE169" s="42"/>
      <c r="BF169" s="5"/>
      <c r="BG169" s="35"/>
      <c r="BH169" s="5"/>
      <c r="BI169" s="6"/>
      <c r="BJ169" s="35"/>
      <c r="BK169" s="5"/>
      <c r="BL169" s="41"/>
      <c r="BM169" s="35"/>
      <c r="BN169" s="5"/>
      <c r="BO169" s="42"/>
      <c r="BP169" s="42"/>
      <c r="BQ169" s="40"/>
      <c r="BR169" s="5"/>
      <c r="DA169" s="218"/>
      <c r="DH169" s="8"/>
      <c r="DI169" s="8"/>
      <c r="DJ169" s="8"/>
      <c r="DK169" s="8"/>
      <c r="DL169" s="8"/>
      <c r="DM169" s="8"/>
      <c r="DN169" s="8"/>
      <c r="EE169" s="42"/>
      <c r="EF169" s="5"/>
      <c r="EG169" s="35"/>
      <c r="EH169" s="5"/>
      <c r="EI169" s="6"/>
      <c r="EJ169" s="35"/>
      <c r="EK169" s="5"/>
      <c r="EL169" s="41"/>
      <c r="EM169" s="35"/>
      <c r="EN169" s="5"/>
      <c r="EO169" s="42"/>
      <c r="EP169" s="42"/>
      <c r="EQ169" s="40"/>
      <c r="ER169" s="219"/>
      <c r="ES169" s="56"/>
    </row>
    <row r="170" spans="34:149">
      <c r="AH170" s="8"/>
      <c r="AI170" s="8"/>
      <c r="AJ170" s="8"/>
      <c r="AK170" s="8"/>
      <c r="AL170" s="8"/>
      <c r="AM170" s="8"/>
      <c r="AN170" s="8"/>
      <c r="BE170" s="42"/>
      <c r="BF170" s="5"/>
      <c r="BG170" s="35"/>
      <c r="BH170" s="5"/>
      <c r="BI170" s="6"/>
      <c r="BJ170" s="35"/>
      <c r="BK170" s="5"/>
      <c r="BL170" s="41"/>
      <c r="BM170" s="35"/>
      <c r="BN170" s="5"/>
      <c r="BO170" s="42"/>
      <c r="BP170" s="42"/>
      <c r="BQ170" s="40"/>
      <c r="BR170" s="5"/>
      <c r="DA170" s="218"/>
      <c r="DH170" s="8"/>
      <c r="DI170" s="8"/>
      <c r="DJ170" s="8"/>
      <c r="DK170" s="8"/>
      <c r="DL170" s="8"/>
      <c r="DM170" s="8"/>
      <c r="DN170" s="8"/>
      <c r="EE170" s="42"/>
      <c r="EF170" s="5"/>
      <c r="EG170" s="35"/>
      <c r="EH170" s="5"/>
      <c r="EI170" s="6"/>
      <c r="EJ170" s="35"/>
      <c r="EK170" s="5"/>
      <c r="EL170" s="41"/>
      <c r="EM170" s="35"/>
      <c r="EN170" s="5"/>
      <c r="EO170" s="42"/>
      <c r="EP170" s="42"/>
      <c r="EQ170" s="40"/>
      <c r="ER170" s="219"/>
      <c r="ES170" s="56"/>
    </row>
    <row r="171" spans="34:149">
      <c r="AH171" s="8"/>
      <c r="AI171" s="8"/>
      <c r="AJ171" s="8"/>
      <c r="AK171" s="8"/>
      <c r="AL171" s="8"/>
      <c r="AM171" s="8"/>
      <c r="AN171" s="8"/>
      <c r="BE171" s="42"/>
      <c r="BF171" s="5"/>
      <c r="BG171" s="35"/>
      <c r="BH171" s="5"/>
      <c r="BI171" s="6"/>
      <c r="BJ171" s="35"/>
      <c r="BK171" s="5"/>
      <c r="BL171" s="41"/>
      <c r="BM171" s="35"/>
      <c r="BN171" s="5"/>
      <c r="BO171" s="42"/>
      <c r="BP171" s="42"/>
      <c r="BQ171" s="40"/>
      <c r="BR171" s="5"/>
      <c r="DA171" s="218"/>
      <c r="DH171" s="8"/>
      <c r="DI171" s="8"/>
      <c r="DJ171" s="8"/>
      <c r="DK171" s="8"/>
      <c r="DL171" s="8"/>
      <c r="DM171" s="8"/>
      <c r="DN171" s="8"/>
      <c r="EE171" s="42"/>
      <c r="EF171" s="5"/>
      <c r="EG171" s="35"/>
      <c r="EH171" s="5"/>
      <c r="EI171" s="6"/>
      <c r="EJ171" s="35"/>
      <c r="EK171" s="5"/>
      <c r="EL171" s="41"/>
      <c r="EM171" s="35"/>
      <c r="EN171" s="5"/>
      <c r="EO171" s="42"/>
      <c r="EP171" s="42"/>
      <c r="EQ171" s="40"/>
      <c r="ER171" s="219"/>
      <c r="ES171" s="56"/>
    </row>
    <row r="172" spans="34:149">
      <c r="AH172" s="8"/>
      <c r="AI172" s="8"/>
      <c r="AJ172" s="8"/>
      <c r="AK172" s="8"/>
      <c r="AL172" s="8"/>
      <c r="AM172" s="8"/>
      <c r="AN172" s="8"/>
      <c r="BE172" s="42"/>
      <c r="BF172" s="5"/>
      <c r="BG172" s="35"/>
      <c r="BH172" s="5"/>
      <c r="BI172" s="6"/>
      <c r="BJ172" s="35"/>
      <c r="BK172" s="5"/>
      <c r="BL172" s="41"/>
      <c r="BM172" s="35"/>
      <c r="BN172" s="5"/>
      <c r="BO172" s="42"/>
      <c r="BP172" s="42"/>
      <c r="BQ172" s="40"/>
      <c r="BR172" s="5"/>
      <c r="DA172" s="218"/>
      <c r="DH172" s="8"/>
      <c r="DI172" s="8"/>
      <c r="DJ172" s="8"/>
      <c r="DK172" s="8"/>
      <c r="DL172" s="8"/>
      <c r="DM172" s="8"/>
      <c r="DN172" s="8"/>
      <c r="EE172" s="42"/>
      <c r="EF172" s="5"/>
      <c r="EG172" s="35"/>
      <c r="EH172" s="5"/>
      <c r="EI172" s="6"/>
      <c r="EJ172" s="35"/>
      <c r="EK172" s="5"/>
      <c r="EL172" s="41"/>
      <c r="EM172" s="35"/>
      <c r="EN172" s="5"/>
      <c r="EO172" s="42"/>
      <c r="EP172" s="42"/>
      <c r="EQ172" s="40"/>
      <c r="ER172" s="219"/>
      <c r="ES172" s="56"/>
    </row>
    <row r="173" spans="34:149">
      <c r="AH173" s="8"/>
      <c r="AI173" s="8"/>
      <c r="AJ173" s="8"/>
      <c r="AK173" s="8"/>
      <c r="AL173" s="8"/>
      <c r="AM173" s="8"/>
      <c r="AN173" s="8"/>
      <c r="BE173" s="42"/>
      <c r="BF173" s="5"/>
      <c r="BG173" s="35"/>
      <c r="BH173" s="5"/>
      <c r="BI173" s="6"/>
      <c r="BJ173" s="35"/>
      <c r="BK173" s="5"/>
      <c r="BL173" s="41"/>
      <c r="BM173" s="35"/>
      <c r="BN173" s="5"/>
      <c r="BO173" s="42"/>
      <c r="BP173" s="42"/>
      <c r="BQ173" s="40"/>
      <c r="BR173" s="5"/>
      <c r="DA173" s="218"/>
      <c r="DH173" s="8"/>
      <c r="DI173" s="8"/>
      <c r="DJ173" s="8"/>
      <c r="DK173" s="8"/>
      <c r="DL173" s="8"/>
      <c r="DM173" s="8"/>
      <c r="DN173" s="8"/>
      <c r="EE173" s="42"/>
      <c r="EF173" s="5"/>
      <c r="EG173" s="35"/>
      <c r="EH173" s="5"/>
      <c r="EI173" s="6"/>
      <c r="EJ173" s="35"/>
      <c r="EK173" s="5"/>
      <c r="EL173" s="41"/>
      <c r="EM173" s="35"/>
      <c r="EN173" s="5"/>
      <c r="EO173" s="42"/>
      <c r="EP173" s="42"/>
      <c r="EQ173" s="40"/>
      <c r="ER173" s="219"/>
      <c r="ES173" s="56"/>
    </row>
    <row r="174" spans="34:149">
      <c r="AH174" s="8"/>
      <c r="AI174" s="8"/>
      <c r="AJ174" s="8"/>
      <c r="AK174" s="8"/>
      <c r="AL174" s="8"/>
      <c r="AM174" s="8"/>
      <c r="AN174" s="8"/>
      <c r="BE174" s="42"/>
      <c r="BF174" s="5"/>
      <c r="BG174" s="35"/>
      <c r="BH174" s="5"/>
      <c r="BI174" s="6"/>
      <c r="BJ174" s="35"/>
      <c r="BK174" s="5"/>
      <c r="BL174" s="41"/>
      <c r="BM174" s="35"/>
      <c r="BN174" s="5"/>
      <c r="BO174" s="42"/>
      <c r="BP174" s="42"/>
      <c r="BQ174" s="40"/>
      <c r="BR174" s="5"/>
      <c r="DA174" s="218"/>
      <c r="DH174" s="8"/>
      <c r="DI174" s="8"/>
      <c r="DJ174" s="8"/>
      <c r="DK174" s="8"/>
      <c r="DL174" s="8"/>
      <c r="DM174" s="8"/>
      <c r="DN174" s="8"/>
      <c r="EE174" s="42"/>
      <c r="EF174" s="5"/>
      <c r="EG174" s="35"/>
      <c r="EH174" s="5"/>
      <c r="EI174" s="6"/>
      <c r="EJ174" s="35"/>
      <c r="EK174" s="5"/>
      <c r="EL174" s="41"/>
      <c r="EM174" s="35"/>
      <c r="EN174" s="5"/>
      <c r="EO174" s="42"/>
      <c r="EP174" s="42"/>
      <c r="EQ174" s="40"/>
      <c r="ER174" s="219"/>
      <c r="ES174" s="56"/>
    </row>
    <row r="175" spans="34:149">
      <c r="AH175" s="8"/>
      <c r="AI175" s="8"/>
      <c r="AJ175" s="8"/>
      <c r="AK175" s="8"/>
      <c r="AL175" s="8"/>
      <c r="AM175" s="8"/>
      <c r="AN175" s="8"/>
      <c r="BE175" s="42"/>
      <c r="BF175" s="5"/>
      <c r="BG175" s="35"/>
      <c r="BH175" s="5"/>
      <c r="BI175" s="6"/>
      <c r="BJ175" s="35"/>
      <c r="BK175" s="5"/>
      <c r="BL175" s="41"/>
      <c r="BM175" s="35"/>
      <c r="BN175" s="5"/>
      <c r="BO175" s="42"/>
      <c r="BP175" s="42"/>
      <c r="BQ175" s="40"/>
      <c r="BR175" s="5"/>
      <c r="DA175" s="218"/>
      <c r="DH175" s="8"/>
      <c r="DI175" s="8"/>
      <c r="DJ175" s="8"/>
      <c r="DK175" s="8"/>
      <c r="DL175" s="8"/>
      <c r="DM175" s="8"/>
      <c r="DN175" s="8"/>
      <c r="EE175" s="42"/>
      <c r="EF175" s="5"/>
      <c r="EG175" s="35"/>
      <c r="EH175" s="5"/>
      <c r="EI175" s="6"/>
      <c r="EJ175" s="35"/>
      <c r="EK175" s="5"/>
      <c r="EL175" s="41"/>
      <c r="EM175" s="35"/>
      <c r="EN175" s="5"/>
      <c r="EO175" s="42"/>
      <c r="EP175" s="42"/>
      <c r="EQ175" s="40"/>
      <c r="ER175" s="219"/>
      <c r="ES175" s="56"/>
    </row>
    <row r="176" spans="34:149">
      <c r="AH176" s="8"/>
      <c r="AI176" s="8"/>
      <c r="AJ176" s="8"/>
      <c r="AK176" s="8"/>
      <c r="AL176" s="8"/>
      <c r="AM176" s="8"/>
      <c r="AN176" s="8"/>
      <c r="BE176" s="42"/>
      <c r="BF176" s="5"/>
      <c r="BG176" s="35"/>
      <c r="BH176" s="5"/>
      <c r="BI176" s="6"/>
      <c r="BJ176" s="35"/>
      <c r="BK176" s="5"/>
      <c r="BL176" s="41"/>
      <c r="BM176" s="35"/>
      <c r="BN176" s="5"/>
      <c r="BO176" s="42"/>
      <c r="BP176" s="42"/>
      <c r="BQ176" s="40"/>
      <c r="BR176" s="5"/>
      <c r="DA176" s="218"/>
      <c r="DH176" s="8"/>
      <c r="DI176" s="8"/>
      <c r="DJ176" s="8"/>
      <c r="DK176" s="8"/>
      <c r="DL176" s="8"/>
      <c r="DM176" s="8"/>
      <c r="DN176" s="8"/>
      <c r="EE176" s="42"/>
      <c r="EF176" s="5"/>
      <c r="EG176" s="35"/>
      <c r="EH176" s="5"/>
      <c r="EI176" s="6"/>
      <c r="EJ176" s="35"/>
      <c r="EK176" s="5"/>
      <c r="EL176" s="41"/>
      <c r="EM176" s="35"/>
      <c r="EN176" s="5"/>
      <c r="EO176" s="42"/>
      <c r="EP176" s="42"/>
      <c r="EQ176" s="40"/>
      <c r="ER176" s="219"/>
      <c r="ES176" s="56"/>
    </row>
    <row r="177" spans="34:149">
      <c r="AH177" s="8"/>
      <c r="AI177" s="8"/>
      <c r="AJ177" s="8"/>
      <c r="AK177" s="8"/>
      <c r="AL177" s="8"/>
      <c r="AM177" s="8"/>
      <c r="AN177" s="8"/>
      <c r="BE177" s="42"/>
      <c r="BF177" s="5"/>
      <c r="BG177" s="35"/>
      <c r="BH177" s="5"/>
      <c r="BI177" s="6"/>
      <c r="BJ177" s="35"/>
      <c r="BK177" s="5"/>
      <c r="BL177" s="41"/>
      <c r="BM177" s="35"/>
      <c r="BN177" s="5"/>
      <c r="BO177" s="42"/>
      <c r="BP177" s="42"/>
      <c r="BQ177" s="40"/>
      <c r="BR177" s="5"/>
      <c r="DA177" s="218"/>
      <c r="DH177" s="8"/>
      <c r="DI177" s="8"/>
      <c r="DJ177" s="8"/>
      <c r="DK177" s="8"/>
      <c r="DL177" s="8"/>
      <c r="DM177" s="8"/>
      <c r="DN177" s="8"/>
      <c r="EE177" s="42"/>
      <c r="EF177" s="5"/>
      <c r="EG177" s="35"/>
      <c r="EH177" s="5"/>
      <c r="EI177" s="6"/>
      <c r="EJ177" s="35"/>
      <c r="EK177" s="5"/>
      <c r="EL177" s="41"/>
      <c r="EM177" s="35"/>
      <c r="EN177" s="5"/>
      <c r="EO177" s="42"/>
      <c r="EP177" s="42"/>
      <c r="EQ177" s="40"/>
      <c r="ER177" s="219"/>
      <c r="ES177" s="56"/>
    </row>
    <row r="178" spans="34:149">
      <c r="AH178" s="8"/>
      <c r="AI178" s="8"/>
      <c r="AJ178" s="8"/>
      <c r="AK178" s="8"/>
      <c r="AL178" s="8"/>
      <c r="AM178" s="8"/>
      <c r="AN178" s="8"/>
      <c r="BE178" s="42"/>
      <c r="BF178" s="5"/>
      <c r="BG178" s="35"/>
      <c r="BH178" s="5"/>
      <c r="BI178" s="6"/>
      <c r="BJ178" s="35"/>
      <c r="BK178" s="5"/>
      <c r="BL178" s="41"/>
      <c r="BM178" s="35"/>
      <c r="BN178" s="5"/>
      <c r="BO178" s="42"/>
      <c r="BP178" s="42"/>
      <c r="BQ178" s="40"/>
      <c r="BR178" s="5"/>
      <c r="DA178" s="218"/>
      <c r="DH178" s="8"/>
      <c r="DI178" s="8"/>
      <c r="DJ178" s="8"/>
      <c r="DK178" s="8"/>
      <c r="DL178" s="8"/>
      <c r="DM178" s="8"/>
      <c r="DN178" s="8"/>
      <c r="EE178" s="42"/>
      <c r="EF178" s="5"/>
      <c r="EG178" s="35"/>
      <c r="EH178" s="5"/>
      <c r="EI178" s="6"/>
      <c r="EJ178" s="35"/>
      <c r="EK178" s="5"/>
      <c r="EL178" s="41"/>
      <c r="EM178" s="35"/>
      <c r="EN178" s="5"/>
      <c r="EO178" s="42"/>
      <c r="EP178" s="42"/>
      <c r="EQ178" s="40"/>
      <c r="ER178" s="219"/>
      <c r="ES178" s="56"/>
    </row>
    <row r="179" spans="34:149">
      <c r="AH179" s="8"/>
      <c r="AI179" s="8"/>
      <c r="AJ179" s="8"/>
      <c r="AK179" s="8"/>
      <c r="AL179" s="8"/>
      <c r="AM179" s="8"/>
      <c r="AN179" s="8"/>
      <c r="BE179" s="42"/>
      <c r="BF179" s="5"/>
      <c r="BG179" s="35"/>
      <c r="BH179" s="5"/>
      <c r="BI179" s="6"/>
      <c r="BJ179" s="35"/>
      <c r="BK179" s="5"/>
      <c r="BL179" s="41"/>
      <c r="BM179" s="35"/>
      <c r="BN179" s="5"/>
      <c r="BO179" s="42"/>
      <c r="BP179" s="42"/>
      <c r="BQ179" s="40"/>
      <c r="BR179" s="5"/>
      <c r="DA179" s="218"/>
      <c r="DH179" s="8"/>
      <c r="DI179" s="8"/>
      <c r="DJ179" s="8"/>
      <c r="DK179" s="8"/>
      <c r="DL179" s="8"/>
      <c r="DM179" s="8"/>
      <c r="DN179" s="8"/>
      <c r="EE179" s="42"/>
      <c r="EF179" s="5"/>
      <c r="EG179" s="35"/>
      <c r="EH179" s="5"/>
      <c r="EI179" s="6"/>
      <c r="EJ179" s="35"/>
      <c r="EK179" s="5"/>
      <c r="EL179" s="41"/>
      <c r="EM179" s="35"/>
      <c r="EN179" s="5"/>
      <c r="EO179" s="42"/>
      <c r="EP179" s="42"/>
      <c r="EQ179" s="40"/>
      <c r="ER179" s="219"/>
      <c r="ES179" s="56"/>
    </row>
    <row r="180" spans="34:149">
      <c r="AH180" s="8"/>
      <c r="AI180" s="8"/>
      <c r="AJ180" s="8"/>
      <c r="AK180" s="8"/>
      <c r="AL180" s="8"/>
      <c r="AM180" s="8"/>
      <c r="AN180" s="8"/>
      <c r="BE180" s="42"/>
      <c r="BF180" s="5"/>
      <c r="BG180" s="35"/>
      <c r="BH180" s="5"/>
      <c r="BI180" s="6"/>
      <c r="BJ180" s="35"/>
      <c r="BK180" s="5"/>
      <c r="BL180" s="41"/>
      <c r="BM180" s="35"/>
      <c r="BN180" s="5"/>
      <c r="BO180" s="42"/>
      <c r="BP180" s="42"/>
      <c r="BQ180" s="40"/>
      <c r="BR180" s="5"/>
      <c r="DA180" s="218"/>
      <c r="DH180" s="8"/>
      <c r="DI180" s="8"/>
      <c r="DJ180" s="8"/>
      <c r="DK180" s="8"/>
      <c r="DL180" s="8"/>
      <c r="DM180" s="8"/>
      <c r="DN180" s="8"/>
      <c r="EE180" s="42"/>
      <c r="EF180" s="5"/>
      <c r="EG180" s="35"/>
      <c r="EH180" s="5"/>
      <c r="EI180" s="6"/>
      <c r="EJ180" s="35"/>
      <c r="EK180" s="5"/>
      <c r="EL180" s="41"/>
      <c r="EM180" s="35"/>
      <c r="EN180" s="5"/>
      <c r="EO180" s="42"/>
      <c r="EP180" s="42"/>
      <c r="EQ180" s="40"/>
      <c r="ER180" s="219"/>
      <c r="ES180" s="56"/>
    </row>
    <row r="181" spans="34:149">
      <c r="AH181" s="8"/>
      <c r="AI181" s="8"/>
      <c r="AJ181" s="8"/>
      <c r="AK181" s="8"/>
      <c r="AL181" s="8"/>
      <c r="AM181" s="8"/>
      <c r="AN181" s="8"/>
      <c r="BE181" s="42"/>
      <c r="BF181" s="5"/>
      <c r="BG181" s="35"/>
      <c r="BH181" s="5"/>
      <c r="BI181" s="6"/>
      <c r="BJ181" s="35"/>
      <c r="BK181" s="5"/>
      <c r="BL181" s="41"/>
      <c r="BM181" s="35"/>
      <c r="BN181" s="5"/>
      <c r="BO181" s="42"/>
      <c r="BP181" s="42"/>
      <c r="BQ181" s="40"/>
      <c r="BR181" s="5"/>
      <c r="DA181" s="218"/>
      <c r="DH181" s="8"/>
      <c r="DI181" s="8"/>
      <c r="DJ181" s="8"/>
      <c r="DK181" s="8"/>
      <c r="DL181" s="8"/>
      <c r="DM181" s="8"/>
      <c r="DN181" s="8"/>
      <c r="EE181" s="42"/>
      <c r="EF181" s="5"/>
      <c r="EG181" s="35"/>
      <c r="EH181" s="5"/>
      <c r="EI181" s="6"/>
      <c r="EJ181" s="35"/>
      <c r="EK181" s="5"/>
      <c r="EL181" s="41"/>
      <c r="EM181" s="35"/>
      <c r="EN181" s="5"/>
      <c r="EO181" s="42"/>
      <c r="EP181" s="42"/>
      <c r="EQ181" s="40"/>
      <c r="ER181" s="219"/>
      <c r="ES181" s="56"/>
    </row>
    <row r="182" spans="34:149">
      <c r="AH182" s="8"/>
      <c r="AI182" s="8"/>
      <c r="AJ182" s="8"/>
      <c r="AK182" s="8"/>
      <c r="AL182" s="8"/>
      <c r="AM182" s="8"/>
      <c r="AN182" s="8"/>
      <c r="BE182" s="42"/>
      <c r="BF182" s="5"/>
      <c r="BG182" s="35"/>
      <c r="BH182" s="5"/>
      <c r="BI182" s="6"/>
      <c r="BJ182" s="35"/>
      <c r="BK182" s="5"/>
      <c r="BL182" s="41"/>
      <c r="BM182" s="35"/>
      <c r="BN182" s="5"/>
      <c r="BO182" s="42"/>
      <c r="BP182" s="42"/>
      <c r="BQ182" s="40"/>
      <c r="BR182" s="5"/>
      <c r="DA182" s="218"/>
      <c r="DH182" s="8"/>
      <c r="DI182" s="8"/>
      <c r="DJ182" s="8"/>
      <c r="DK182" s="8"/>
      <c r="DL182" s="8"/>
      <c r="DM182" s="8"/>
      <c r="DN182" s="8"/>
      <c r="EE182" s="42"/>
      <c r="EF182" s="5"/>
      <c r="EG182" s="35"/>
      <c r="EH182" s="5"/>
      <c r="EI182" s="6"/>
      <c r="EJ182" s="35"/>
      <c r="EK182" s="5"/>
      <c r="EL182" s="41"/>
      <c r="EM182" s="35"/>
      <c r="EN182" s="5"/>
      <c r="EO182" s="42"/>
      <c r="EP182" s="42"/>
      <c r="EQ182" s="40"/>
      <c r="ER182" s="219"/>
      <c r="ES182" s="56"/>
    </row>
    <row r="183" spans="34:149">
      <c r="AH183" s="8"/>
      <c r="AI183" s="8"/>
      <c r="AJ183" s="8"/>
      <c r="AK183" s="8"/>
      <c r="AL183" s="8"/>
      <c r="AM183" s="8"/>
      <c r="AN183" s="8"/>
      <c r="BE183" s="42"/>
      <c r="BF183" s="5"/>
      <c r="BG183" s="35"/>
      <c r="BH183" s="5"/>
      <c r="BI183" s="6"/>
      <c r="BJ183" s="35"/>
      <c r="BK183" s="5"/>
      <c r="BL183" s="41"/>
      <c r="BM183" s="35"/>
      <c r="BN183" s="5"/>
      <c r="BO183" s="42"/>
      <c r="BP183" s="42"/>
      <c r="BQ183" s="40"/>
      <c r="BR183" s="5"/>
      <c r="DA183" s="218"/>
      <c r="DH183" s="8"/>
      <c r="DI183" s="8"/>
      <c r="DJ183" s="8"/>
      <c r="DK183" s="8"/>
      <c r="DL183" s="8"/>
      <c r="DM183" s="8"/>
      <c r="DN183" s="8"/>
      <c r="EE183" s="42"/>
      <c r="EF183" s="5"/>
      <c r="EG183" s="35"/>
      <c r="EH183" s="5"/>
      <c r="EI183" s="6"/>
      <c r="EJ183" s="35"/>
      <c r="EK183" s="5"/>
      <c r="EL183" s="41"/>
      <c r="EM183" s="35"/>
      <c r="EN183" s="5"/>
      <c r="EO183" s="42"/>
      <c r="EP183" s="42"/>
      <c r="EQ183" s="40"/>
      <c r="ER183" s="219"/>
      <c r="ES183" s="56"/>
    </row>
    <row r="184" spans="34:149">
      <c r="AH184" s="8"/>
      <c r="AI184" s="8"/>
      <c r="AJ184" s="8"/>
      <c r="AK184" s="8"/>
      <c r="AL184" s="8"/>
      <c r="AM184" s="8"/>
      <c r="AN184" s="8"/>
      <c r="BE184" s="42"/>
      <c r="BF184" s="5"/>
      <c r="BG184" s="35"/>
      <c r="BH184" s="5"/>
      <c r="BI184" s="6"/>
      <c r="BJ184" s="35"/>
      <c r="BK184" s="5"/>
      <c r="BL184" s="41"/>
      <c r="BM184" s="35"/>
      <c r="BN184" s="5"/>
      <c r="BO184" s="42"/>
      <c r="BP184" s="42"/>
      <c r="BQ184" s="40"/>
      <c r="BR184" s="5"/>
      <c r="DA184" s="218"/>
      <c r="DH184" s="8"/>
      <c r="DI184" s="8"/>
      <c r="DJ184" s="8"/>
      <c r="DK184" s="8"/>
      <c r="DL184" s="8"/>
      <c r="DM184" s="8"/>
      <c r="DN184" s="8"/>
      <c r="EE184" s="42"/>
      <c r="EF184" s="5"/>
      <c r="EG184" s="35"/>
      <c r="EH184" s="5"/>
      <c r="EI184" s="6"/>
      <c r="EJ184" s="35"/>
      <c r="EK184" s="5"/>
      <c r="EL184" s="41"/>
      <c r="EM184" s="35"/>
      <c r="EN184" s="5"/>
      <c r="EO184" s="42"/>
      <c r="EP184" s="42"/>
      <c r="EQ184" s="40"/>
      <c r="ER184" s="219"/>
      <c r="ES184" s="56"/>
    </row>
    <row r="185" spans="34:149">
      <c r="AH185" s="8"/>
      <c r="AI185" s="8"/>
      <c r="AJ185" s="8"/>
      <c r="AK185" s="8"/>
      <c r="AL185" s="8"/>
      <c r="AM185" s="8"/>
      <c r="AN185" s="8"/>
      <c r="BE185" s="42"/>
      <c r="BF185" s="5"/>
      <c r="BG185" s="35"/>
      <c r="BH185" s="5"/>
      <c r="BI185" s="6"/>
      <c r="BJ185" s="35"/>
      <c r="BK185" s="5"/>
      <c r="BL185" s="41"/>
      <c r="BM185" s="35"/>
      <c r="BN185" s="5"/>
      <c r="BO185" s="42"/>
      <c r="BP185" s="42"/>
      <c r="BQ185" s="40"/>
      <c r="BR185" s="5"/>
      <c r="DA185" s="218"/>
      <c r="DH185" s="8"/>
      <c r="DI185" s="8"/>
      <c r="DJ185" s="8"/>
      <c r="DK185" s="8"/>
      <c r="DL185" s="8"/>
      <c r="DM185" s="8"/>
      <c r="DN185" s="8"/>
      <c r="EE185" s="42"/>
      <c r="EF185" s="5"/>
      <c r="EG185" s="35"/>
      <c r="EH185" s="5"/>
      <c r="EI185" s="6"/>
      <c r="EJ185" s="35"/>
      <c r="EK185" s="5"/>
      <c r="EL185" s="41"/>
      <c r="EM185" s="35"/>
      <c r="EN185" s="5"/>
      <c r="EO185" s="42"/>
      <c r="EP185" s="42"/>
      <c r="EQ185" s="40"/>
      <c r="ER185" s="219"/>
      <c r="ES185" s="56"/>
    </row>
    <row r="186" spans="34:149">
      <c r="AH186" s="8"/>
      <c r="AI186" s="8"/>
      <c r="AJ186" s="8"/>
      <c r="AK186" s="8"/>
      <c r="AL186" s="8"/>
      <c r="AM186" s="8"/>
      <c r="AN186" s="8"/>
      <c r="BE186" s="42"/>
      <c r="BF186" s="5"/>
      <c r="BG186" s="35"/>
      <c r="BH186" s="5"/>
      <c r="BI186" s="6"/>
      <c r="BJ186" s="35"/>
      <c r="BK186" s="5"/>
      <c r="BL186" s="41"/>
      <c r="BM186" s="35"/>
      <c r="BN186" s="5"/>
      <c r="BO186" s="42"/>
      <c r="BP186" s="42"/>
      <c r="BQ186" s="40"/>
      <c r="BR186" s="5"/>
      <c r="DA186" s="218"/>
      <c r="DH186" s="8"/>
      <c r="DI186" s="8"/>
      <c r="DJ186" s="8"/>
      <c r="DK186" s="8"/>
      <c r="DL186" s="8"/>
      <c r="DM186" s="8"/>
      <c r="DN186" s="8"/>
      <c r="EE186" s="42"/>
      <c r="EF186" s="5"/>
      <c r="EG186" s="35"/>
      <c r="EH186" s="5"/>
      <c r="EI186" s="6"/>
      <c r="EJ186" s="35"/>
      <c r="EK186" s="5"/>
      <c r="EL186" s="41"/>
      <c r="EM186" s="35"/>
      <c r="EN186" s="5"/>
      <c r="EO186" s="42"/>
      <c r="EP186" s="42"/>
      <c r="EQ186" s="40"/>
      <c r="ER186" s="219"/>
      <c r="ES186" s="56"/>
    </row>
    <row r="187" spans="34:149">
      <c r="AH187" s="8"/>
      <c r="AI187" s="8"/>
      <c r="AJ187" s="8"/>
      <c r="AK187" s="8"/>
      <c r="AL187" s="8"/>
      <c r="AM187" s="8"/>
      <c r="AN187" s="8"/>
      <c r="BE187" s="42"/>
      <c r="BF187" s="5"/>
      <c r="BG187" s="35"/>
      <c r="BH187" s="5"/>
      <c r="BI187" s="6"/>
      <c r="BJ187" s="35"/>
      <c r="BK187" s="5"/>
      <c r="BL187" s="41"/>
      <c r="BM187" s="35"/>
      <c r="BN187" s="5"/>
      <c r="BO187" s="42"/>
      <c r="BP187" s="42"/>
      <c r="BQ187" s="40"/>
      <c r="BR187" s="5"/>
      <c r="DA187" s="218"/>
      <c r="DH187" s="8"/>
      <c r="DI187" s="8"/>
      <c r="DJ187" s="8"/>
      <c r="DK187" s="8"/>
      <c r="DL187" s="8"/>
      <c r="DM187" s="8"/>
      <c r="DN187" s="8"/>
      <c r="EE187" s="42"/>
      <c r="EF187" s="5"/>
      <c r="EG187" s="35"/>
      <c r="EH187" s="5"/>
      <c r="EI187" s="6"/>
      <c r="EJ187" s="35"/>
      <c r="EK187" s="5"/>
      <c r="EL187" s="41"/>
      <c r="EM187" s="35"/>
      <c r="EN187" s="5"/>
      <c r="EO187" s="42"/>
      <c r="EP187" s="42"/>
      <c r="EQ187" s="40"/>
      <c r="ER187" s="219"/>
      <c r="ES187" s="56"/>
    </row>
    <row r="188" spans="34:149">
      <c r="AH188" s="8"/>
      <c r="AI188" s="8"/>
      <c r="AJ188" s="8"/>
      <c r="AK188" s="8"/>
      <c r="AL188" s="8"/>
      <c r="AM188" s="8"/>
      <c r="AN188" s="8"/>
      <c r="BE188" s="42"/>
      <c r="BF188" s="5"/>
      <c r="BG188" s="35"/>
      <c r="BH188" s="5"/>
      <c r="BI188" s="6"/>
      <c r="BJ188" s="35"/>
      <c r="BK188" s="5"/>
      <c r="BL188" s="41"/>
      <c r="BM188" s="35"/>
      <c r="BN188" s="5"/>
      <c r="BO188" s="42"/>
      <c r="BP188" s="42"/>
      <c r="BQ188" s="40"/>
      <c r="BR188" s="5"/>
      <c r="DA188" s="218"/>
      <c r="DH188" s="8"/>
      <c r="DI188" s="8"/>
      <c r="DJ188" s="8"/>
      <c r="DK188" s="8"/>
      <c r="DL188" s="8"/>
      <c r="DM188" s="8"/>
      <c r="DN188" s="8"/>
      <c r="EE188" s="42"/>
      <c r="EF188" s="5"/>
      <c r="EG188" s="35"/>
      <c r="EH188" s="5"/>
      <c r="EI188" s="6"/>
      <c r="EJ188" s="35"/>
      <c r="EK188" s="5"/>
      <c r="EL188" s="41"/>
      <c r="EM188" s="35"/>
      <c r="EN188" s="5"/>
      <c r="EO188" s="42"/>
      <c r="EP188" s="42"/>
      <c r="EQ188" s="40"/>
      <c r="ER188" s="219"/>
      <c r="ES188" s="56"/>
    </row>
    <row r="189" spans="34:149">
      <c r="AH189" s="8"/>
      <c r="AI189" s="8"/>
      <c r="AJ189" s="8"/>
      <c r="AK189" s="8"/>
      <c r="AL189" s="8"/>
      <c r="AM189" s="8"/>
      <c r="AN189" s="8"/>
      <c r="BE189" s="42"/>
      <c r="BF189" s="5"/>
      <c r="BG189" s="35"/>
      <c r="BH189" s="5"/>
      <c r="BI189" s="6"/>
      <c r="BJ189" s="35"/>
      <c r="BK189" s="5"/>
      <c r="BL189" s="41"/>
      <c r="BM189" s="35"/>
      <c r="BN189" s="5"/>
      <c r="BO189" s="42"/>
      <c r="BP189" s="42"/>
      <c r="BQ189" s="40"/>
      <c r="BR189" s="5"/>
      <c r="DA189" s="218"/>
      <c r="DH189" s="8"/>
      <c r="DI189" s="8"/>
      <c r="DJ189" s="8"/>
      <c r="DK189" s="8"/>
      <c r="DL189" s="8"/>
      <c r="DM189" s="8"/>
      <c r="DN189" s="8"/>
      <c r="EE189" s="42"/>
      <c r="EF189" s="5"/>
      <c r="EG189" s="35"/>
      <c r="EH189" s="5"/>
      <c r="EI189" s="6"/>
      <c r="EJ189" s="35"/>
      <c r="EK189" s="5"/>
      <c r="EL189" s="41"/>
      <c r="EM189" s="35"/>
      <c r="EN189" s="5"/>
      <c r="EO189" s="42"/>
      <c r="EP189" s="42"/>
      <c r="EQ189" s="40"/>
      <c r="ER189" s="219"/>
      <c r="ES189" s="56"/>
    </row>
    <row r="190" spans="34:149">
      <c r="AH190" s="8"/>
      <c r="AI190" s="8"/>
      <c r="AJ190" s="8"/>
      <c r="AK190" s="8"/>
      <c r="AL190" s="8"/>
      <c r="AM190" s="8"/>
      <c r="AN190" s="8"/>
      <c r="BE190" s="42"/>
      <c r="BF190" s="5"/>
      <c r="BG190" s="35"/>
      <c r="BH190" s="5"/>
      <c r="BI190" s="6"/>
      <c r="BJ190" s="35"/>
      <c r="BK190" s="5"/>
      <c r="BL190" s="41"/>
      <c r="BM190" s="35"/>
      <c r="BN190" s="5"/>
      <c r="BO190" s="42"/>
      <c r="BP190" s="42"/>
      <c r="BQ190" s="40"/>
      <c r="BR190" s="5"/>
      <c r="DA190" s="218"/>
      <c r="DH190" s="8"/>
      <c r="DI190" s="8"/>
      <c r="DJ190" s="8"/>
      <c r="DK190" s="8"/>
      <c r="DL190" s="8"/>
      <c r="DM190" s="8"/>
      <c r="DN190" s="8"/>
      <c r="EE190" s="42"/>
      <c r="EF190" s="5"/>
      <c r="EG190" s="35"/>
      <c r="EH190" s="5"/>
      <c r="EI190" s="6"/>
      <c r="EJ190" s="35"/>
      <c r="EK190" s="5"/>
      <c r="EL190" s="41"/>
      <c r="EM190" s="35"/>
      <c r="EN190" s="5"/>
      <c r="EO190" s="42"/>
      <c r="EP190" s="42"/>
      <c r="EQ190" s="40"/>
      <c r="ER190" s="219"/>
      <c r="ES190" s="56"/>
    </row>
    <row r="191" spans="34:149">
      <c r="AH191" s="8"/>
      <c r="AI191" s="8"/>
      <c r="AJ191" s="8"/>
      <c r="AK191" s="8"/>
      <c r="AL191" s="8"/>
      <c r="AM191" s="8"/>
      <c r="AN191" s="8"/>
      <c r="BE191" s="42"/>
      <c r="BF191" s="5"/>
      <c r="BG191" s="35"/>
      <c r="BH191" s="5"/>
      <c r="BI191" s="6"/>
      <c r="BJ191" s="35"/>
      <c r="BK191" s="5"/>
      <c r="BL191" s="41"/>
      <c r="BM191" s="35"/>
      <c r="BN191" s="5"/>
      <c r="BO191" s="42"/>
      <c r="BP191" s="42"/>
      <c r="BQ191" s="40"/>
      <c r="BR191" s="5"/>
      <c r="DA191" s="218"/>
      <c r="DH191" s="8"/>
      <c r="DI191" s="8"/>
      <c r="DJ191" s="8"/>
      <c r="DK191" s="8"/>
      <c r="DL191" s="8"/>
      <c r="DM191" s="8"/>
      <c r="DN191" s="8"/>
      <c r="EE191" s="42"/>
      <c r="EF191" s="5"/>
      <c r="EG191" s="35"/>
      <c r="EH191" s="5"/>
      <c r="EI191" s="6"/>
      <c r="EJ191" s="35"/>
      <c r="EK191" s="5"/>
      <c r="EL191" s="41"/>
      <c r="EM191" s="35"/>
      <c r="EN191" s="5"/>
      <c r="EO191" s="42"/>
      <c r="EP191" s="42"/>
      <c r="EQ191" s="40"/>
      <c r="ER191" s="219"/>
      <c r="ES191" s="56"/>
    </row>
    <row r="192" spans="34:149">
      <c r="AH192" s="8"/>
      <c r="AI192" s="8"/>
      <c r="AJ192" s="8"/>
      <c r="AK192" s="8"/>
      <c r="AL192" s="8"/>
      <c r="AM192" s="8"/>
      <c r="AN192" s="8"/>
      <c r="BE192" s="42"/>
      <c r="BF192" s="5"/>
      <c r="BG192" s="35"/>
      <c r="BH192" s="5"/>
      <c r="BI192" s="6"/>
      <c r="BJ192" s="35"/>
      <c r="BK192" s="5"/>
      <c r="BL192" s="41"/>
      <c r="BM192" s="35"/>
      <c r="BN192" s="5"/>
      <c r="BO192" s="42"/>
      <c r="BP192" s="42"/>
      <c r="BQ192" s="40"/>
      <c r="BR192" s="5"/>
      <c r="DA192" s="218"/>
      <c r="DH192" s="8"/>
      <c r="DI192" s="8"/>
      <c r="DJ192" s="8"/>
      <c r="DK192" s="8"/>
      <c r="DL192" s="8"/>
      <c r="DM192" s="8"/>
      <c r="DN192" s="8"/>
      <c r="EE192" s="42"/>
      <c r="EF192" s="5"/>
      <c r="EG192" s="35"/>
      <c r="EH192" s="5"/>
      <c r="EI192" s="6"/>
      <c r="EJ192" s="35"/>
      <c r="EK192" s="5"/>
      <c r="EL192" s="41"/>
      <c r="EM192" s="35"/>
      <c r="EN192" s="5"/>
      <c r="EO192" s="42"/>
      <c r="EP192" s="42"/>
      <c r="EQ192" s="40"/>
      <c r="ER192" s="219"/>
      <c r="ES192" s="56"/>
    </row>
    <row r="193" spans="34:149">
      <c r="AH193" s="8"/>
      <c r="AI193" s="8"/>
      <c r="AJ193" s="8"/>
      <c r="AK193" s="8"/>
      <c r="AL193" s="8"/>
      <c r="AM193" s="8"/>
      <c r="AN193" s="8"/>
      <c r="BE193" s="42"/>
      <c r="BF193" s="5"/>
      <c r="BG193" s="35"/>
      <c r="BH193" s="5"/>
      <c r="BI193" s="6"/>
      <c r="BJ193" s="35"/>
      <c r="BK193" s="5"/>
      <c r="BL193" s="41"/>
      <c r="BM193" s="35"/>
      <c r="BN193" s="5"/>
      <c r="BO193" s="42"/>
      <c r="BP193" s="42"/>
      <c r="BQ193" s="40"/>
      <c r="BR193" s="5"/>
      <c r="DA193" s="218"/>
      <c r="DH193" s="8"/>
      <c r="DI193" s="8"/>
      <c r="DJ193" s="8"/>
      <c r="DK193" s="8"/>
      <c r="DL193" s="8"/>
      <c r="DM193" s="8"/>
      <c r="DN193" s="8"/>
      <c r="EE193" s="42"/>
      <c r="EF193" s="5"/>
      <c r="EG193" s="35"/>
      <c r="EH193" s="5"/>
      <c r="EI193" s="6"/>
      <c r="EJ193" s="35"/>
      <c r="EK193" s="5"/>
      <c r="EL193" s="41"/>
      <c r="EM193" s="35"/>
      <c r="EN193" s="5"/>
      <c r="EO193" s="42"/>
      <c r="EP193" s="42"/>
      <c r="EQ193" s="40"/>
      <c r="ER193" s="219"/>
      <c r="ES193" s="56"/>
    </row>
    <row r="194" spans="34:149">
      <c r="AH194" s="8"/>
      <c r="AI194" s="8"/>
      <c r="AJ194" s="8"/>
      <c r="AK194" s="8"/>
      <c r="AL194" s="8"/>
      <c r="AM194" s="8"/>
      <c r="AN194" s="8"/>
      <c r="BE194" s="42"/>
      <c r="BF194" s="5"/>
      <c r="BG194" s="35"/>
      <c r="BH194" s="5"/>
      <c r="BI194" s="6"/>
      <c r="BJ194" s="35"/>
      <c r="BK194" s="5"/>
      <c r="BL194" s="41"/>
      <c r="BM194" s="35"/>
      <c r="BN194" s="5"/>
      <c r="BO194" s="42"/>
      <c r="BP194" s="42"/>
      <c r="BQ194" s="40"/>
      <c r="BR194" s="5"/>
      <c r="DA194" s="218"/>
      <c r="DH194" s="8"/>
      <c r="DI194" s="8"/>
      <c r="DJ194" s="8"/>
      <c r="DK194" s="8"/>
      <c r="DL194" s="8"/>
      <c r="DM194" s="8"/>
      <c r="DN194" s="8"/>
      <c r="EE194" s="42"/>
      <c r="EF194" s="5"/>
      <c r="EG194" s="35"/>
      <c r="EH194" s="5"/>
      <c r="EI194" s="6"/>
      <c r="EJ194" s="35"/>
      <c r="EK194" s="5"/>
      <c r="EL194" s="41"/>
      <c r="EM194" s="35"/>
      <c r="EN194" s="5"/>
      <c r="EO194" s="42"/>
      <c r="EP194" s="42"/>
      <c r="EQ194" s="40"/>
      <c r="ER194" s="219"/>
      <c r="ES194" s="56"/>
    </row>
    <row r="195" spans="34:149">
      <c r="AH195" s="8"/>
      <c r="AI195" s="8"/>
      <c r="AJ195" s="8"/>
      <c r="AK195" s="8"/>
      <c r="AL195" s="8"/>
      <c r="AM195" s="8"/>
      <c r="AN195" s="8"/>
      <c r="BE195" s="42"/>
      <c r="BF195" s="5"/>
      <c r="BG195" s="35"/>
      <c r="BH195" s="5"/>
      <c r="BI195" s="6"/>
      <c r="BJ195" s="35"/>
      <c r="BK195" s="5"/>
      <c r="BL195" s="41"/>
      <c r="BM195" s="35"/>
      <c r="BN195" s="5"/>
      <c r="BO195" s="42"/>
      <c r="BP195" s="42"/>
      <c r="BQ195" s="40"/>
      <c r="BR195" s="5"/>
      <c r="DA195" s="218"/>
      <c r="DH195" s="8"/>
      <c r="DI195" s="8"/>
      <c r="DJ195" s="8"/>
      <c r="DK195" s="8"/>
      <c r="DL195" s="8"/>
      <c r="DM195" s="8"/>
      <c r="DN195" s="8"/>
      <c r="EE195" s="42"/>
      <c r="EF195" s="5"/>
      <c r="EG195" s="35"/>
      <c r="EH195" s="5"/>
      <c r="EI195" s="6"/>
      <c r="EJ195" s="35"/>
      <c r="EK195" s="5"/>
      <c r="EL195" s="41"/>
      <c r="EM195" s="35"/>
      <c r="EN195" s="5"/>
      <c r="EO195" s="42"/>
      <c r="EP195" s="42"/>
      <c r="EQ195" s="40"/>
      <c r="ER195" s="219"/>
      <c r="ES195" s="56"/>
    </row>
    <row r="196" spans="34:149">
      <c r="AH196" s="8"/>
      <c r="AI196" s="8"/>
      <c r="AJ196" s="8"/>
      <c r="AK196" s="8"/>
      <c r="AL196" s="8"/>
      <c r="AM196" s="8"/>
      <c r="AN196" s="8"/>
      <c r="BE196" s="42"/>
      <c r="BF196" s="5"/>
      <c r="BG196" s="35"/>
      <c r="BH196" s="5"/>
      <c r="BI196" s="6"/>
      <c r="BJ196" s="35"/>
      <c r="BK196" s="5"/>
      <c r="BL196" s="41"/>
      <c r="BM196" s="35"/>
      <c r="BN196" s="5"/>
      <c r="BO196" s="42"/>
      <c r="BP196" s="42"/>
      <c r="BQ196" s="40"/>
      <c r="BR196" s="5"/>
      <c r="DA196" s="218"/>
      <c r="DH196" s="8"/>
      <c r="DI196" s="8"/>
      <c r="DJ196" s="8"/>
      <c r="DK196" s="8"/>
      <c r="DL196" s="8"/>
      <c r="DM196" s="8"/>
      <c r="DN196" s="8"/>
      <c r="EE196" s="42"/>
      <c r="EF196" s="5"/>
      <c r="EG196" s="35"/>
      <c r="EH196" s="5"/>
      <c r="EI196" s="6"/>
      <c r="EJ196" s="35"/>
      <c r="EK196" s="5"/>
      <c r="EL196" s="41"/>
      <c r="EM196" s="35"/>
      <c r="EN196" s="5"/>
      <c r="EO196" s="42"/>
      <c r="EP196" s="42"/>
      <c r="EQ196" s="40"/>
      <c r="ER196" s="219"/>
      <c r="ES196" s="56"/>
    </row>
    <row r="197" spans="34:149">
      <c r="AH197" s="8"/>
      <c r="AI197" s="8"/>
      <c r="AJ197" s="8"/>
      <c r="AK197" s="8"/>
      <c r="AL197" s="8"/>
      <c r="AM197" s="8"/>
      <c r="AN197" s="8"/>
      <c r="BE197" s="42"/>
      <c r="BF197" s="5"/>
      <c r="BG197" s="35"/>
      <c r="BH197" s="5"/>
      <c r="BI197" s="6"/>
      <c r="BJ197" s="35"/>
      <c r="BK197" s="5"/>
      <c r="BL197" s="41"/>
      <c r="BM197" s="35"/>
      <c r="BN197" s="5"/>
      <c r="BO197" s="42"/>
      <c r="BP197" s="42"/>
      <c r="BQ197" s="40"/>
      <c r="BR197" s="5"/>
      <c r="DA197" s="218"/>
      <c r="DH197" s="8"/>
      <c r="DI197" s="8"/>
      <c r="DJ197" s="8"/>
      <c r="DK197" s="8"/>
      <c r="DL197" s="8"/>
      <c r="DM197" s="8"/>
      <c r="DN197" s="8"/>
      <c r="EE197" s="42"/>
      <c r="EF197" s="5"/>
      <c r="EG197" s="35"/>
      <c r="EH197" s="5"/>
      <c r="EI197" s="6"/>
      <c r="EJ197" s="35"/>
      <c r="EK197" s="5"/>
      <c r="EL197" s="41"/>
      <c r="EM197" s="35"/>
      <c r="EN197" s="5"/>
      <c r="EO197" s="42"/>
      <c r="EP197" s="42"/>
      <c r="EQ197" s="40"/>
      <c r="ER197" s="219"/>
      <c r="ES197" s="56"/>
    </row>
    <row r="198" spans="34:149">
      <c r="AH198" s="8"/>
      <c r="AI198" s="8"/>
      <c r="AJ198" s="8"/>
      <c r="AK198" s="8"/>
      <c r="AL198" s="8"/>
      <c r="AM198" s="8"/>
      <c r="AN198" s="8"/>
      <c r="BE198" s="42"/>
      <c r="BF198" s="5"/>
      <c r="BG198" s="35"/>
      <c r="BH198" s="5"/>
      <c r="BI198" s="6"/>
      <c r="BJ198" s="35"/>
      <c r="BK198" s="5"/>
      <c r="BL198" s="41"/>
      <c r="BM198" s="35"/>
      <c r="BN198" s="5"/>
      <c r="BO198" s="42"/>
      <c r="BP198" s="42"/>
      <c r="BQ198" s="40"/>
      <c r="BR198" s="5"/>
      <c r="DA198" s="218"/>
      <c r="DH198" s="8"/>
      <c r="DI198" s="8"/>
      <c r="DJ198" s="8"/>
      <c r="DK198" s="8"/>
      <c r="DL198" s="8"/>
      <c r="DM198" s="8"/>
      <c r="DN198" s="8"/>
      <c r="EE198" s="42"/>
      <c r="EF198" s="5"/>
      <c r="EG198" s="35"/>
      <c r="EH198" s="5"/>
      <c r="EI198" s="6"/>
      <c r="EJ198" s="35"/>
      <c r="EK198" s="5"/>
      <c r="EL198" s="41"/>
      <c r="EM198" s="35"/>
      <c r="EN198" s="5"/>
      <c r="EO198" s="42"/>
      <c r="EP198" s="42"/>
      <c r="EQ198" s="40"/>
      <c r="ER198" s="219"/>
      <c r="ES198" s="56"/>
    </row>
    <row r="199" spans="34:149">
      <c r="AH199" s="8"/>
      <c r="AI199" s="8"/>
      <c r="AJ199" s="8"/>
      <c r="AK199" s="8"/>
      <c r="AL199" s="8"/>
      <c r="AM199" s="8"/>
      <c r="AN199" s="8"/>
      <c r="BE199" s="42"/>
      <c r="BF199" s="5"/>
      <c r="BG199" s="35"/>
      <c r="BH199" s="5"/>
      <c r="BI199" s="6"/>
      <c r="BJ199" s="35"/>
      <c r="BK199" s="5"/>
      <c r="BL199" s="41"/>
      <c r="BM199" s="35"/>
      <c r="BN199" s="5"/>
      <c r="BO199" s="42"/>
      <c r="BP199" s="42"/>
      <c r="BQ199" s="40"/>
      <c r="BR199" s="5"/>
      <c r="DA199" s="218"/>
      <c r="DH199" s="8"/>
      <c r="DI199" s="8"/>
      <c r="DJ199" s="8"/>
      <c r="DK199" s="8"/>
      <c r="DL199" s="8"/>
      <c r="DM199" s="8"/>
      <c r="DN199" s="8"/>
      <c r="EE199" s="42"/>
      <c r="EF199" s="5"/>
      <c r="EG199" s="35"/>
      <c r="EH199" s="5"/>
      <c r="EI199" s="6"/>
      <c r="EJ199" s="35"/>
      <c r="EK199" s="5"/>
      <c r="EL199" s="41"/>
      <c r="EM199" s="35"/>
      <c r="EN199" s="5"/>
      <c r="EO199" s="42"/>
      <c r="EP199" s="42"/>
      <c r="EQ199" s="40"/>
      <c r="ER199" s="219"/>
      <c r="ES199" s="56"/>
    </row>
    <row r="200" spans="34:149">
      <c r="AH200" s="8"/>
      <c r="AI200" s="8"/>
      <c r="AJ200" s="8"/>
      <c r="AK200" s="8"/>
      <c r="AL200" s="8"/>
      <c r="AM200" s="8"/>
      <c r="AN200" s="8"/>
      <c r="BE200" s="42"/>
      <c r="BF200" s="5"/>
      <c r="BG200" s="35"/>
      <c r="BH200" s="5"/>
      <c r="BI200" s="6"/>
      <c r="BJ200" s="35"/>
      <c r="BK200" s="5"/>
      <c r="BL200" s="41"/>
      <c r="BM200" s="35"/>
      <c r="BN200" s="5"/>
      <c r="BO200" s="42"/>
      <c r="BP200" s="42"/>
      <c r="BQ200" s="40"/>
      <c r="BR200" s="5"/>
      <c r="DA200" s="218"/>
      <c r="DH200" s="8"/>
      <c r="DI200" s="8"/>
      <c r="DJ200" s="8"/>
      <c r="DK200" s="8"/>
      <c r="DL200" s="8"/>
      <c r="DM200" s="8"/>
      <c r="DN200" s="8"/>
      <c r="EE200" s="42"/>
      <c r="EF200" s="5"/>
      <c r="EG200" s="35"/>
      <c r="EH200" s="5"/>
      <c r="EI200" s="6"/>
      <c r="EJ200" s="35"/>
      <c r="EK200" s="5"/>
      <c r="EL200" s="41"/>
      <c r="EM200" s="35"/>
      <c r="EN200" s="5"/>
      <c r="EO200" s="42"/>
      <c r="EP200" s="42"/>
      <c r="EQ200" s="40"/>
      <c r="ER200" s="219"/>
      <c r="ES200" s="56"/>
    </row>
    <row r="201" spans="34:149">
      <c r="AH201" s="8"/>
      <c r="AI201" s="8"/>
      <c r="AJ201" s="8"/>
      <c r="AK201" s="8"/>
      <c r="AL201" s="8"/>
      <c r="AM201" s="8"/>
      <c r="AN201" s="8"/>
      <c r="BE201" s="42"/>
      <c r="BF201" s="5"/>
      <c r="BG201" s="35"/>
      <c r="BH201" s="5"/>
      <c r="BI201" s="6"/>
      <c r="BJ201" s="35"/>
      <c r="BK201" s="5"/>
      <c r="BL201" s="41"/>
      <c r="BM201" s="35"/>
      <c r="BN201" s="5"/>
      <c r="BO201" s="42"/>
      <c r="BP201" s="42"/>
      <c r="BQ201" s="40"/>
      <c r="BR201" s="5"/>
      <c r="DA201" s="218"/>
      <c r="DH201" s="8"/>
      <c r="DI201" s="8"/>
      <c r="DJ201" s="8"/>
      <c r="DK201" s="8"/>
      <c r="DL201" s="8"/>
      <c r="DM201" s="8"/>
      <c r="DN201" s="8"/>
      <c r="EE201" s="42"/>
      <c r="EF201" s="5"/>
      <c r="EG201" s="35"/>
      <c r="EH201" s="5"/>
      <c r="EI201" s="6"/>
      <c r="EJ201" s="35"/>
      <c r="EK201" s="5"/>
      <c r="EL201" s="41"/>
      <c r="EM201" s="35"/>
      <c r="EN201" s="5"/>
      <c r="EO201" s="42"/>
      <c r="EP201" s="42"/>
      <c r="EQ201" s="40"/>
      <c r="ER201" s="219"/>
      <c r="ES201" s="56"/>
    </row>
    <row r="202" spans="34:149">
      <c r="AH202" s="8"/>
      <c r="AI202" s="8"/>
      <c r="AJ202" s="8"/>
      <c r="AK202" s="8"/>
      <c r="AL202" s="8"/>
      <c r="AM202" s="8"/>
      <c r="AN202" s="8"/>
      <c r="BE202" s="42"/>
      <c r="BF202" s="5"/>
      <c r="BG202" s="35"/>
      <c r="BH202" s="5"/>
      <c r="BI202" s="6"/>
      <c r="BJ202" s="35"/>
      <c r="BK202" s="5"/>
      <c r="BL202" s="41"/>
      <c r="BM202" s="35"/>
      <c r="BN202" s="5"/>
      <c r="BO202" s="42"/>
      <c r="BP202" s="42"/>
      <c r="BQ202" s="40"/>
      <c r="BR202" s="5"/>
      <c r="DA202" s="218"/>
      <c r="DH202" s="8"/>
      <c r="DI202" s="8"/>
      <c r="DJ202" s="8"/>
      <c r="DK202" s="8"/>
      <c r="DL202" s="8"/>
      <c r="DM202" s="8"/>
      <c r="DN202" s="8"/>
      <c r="EE202" s="42"/>
      <c r="EF202" s="5"/>
      <c r="EG202" s="35"/>
      <c r="EH202" s="5"/>
      <c r="EI202" s="6"/>
      <c r="EJ202" s="35"/>
      <c r="EK202" s="5"/>
      <c r="EL202" s="41"/>
      <c r="EM202" s="35"/>
      <c r="EN202" s="5"/>
      <c r="EO202" s="42"/>
      <c r="EP202" s="42"/>
      <c r="EQ202" s="40"/>
      <c r="ER202" s="219"/>
      <c r="ES202" s="56"/>
    </row>
    <row r="203" spans="34:149">
      <c r="AH203" s="8"/>
      <c r="AI203" s="8"/>
      <c r="AJ203" s="8"/>
      <c r="AK203" s="8"/>
      <c r="AL203" s="8"/>
      <c r="AM203" s="8"/>
      <c r="AN203" s="8"/>
      <c r="BE203" s="42"/>
      <c r="BF203" s="5"/>
      <c r="BG203" s="35"/>
      <c r="BH203" s="5"/>
      <c r="BI203" s="6"/>
      <c r="BJ203" s="35"/>
      <c r="BK203" s="5"/>
      <c r="BL203" s="41"/>
      <c r="BM203" s="35"/>
      <c r="BN203" s="5"/>
      <c r="BO203" s="42"/>
      <c r="BP203" s="42"/>
      <c r="BQ203" s="40"/>
      <c r="BR203" s="5"/>
      <c r="DA203" s="218"/>
      <c r="DH203" s="8"/>
      <c r="DI203" s="8"/>
      <c r="DJ203" s="8"/>
      <c r="DK203" s="8"/>
      <c r="DL203" s="8"/>
      <c r="DM203" s="8"/>
      <c r="DN203" s="8"/>
      <c r="EE203" s="42"/>
      <c r="EF203" s="5"/>
      <c r="EG203" s="35"/>
      <c r="EH203" s="5"/>
      <c r="EI203" s="6"/>
      <c r="EJ203" s="35"/>
      <c r="EK203" s="5"/>
      <c r="EL203" s="41"/>
      <c r="EM203" s="35"/>
      <c r="EN203" s="5"/>
      <c r="EO203" s="42"/>
      <c r="EP203" s="42"/>
      <c r="EQ203" s="40"/>
      <c r="ER203" s="219"/>
      <c r="ES203" s="56"/>
    </row>
    <row r="204" spans="34:149">
      <c r="AH204" s="8"/>
      <c r="AI204" s="8"/>
      <c r="AJ204" s="8"/>
      <c r="AK204" s="8"/>
      <c r="AL204" s="8"/>
      <c r="AM204" s="8"/>
      <c r="AN204" s="8"/>
      <c r="BE204" s="42"/>
      <c r="BF204" s="5"/>
      <c r="BG204" s="35"/>
      <c r="BH204" s="5"/>
      <c r="BI204" s="6"/>
      <c r="BJ204" s="35"/>
      <c r="BK204" s="5"/>
      <c r="BL204" s="41"/>
      <c r="BM204" s="35"/>
      <c r="BN204" s="5"/>
      <c r="BO204" s="42"/>
      <c r="BP204" s="42"/>
      <c r="BQ204" s="40"/>
      <c r="BR204" s="5"/>
      <c r="DA204" s="218"/>
      <c r="DH204" s="8"/>
      <c r="DI204" s="8"/>
      <c r="DJ204" s="8"/>
      <c r="DK204" s="8"/>
      <c r="DL204" s="8"/>
      <c r="DM204" s="8"/>
      <c r="DN204" s="8"/>
      <c r="EE204" s="42"/>
      <c r="EF204" s="5"/>
      <c r="EG204" s="35"/>
      <c r="EH204" s="5"/>
      <c r="EI204" s="6"/>
      <c r="EJ204" s="35"/>
      <c r="EK204" s="5"/>
      <c r="EL204" s="41"/>
      <c r="EM204" s="35"/>
      <c r="EN204" s="5"/>
      <c r="EO204" s="42"/>
      <c r="EP204" s="42"/>
      <c r="EQ204" s="40"/>
      <c r="ER204" s="219"/>
      <c r="ES204" s="56"/>
    </row>
    <row r="205" spans="34:149">
      <c r="AH205" s="8"/>
      <c r="AI205" s="8"/>
      <c r="AJ205" s="8"/>
      <c r="AK205" s="8"/>
      <c r="AL205" s="8"/>
      <c r="AM205" s="8"/>
      <c r="AN205" s="8"/>
      <c r="BE205" s="42"/>
      <c r="BF205" s="5"/>
      <c r="BG205" s="35"/>
      <c r="BH205" s="5"/>
      <c r="BI205" s="6"/>
      <c r="BJ205" s="35"/>
      <c r="BK205" s="5"/>
      <c r="BL205" s="41"/>
      <c r="BM205" s="35"/>
      <c r="BN205" s="5"/>
      <c r="BO205" s="42"/>
      <c r="BP205" s="42"/>
      <c r="BQ205" s="40"/>
      <c r="BR205" s="5"/>
      <c r="DA205" s="218"/>
      <c r="DH205" s="8"/>
      <c r="DI205" s="8"/>
      <c r="DJ205" s="8"/>
      <c r="DK205" s="8"/>
      <c r="DL205" s="8"/>
      <c r="DM205" s="8"/>
      <c r="DN205" s="8"/>
      <c r="EE205" s="42"/>
      <c r="EF205" s="5"/>
      <c r="EG205" s="35"/>
      <c r="EH205" s="5"/>
      <c r="EI205" s="6"/>
      <c r="EJ205" s="35"/>
      <c r="EK205" s="5"/>
      <c r="EL205" s="41"/>
      <c r="EM205" s="35"/>
      <c r="EN205" s="5"/>
      <c r="EO205" s="42"/>
      <c r="EP205" s="42"/>
      <c r="EQ205" s="40"/>
      <c r="ER205" s="219"/>
      <c r="ES205" s="56"/>
    </row>
    <row r="206" spans="34:149">
      <c r="AH206" s="8"/>
      <c r="AI206" s="8"/>
      <c r="AJ206" s="8"/>
      <c r="AK206" s="8"/>
      <c r="AL206" s="8"/>
      <c r="AM206" s="8"/>
      <c r="AN206" s="8"/>
      <c r="BE206" s="42"/>
      <c r="BF206" s="5"/>
      <c r="BG206" s="35"/>
      <c r="BH206" s="5"/>
      <c r="BI206" s="6"/>
      <c r="BJ206" s="35"/>
      <c r="BK206" s="5"/>
      <c r="BL206" s="41"/>
      <c r="BM206" s="35"/>
      <c r="BN206" s="5"/>
      <c r="BO206" s="42"/>
      <c r="BP206" s="42"/>
      <c r="BQ206" s="40"/>
      <c r="BR206" s="5"/>
      <c r="DA206" s="218"/>
      <c r="DH206" s="8"/>
      <c r="DI206" s="8"/>
      <c r="DJ206" s="8"/>
      <c r="DK206" s="8"/>
      <c r="DL206" s="8"/>
      <c r="DM206" s="8"/>
      <c r="DN206" s="8"/>
      <c r="EE206" s="42"/>
      <c r="EF206" s="5"/>
      <c r="EG206" s="35"/>
      <c r="EH206" s="5"/>
      <c r="EI206" s="6"/>
      <c r="EJ206" s="35"/>
      <c r="EK206" s="5"/>
      <c r="EL206" s="41"/>
      <c r="EM206" s="35"/>
      <c r="EN206" s="5"/>
      <c r="EO206" s="42"/>
      <c r="EP206" s="42"/>
      <c r="EQ206" s="40"/>
      <c r="ER206" s="219"/>
      <c r="ES206" s="56"/>
    </row>
    <row r="207" spans="34:149">
      <c r="AH207" s="8"/>
      <c r="AI207" s="8"/>
      <c r="AJ207" s="8"/>
      <c r="AK207" s="8"/>
      <c r="AL207" s="8"/>
      <c r="AM207" s="8"/>
      <c r="AN207" s="8"/>
      <c r="BE207" s="42"/>
      <c r="BF207" s="5"/>
      <c r="BG207" s="35"/>
      <c r="BH207" s="5"/>
      <c r="BI207" s="6"/>
      <c r="BJ207" s="35"/>
      <c r="BK207" s="5"/>
      <c r="BL207" s="41"/>
      <c r="BM207" s="35"/>
      <c r="BN207" s="5"/>
      <c r="BO207" s="42"/>
      <c r="BP207" s="42"/>
      <c r="BQ207" s="40"/>
      <c r="BR207" s="5"/>
      <c r="DA207" s="218"/>
      <c r="DH207" s="8"/>
      <c r="DI207" s="8"/>
      <c r="DJ207" s="8"/>
      <c r="DK207" s="8"/>
      <c r="DL207" s="8"/>
      <c r="DM207" s="8"/>
      <c r="DN207" s="8"/>
      <c r="EE207" s="42"/>
      <c r="EF207" s="5"/>
      <c r="EG207" s="35"/>
      <c r="EH207" s="5"/>
      <c r="EI207" s="6"/>
      <c r="EJ207" s="35"/>
      <c r="EK207" s="5"/>
      <c r="EL207" s="41"/>
      <c r="EM207" s="35"/>
      <c r="EN207" s="5"/>
      <c r="EO207" s="42"/>
      <c r="EP207" s="42"/>
      <c r="EQ207" s="40"/>
      <c r="ER207" s="219"/>
      <c r="ES207" s="56"/>
    </row>
    <row r="208" spans="34:149">
      <c r="AH208" s="8"/>
      <c r="AI208" s="8"/>
      <c r="AJ208" s="8"/>
      <c r="AK208" s="8"/>
      <c r="AL208" s="8"/>
      <c r="AM208" s="8"/>
      <c r="AN208" s="8"/>
      <c r="BE208" s="42"/>
      <c r="BF208" s="5"/>
      <c r="BG208" s="35"/>
      <c r="BH208" s="5"/>
      <c r="BI208" s="6"/>
      <c r="BJ208" s="35"/>
      <c r="BK208" s="5"/>
      <c r="BL208" s="41"/>
      <c r="BM208" s="35"/>
      <c r="BN208" s="5"/>
      <c r="BO208" s="42"/>
      <c r="BP208" s="42"/>
      <c r="BQ208" s="40"/>
      <c r="BR208" s="5"/>
      <c r="DA208" s="218"/>
      <c r="DH208" s="8"/>
      <c r="DI208" s="8"/>
      <c r="DJ208" s="8"/>
      <c r="DK208" s="8"/>
      <c r="DL208" s="8"/>
      <c r="DM208" s="8"/>
      <c r="DN208" s="8"/>
      <c r="EE208" s="42"/>
      <c r="EF208" s="5"/>
      <c r="EG208" s="35"/>
      <c r="EH208" s="5"/>
      <c r="EI208" s="6"/>
      <c r="EJ208" s="35"/>
      <c r="EK208" s="5"/>
      <c r="EL208" s="41"/>
      <c r="EM208" s="35"/>
      <c r="EN208" s="5"/>
      <c r="EO208" s="42"/>
      <c r="EP208" s="42"/>
      <c r="EQ208" s="40"/>
      <c r="ER208" s="219"/>
      <c r="ES208" s="56"/>
    </row>
    <row r="209" spans="34:149">
      <c r="AH209" s="8"/>
      <c r="AI209" s="8"/>
      <c r="AJ209" s="8"/>
      <c r="AK209" s="8"/>
      <c r="AL209" s="8"/>
      <c r="AM209" s="8"/>
      <c r="AN209" s="8"/>
      <c r="BE209" s="42"/>
      <c r="BF209" s="5"/>
      <c r="BG209" s="35"/>
      <c r="BH209" s="5"/>
      <c r="BI209" s="6"/>
      <c r="BJ209" s="35"/>
      <c r="BK209" s="5"/>
      <c r="BL209" s="41"/>
      <c r="BM209" s="35"/>
      <c r="BN209" s="5"/>
      <c r="BO209" s="42"/>
      <c r="BP209" s="42"/>
      <c r="BQ209" s="40"/>
      <c r="BR209" s="5"/>
      <c r="DA209" s="218"/>
      <c r="DH209" s="8"/>
      <c r="DI209" s="8"/>
      <c r="DJ209" s="8"/>
      <c r="DK209" s="8"/>
      <c r="DL209" s="8"/>
      <c r="DM209" s="8"/>
      <c r="DN209" s="8"/>
      <c r="EE209" s="42"/>
      <c r="EF209" s="5"/>
      <c r="EG209" s="35"/>
      <c r="EH209" s="5"/>
      <c r="EI209" s="6"/>
      <c r="EJ209" s="35"/>
      <c r="EK209" s="5"/>
      <c r="EL209" s="41"/>
      <c r="EM209" s="35"/>
      <c r="EN209" s="5"/>
      <c r="EO209" s="42"/>
      <c r="EP209" s="42"/>
      <c r="EQ209" s="40"/>
      <c r="ER209" s="219"/>
      <c r="ES209" s="56"/>
    </row>
    <row r="210" spans="34:149">
      <c r="AH210" s="8"/>
      <c r="AI210" s="8"/>
      <c r="AJ210" s="8"/>
      <c r="AK210" s="8"/>
      <c r="AL210" s="8"/>
      <c r="AM210" s="8"/>
      <c r="AN210" s="8"/>
      <c r="BE210" s="42"/>
      <c r="BF210" s="5"/>
      <c r="BG210" s="35"/>
      <c r="BH210" s="5"/>
      <c r="BI210" s="6"/>
      <c r="BJ210" s="35"/>
      <c r="BK210" s="5"/>
      <c r="BL210" s="41"/>
      <c r="BM210" s="35"/>
      <c r="BN210" s="5"/>
      <c r="BO210" s="42"/>
      <c r="BP210" s="42"/>
      <c r="BQ210" s="40"/>
      <c r="BR210" s="5"/>
      <c r="DA210" s="218"/>
      <c r="DH210" s="8"/>
      <c r="DI210" s="8"/>
      <c r="DJ210" s="8"/>
      <c r="DK210" s="8"/>
      <c r="DL210" s="8"/>
      <c r="DM210" s="8"/>
      <c r="DN210" s="8"/>
      <c r="EE210" s="42"/>
      <c r="EF210" s="5"/>
      <c r="EG210" s="35"/>
      <c r="EH210" s="5"/>
      <c r="EI210" s="6"/>
      <c r="EJ210" s="35"/>
      <c r="EK210" s="5"/>
      <c r="EL210" s="41"/>
      <c r="EM210" s="35"/>
      <c r="EN210" s="5"/>
      <c r="EO210" s="42"/>
      <c r="EP210" s="42"/>
      <c r="EQ210" s="40"/>
      <c r="ER210" s="219"/>
      <c r="ES210" s="56"/>
    </row>
    <row r="211" spans="34:149">
      <c r="AH211" s="8"/>
      <c r="AI211" s="8"/>
      <c r="AJ211" s="8"/>
      <c r="AK211" s="8"/>
      <c r="AL211" s="8"/>
      <c r="AM211" s="8"/>
      <c r="AN211" s="8"/>
      <c r="BE211" s="42"/>
      <c r="BF211" s="5"/>
      <c r="BG211" s="35"/>
      <c r="BH211" s="5"/>
      <c r="BI211" s="6"/>
      <c r="BJ211" s="35"/>
      <c r="BK211" s="5"/>
      <c r="BL211" s="41"/>
      <c r="BM211" s="35"/>
      <c r="BN211" s="5"/>
      <c r="BO211" s="42"/>
      <c r="BP211" s="42"/>
      <c r="BQ211" s="40"/>
      <c r="BR211" s="5"/>
      <c r="DA211" s="218"/>
      <c r="DH211" s="8"/>
      <c r="DI211" s="8"/>
      <c r="DJ211" s="8"/>
      <c r="DK211" s="8"/>
      <c r="DL211" s="8"/>
      <c r="DM211" s="8"/>
      <c r="DN211" s="8"/>
      <c r="EE211" s="42"/>
      <c r="EF211" s="5"/>
      <c r="EG211" s="35"/>
      <c r="EH211" s="5"/>
      <c r="EI211" s="6"/>
      <c r="EJ211" s="35"/>
      <c r="EK211" s="5"/>
      <c r="EL211" s="41"/>
      <c r="EM211" s="35"/>
      <c r="EN211" s="5"/>
      <c r="EO211" s="42"/>
      <c r="EP211" s="42"/>
      <c r="EQ211" s="40"/>
      <c r="ER211" s="219"/>
      <c r="ES211" s="56"/>
    </row>
    <row r="212" spans="34:149">
      <c r="AH212" s="8"/>
      <c r="AI212" s="8"/>
      <c r="AJ212" s="8"/>
      <c r="AK212" s="8"/>
      <c r="AL212" s="8"/>
      <c r="AM212" s="8"/>
      <c r="AN212" s="8"/>
      <c r="BE212" s="42"/>
      <c r="BF212" s="5"/>
      <c r="BG212" s="35"/>
      <c r="BH212" s="5"/>
      <c r="BI212" s="6"/>
      <c r="BJ212" s="35"/>
      <c r="BK212" s="5"/>
      <c r="BL212" s="41"/>
      <c r="BM212" s="35"/>
      <c r="BN212" s="5"/>
      <c r="BO212" s="42"/>
      <c r="BP212" s="42"/>
      <c r="BQ212" s="40"/>
      <c r="BR212" s="5"/>
      <c r="DA212" s="218"/>
      <c r="DH212" s="8"/>
      <c r="DI212" s="8"/>
      <c r="DJ212" s="8"/>
      <c r="DK212" s="8"/>
      <c r="DL212" s="8"/>
      <c r="DM212" s="8"/>
      <c r="DN212" s="8"/>
      <c r="EE212" s="42"/>
      <c r="EF212" s="5"/>
      <c r="EG212" s="35"/>
      <c r="EH212" s="5"/>
      <c r="EI212" s="6"/>
      <c r="EJ212" s="35"/>
      <c r="EK212" s="5"/>
      <c r="EL212" s="41"/>
      <c r="EM212" s="35"/>
      <c r="EN212" s="5"/>
      <c r="EO212" s="42"/>
      <c r="EP212" s="42"/>
      <c r="EQ212" s="40"/>
      <c r="ER212" s="219"/>
      <c r="ES212" s="56"/>
    </row>
    <row r="213" spans="34:149">
      <c r="AH213" s="8"/>
      <c r="AI213" s="8"/>
      <c r="AJ213" s="8"/>
      <c r="AK213" s="8"/>
      <c r="AL213" s="8"/>
      <c r="AM213" s="8"/>
      <c r="AN213" s="8"/>
      <c r="BE213" s="42"/>
      <c r="BF213" s="5"/>
      <c r="BG213" s="35"/>
      <c r="BH213" s="5"/>
      <c r="BI213" s="6"/>
      <c r="BJ213" s="35"/>
      <c r="BK213" s="5"/>
      <c r="BL213" s="41"/>
      <c r="BM213" s="35"/>
      <c r="BN213" s="5"/>
      <c r="BO213" s="42"/>
      <c r="BP213" s="42"/>
      <c r="BQ213" s="40"/>
      <c r="BR213" s="5"/>
      <c r="DA213" s="218"/>
      <c r="DH213" s="8"/>
      <c r="DI213" s="8"/>
      <c r="DJ213" s="8"/>
      <c r="DK213" s="8"/>
      <c r="DL213" s="8"/>
      <c r="DM213" s="8"/>
      <c r="DN213" s="8"/>
      <c r="EE213" s="42"/>
      <c r="EF213" s="5"/>
      <c r="EG213" s="35"/>
      <c r="EH213" s="5"/>
      <c r="EI213" s="6"/>
      <c r="EJ213" s="35"/>
      <c r="EK213" s="5"/>
      <c r="EL213" s="41"/>
      <c r="EM213" s="35"/>
      <c r="EN213" s="5"/>
      <c r="EO213" s="42"/>
      <c r="EP213" s="42"/>
      <c r="EQ213" s="40"/>
      <c r="ER213" s="219"/>
      <c r="ES213" s="56"/>
    </row>
    <row r="214" spans="34:149">
      <c r="AH214" s="8"/>
      <c r="AI214" s="8"/>
      <c r="AJ214" s="8"/>
      <c r="AK214" s="8"/>
      <c r="AL214" s="8"/>
      <c r="AM214" s="8"/>
      <c r="AN214" s="8"/>
      <c r="BE214" s="42"/>
      <c r="BF214" s="5"/>
      <c r="BG214" s="35"/>
      <c r="BH214" s="5"/>
      <c r="BI214" s="6"/>
      <c r="BJ214" s="35"/>
      <c r="BK214" s="5"/>
      <c r="BL214" s="41"/>
      <c r="BM214" s="35"/>
      <c r="BN214" s="5"/>
      <c r="BO214" s="42"/>
      <c r="BP214" s="42"/>
      <c r="BQ214" s="40"/>
      <c r="BR214" s="5"/>
      <c r="DA214" s="218"/>
      <c r="DH214" s="8"/>
      <c r="DI214" s="8"/>
      <c r="DJ214" s="8"/>
      <c r="DK214" s="8"/>
      <c r="DL214" s="8"/>
      <c r="DM214" s="8"/>
      <c r="DN214" s="8"/>
      <c r="EE214" s="42"/>
      <c r="EF214" s="5"/>
      <c r="EG214" s="35"/>
      <c r="EH214" s="5"/>
      <c r="EI214" s="6"/>
      <c r="EJ214" s="35"/>
      <c r="EK214" s="5"/>
      <c r="EL214" s="41"/>
      <c r="EM214" s="35"/>
      <c r="EN214" s="5"/>
      <c r="EO214" s="42"/>
      <c r="EP214" s="42"/>
      <c r="EQ214" s="40"/>
      <c r="ER214" s="219"/>
      <c r="ES214" s="56"/>
    </row>
    <row r="215" spans="34:149">
      <c r="AH215" s="8"/>
      <c r="AI215" s="8"/>
      <c r="AJ215" s="8"/>
      <c r="AK215" s="8"/>
      <c r="AL215" s="8"/>
      <c r="AM215" s="8"/>
      <c r="AN215" s="8"/>
      <c r="BE215" s="42"/>
      <c r="BF215" s="5"/>
      <c r="BG215" s="35"/>
      <c r="BH215" s="5"/>
      <c r="BI215" s="6"/>
      <c r="BJ215" s="35"/>
      <c r="BK215" s="5"/>
      <c r="BL215" s="41"/>
      <c r="BM215" s="35"/>
      <c r="BN215" s="5"/>
      <c r="BO215" s="42"/>
      <c r="BP215" s="42"/>
      <c r="BQ215" s="40"/>
      <c r="BR215" s="5"/>
      <c r="DA215" s="218"/>
      <c r="DH215" s="8"/>
      <c r="DI215" s="8"/>
      <c r="DJ215" s="8"/>
      <c r="DK215" s="8"/>
      <c r="DL215" s="8"/>
      <c r="DM215" s="8"/>
      <c r="DN215" s="8"/>
      <c r="EE215" s="42"/>
      <c r="EF215" s="5"/>
      <c r="EG215" s="35"/>
      <c r="EH215" s="5"/>
      <c r="EI215" s="6"/>
      <c r="EJ215" s="35"/>
      <c r="EK215" s="5"/>
      <c r="EL215" s="41"/>
      <c r="EM215" s="35"/>
      <c r="EN215" s="5"/>
      <c r="EO215" s="42"/>
      <c r="EP215" s="42"/>
      <c r="EQ215" s="40"/>
      <c r="ER215" s="219"/>
      <c r="ES215" s="56"/>
    </row>
    <row r="216" spans="34:149">
      <c r="AH216" s="8"/>
      <c r="AI216" s="8"/>
      <c r="AJ216" s="8"/>
      <c r="AK216" s="8"/>
      <c r="AL216" s="8"/>
      <c r="AM216" s="8"/>
      <c r="AN216" s="8"/>
      <c r="BE216" s="42"/>
      <c r="BF216" s="5"/>
      <c r="BG216" s="35"/>
      <c r="BH216" s="5"/>
      <c r="BI216" s="6"/>
      <c r="BJ216" s="35"/>
      <c r="BK216" s="5"/>
      <c r="BL216" s="41"/>
      <c r="BM216" s="35"/>
      <c r="BN216" s="5"/>
      <c r="BO216" s="42"/>
      <c r="BP216" s="42"/>
      <c r="BQ216" s="40"/>
      <c r="BR216" s="5"/>
      <c r="DA216" s="218"/>
      <c r="DH216" s="8"/>
      <c r="DI216" s="8"/>
      <c r="DJ216" s="8"/>
      <c r="DK216" s="8"/>
      <c r="DL216" s="8"/>
      <c r="DM216" s="8"/>
      <c r="DN216" s="8"/>
      <c r="EE216" s="42"/>
      <c r="EF216" s="5"/>
      <c r="EG216" s="35"/>
      <c r="EH216" s="5"/>
      <c r="EI216" s="6"/>
      <c r="EJ216" s="35"/>
      <c r="EK216" s="5"/>
      <c r="EL216" s="41"/>
      <c r="EM216" s="35"/>
      <c r="EN216" s="5"/>
      <c r="EO216" s="42"/>
      <c r="EP216" s="42"/>
      <c r="EQ216" s="40"/>
      <c r="ER216" s="219"/>
      <c r="ES216" s="56"/>
    </row>
    <row r="217" spans="34:149">
      <c r="AH217" s="8"/>
      <c r="AI217" s="8"/>
      <c r="AJ217" s="8"/>
      <c r="AK217" s="8"/>
      <c r="AL217" s="8"/>
      <c r="AM217" s="8"/>
      <c r="AN217" s="8"/>
      <c r="BE217" s="42"/>
      <c r="BF217" s="5"/>
      <c r="BG217" s="35"/>
      <c r="BH217" s="5"/>
      <c r="BI217" s="6"/>
      <c r="BJ217" s="35"/>
      <c r="BK217" s="5"/>
      <c r="BL217" s="41"/>
      <c r="BM217" s="35"/>
      <c r="BN217" s="5"/>
      <c r="BO217" s="42"/>
      <c r="BP217" s="42"/>
      <c r="BQ217" s="40"/>
      <c r="BR217" s="5"/>
      <c r="DA217" s="218"/>
      <c r="DH217" s="8"/>
      <c r="DI217" s="8"/>
      <c r="DJ217" s="8"/>
      <c r="DK217" s="8"/>
      <c r="DL217" s="8"/>
      <c r="DM217" s="8"/>
      <c r="DN217" s="8"/>
      <c r="EE217" s="42"/>
      <c r="EF217" s="5"/>
      <c r="EG217" s="35"/>
      <c r="EH217" s="5"/>
      <c r="EI217" s="6"/>
      <c r="EJ217" s="35"/>
      <c r="EK217" s="5"/>
      <c r="EL217" s="41"/>
      <c r="EM217" s="35"/>
      <c r="EN217" s="5"/>
      <c r="EO217" s="42"/>
      <c r="EP217" s="42"/>
      <c r="EQ217" s="40"/>
      <c r="ER217" s="219"/>
      <c r="ES217" s="56"/>
    </row>
    <row r="218" spans="34:149">
      <c r="AH218" s="8"/>
      <c r="AI218" s="8"/>
      <c r="AJ218" s="8"/>
      <c r="AK218" s="8"/>
      <c r="AL218" s="8"/>
      <c r="AM218" s="8"/>
      <c r="AN218" s="8"/>
      <c r="BE218" s="42"/>
      <c r="BF218" s="5"/>
      <c r="BG218" s="35"/>
      <c r="BH218" s="5"/>
      <c r="BI218" s="6"/>
      <c r="BJ218" s="35"/>
      <c r="BK218" s="5"/>
      <c r="BL218" s="41"/>
      <c r="BM218" s="35"/>
      <c r="BN218" s="5"/>
      <c r="BO218" s="42"/>
      <c r="BP218" s="42"/>
      <c r="BQ218" s="40"/>
      <c r="BR218" s="5"/>
      <c r="DA218" s="218"/>
      <c r="DH218" s="8"/>
      <c r="DI218" s="8"/>
      <c r="DJ218" s="8"/>
      <c r="DK218" s="8"/>
      <c r="DL218" s="8"/>
      <c r="DM218" s="8"/>
      <c r="DN218" s="8"/>
      <c r="EE218" s="42"/>
      <c r="EF218" s="5"/>
      <c r="EG218" s="35"/>
      <c r="EH218" s="5"/>
      <c r="EI218" s="6"/>
      <c r="EJ218" s="35"/>
      <c r="EK218" s="5"/>
      <c r="EL218" s="41"/>
      <c r="EM218" s="35"/>
      <c r="EN218" s="5"/>
      <c r="EO218" s="42"/>
      <c r="EP218" s="42"/>
      <c r="EQ218" s="40"/>
      <c r="ER218" s="219"/>
      <c r="ES218" s="56"/>
    </row>
    <row r="219" spans="34:149">
      <c r="AH219" s="8"/>
      <c r="AI219" s="8"/>
      <c r="AJ219" s="8"/>
      <c r="AK219" s="8"/>
      <c r="AL219" s="8"/>
      <c r="AM219" s="8"/>
      <c r="AN219" s="8"/>
      <c r="BE219" s="42"/>
      <c r="BF219" s="5"/>
      <c r="BG219" s="35"/>
      <c r="BH219" s="5"/>
      <c r="BI219" s="6"/>
      <c r="BJ219" s="35"/>
      <c r="BK219" s="5"/>
      <c r="BL219" s="41"/>
      <c r="BM219" s="35"/>
      <c r="BN219" s="5"/>
      <c r="BO219" s="42"/>
      <c r="BP219" s="42"/>
      <c r="BQ219" s="40"/>
      <c r="BR219" s="5"/>
      <c r="DA219" s="218"/>
      <c r="DH219" s="8"/>
      <c r="DI219" s="8"/>
      <c r="DJ219" s="8"/>
      <c r="DK219" s="8"/>
      <c r="DL219" s="8"/>
      <c r="DM219" s="8"/>
      <c r="DN219" s="8"/>
      <c r="EE219" s="42"/>
      <c r="EF219" s="5"/>
      <c r="EG219" s="35"/>
      <c r="EH219" s="5"/>
      <c r="EI219" s="6"/>
      <c r="EJ219" s="35"/>
      <c r="EK219" s="5"/>
      <c r="EL219" s="41"/>
      <c r="EM219" s="35"/>
      <c r="EN219" s="5"/>
      <c r="EO219" s="42"/>
      <c r="EP219" s="42"/>
      <c r="EQ219" s="40"/>
      <c r="ER219" s="219"/>
      <c r="ES219" s="56"/>
    </row>
    <row r="220" spans="34:149">
      <c r="AH220" s="8"/>
      <c r="AI220" s="8"/>
      <c r="AJ220" s="8"/>
      <c r="AK220" s="8"/>
      <c r="AL220" s="8"/>
      <c r="AM220" s="8"/>
      <c r="AN220" s="8"/>
      <c r="BE220" s="42"/>
      <c r="BF220" s="5"/>
      <c r="BG220" s="35"/>
      <c r="BH220" s="5"/>
      <c r="BI220" s="6"/>
      <c r="BJ220" s="35"/>
      <c r="BK220" s="5"/>
      <c r="BL220" s="41"/>
      <c r="BM220" s="35"/>
      <c r="BN220" s="5"/>
      <c r="BO220" s="42"/>
      <c r="BP220" s="42"/>
      <c r="BQ220" s="40"/>
      <c r="BR220" s="5"/>
      <c r="DA220" s="218"/>
      <c r="DH220" s="8"/>
      <c r="DI220" s="8"/>
      <c r="DJ220" s="8"/>
      <c r="DK220" s="8"/>
      <c r="DL220" s="8"/>
      <c r="DM220" s="8"/>
      <c r="DN220" s="8"/>
      <c r="EE220" s="42"/>
      <c r="EF220" s="5"/>
      <c r="EG220" s="35"/>
      <c r="EH220" s="5"/>
      <c r="EI220" s="6"/>
      <c r="EJ220" s="35"/>
      <c r="EK220" s="5"/>
      <c r="EL220" s="41"/>
      <c r="EM220" s="35"/>
      <c r="EN220" s="5"/>
      <c r="EO220" s="42"/>
      <c r="EP220" s="42"/>
      <c r="EQ220" s="40"/>
      <c r="ER220" s="219"/>
      <c r="ES220" s="56"/>
    </row>
    <row r="221" spans="34:149">
      <c r="AH221" s="8"/>
      <c r="AI221" s="8"/>
      <c r="AJ221" s="8"/>
      <c r="AK221" s="8"/>
      <c r="AL221" s="8"/>
      <c r="AM221" s="8"/>
      <c r="AN221" s="8"/>
      <c r="BE221" s="42"/>
      <c r="BF221" s="5"/>
      <c r="BG221" s="35"/>
      <c r="BH221" s="5"/>
      <c r="BI221" s="6"/>
      <c r="BJ221" s="35"/>
      <c r="BK221" s="5"/>
      <c r="BL221" s="41"/>
      <c r="BM221" s="35"/>
      <c r="BN221" s="5"/>
      <c r="BO221" s="42"/>
      <c r="BP221" s="42"/>
      <c r="BQ221" s="40"/>
      <c r="BR221" s="5"/>
      <c r="DA221" s="218"/>
      <c r="DH221" s="8"/>
      <c r="DI221" s="8"/>
      <c r="DJ221" s="8"/>
      <c r="DK221" s="8"/>
      <c r="DL221" s="8"/>
      <c r="DM221" s="8"/>
      <c r="DN221" s="8"/>
      <c r="EE221" s="42"/>
      <c r="EF221" s="5"/>
      <c r="EG221" s="35"/>
      <c r="EH221" s="5"/>
      <c r="EI221" s="6"/>
      <c r="EJ221" s="35"/>
      <c r="EK221" s="5"/>
      <c r="EL221" s="41"/>
      <c r="EM221" s="35"/>
      <c r="EN221" s="5"/>
      <c r="EO221" s="42"/>
      <c r="EP221" s="42"/>
      <c r="EQ221" s="40"/>
      <c r="ER221" s="219"/>
      <c r="ES221" s="56"/>
    </row>
    <row r="222" spans="34:149">
      <c r="AH222" s="8"/>
      <c r="AI222" s="8"/>
      <c r="AJ222" s="8"/>
      <c r="AK222" s="8"/>
      <c r="AL222" s="8"/>
      <c r="AM222" s="8"/>
      <c r="AN222" s="8"/>
      <c r="BE222" s="42"/>
      <c r="BF222" s="5"/>
      <c r="BG222" s="35"/>
      <c r="BH222" s="5"/>
      <c r="BI222" s="6"/>
      <c r="BJ222" s="35"/>
      <c r="BK222" s="5"/>
      <c r="BL222" s="41"/>
      <c r="BM222" s="35"/>
      <c r="BN222" s="5"/>
      <c r="BO222" s="42"/>
      <c r="BP222" s="42"/>
      <c r="BQ222" s="40"/>
      <c r="BR222" s="5"/>
      <c r="DA222" s="218"/>
      <c r="DH222" s="8"/>
      <c r="DI222" s="8"/>
      <c r="DJ222" s="8"/>
      <c r="DK222" s="8"/>
      <c r="DL222" s="8"/>
      <c r="DM222" s="8"/>
      <c r="DN222" s="8"/>
      <c r="EE222" s="42"/>
      <c r="EF222" s="5"/>
      <c r="EG222" s="35"/>
      <c r="EH222" s="5"/>
      <c r="EI222" s="6"/>
      <c r="EJ222" s="35"/>
      <c r="EK222" s="5"/>
      <c r="EL222" s="41"/>
      <c r="EM222" s="35"/>
      <c r="EN222" s="5"/>
      <c r="EO222" s="42"/>
      <c r="EP222" s="42"/>
      <c r="EQ222" s="40"/>
      <c r="ER222" s="219"/>
      <c r="ES222" s="56"/>
    </row>
    <row r="223" spans="34:149">
      <c r="AH223" s="8"/>
      <c r="AI223" s="8"/>
      <c r="AJ223" s="8"/>
      <c r="AK223" s="8"/>
      <c r="AL223" s="8"/>
      <c r="AM223" s="8"/>
      <c r="AN223" s="8"/>
      <c r="BE223" s="42"/>
      <c r="BF223" s="5"/>
      <c r="BG223" s="35"/>
      <c r="BH223" s="5"/>
      <c r="BI223" s="6"/>
      <c r="BJ223" s="35"/>
      <c r="BK223" s="5"/>
      <c r="BL223" s="41"/>
      <c r="BM223" s="35"/>
      <c r="BN223" s="5"/>
      <c r="BO223" s="42"/>
      <c r="BP223" s="42"/>
      <c r="BQ223" s="40"/>
      <c r="BR223" s="5"/>
      <c r="DA223" s="218"/>
      <c r="DH223" s="8"/>
      <c r="DI223" s="8"/>
      <c r="DJ223" s="8"/>
      <c r="DK223" s="8"/>
      <c r="DL223" s="8"/>
      <c r="DM223" s="8"/>
      <c r="DN223" s="8"/>
      <c r="EE223" s="42"/>
      <c r="EF223" s="5"/>
      <c r="EG223" s="35"/>
      <c r="EH223" s="5"/>
      <c r="EI223" s="6"/>
      <c r="EJ223" s="35"/>
      <c r="EK223" s="5"/>
      <c r="EL223" s="41"/>
      <c r="EM223" s="35"/>
      <c r="EN223" s="5"/>
      <c r="EO223" s="42"/>
      <c r="EP223" s="42"/>
      <c r="EQ223" s="40"/>
      <c r="ER223" s="219"/>
      <c r="ES223" s="56"/>
    </row>
    <row r="224" spans="34:149">
      <c r="AH224" s="8"/>
      <c r="AI224" s="8"/>
      <c r="AJ224" s="8"/>
      <c r="AK224" s="8"/>
      <c r="AL224" s="8"/>
      <c r="AM224" s="8"/>
      <c r="AN224" s="8"/>
      <c r="BE224" s="42"/>
      <c r="BF224" s="5"/>
      <c r="BG224" s="35"/>
      <c r="BH224" s="5"/>
      <c r="BI224" s="6"/>
      <c r="BJ224" s="35"/>
      <c r="BK224" s="5"/>
      <c r="BL224" s="41"/>
      <c r="BM224" s="35"/>
      <c r="BN224" s="5"/>
      <c r="BO224" s="42"/>
      <c r="BP224" s="42"/>
      <c r="BQ224" s="40"/>
      <c r="BR224" s="5"/>
      <c r="DA224" s="218"/>
      <c r="DH224" s="8"/>
      <c r="DI224" s="8"/>
      <c r="DJ224" s="8"/>
      <c r="DK224" s="8"/>
      <c r="DL224" s="8"/>
      <c r="DM224" s="8"/>
      <c r="DN224" s="8"/>
      <c r="EE224" s="42"/>
      <c r="EF224" s="5"/>
      <c r="EG224" s="35"/>
      <c r="EH224" s="5"/>
      <c r="EI224" s="6"/>
      <c r="EJ224" s="35"/>
      <c r="EK224" s="5"/>
      <c r="EL224" s="41"/>
      <c r="EM224" s="35"/>
      <c r="EN224" s="5"/>
      <c r="EO224" s="42"/>
      <c r="EP224" s="42"/>
      <c r="EQ224" s="40"/>
      <c r="ER224" s="219"/>
      <c r="ES224" s="56"/>
    </row>
    <row r="225" spans="34:149">
      <c r="AH225" s="8"/>
      <c r="AI225" s="8"/>
      <c r="AJ225" s="8"/>
      <c r="AK225" s="8"/>
      <c r="AL225" s="8"/>
      <c r="AM225" s="8"/>
      <c r="AN225" s="8"/>
      <c r="BE225" s="42"/>
      <c r="BF225" s="5"/>
      <c r="BG225" s="35"/>
      <c r="BH225" s="5"/>
      <c r="BI225" s="6"/>
      <c r="BJ225" s="35"/>
      <c r="BK225" s="5"/>
      <c r="BL225" s="41"/>
      <c r="BM225" s="35"/>
      <c r="BN225" s="5"/>
      <c r="BO225" s="42"/>
      <c r="BP225" s="42"/>
      <c r="BQ225" s="40"/>
      <c r="BR225" s="5"/>
      <c r="DA225" s="218"/>
      <c r="DH225" s="8"/>
      <c r="DI225" s="8"/>
      <c r="DJ225" s="8"/>
      <c r="DK225" s="8"/>
      <c r="DL225" s="8"/>
      <c r="DM225" s="8"/>
      <c r="DN225" s="8"/>
      <c r="EE225" s="42"/>
      <c r="EF225" s="5"/>
      <c r="EG225" s="35"/>
      <c r="EH225" s="5"/>
      <c r="EI225" s="6"/>
      <c r="EJ225" s="35"/>
      <c r="EK225" s="5"/>
      <c r="EL225" s="41"/>
      <c r="EM225" s="35"/>
      <c r="EN225" s="5"/>
      <c r="EO225" s="42"/>
      <c r="EP225" s="42"/>
      <c r="EQ225" s="40"/>
      <c r="ER225" s="219"/>
      <c r="ES225" s="56"/>
    </row>
    <row r="226" spans="34:149">
      <c r="AH226" s="8"/>
      <c r="AI226" s="8"/>
      <c r="AJ226" s="8"/>
      <c r="AK226" s="8"/>
      <c r="AL226" s="8"/>
      <c r="AM226" s="8"/>
      <c r="AN226" s="8"/>
      <c r="BE226" s="42"/>
      <c r="BF226" s="5"/>
      <c r="BG226" s="35"/>
      <c r="BH226" s="5"/>
      <c r="BI226" s="6"/>
      <c r="BJ226" s="35"/>
      <c r="BK226" s="5"/>
      <c r="BL226" s="41"/>
      <c r="BM226" s="35"/>
      <c r="BN226" s="5"/>
      <c r="BO226" s="42"/>
      <c r="BP226" s="42"/>
      <c r="BQ226" s="40"/>
      <c r="BR226" s="5"/>
      <c r="DA226" s="218"/>
      <c r="DH226" s="8"/>
      <c r="DI226" s="8"/>
      <c r="DJ226" s="8"/>
      <c r="DK226" s="8"/>
      <c r="DL226" s="8"/>
      <c r="DM226" s="8"/>
      <c r="DN226" s="8"/>
      <c r="EE226" s="42"/>
      <c r="EF226" s="5"/>
      <c r="EG226" s="35"/>
      <c r="EH226" s="5"/>
      <c r="EI226" s="6"/>
      <c r="EJ226" s="35"/>
      <c r="EK226" s="5"/>
      <c r="EL226" s="41"/>
      <c r="EM226" s="35"/>
      <c r="EN226" s="5"/>
      <c r="EO226" s="42"/>
      <c r="EP226" s="42"/>
      <c r="EQ226" s="40"/>
      <c r="ER226" s="219"/>
      <c r="ES226" s="56"/>
    </row>
    <row r="227" spans="34:149">
      <c r="AH227" s="8"/>
      <c r="AI227" s="8"/>
      <c r="AJ227" s="8"/>
      <c r="AK227" s="8"/>
      <c r="AL227" s="8"/>
      <c r="AM227" s="8"/>
      <c r="AN227" s="8"/>
      <c r="BE227" s="42"/>
      <c r="BF227" s="5"/>
      <c r="BG227" s="35"/>
      <c r="BH227" s="5"/>
      <c r="BI227" s="6"/>
      <c r="BJ227" s="35"/>
      <c r="BK227" s="5"/>
      <c r="BL227" s="41"/>
      <c r="BM227" s="35"/>
      <c r="BN227" s="5"/>
      <c r="BO227" s="42"/>
      <c r="BP227" s="42"/>
      <c r="BQ227" s="40"/>
      <c r="BR227" s="5"/>
      <c r="DA227" s="218"/>
      <c r="DH227" s="8"/>
      <c r="DI227" s="8"/>
      <c r="DJ227" s="8"/>
      <c r="DK227" s="8"/>
      <c r="DL227" s="8"/>
      <c r="DM227" s="8"/>
      <c r="DN227" s="8"/>
      <c r="EE227" s="42"/>
      <c r="EF227" s="5"/>
      <c r="EG227" s="35"/>
      <c r="EH227" s="5"/>
      <c r="EI227" s="6"/>
      <c r="EJ227" s="35"/>
      <c r="EK227" s="5"/>
      <c r="EL227" s="41"/>
      <c r="EM227" s="35"/>
      <c r="EN227" s="5"/>
      <c r="EO227" s="42"/>
      <c r="EP227" s="42"/>
      <c r="EQ227" s="40"/>
      <c r="ER227" s="219"/>
      <c r="ES227" s="56"/>
    </row>
    <row r="228" spans="34:149">
      <c r="AH228" s="8"/>
      <c r="AI228" s="8"/>
      <c r="AJ228" s="8"/>
      <c r="AK228" s="8"/>
      <c r="AL228" s="8"/>
      <c r="AM228" s="8"/>
      <c r="AN228" s="8"/>
      <c r="BE228" s="42"/>
      <c r="BF228" s="5"/>
      <c r="BG228" s="35"/>
      <c r="BH228" s="5"/>
      <c r="BI228" s="6"/>
      <c r="BJ228" s="35"/>
      <c r="BK228" s="5"/>
      <c r="BL228" s="41"/>
      <c r="BM228" s="35"/>
      <c r="BN228" s="5"/>
      <c r="BO228" s="42"/>
      <c r="BP228" s="42"/>
      <c r="BQ228" s="40"/>
      <c r="BR228" s="5"/>
      <c r="DA228" s="218"/>
      <c r="DH228" s="8"/>
      <c r="DI228" s="8"/>
      <c r="DJ228" s="8"/>
      <c r="DK228" s="8"/>
      <c r="DL228" s="8"/>
      <c r="DM228" s="8"/>
      <c r="DN228" s="8"/>
      <c r="EE228" s="42"/>
      <c r="EF228" s="5"/>
      <c r="EG228" s="35"/>
      <c r="EH228" s="5"/>
      <c r="EI228" s="6"/>
      <c r="EJ228" s="35"/>
      <c r="EK228" s="5"/>
      <c r="EL228" s="41"/>
      <c r="EM228" s="35"/>
      <c r="EN228" s="5"/>
      <c r="EO228" s="42"/>
      <c r="EP228" s="42"/>
      <c r="EQ228" s="40"/>
      <c r="ER228" s="219"/>
      <c r="ES228" s="56"/>
    </row>
    <row r="229" spans="34:149">
      <c r="AH229" s="8"/>
      <c r="AI229" s="8"/>
      <c r="AJ229" s="8"/>
      <c r="AK229" s="8"/>
      <c r="AL229" s="8"/>
      <c r="AM229" s="8"/>
      <c r="AN229" s="8"/>
      <c r="BE229" s="42"/>
      <c r="BF229" s="5"/>
      <c r="BG229" s="35"/>
      <c r="BH229" s="5"/>
      <c r="BI229" s="6"/>
      <c r="BJ229" s="35"/>
      <c r="BK229" s="5"/>
      <c r="BL229" s="41"/>
      <c r="BM229" s="35"/>
      <c r="BN229" s="5"/>
      <c r="BO229" s="42"/>
      <c r="BP229" s="42"/>
      <c r="BQ229" s="40"/>
      <c r="BR229" s="5"/>
      <c r="DA229" s="218"/>
      <c r="DH229" s="8"/>
      <c r="DI229" s="8"/>
      <c r="DJ229" s="8"/>
      <c r="DK229" s="8"/>
      <c r="DL229" s="8"/>
      <c r="DM229" s="8"/>
      <c r="DN229" s="8"/>
      <c r="EE229" s="42"/>
      <c r="EF229" s="5"/>
      <c r="EG229" s="35"/>
      <c r="EH229" s="5"/>
      <c r="EI229" s="6"/>
      <c r="EJ229" s="35"/>
      <c r="EK229" s="5"/>
      <c r="EL229" s="41"/>
      <c r="EM229" s="35"/>
      <c r="EN229" s="5"/>
      <c r="EO229" s="42"/>
      <c r="EP229" s="42"/>
      <c r="EQ229" s="40"/>
      <c r="ER229" s="219"/>
      <c r="ES229" s="56"/>
    </row>
    <row r="230" spans="34:149">
      <c r="AH230" s="8"/>
      <c r="AI230" s="8"/>
      <c r="AJ230" s="8"/>
      <c r="AK230" s="8"/>
      <c r="AL230" s="8"/>
      <c r="AM230" s="8"/>
      <c r="AN230" s="8"/>
      <c r="BE230" s="42"/>
      <c r="BF230" s="5"/>
      <c r="BG230" s="35"/>
      <c r="BH230" s="5"/>
      <c r="BI230" s="6"/>
      <c r="BJ230" s="35"/>
      <c r="BK230" s="5"/>
      <c r="BL230" s="41"/>
      <c r="BM230" s="35"/>
      <c r="BN230" s="5"/>
      <c r="BO230" s="42"/>
      <c r="BP230" s="42"/>
      <c r="BQ230" s="40"/>
      <c r="BR230" s="5"/>
      <c r="DA230" s="218"/>
      <c r="DH230" s="8"/>
      <c r="DI230" s="8"/>
      <c r="DJ230" s="8"/>
      <c r="DK230" s="8"/>
      <c r="DL230" s="8"/>
      <c r="DM230" s="8"/>
      <c r="DN230" s="8"/>
      <c r="EE230" s="42"/>
      <c r="EF230" s="5"/>
      <c r="EG230" s="35"/>
      <c r="EH230" s="5"/>
      <c r="EI230" s="6"/>
      <c r="EJ230" s="35"/>
      <c r="EK230" s="5"/>
      <c r="EL230" s="41"/>
      <c r="EM230" s="35"/>
      <c r="EN230" s="5"/>
      <c r="EO230" s="42"/>
      <c r="EP230" s="42"/>
      <c r="EQ230" s="40"/>
      <c r="ER230" s="219"/>
      <c r="ES230" s="56"/>
    </row>
    <row r="231" spans="34:149">
      <c r="AH231" s="8"/>
      <c r="AI231" s="8"/>
      <c r="AJ231" s="8"/>
      <c r="AK231" s="8"/>
      <c r="AL231" s="8"/>
      <c r="AM231" s="8"/>
      <c r="AN231" s="8"/>
      <c r="BE231" s="42"/>
      <c r="BF231" s="5"/>
      <c r="BG231" s="35"/>
      <c r="BH231" s="5"/>
      <c r="BI231" s="6"/>
      <c r="BJ231" s="35"/>
      <c r="BK231" s="5"/>
      <c r="BL231" s="41"/>
      <c r="BM231" s="35"/>
      <c r="BN231" s="5"/>
      <c r="BO231" s="42"/>
      <c r="BP231" s="42"/>
      <c r="BQ231" s="40"/>
      <c r="BR231" s="5"/>
      <c r="DA231" s="218"/>
      <c r="DH231" s="8"/>
      <c r="DI231" s="8"/>
      <c r="DJ231" s="8"/>
      <c r="DK231" s="8"/>
      <c r="DL231" s="8"/>
      <c r="DM231" s="8"/>
      <c r="DN231" s="8"/>
      <c r="EE231" s="42"/>
      <c r="EF231" s="5"/>
      <c r="EG231" s="35"/>
      <c r="EH231" s="5"/>
      <c r="EI231" s="6"/>
      <c r="EJ231" s="35"/>
      <c r="EK231" s="5"/>
      <c r="EL231" s="41"/>
      <c r="EM231" s="35"/>
      <c r="EN231" s="5"/>
      <c r="EO231" s="42"/>
      <c r="EP231" s="42"/>
      <c r="EQ231" s="40"/>
      <c r="ER231" s="219"/>
      <c r="ES231" s="56"/>
    </row>
    <row r="232" spans="34:149">
      <c r="AH232" s="8"/>
      <c r="AI232" s="8"/>
      <c r="AJ232" s="8"/>
      <c r="AK232" s="8"/>
      <c r="AL232" s="8"/>
      <c r="AM232" s="8"/>
      <c r="AN232" s="8"/>
      <c r="BE232" s="42"/>
      <c r="BF232" s="5"/>
      <c r="BG232" s="35"/>
      <c r="BH232" s="5"/>
      <c r="BI232" s="6"/>
      <c r="BJ232" s="35"/>
      <c r="BK232" s="5"/>
      <c r="BL232" s="41"/>
      <c r="BM232" s="35"/>
      <c r="BN232" s="5"/>
      <c r="BO232" s="42"/>
      <c r="BP232" s="42"/>
      <c r="BQ232" s="40"/>
      <c r="BR232" s="5"/>
      <c r="DA232" s="218"/>
      <c r="DH232" s="8"/>
      <c r="DI232" s="8"/>
      <c r="DJ232" s="8"/>
      <c r="DK232" s="8"/>
      <c r="DL232" s="8"/>
      <c r="DM232" s="8"/>
      <c r="DN232" s="8"/>
      <c r="EE232" s="42"/>
      <c r="EF232" s="5"/>
      <c r="EG232" s="35"/>
      <c r="EH232" s="5"/>
      <c r="EI232" s="6"/>
      <c r="EJ232" s="35"/>
      <c r="EK232" s="5"/>
      <c r="EL232" s="41"/>
      <c r="EM232" s="35"/>
      <c r="EN232" s="5"/>
      <c r="EO232" s="42"/>
      <c r="EP232" s="42"/>
      <c r="EQ232" s="40"/>
      <c r="ER232" s="219"/>
      <c r="ES232" s="56"/>
    </row>
    <row r="233" spans="34:149">
      <c r="AH233" s="8"/>
      <c r="AI233" s="8"/>
      <c r="AJ233" s="8"/>
      <c r="AK233" s="8"/>
      <c r="AL233" s="8"/>
      <c r="AM233" s="8"/>
      <c r="AN233" s="8"/>
      <c r="BE233" s="42"/>
      <c r="BF233" s="5"/>
      <c r="BG233" s="35"/>
      <c r="BH233" s="5"/>
      <c r="BI233" s="6"/>
      <c r="BJ233" s="35"/>
      <c r="BK233" s="5"/>
      <c r="BL233" s="41"/>
      <c r="BM233" s="35"/>
      <c r="BN233" s="5"/>
      <c r="BO233" s="42"/>
      <c r="BP233" s="42"/>
      <c r="BQ233" s="40"/>
      <c r="BR233" s="5"/>
      <c r="DA233" s="218"/>
      <c r="DH233" s="8"/>
      <c r="DI233" s="8"/>
      <c r="DJ233" s="8"/>
      <c r="DK233" s="8"/>
      <c r="DL233" s="8"/>
      <c r="DM233" s="8"/>
      <c r="DN233" s="8"/>
      <c r="EE233" s="42"/>
      <c r="EF233" s="5"/>
      <c r="EG233" s="35"/>
      <c r="EH233" s="5"/>
      <c r="EI233" s="6"/>
      <c r="EJ233" s="35"/>
      <c r="EK233" s="5"/>
      <c r="EL233" s="41"/>
      <c r="EM233" s="35"/>
      <c r="EN233" s="5"/>
      <c r="EO233" s="42"/>
      <c r="EP233" s="42"/>
      <c r="EQ233" s="40"/>
      <c r="ER233" s="219"/>
      <c r="ES233" s="56"/>
    </row>
    <row r="234" spans="34:149">
      <c r="AH234" s="8"/>
      <c r="AI234" s="8"/>
      <c r="AJ234" s="8"/>
      <c r="AK234" s="8"/>
      <c r="AL234" s="8"/>
      <c r="AM234" s="8"/>
      <c r="AN234" s="8"/>
      <c r="BE234" s="42"/>
      <c r="BF234" s="5"/>
      <c r="BG234" s="35"/>
      <c r="BH234" s="5"/>
      <c r="BI234" s="6"/>
      <c r="BJ234" s="35"/>
      <c r="BK234" s="5"/>
      <c r="BL234" s="41"/>
      <c r="BM234" s="35"/>
      <c r="BN234" s="5"/>
      <c r="BO234" s="42"/>
      <c r="BP234" s="42"/>
      <c r="BQ234" s="40"/>
      <c r="BR234" s="5"/>
      <c r="DA234" s="218"/>
      <c r="DH234" s="8"/>
      <c r="DI234" s="8"/>
      <c r="DJ234" s="8"/>
      <c r="DK234" s="8"/>
      <c r="DL234" s="8"/>
      <c r="DM234" s="8"/>
      <c r="DN234" s="8"/>
      <c r="EE234" s="42"/>
      <c r="EF234" s="5"/>
      <c r="EG234" s="35"/>
      <c r="EH234" s="5"/>
      <c r="EI234" s="6"/>
      <c r="EJ234" s="35"/>
      <c r="EK234" s="5"/>
      <c r="EL234" s="41"/>
      <c r="EM234" s="35"/>
      <c r="EN234" s="5"/>
      <c r="EO234" s="42"/>
      <c r="EP234" s="42"/>
      <c r="EQ234" s="40"/>
      <c r="ER234" s="219"/>
      <c r="ES234" s="56"/>
    </row>
    <row r="235" spans="34:149">
      <c r="AH235" s="8"/>
      <c r="AI235" s="8"/>
      <c r="AJ235" s="8"/>
      <c r="AK235" s="8"/>
      <c r="AL235" s="8"/>
      <c r="AM235" s="8"/>
      <c r="AN235" s="8"/>
      <c r="BE235" s="42"/>
      <c r="BF235" s="5"/>
      <c r="BG235" s="35"/>
      <c r="BH235" s="5"/>
      <c r="BI235" s="6"/>
      <c r="BJ235" s="35"/>
      <c r="BK235" s="5"/>
      <c r="BL235" s="41"/>
      <c r="BM235" s="35"/>
      <c r="BN235" s="5"/>
      <c r="BO235" s="42"/>
      <c r="BP235" s="42"/>
      <c r="BQ235" s="40"/>
      <c r="BR235" s="5"/>
      <c r="DA235" s="218"/>
      <c r="DH235" s="8"/>
      <c r="DI235" s="8"/>
      <c r="DJ235" s="8"/>
      <c r="DK235" s="8"/>
      <c r="DL235" s="8"/>
      <c r="DM235" s="8"/>
      <c r="DN235" s="8"/>
      <c r="EE235" s="42"/>
      <c r="EF235" s="5"/>
      <c r="EG235" s="35"/>
      <c r="EH235" s="5"/>
      <c r="EI235" s="6"/>
      <c r="EJ235" s="35"/>
      <c r="EK235" s="5"/>
      <c r="EL235" s="41"/>
      <c r="EM235" s="35"/>
      <c r="EN235" s="5"/>
      <c r="EO235" s="42"/>
      <c r="EP235" s="42"/>
      <c r="EQ235" s="40"/>
      <c r="ER235" s="219"/>
      <c r="ES235" s="56"/>
    </row>
    <row r="236" spans="34:149">
      <c r="AH236" s="8"/>
      <c r="AI236" s="8"/>
      <c r="AJ236" s="8"/>
      <c r="AK236" s="8"/>
      <c r="AL236" s="8"/>
      <c r="AM236" s="8"/>
      <c r="AN236" s="8"/>
      <c r="BE236" s="42"/>
      <c r="BF236" s="5"/>
      <c r="BG236" s="35"/>
      <c r="BH236" s="5"/>
      <c r="BI236" s="6"/>
      <c r="BJ236" s="35"/>
      <c r="BK236" s="5"/>
      <c r="BL236" s="41"/>
      <c r="BM236" s="35"/>
      <c r="BN236" s="5"/>
      <c r="BO236" s="42"/>
      <c r="BP236" s="42"/>
      <c r="BQ236" s="40"/>
      <c r="BR236" s="5"/>
      <c r="DA236" s="218"/>
      <c r="DH236" s="8"/>
      <c r="DI236" s="8"/>
      <c r="DJ236" s="8"/>
      <c r="DK236" s="8"/>
      <c r="DL236" s="8"/>
      <c r="DM236" s="8"/>
      <c r="DN236" s="8"/>
      <c r="EE236" s="42"/>
      <c r="EF236" s="5"/>
      <c r="EG236" s="35"/>
      <c r="EH236" s="5"/>
      <c r="EI236" s="6"/>
      <c r="EJ236" s="35"/>
      <c r="EK236" s="5"/>
      <c r="EL236" s="41"/>
      <c r="EM236" s="35"/>
      <c r="EN236" s="5"/>
      <c r="EO236" s="42"/>
      <c r="EP236" s="42"/>
      <c r="EQ236" s="40"/>
      <c r="ER236" s="219"/>
      <c r="ES236" s="56"/>
    </row>
    <row r="237" spans="34:149">
      <c r="AH237" s="8"/>
      <c r="AI237" s="8"/>
      <c r="AJ237" s="8"/>
      <c r="AK237" s="8"/>
      <c r="AL237" s="8"/>
      <c r="AM237" s="8"/>
      <c r="AN237" s="8"/>
      <c r="BE237" s="42"/>
      <c r="BF237" s="5"/>
      <c r="BG237" s="35"/>
      <c r="BH237" s="5"/>
      <c r="BI237" s="6"/>
      <c r="BJ237" s="35"/>
      <c r="BK237" s="5"/>
      <c r="BL237" s="41"/>
      <c r="BM237" s="35"/>
      <c r="BN237" s="5"/>
      <c r="BO237" s="42"/>
      <c r="BP237" s="42"/>
      <c r="BQ237" s="40"/>
      <c r="BR237" s="5"/>
      <c r="DA237" s="218"/>
      <c r="DH237" s="8"/>
      <c r="DI237" s="8"/>
      <c r="DJ237" s="8"/>
      <c r="DK237" s="8"/>
      <c r="DL237" s="8"/>
      <c r="DM237" s="8"/>
      <c r="DN237" s="8"/>
      <c r="EE237" s="42"/>
      <c r="EF237" s="5"/>
      <c r="EG237" s="35"/>
      <c r="EH237" s="5"/>
      <c r="EI237" s="6"/>
      <c r="EJ237" s="35"/>
      <c r="EK237" s="5"/>
      <c r="EL237" s="41"/>
      <c r="EM237" s="35"/>
      <c r="EN237" s="5"/>
      <c r="EO237" s="42"/>
      <c r="EP237" s="42"/>
      <c r="EQ237" s="40"/>
      <c r="ER237" s="219"/>
      <c r="ES237" s="56"/>
    </row>
    <row r="238" spans="34:149">
      <c r="AH238" s="8"/>
      <c r="AI238" s="8"/>
      <c r="AJ238" s="8"/>
      <c r="AK238" s="8"/>
      <c r="AL238" s="8"/>
      <c r="AM238" s="8"/>
      <c r="AN238" s="8"/>
      <c r="BE238" s="42"/>
      <c r="BF238" s="5"/>
      <c r="BG238" s="35"/>
      <c r="BH238" s="5"/>
      <c r="BI238" s="6"/>
      <c r="BJ238" s="35"/>
      <c r="BK238" s="5"/>
      <c r="BL238" s="41"/>
      <c r="BM238" s="35"/>
      <c r="BN238" s="5"/>
      <c r="BO238" s="42"/>
      <c r="BP238" s="42"/>
      <c r="BQ238" s="40"/>
      <c r="BR238" s="5"/>
      <c r="DA238" s="218"/>
      <c r="DH238" s="8"/>
      <c r="DI238" s="8"/>
      <c r="DJ238" s="8"/>
      <c r="DK238" s="8"/>
      <c r="DL238" s="8"/>
      <c r="DM238" s="8"/>
      <c r="DN238" s="8"/>
      <c r="EE238" s="42"/>
      <c r="EF238" s="5"/>
      <c r="EG238" s="35"/>
      <c r="EH238" s="5"/>
      <c r="EI238" s="6"/>
      <c r="EJ238" s="35"/>
      <c r="EK238" s="5"/>
      <c r="EL238" s="41"/>
      <c r="EM238" s="35"/>
      <c r="EN238" s="5"/>
      <c r="EO238" s="42"/>
      <c r="EP238" s="42"/>
      <c r="EQ238" s="40"/>
      <c r="ER238" s="219"/>
      <c r="ES238" s="56"/>
    </row>
    <row r="239" spans="34:149">
      <c r="AH239" s="8"/>
      <c r="AI239" s="8"/>
      <c r="AJ239" s="8"/>
      <c r="AK239" s="8"/>
      <c r="AL239" s="8"/>
      <c r="AM239" s="8"/>
      <c r="AN239" s="8"/>
      <c r="BE239" s="42"/>
      <c r="BF239" s="5"/>
      <c r="BG239" s="35"/>
      <c r="BH239" s="5"/>
      <c r="BI239" s="6"/>
      <c r="BJ239" s="35"/>
      <c r="BK239" s="5"/>
      <c r="BL239" s="41"/>
      <c r="BM239" s="35"/>
      <c r="BN239" s="5"/>
      <c r="BO239" s="42"/>
      <c r="BP239" s="42"/>
      <c r="BQ239" s="40"/>
      <c r="BR239" s="5"/>
      <c r="DA239" s="218"/>
      <c r="DH239" s="8"/>
      <c r="DI239" s="8"/>
      <c r="DJ239" s="8"/>
      <c r="DK239" s="8"/>
      <c r="DL239" s="8"/>
      <c r="DM239" s="8"/>
      <c r="DN239" s="8"/>
      <c r="EE239" s="42"/>
      <c r="EF239" s="5"/>
      <c r="EG239" s="35"/>
      <c r="EH239" s="5"/>
      <c r="EI239" s="6"/>
      <c r="EJ239" s="35"/>
      <c r="EK239" s="5"/>
      <c r="EL239" s="41"/>
      <c r="EM239" s="35"/>
      <c r="EN239" s="5"/>
      <c r="EO239" s="42"/>
      <c r="EP239" s="42"/>
      <c r="EQ239" s="40"/>
      <c r="ER239" s="219"/>
      <c r="ES239" s="56"/>
    </row>
    <row r="240" spans="34:149">
      <c r="AH240" s="8"/>
      <c r="AI240" s="8"/>
      <c r="AJ240" s="8"/>
      <c r="AK240" s="8"/>
      <c r="AL240" s="8"/>
      <c r="AM240" s="8"/>
      <c r="AN240" s="8"/>
      <c r="BE240" s="42"/>
      <c r="BF240" s="5"/>
      <c r="BG240" s="35"/>
      <c r="BH240" s="5"/>
      <c r="BI240" s="6"/>
      <c r="BJ240" s="35"/>
      <c r="BK240" s="5"/>
      <c r="BL240" s="41"/>
      <c r="BM240" s="35"/>
      <c r="BN240" s="5"/>
      <c r="BO240" s="42"/>
      <c r="BP240" s="42"/>
      <c r="BQ240" s="40"/>
      <c r="BR240" s="5"/>
      <c r="DA240" s="218"/>
      <c r="DH240" s="8"/>
      <c r="DI240" s="8"/>
      <c r="DJ240" s="8"/>
      <c r="DK240" s="8"/>
      <c r="DL240" s="8"/>
      <c r="DM240" s="8"/>
      <c r="DN240" s="8"/>
      <c r="EE240" s="42"/>
      <c r="EF240" s="5"/>
      <c r="EG240" s="35"/>
      <c r="EH240" s="5"/>
      <c r="EI240" s="6"/>
      <c r="EJ240" s="35"/>
      <c r="EK240" s="5"/>
      <c r="EL240" s="41"/>
      <c r="EM240" s="35"/>
      <c r="EN240" s="5"/>
      <c r="EO240" s="42"/>
      <c r="EP240" s="42"/>
      <c r="EQ240" s="40"/>
      <c r="ER240" s="219"/>
      <c r="ES240" s="56"/>
    </row>
    <row r="241" spans="34:149">
      <c r="AH241" s="8"/>
      <c r="AI241" s="8"/>
      <c r="AJ241" s="8"/>
      <c r="AK241" s="8"/>
      <c r="AL241" s="8"/>
      <c r="AM241" s="8"/>
      <c r="AN241" s="8"/>
      <c r="BE241" s="42"/>
      <c r="BF241" s="5"/>
      <c r="BG241" s="35"/>
      <c r="BH241" s="5"/>
      <c r="BI241" s="6"/>
      <c r="BJ241" s="35"/>
      <c r="BK241" s="5"/>
      <c r="BL241" s="41"/>
      <c r="BM241" s="35"/>
      <c r="BN241" s="5"/>
      <c r="BO241" s="42"/>
      <c r="BP241" s="42"/>
      <c r="BQ241" s="40"/>
      <c r="BR241" s="5"/>
      <c r="DA241" s="218"/>
      <c r="DH241" s="8"/>
      <c r="DI241" s="8"/>
      <c r="DJ241" s="8"/>
      <c r="DK241" s="8"/>
      <c r="DL241" s="8"/>
      <c r="DM241" s="8"/>
      <c r="DN241" s="8"/>
      <c r="EE241" s="42"/>
      <c r="EF241" s="5"/>
      <c r="EG241" s="35"/>
      <c r="EH241" s="5"/>
      <c r="EI241" s="6"/>
      <c r="EJ241" s="35"/>
      <c r="EK241" s="5"/>
      <c r="EL241" s="41"/>
      <c r="EM241" s="35"/>
      <c r="EN241" s="5"/>
      <c r="EO241" s="42"/>
      <c r="EP241" s="42"/>
      <c r="EQ241" s="40"/>
      <c r="ER241" s="219"/>
      <c r="ES241" s="56"/>
    </row>
    <row r="242" spans="34:149">
      <c r="AH242" s="8"/>
      <c r="AI242" s="8"/>
      <c r="AJ242" s="8"/>
      <c r="AK242" s="8"/>
      <c r="AL242" s="8"/>
      <c r="AM242" s="8"/>
      <c r="AN242" s="8"/>
      <c r="BE242" s="42"/>
      <c r="BF242" s="5"/>
      <c r="BG242" s="35"/>
      <c r="BH242" s="5"/>
      <c r="BI242" s="6"/>
      <c r="BJ242" s="35"/>
      <c r="BK242" s="5"/>
      <c r="BL242" s="41"/>
      <c r="BM242" s="35"/>
      <c r="BN242" s="5"/>
      <c r="BO242" s="42"/>
      <c r="BP242" s="42"/>
      <c r="BQ242" s="40"/>
      <c r="BR242" s="5"/>
      <c r="DA242" s="218"/>
      <c r="DH242" s="8"/>
      <c r="DI242" s="8"/>
      <c r="DJ242" s="8"/>
      <c r="DK242" s="8"/>
      <c r="DL242" s="8"/>
      <c r="DM242" s="8"/>
      <c r="DN242" s="8"/>
      <c r="EE242" s="42"/>
      <c r="EF242" s="5"/>
      <c r="EG242" s="35"/>
      <c r="EH242" s="5"/>
      <c r="EI242" s="6"/>
      <c r="EJ242" s="35"/>
      <c r="EK242" s="5"/>
      <c r="EL242" s="41"/>
      <c r="EM242" s="35"/>
      <c r="EN242" s="5"/>
      <c r="EO242" s="42"/>
      <c r="EP242" s="42"/>
      <c r="EQ242" s="40"/>
      <c r="ER242" s="219"/>
      <c r="ES242" s="56"/>
    </row>
    <row r="243" spans="34:149">
      <c r="AH243" s="8"/>
      <c r="AI243" s="8"/>
      <c r="AJ243" s="8"/>
      <c r="AK243" s="8"/>
      <c r="AL243" s="8"/>
      <c r="AM243" s="8"/>
      <c r="AN243" s="8"/>
      <c r="BE243" s="42"/>
      <c r="BF243" s="5"/>
      <c r="BG243" s="35"/>
      <c r="BH243" s="5"/>
      <c r="BI243" s="6"/>
      <c r="BJ243" s="35"/>
      <c r="BK243" s="5"/>
      <c r="BL243" s="41"/>
      <c r="BM243" s="35"/>
      <c r="BN243" s="5"/>
      <c r="BO243" s="42"/>
      <c r="BP243" s="42"/>
      <c r="BQ243" s="40"/>
      <c r="BR243" s="5"/>
      <c r="DA243" s="218"/>
      <c r="DH243" s="8"/>
      <c r="DI243" s="8"/>
      <c r="DJ243" s="8"/>
      <c r="DK243" s="8"/>
      <c r="DL243" s="8"/>
      <c r="DM243" s="8"/>
      <c r="DN243" s="8"/>
      <c r="EE243" s="42"/>
      <c r="EF243" s="5"/>
      <c r="EG243" s="35"/>
      <c r="EH243" s="5"/>
      <c r="EI243" s="6"/>
      <c r="EJ243" s="35"/>
      <c r="EK243" s="5"/>
      <c r="EL243" s="41"/>
      <c r="EM243" s="35"/>
      <c r="EN243" s="5"/>
      <c r="EO243" s="42"/>
      <c r="EP243" s="42"/>
      <c r="EQ243" s="40"/>
      <c r="ER243" s="219"/>
      <c r="ES243" s="56"/>
    </row>
    <row r="244" spans="34:149">
      <c r="AH244" s="8"/>
      <c r="AI244" s="8"/>
      <c r="AJ244" s="8"/>
      <c r="AK244" s="8"/>
      <c r="AL244" s="8"/>
      <c r="AM244" s="8"/>
      <c r="AN244" s="8"/>
      <c r="BE244" s="42"/>
      <c r="BF244" s="5"/>
      <c r="BG244" s="35"/>
      <c r="BH244" s="5"/>
      <c r="BI244" s="6"/>
      <c r="BJ244" s="35"/>
      <c r="BK244" s="5"/>
      <c r="BL244" s="41"/>
      <c r="BM244" s="35"/>
      <c r="BN244" s="5"/>
      <c r="BO244" s="42"/>
      <c r="BP244" s="42"/>
      <c r="BQ244" s="40"/>
      <c r="BR244" s="5"/>
      <c r="DA244" s="218"/>
      <c r="DH244" s="8"/>
      <c r="DI244" s="8"/>
      <c r="DJ244" s="8"/>
      <c r="DK244" s="8"/>
      <c r="DL244" s="8"/>
      <c r="DM244" s="8"/>
      <c r="DN244" s="8"/>
      <c r="EE244" s="42"/>
      <c r="EF244" s="5"/>
      <c r="EG244" s="35"/>
      <c r="EH244" s="5"/>
      <c r="EI244" s="6"/>
      <c r="EJ244" s="35"/>
      <c r="EK244" s="5"/>
      <c r="EL244" s="41"/>
      <c r="EM244" s="35"/>
      <c r="EN244" s="5"/>
      <c r="EO244" s="42"/>
      <c r="EP244" s="42"/>
      <c r="EQ244" s="40"/>
      <c r="ER244" s="219"/>
      <c r="ES244" s="56"/>
    </row>
    <row r="245" spans="34:149">
      <c r="AH245" s="8"/>
      <c r="AI245" s="8"/>
      <c r="AJ245" s="8"/>
      <c r="AK245" s="8"/>
      <c r="AL245" s="8"/>
      <c r="AM245" s="8"/>
      <c r="AN245" s="8"/>
      <c r="BE245" s="42"/>
      <c r="BF245" s="5"/>
      <c r="BG245" s="35"/>
      <c r="BH245" s="5"/>
      <c r="BI245" s="6"/>
      <c r="BJ245" s="35"/>
      <c r="BK245" s="5"/>
      <c r="BL245" s="41"/>
      <c r="BM245" s="35"/>
      <c r="BN245" s="5"/>
      <c r="BO245" s="42"/>
      <c r="BP245" s="42"/>
      <c r="BQ245" s="40"/>
      <c r="BR245" s="5"/>
      <c r="DA245" s="218"/>
      <c r="DH245" s="8"/>
      <c r="DI245" s="8"/>
      <c r="DJ245" s="8"/>
      <c r="DK245" s="8"/>
      <c r="DL245" s="8"/>
      <c r="DM245" s="8"/>
      <c r="DN245" s="8"/>
      <c r="EE245" s="42"/>
      <c r="EF245" s="5"/>
      <c r="EG245" s="35"/>
      <c r="EH245" s="5"/>
      <c r="EI245" s="6"/>
      <c r="EJ245" s="35"/>
      <c r="EK245" s="5"/>
      <c r="EL245" s="41"/>
      <c r="EM245" s="35"/>
      <c r="EN245" s="5"/>
      <c r="EO245" s="42"/>
      <c r="EP245" s="42"/>
      <c r="EQ245" s="40"/>
      <c r="ER245" s="219"/>
      <c r="ES245" s="56"/>
    </row>
    <row r="246" spans="34:149">
      <c r="AH246" s="8"/>
      <c r="AI246" s="8"/>
      <c r="AJ246" s="8"/>
      <c r="AK246" s="8"/>
      <c r="AL246" s="8"/>
      <c r="AM246" s="8"/>
      <c r="AN246" s="8"/>
      <c r="BE246" s="42"/>
      <c r="BF246" s="5"/>
      <c r="BG246" s="35"/>
      <c r="BH246" s="5"/>
      <c r="BI246" s="6"/>
      <c r="BJ246" s="35"/>
      <c r="BK246" s="5"/>
      <c r="BL246" s="41"/>
      <c r="BM246" s="35"/>
      <c r="BN246" s="5"/>
      <c r="BO246" s="42"/>
      <c r="BP246" s="42"/>
      <c r="BQ246" s="40"/>
      <c r="BR246" s="5"/>
      <c r="DA246" s="218"/>
      <c r="DH246" s="8"/>
      <c r="DI246" s="8"/>
      <c r="DJ246" s="8"/>
      <c r="DK246" s="8"/>
      <c r="DL246" s="8"/>
      <c r="DM246" s="8"/>
      <c r="DN246" s="8"/>
      <c r="EE246" s="42"/>
      <c r="EF246" s="5"/>
      <c r="EG246" s="35"/>
      <c r="EH246" s="5"/>
      <c r="EI246" s="6"/>
      <c r="EJ246" s="35"/>
      <c r="EK246" s="5"/>
      <c r="EL246" s="41"/>
      <c r="EM246" s="35"/>
      <c r="EN246" s="5"/>
      <c r="EO246" s="42"/>
      <c r="EP246" s="42"/>
      <c r="EQ246" s="40"/>
      <c r="ER246" s="219"/>
      <c r="ES246" s="56"/>
    </row>
    <row r="247" spans="34:149">
      <c r="AH247" s="8"/>
      <c r="AI247" s="8"/>
      <c r="AJ247" s="8"/>
      <c r="AK247" s="8"/>
      <c r="AL247" s="8"/>
      <c r="AM247" s="8"/>
      <c r="AN247" s="8"/>
      <c r="BE247" s="42"/>
      <c r="BF247" s="5"/>
      <c r="BG247" s="35"/>
      <c r="BH247" s="5"/>
      <c r="BI247" s="6"/>
      <c r="BJ247" s="35"/>
      <c r="BK247" s="5"/>
      <c r="BL247" s="41"/>
      <c r="BM247" s="35"/>
      <c r="BN247" s="5"/>
      <c r="BO247" s="42"/>
      <c r="BP247" s="42"/>
      <c r="BQ247" s="40"/>
      <c r="BR247" s="5"/>
      <c r="DA247" s="218"/>
      <c r="DH247" s="8"/>
      <c r="DI247" s="8"/>
      <c r="DJ247" s="8"/>
      <c r="DK247" s="8"/>
      <c r="DL247" s="8"/>
      <c r="DM247" s="8"/>
      <c r="DN247" s="8"/>
      <c r="EE247" s="42"/>
      <c r="EF247" s="5"/>
      <c r="EG247" s="35"/>
      <c r="EH247" s="5"/>
      <c r="EI247" s="6"/>
      <c r="EJ247" s="35"/>
      <c r="EK247" s="5"/>
      <c r="EL247" s="41"/>
      <c r="EM247" s="35"/>
      <c r="EN247" s="5"/>
      <c r="EO247" s="42"/>
      <c r="EP247" s="42"/>
      <c r="EQ247" s="40"/>
      <c r="ER247" s="219"/>
      <c r="ES247" s="56"/>
    </row>
    <row r="248" spans="34:149">
      <c r="AH248" s="8"/>
      <c r="AI248" s="8"/>
      <c r="AJ248" s="8"/>
      <c r="AK248" s="8"/>
      <c r="AL248" s="8"/>
      <c r="AM248" s="8"/>
      <c r="AN248" s="8"/>
      <c r="BE248" s="42"/>
      <c r="BF248" s="5"/>
      <c r="BG248" s="35"/>
      <c r="BH248" s="5"/>
      <c r="BI248" s="6"/>
      <c r="BJ248" s="35"/>
      <c r="BK248" s="5"/>
      <c r="BL248" s="41"/>
      <c r="BM248" s="35"/>
      <c r="BN248" s="5"/>
      <c r="BO248" s="42"/>
      <c r="BP248" s="42"/>
      <c r="BQ248" s="40"/>
      <c r="BR248" s="5"/>
      <c r="DA248" s="218"/>
      <c r="DH248" s="8"/>
      <c r="DI248" s="8"/>
      <c r="DJ248" s="8"/>
      <c r="DK248" s="8"/>
      <c r="DL248" s="8"/>
      <c r="DM248" s="8"/>
      <c r="DN248" s="8"/>
      <c r="EE248" s="42"/>
      <c r="EF248" s="5"/>
      <c r="EG248" s="35"/>
      <c r="EH248" s="5"/>
      <c r="EI248" s="6"/>
      <c r="EJ248" s="35"/>
      <c r="EK248" s="5"/>
      <c r="EL248" s="41"/>
      <c r="EM248" s="35"/>
      <c r="EN248" s="5"/>
      <c r="EO248" s="42"/>
      <c r="EP248" s="42"/>
      <c r="EQ248" s="40"/>
      <c r="ER248" s="219"/>
      <c r="ES248" s="56"/>
    </row>
    <row r="249" spans="34:149">
      <c r="AH249" s="8"/>
      <c r="AI249" s="8"/>
      <c r="AJ249" s="8"/>
      <c r="AK249" s="8"/>
      <c r="AL249" s="8"/>
      <c r="AM249" s="8"/>
      <c r="AN249" s="8"/>
      <c r="BE249" s="42"/>
      <c r="BF249" s="5"/>
      <c r="BG249" s="35"/>
      <c r="BH249" s="5"/>
      <c r="BI249" s="6"/>
      <c r="BJ249" s="35"/>
      <c r="BK249" s="5"/>
      <c r="BL249" s="41"/>
      <c r="BM249" s="35"/>
      <c r="BN249" s="5"/>
      <c r="BO249" s="42"/>
      <c r="BP249" s="42"/>
      <c r="BQ249" s="40"/>
      <c r="BR249" s="5"/>
      <c r="DA249" s="218"/>
      <c r="DH249" s="8"/>
      <c r="DI249" s="8"/>
      <c r="DJ249" s="8"/>
      <c r="DK249" s="8"/>
      <c r="DL249" s="8"/>
      <c r="DM249" s="8"/>
      <c r="DN249" s="8"/>
      <c r="EE249" s="42"/>
      <c r="EF249" s="5"/>
      <c r="EG249" s="35"/>
      <c r="EH249" s="5"/>
      <c r="EI249" s="6"/>
      <c r="EJ249" s="35"/>
      <c r="EK249" s="5"/>
      <c r="EL249" s="41"/>
      <c r="EM249" s="35"/>
      <c r="EN249" s="5"/>
      <c r="EO249" s="42"/>
      <c r="EP249" s="42"/>
      <c r="EQ249" s="40"/>
      <c r="ER249" s="219"/>
      <c r="ES249" s="56"/>
    </row>
    <row r="250" spans="34:149">
      <c r="AH250" s="8"/>
      <c r="AI250" s="8"/>
      <c r="AJ250" s="8"/>
      <c r="AK250" s="8"/>
      <c r="AL250" s="8"/>
      <c r="AM250" s="8"/>
      <c r="AN250" s="8"/>
      <c r="BE250" s="42"/>
      <c r="BF250" s="5"/>
      <c r="BG250" s="35"/>
      <c r="BH250" s="5"/>
      <c r="BI250" s="6"/>
      <c r="BJ250" s="35"/>
      <c r="BK250" s="5"/>
      <c r="BL250" s="41"/>
      <c r="BM250" s="35"/>
      <c r="BN250" s="5"/>
      <c r="BO250" s="42"/>
      <c r="BP250" s="42"/>
      <c r="BQ250" s="40"/>
      <c r="BR250" s="5"/>
      <c r="DA250" s="218"/>
      <c r="DH250" s="8"/>
      <c r="DI250" s="8"/>
      <c r="DJ250" s="8"/>
      <c r="DK250" s="8"/>
      <c r="DL250" s="8"/>
      <c r="DM250" s="8"/>
      <c r="DN250" s="8"/>
      <c r="EE250" s="42"/>
      <c r="EF250" s="5"/>
      <c r="EG250" s="35"/>
      <c r="EH250" s="5"/>
      <c r="EI250" s="6"/>
      <c r="EJ250" s="35"/>
      <c r="EK250" s="5"/>
      <c r="EL250" s="41"/>
      <c r="EM250" s="35"/>
      <c r="EN250" s="5"/>
      <c r="EO250" s="42"/>
      <c r="EP250" s="42"/>
      <c r="EQ250" s="40"/>
      <c r="ER250" s="219"/>
      <c r="ES250" s="56"/>
    </row>
    <row r="251" spans="34:149">
      <c r="AH251" s="8"/>
      <c r="AI251" s="8"/>
      <c r="AJ251" s="8"/>
      <c r="AK251" s="8"/>
      <c r="AL251" s="8"/>
      <c r="AM251" s="8"/>
      <c r="AN251" s="8"/>
      <c r="BE251" s="42"/>
      <c r="BF251" s="5"/>
      <c r="BG251" s="35"/>
      <c r="BH251" s="5"/>
      <c r="BI251" s="6"/>
      <c r="BJ251" s="35"/>
      <c r="BK251" s="5"/>
      <c r="BL251" s="41"/>
      <c r="BM251" s="35"/>
      <c r="BN251" s="5"/>
      <c r="BO251" s="42"/>
      <c r="BP251" s="42"/>
      <c r="BQ251" s="40"/>
      <c r="BR251" s="5"/>
      <c r="DA251" s="218"/>
      <c r="DH251" s="8"/>
      <c r="DI251" s="8"/>
      <c r="DJ251" s="8"/>
      <c r="DK251" s="8"/>
      <c r="DL251" s="8"/>
      <c r="DM251" s="8"/>
      <c r="DN251" s="8"/>
      <c r="EE251" s="42"/>
      <c r="EF251" s="5"/>
      <c r="EG251" s="35"/>
      <c r="EH251" s="5"/>
      <c r="EI251" s="6"/>
      <c r="EJ251" s="35"/>
      <c r="EK251" s="5"/>
      <c r="EL251" s="41"/>
      <c r="EM251" s="35"/>
      <c r="EN251" s="5"/>
      <c r="EO251" s="42"/>
      <c r="EP251" s="42"/>
      <c r="EQ251" s="40"/>
      <c r="ER251" s="219"/>
      <c r="ES251" s="56"/>
    </row>
    <row r="252" spans="34:149">
      <c r="AH252" s="8"/>
      <c r="AI252" s="8"/>
      <c r="AJ252" s="8"/>
      <c r="AK252" s="8"/>
      <c r="AL252" s="8"/>
      <c r="AM252" s="8"/>
      <c r="AN252" s="8"/>
      <c r="BE252" s="42"/>
      <c r="BF252" s="5"/>
      <c r="BG252" s="35"/>
      <c r="BH252" s="5"/>
      <c r="BI252" s="6"/>
      <c r="BJ252" s="35"/>
      <c r="BK252" s="5"/>
      <c r="BL252" s="41"/>
      <c r="BM252" s="35"/>
      <c r="BN252" s="5"/>
      <c r="BO252" s="42"/>
      <c r="BP252" s="42"/>
      <c r="BQ252" s="40"/>
      <c r="BR252" s="5"/>
      <c r="DA252" s="218"/>
      <c r="DH252" s="8"/>
      <c r="DI252" s="8"/>
      <c r="DJ252" s="8"/>
      <c r="DK252" s="8"/>
      <c r="DL252" s="8"/>
      <c r="DM252" s="8"/>
      <c r="DN252" s="8"/>
      <c r="EE252" s="42"/>
      <c r="EF252" s="5"/>
      <c r="EG252" s="35"/>
      <c r="EH252" s="5"/>
      <c r="EI252" s="6"/>
      <c r="EJ252" s="35"/>
      <c r="EK252" s="5"/>
      <c r="EL252" s="41"/>
      <c r="EM252" s="35"/>
      <c r="EN252" s="5"/>
      <c r="EO252" s="42"/>
      <c r="EP252" s="42"/>
      <c r="EQ252" s="40"/>
      <c r="ER252" s="219"/>
      <c r="ES252" s="56"/>
    </row>
    <row r="253" spans="34:149">
      <c r="AH253" s="8"/>
      <c r="AI253" s="8"/>
      <c r="AJ253" s="8"/>
      <c r="AK253" s="8"/>
      <c r="AL253" s="8"/>
      <c r="AM253" s="8"/>
      <c r="AN253" s="8"/>
      <c r="BE253" s="42"/>
      <c r="BF253" s="5"/>
      <c r="BG253" s="35"/>
      <c r="BH253" s="5"/>
      <c r="BI253" s="6"/>
      <c r="BJ253" s="35"/>
      <c r="BK253" s="5"/>
      <c r="BL253" s="41"/>
      <c r="BM253" s="35"/>
      <c r="BN253" s="5"/>
      <c r="BO253" s="42"/>
      <c r="BP253" s="42"/>
      <c r="BQ253" s="40"/>
      <c r="BR253" s="5"/>
      <c r="DA253" s="218"/>
      <c r="DH253" s="8"/>
      <c r="DI253" s="8"/>
      <c r="DJ253" s="8"/>
      <c r="DK253" s="8"/>
      <c r="DL253" s="8"/>
      <c r="DM253" s="8"/>
      <c r="DN253" s="8"/>
      <c r="EE253" s="42"/>
      <c r="EF253" s="5"/>
      <c r="EG253" s="35"/>
      <c r="EH253" s="5"/>
      <c r="EI253" s="6"/>
      <c r="EJ253" s="35"/>
      <c r="EK253" s="5"/>
      <c r="EL253" s="41"/>
      <c r="EM253" s="35"/>
      <c r="EN253" s="5"/>
      <c r="EO253" s="42"/>
      <c r="EP253" s="42"/>
      <c r="EQ253" s="40"/>
      <c r="ER253" s="219"/>
      <c r="ES253" s="56"/>
    </row>
    <row r="254" spans="34:149">
      <c r="AH254" s="8"/>
      <c r="AI254" s="8"/>
      <c r="AJ254" s="8"/>
      <c r="AK254" s="8"/>
      <c r="AL254" s="8"/>
      <c r="AM254" s="8"/>
      <c r="AN254" s="8"/>
      <c r="BE254" s="42"/>
      <c r="BF254" s="5"/>
      <c r="BG254" s="35"/>
      <c r="BH254" s="5"/>
      <c r="BI254" s="6"/>
      <c r="BJ254" s="35"/>
      <c r="BK254" s="5"/>
      <c r="BL254" s="41"/>
      <c r="BM254" s="35"/>
      <c r="BN254" s="5"/>
      <c r="BO254" s="42"/>
      <c r="BP254" s="42"/>
      <c r="BQ254" s="40"/>
      <c r="BR254" s="5"/>
      <c r="DA254" s="218"/>
      <c r="DH254" s="8"/>
      <c r="DI254" s="8"/>
      <c r="DJ254" s="8"/>
      <c r="DK254" s="8"/>
      <c r="DL254" s="8"/>
      <c r="DM254" s="8"/>
      <c r="DN254" s="8"/>
      <c r="EE254" s="42"/>
      <c r="EF254" s="5"/>
      <c r="EG254" s="35"/>
      <c r="EH254" s="5"/>
      <c r="EI254" s="6"/>
      <c r="EJ254" s="35"/>
      <c r="EK254" s="5"/>
      <c r="EL254" s="41"/>
      <c r="EM254" s="35"/>
      <c r="EN254" s="5"/>
      <c r="EO254" s="42"/>
      <c r="EP254" s="42"/>
      <c r="EQ254" s="40"/>
      <c r="ER254" s="219"/>
      <c r="ES254" s="56"/>
    </row>
    <row r="255" spans="34:149">
      <c r="AH255" s="8"/>
      <c r="AI255" s="8"/>
      <c r="AJ255" s="8"/>
      <c r="AK255" s="8"/>
      <c r="AL255" s="8"/>
      <c r="AM255" s="8"/>
      <c r="AN255" s="8"/>
      <c r="BE255" s="42"/>
      <c r="BF255" s="5"/>
      <c r="BG255" s="35"/>
      <c r="BH255" s="5"/>
      <c r="BI255" s="6"/>
      <c r="BJ255" s="35"/>
      <c r="BK255" s="5"/>
      <c r="BL255" s="41"/>
      <c r="BM255" s="35"/>
      <c r="BN255" s="5"/>
      <c r="BO255" s="42"/>
      <c r="BP255" s="42"/>
      <c r="BQ255" s="40"/>
      <c r="BR255" s="5"/>
      <c r="DA255" s="218"/>
      <c r="DH255" s="8"/>
      <c r="DI255" s="8"/>
      <c r="DJ255" s="8"/>
      <c r="DK255" s="8"/>
      <c r="DL255" s="8"/>
      <c r="DM255" s="8"/>
      <c r="DN255" s="8"/>
      <c r="EE255" s="42"/>
      <c r="EF255" s="5"/>
      <c r="EG255" s="35"/>
      <c r="EH255" s="5"/>
      <c r="EI255" s="6"/>
      <c r="EJ255" s="35"/>
      <c r="EK255" s="5"/>
      <c r="EL255" s="41"/>
      <c r="EM255" s="35"/>
      <c r="EN255" s="5"/>
      <c r="EO255" s="42"/>
      <c r="EP255" s="42"/>
      <c r="EQ255" s="40"/>
      <c r="ER255" s="219"/>
      <c r="ES255" s="56"/>
    </row>
    <row r="256" spans="34:149">
      <c r="AH256" s="8"/>
      <c r="AI256" s="8"/>
      <c r="AJ256" s="8"/>
      <c r="AK256" s="8"/>
      <c r="AL256" s="8"/>
      <c r="AM256" s="8"/>
      <c r="AN256" s="8"/>
      <c r="BE256" s="42"/>
      <c r="BF256" s="5"/>
      <c r="BG256" s="35"/>
      <c r="BH256" s="5"/>
      <c r="BI256" s="6"/>
      <c r="BJ256" s="35"/>
      <c r="BK256" s="5"/>
      <c r="BL256" s="41"/>
      <c r="BM256" s="35"/>
      <c r="BN256" s="5"/>
      <c r="BO256" s="42"/>
      <c r="BP256" s="42"/>
      <c r="BQ256" s="40"/>
      <c r="BR256" s="5"/>
      <c r="DA256" s="218"/>
      <c r="DH256" s="8"/>
      <c r="DI256" s="8"/>
      <c r="DJ256" s="8"/>
      <c r="DK256" s="8"/>
      <c r="DL256" s="8"/>
      <c r="DM256" s="8"/>
      <c r="DN256" s="8"/>
      <c r="EE256" s="42"/>
      <c r="EF256" s="5"/>
      <c r="EG256" s="35"/>
      <c r="EH256" s="5"/>
      <c r="EI256" s="6"/>
      <c r="EJ256" s="35"/>
      <c r="EK256" s="5"/>
      <c r="EL256" s="41"/>
      <c r="EM256" s="35"/>
      <c r="EN256" s="5"/>
      <c r="EO256" s="42"/>
      <c r="EP256" s="42"/>
      <c r="EQ256" s="40"/>
      <c r="ER256" s="219"/>
      <c r="ES256" s="56"/>
    </row>
    <row r="257" spans="34:149">
      <c r="AH257" s="8"/>
      <c r="AI257" s="8"/>
      <c r="AJ257" s="8"/>
      <c r="AK257" s="8"/>
      <c r="AL257" s="8"/>
      <c r="AM257" s="8"/>
      <c r="AN257" s="8"/>
      <c r="BE257" s="42"/>
      <c r="BF257" s="5"/>
      <c r="BG257" s="35"/>
      <c r="BH257" s="5"/>
      <c r="BI257" s="6"/>
      <c r="BJ257" s="35"/>
      <c r="BK257" s="5"/>
      <c r="BL257" s="41"/>
      <c r="BM257" s="35"/>
      <c r="BN257" s="5"/>
      <c r="BO257" s="42"/>
      <c r="BP257" s="42"/>
      <c r="BQ257" s="40"/>
      <c r="BR257" s="5"/>
      <c r="DA257" s="218"/>
      <c r="DH257" s="8"/>
      <c r="DI257" s="8"/>
      <c r="DJ257" s="8"/>
      <c r="DK257" s="8"/>
      <c r="DL257" s="8"/>
      <c r="DM257" s="8"/>
      <c r="DN257" s="8"/>
      <c r="EE257" s="42"/>
      <c r="EF257" s="5"/>
      <c r="EG257" s="35"/>
      <c r="EH257" s="5"/>
      <c r="EI257" s="6"/>
      <c r="EJ257" s="35"/>
      <c r="EK257" s="5"/>
      <c r="EL257" s="41"/>
      <c r="EM257" s="35"/>
      <c r="EN257" s="5"/>
      <c r="EO257" s="42"/>
      <c r="EP257" s="42"/>
      <c r="EQ257" s="40"/>
      <c r="ER257" s="219"/>
      <c r="ES257" s="56"/>
    </row>
    <row r="258" spans="34:149">
      <c r="AH258" s="8"/>
      <c r="AI258" s="8"/>
      <c r="AJ258" s="8"/>
      <c r="AK258" s="8"/>
      <c r="AL258" s="8"/>
      <c r="AM258" s="8"/>
      <c r="AN258" s="8"/>
      <c r="BE258" s="42"/>
      <c r="BF258" s="5"/>
      <c r="BG258" s="35"/>
      <c r="BH258" s="5"/>
      <c r="BI258" s="6"/>
      <c r="BJ258" s="35"/>
      <c r="BK258" s="5"/>
      <c r="BL258" s="41"/>
      <c r="BM258" s="35"/>
      <c r="BN258" s="5"/>
      <c r="BO258" s="42"/>
      <c r="BP258" s="42"/>
      <c r="BQ258" s="40"/>
      <c r="BR258" s="5"/>
      <c r="DA258" s="218"/>
      <c r="DH258" s="8"/>
      <c r="DI258" s="8"/>
      <c r="DJ258" s="8"/>
      <c r="DK258" s="8"/>
      <c r="DL258" s="8"/>
      <c r="DM258" s="8"/>
      <c r="DN258" s="8"/>
      <c r="EE258" s="42"/>
      <c r="EF258" s="5"/>
      <c r="EG258" s="35"/>
      <c r="EH258" s="5"/>
      <c r="EI258" s="6"/>
      <c r="EJ258" s="35"/>
      <c r="EK258" s="5"/>
      <c r="EL258" s="41"/>
      <c r="EM258" s="35"/>
      <c r="EN258" s="5"/>
      <c r="EO258" s="42"/>
      <c r="EP258" s="42"/>
      <c r="EQ258" s="40"/>
      <c r="ER258" s="219"/>
      <c r="ES258" s="56"/>
    </row>
    <row r="259" spans="34:149">
      <c r="AH259" s="8"/>
      <c r="AI259" s="8"/>
      <c r="AJ259" s="8"/>
      <c r="AK259" s="8"/>
      <c r="AL259" s="8"/>
      <c r="AM259" s="8"/>
      <c r="AN259" s="8"/>
      <c r="BE259" s="42"/>
      <c r="BF259" s="5"/>
      <c r="BG259" s="35"/>
      <c r="BH259" s="5"/>
      <c r="BI259" s="6"/>
      <c r="BJ259" s="35"/>
      <c r="BK259" s="5"/>
      <c r="BL259" s="41"/>
      <c r="BM259" s="35"/>
      <c r="BN259" s="5"/>
      <c r="BO259" s="42"/>
      <c r="BP259" s="42"/>
      <c r="BQ259" s="40"/>
      <c r="BR259" s="5"/>
      <c r="DA259" s="218"/>
      <c r="DH259" s="8"/>
      <c r="DI259" s="8"/>
      <c r="DJ259" s="8"/>
      <c r="DK259" s="8"/>
      <c r="DL259" s="8"/>
      <c r="DM259" s="8"/>
      <c r="DN259" s="8"/>
      <c r="EE259" s="42"/>
      <c r="EF259" s="5"/>
      <c r="EG259" s="35"/>
      <c r="EH259" s="5"/>
      <c r="EI259" s="6"/>
      <c r="EJ259" s="35"/>
      <c r="EK259" s="5"/>
      <c r="EL259" s="41"/>
      <c r="EM259" s="35"/>
      <c r="EN259" s="5"/>
      <c r="EO259" s="42"/>
      <c r="EP259" s="42"/>
      <c r="EQ259" s="40"/>
      <c r="ER259" s="219"/>
      <c r="ES259" s="56"/>
    </row>
    <row r="260" spans="34:149">
      <c r="AH260" s="8"/>
      <c r="AI260" s="8"/>
      <c r="AJ260" s="8"/>
      <c r="AK260" s="8"/>
      <c r="AL260" s="8"/>
      <c r="AM260" s="8"/>
      <c r="AN260" s="8"/>
      <c r="BE260" s="42"/>
      <c r="BF260" s="5"/>
      <c r="BG260" s="35"/>
      <c r="BH260" s="5"/>
      <c r="BI260" s="6"/>
      <c r="BJ260" s="35"/>
      <c r="BK260" s="5"/>
      <c r="BL260" s="41"/>
      <c r="BM260" s="35"/>
      <c r="BN260" s="5"/>
      <c r="BO260" s="42"/>
      <c r="BP260" s="42"/>
      <c r="BQ260" s="40"/>
      <c r="BR260" s="5"/>
      <c r="DA260" s="218"/>
      <c r="DH260" s="8"/>
      <c r="DI260" s="8"/>
      <c r="DJ260" s="8"/>
      <c r="DK260" s="8"/>
      <c r="DL260" s="8"/>
      <c r="DM260" s="8"/>
      <c r="DN260" s="8"/>
      <c r="EE260" s="42"/>
      <c r="EF260" s="5"/>
      <c r="EG260" s="35"/>
      <c r="EH260" s="5"/>
      <c r="EI260" s="6"/>
      <c r="EJ260" s="35"/>
      <c r="EK260" s="5"/>
      <c r="EL260" s="41"/>
      <c r="EM260" s="35"/>
      <c r="EN260" s="5"/>
      <c r="EO260" s="42"/>
      <c r="EP260" s="42"/>
      <c r="EQ260" s="40"/>
      <c r="ER260" s="219"/>
      <c r="ES260" s="56"/>
    </row>
    <row r="261" spans="34:149">
      <c r="AH261" s="8"/>
      <c r="AI261" s="8"/>
      <c r="AJ261" s="8"/>
      <c r="AK261" s="8"/>
      <c r="AL261" s="8"/>
      <c r="AM261" s="8"/>
      <c r="AN261" s="8"/>
      <c r="BE261" s="42"/>
      <c r="BF261" s="5"/>
      <c r="BG261" s="35"/>
      <c r="BH261" s="5"/>
      <c r="BI261" s="6"/>
      <c r="BJ261" s="35"/>
      <c r="BK261" s="5"/>
      <c r="BL261" s="41"/>
      <c r="BM261" s="35"/>
      <c r="BN261" s="5"/>
      <c r="BO261" s="42"/>
      <c r="BP261" s="42"/>
      <c r="BQ261" s="40"/>
      <c r="BR261" s="5"/>
      <c r="DA261" s="218"/>
      <c r="DH261" s="8"/>
      <c r="DI261" s="8"/>
      <c r="DJ261" s="8"/>
      <c r="DK261" s="8"/>
      <c r="DL261" s="8"/>
      <c r="DM261" s="8"/>
      <c r="DN261" s="8"/>
      <c r="EE261" s="42"/>
      <c r="EF261" s="5"/>
      <c r="EG261" s="35"/>
      <c r="EH261" s="5"/>
      <c r="EI261" s="6"/>
      <c r="EJ261" s="35"/>
      <c r="EK261" s="5"/>
      <c r="EL261" s="41"/>
      <c r="EM261" s="35"/>
      <c r="EN261" s="5"/>
      <c r="EO261" s="42"/>
      <c r="EP261" s="42"/>
      <c r="EQ261" s="40"/>
      <c r="ER261" s="219"/>
      <c r="ES261" s="56"/>
    </row>
    <row r="262" spans="34:149">
      <c r="AH262" s="8"/>
      <c r="AI262" s="8"/>
      <c r="AJ262" s="8"/>
      <c r="AK262" s="8"/>
      <c r="AL262" s="8"/>
      <c r="AM262" s="8"/>
      <c r="AN262" s="8"/>
      <c r="BE262" s="42"/>
      <c r="BF262" s="5"/>
      <c r="BG262" s="35"/>
      <c r="BH262" s="5"/>
      <c r="BI262" s="6"/>
      <c r="BJ262" s="35"/>
      <c r="BK262" s="5"/>
      <c r="BL262" s="41"/>
      <c r="BM262" s="35"/>
      <c r="BN262" s="5"/>
      <c r="BO262" s="42"/>
      <c r="BP262" s="42"/>
      <c r="BQ262" s="40"/>
      <c r="BR262" s="5"/>
      <c r="DA262" s="218"/>
      <c r="DH262" s="8"/>
      <c r="DI262" s="8"/>
      <c r="DJ262" s="8"/>
      <c r="DK262" s="8"/>
      <c r="DL262" s="8"/>
      <c r="DM262" s="8"/>
      <c r="DN262" s="8"/>
      <c r="EE262" s="42"/>
      <c r="EF262" s="5"/>
      <c r="EG262" s="35"/>
      <c r="EH262" s="5"/>
      <c r="EI262" s="6"/>
      <c r="EJ262" s="35"/>
      <c r="EK262" s="5"/>
      <c r="EL262" s="41"/>
      <c r="EM262" s="35"/>
      <c r="EN262" s="5"/>
      <c r="EO262" s="42"/>
      <c r="EP262" s="42"/>
      <c r="EQ262" s="40"/>
      <c r="ER262" s="219"/>
      <c r="ES262" s="56"/>
    </row>
    <row r="263" spans="34:149">
      <c r="AH263" s="8"/>
      <c r="AI263" s="8"/>
      <c r="AJ263" s="8"/>
      <c r="AK263" s="8"/>
      <c r="AL263" s="8"/>
      <c r="AM263" s="8"/>
      <c r="AN263" s="8"/>
      <c r="BE263" s="42"/>
      <c r="BF263" s="5"/>
      <c r="BG263" s="35"/>
      <c r="BH263" s="5"/>
      <c r="BI263" s="6"/>
      <c r="BJ263" s="35"/>
      <c r="BK263" s="5"/>
      <c r="BL263" s="41"/>
      <c r="BM263" s="35"/>
      <c r="BN263" s="5"/>
      <c r="BO263" s="42"/>
      <c r="BP263" s="42"/>
      <c r="BQ263" s="40"/>
      <c r="BR263" s="5"/>
      <c r="DA263" s="218"/>
      <c r="DH263" s="8"/>
      <c r="DI263" s="8"/>
      <c r="DJ263" s="8"/>
      <c r="DK263" s="8"/>
      <c r="DL263" s="8"/>
      <c r="DM263" s="8"/>
      <c r="DN263" s="8"/>
      <c r="EE263" s="42"/>
      <c r="EF263" s="5"/>
      <c r="EG263" s="35"/>
      <c r="EH263" s="5"/>
      <c r="EI263" s="6"/>
      <c r="EJ263" s="35"/>
      <c r="EK263" s="5"/>
      <c r="EL263" s="41"/>
      <c r="EM263" s="35"/>
      <c r="EN263" s="5"/>
      <c r="EO263" s="42"/>
      <c r="EP263" s="42"/>
      <c r="EQ263" s="40"/>
      <c r="ER263" s="219"/>
      <c r="ES263" s="56"/>
    </row>
    <row r="264" spans="34:149">
      <c r="AH264" s="8"/>
      <c r="AI264" s="8"/>
      <c r="AJ264" s="8"/>
      <c r="AK264" s="8"/>
      <c r="AL264" s="8"/>
      <c r="AM264" s="8"/>
      <c r="AN264" s="8"/>
      <c r="BE264" s="42"/>
      <c r="BF264" s="5"/>
      <c r="BG264" s="35"/>
      <c r="BH264" s="5"/>
      <c r="BI264" s="6"/>
      <c r="BJ264" s="35"/>
      <c r="BK264" s="5"/>
      <c r="BL264" s="41"/>
      <c r="BM264" s="35"/>
      <c r="BN264" s="5"/>
      <c r="BO264" s="42"/>
      <c r="BP264" s="42"/>
      <c r="BQ264" s="40"/>
      <c r="BR264" s="5"/>
      <c r="DA264" s="218"/>
      <c r="DH264" s="8"/>
      <c r="DI264" s="8"/>
      <c r="DJ264" s="8"/>
      <c r="DK264" s="8"/>
      <c r="DL264" s="8"/>
      <c r="DM264" s="8"/>
      <c r="DN264" s="8"/>
      <c r="EE264" s="42"/>
      <c r="EF264" s="5"/>
      <c r="EG264" s="35"/>
      <c r="EH264" s="5"/>
      <c r="EI264" s="6"/>
      <c r="EJ264" s="35"/>
      <c r="EK264" s="5"/>
      <c r="EL264" s="41"/>
      <c r="EM264" s="35"/>
      <c r="EN264" s="5"/>
      <c r="EO264" s="42"/>
      <c r="EP264" s="42"/>
      <c r="EQ264" s="40"/>
      <c r="ER264" s="219"/>
      <c r="ES264" s="56"/>
    </row>
    <row r="265" spans="34:149">
      <c r="AH265" s="8"/>
      <c r="AI265" s="8"/>
      <c r="AJ265" s="8"/>
      <c r="AK265" s="8"/>
      <c r="AL265" s="8"/>
      <c r="AM265" s="8"/>
      <c r="AN265" s="8"/>
      <c r="BE265" s="42"/>
      <c r="BF265" s="5"/>
      <c r="BG265" s="35"/>
      <c r="BH265" s="5"/>
      <c r="BI265" s="6"/>
      <c r="BJ265" s="35"/>
      <c r="BK265" s="5"/>
      <c r="BL265" s="41"/>
      <c r="BM265" s="35"/>
      <c r="BN265" s="5"/>
      <c r="BO265" s="42"/>
      <c r="BP265" s="42"/>
      <c r="BQ265" s="40"/>
      <c r="BR265" s="5"/>
      <c r="DA265" s="218"/>
      <c r="DH265" s="8"/>
      <c r="DI265" s="8"/>
      <c r="DJ265" s="8"/>
      <c r="DK265" s="8"/>
      <c r="DL265" s="8"/>
      <c r="DM265" s="8"/>
      <c r="DN265" s="8"/>
      <c r="EE265" s="42"/>
      <c r="EF265" s="5"/>
      <c r="EG265" s="35"/>
      <c r="EH265" s="5"/>
      <c r="EI265" s="6"/>
      <c r="EJ265" s="35"/>
      <c r="EK265" s="5"/>
      <c r="EL265" s="41"/>
      <c r="EM265" s="35"/>
      <c r="EN265" s="5"/>
      <c r="EO265" s="42"/>
      <c r="EP265" s="42"/>
      <c r="EQ265" s="40"/>
      <c r="ER265" s="219"/>
      <c r="ES265" s="56"/>
    </row>
    <row r="266" spans="34:149">
      <c r="AH266" s="8"/>
      <c r="AI266" s="8"/>
      <c r="AJ266" s="8"/>
      <c r="AK266" s="8"/>
      <c r="AL266" s="8"/>
      <c r="AM266" s="8"/>
      <c r="AN266" s="8"/>
      <c r="BE266" s="42"/>
      <c r="BF266" s="5"/>
      <c r="BG266" s="35"/>
      <c r="BH266" s="5"/>
      <c r="BI266" s="6"/>
      <c r="BJ266" s="35"/>
      <c r="BK266" s="5"/>
      <c r="BL266" s="41"/>
      <c r="BM266" s="35"/>
      <c r="BN266" s="5"/>
      <c r="BO266" s="42"/>
      <c r="BP266" s="42"/>
      <c r="BQ266" s="40"/>
      <c r="BR266" s="5"/>
      <c r="DA266" s="218"/>
      <c r="DH266" s="8"/>
      <c r="DI266" s="8"/>
      <c r="DJ266" s="8"/>
      <c r="DK266" s="8"/>
      <c r="DL266" s="8"/>
      <c r="DM266" s="8"/>
      <c r="DN266" s="8"/>
      <c r="EE266" s="42"/>
      <c r="EF266" s="5"/>
      <c r="EG266" s="35"/>
      <c r="EH266" s="5"/>
      <c r="EI266" s="6"/>
      <c r="EJ266" s="35"/>
      <c r="EK266" s="5"/>
      <c r="EL266" s="41"/>
      <c r="EM266" s="35"/>
      <c r="EN266" s="5"/>
      <c r="EO266" s="42"/>
      <c r="EP266" s="42"/>
      <c r="EQ266" s="40"/>
      <c r="ER266" s="219"/>
      <c r="ES266" s="56"/>
    </row>
    <row r="267" spans="34:149">
      <c r="AH267" s="8"/>
      <c r="AI267" s="8"/>
      <c r="AJ267" s="8"/>
      <c r="AK267" s="8"/>
      <c r="AL267" s="8"/>
      <c r="AM267" s="8"/>
      <c r="AN267" s="8"/>
      <c r="BE267" s="42"/>
      <c r="BF267" s="5"/>
      <c r="BG267" s="35"/>
      <c r="BH267" s="5"/>
      <c r="BI267" s="6"/>
      <c r="BJ267" s="35"/>
      <c r="BK267" s="5"/>
      <c r="BL267" s="41"/>
      <c r="BM267" s="35"/>
      <c r="BN267" s="5"/>
      <c r="BO267" s="42"/>
      <c r="BP267" s="42"/>
      <c r="BQ267" s="40"/>
      <c r="BR267" s="5"/>
      <c r="DA267" s="218"/>
      <c r="DH267" s="8"/>
      <c r="DI267" s="8"/>
      <c r="DJ267" s="8"/>
      <c r="DK267" s="8"/>
      <c r="DL267" s="8"/>
      <c r="DM267" s="8"/>
      <c r="DN267" s="8"/>
      <c r="EE267" s="42"/>
      <c r="EF267" s="5"/>
      <c r="EG267" s="35"/>
      <c r="EH267" s="5"/>
      <c r="EI267" s="6"/>
      <c r="EJ267" s="35"/>
      <c r="EK267" s="5"/>
      <c r="EL267" s="41"/>
      <c r="EM267" s="35"/>
      <c r="EN267" s="5"/>
      <c r="EO267" s="42"/>
      <c r="EP267" s="42"/>
      <c r="EQ267" s="40"/>
      <c r="ER267" s="219"/>
      <c r="ES267" s="56"/>
    </row>
    <row r="268" spans="34:149">
      <c r="AH268" s="8"/>
      <c r="AI268" s="8"/>
      <c r="AJ268" s="8"/>
      <c r="AK268" s="8"/>
      <c r="AL268" s="8"/>
      <c r="AM268" s="8"/>
      <c r="AN268" s="8"/>
      <c r="BE268" s="42"/>
      <c r="BF268" s="5"/>
      <c r="BG268" s="35"/>
      <c r="BH268" s="5"/>
      <c r="BI268" s="6"/>
      <c r="BJ268" s="35"/>
      <c r="BK268" s="5"/>
      <c r="BL268" s="41"/>
      <c r="BM268" s="35"/>
      <c r="BN268" s="5"/>
      <c r="BO268" s="42"/>
      <c r="BP268" s="42"/>
      <c r="BQ268" s="40"/>
      <c r="BR268" s="5"/>
      <c r="DA268" s="218"/>
      <c r="DH268" s="8"/>
      <c r="DI268" s="8"/>
      <c r="DJ268" s="8"/>
      <c r="DK268" s="8"/>
      <c r="DL268" s="8"/>
      <c r="DM268" s="8"/>
      <c r="DN268" s="8"/>
      <c r="EE268" s="42"/>
      <c r="EF268" s="5"/>
      <c r="EG268" s="35"/>
      <c r="EH268" s="5"/>
      <c r="EI268" s="6"/>
      <c r="EJ268" s="35"/>
      <c r="EK268" s="5"/>
      <c r="EL268" s="41"/>
      <c r="EM268" s="35"/>
      <c r="EN268" s="5"/>
      <c r="EO268" s="42"/>
      <c r="EP268" s="42"/>
      <c r="EQ268" s="40"/>
      <c r="ER268" s="219"/>
      <c r="ES268" s="56"/>
    </row>
    <row r="269" spans="34:149">
      <c r="AH269" s="8"/>
      <c r="AI269" s="8"/>
      <c r="AJ269" s="8"/>
      <c r="AK269" s="8"/>
      <c r="AL269" s="8"/>
      <c r="AM269" s="8"/>
      <c r="AN269" s="8"/>
      <c r="BE269" s="42"/>
      <c r="BF269" s="5"/>
      <c r="BG269" s="35"/>
      <c r="BH269" s="5"/>
      <c r="BI269" s="6"/>
      <c r="BJ269" s="35"/>
      <c r="BK269" s="5"/>
      <c r="BL269" s="41"/>
      <c r="BM269" s="35"/>
      <c r="BN269" s="5"/>
      <c r="BO269" s="42"/>
      <c r="BP269" s="42"/>
      <c r="BQ269" s="40"/>
      <c r="BR269" s="5"/>
      <c r="DA269" s="218"/>
      <c r="DH269" s="8"/>
      <c r="DI269" s="8"/>
      <c r="DJ269" s="8"/>
      <c r="DK269" s="8"/>
      <c r="DL269" s="8"/>
      <c r="DM269" s="8"/>
      <c r="DN269" s="8"/>
      <c r="EE269" s="42"/>
      <c r="EF269" s="5"/>
      <c r="EG269" s="35"/>
      <c r="EH269" s="5"/>
      <c r="EI269" s="6"/>
      <c r="EJ269" s="35"/>
      <c r="EK269" s="5"/>
      <c r="EL269" s="41"/>
      <c r="EM269" s="35"/>
      <c r="EN269" s="5"/>
      <c r="EO269" s="42"/>
      <c r="EP269" s="42"/>
      <c r="EQ269" s="40"/>
      <c r="ER269" s="219"/>
      <c r="ES269" s="56"/>
    </row>
    <row r="270" spans="34:149">
      <c r="AH270" s="8"/>
      <c r="AI270" s="8"/>
      <c r="AJ270" s="8"/>
      <c r="AK270" s="8"/>
      <c r="AL270" s="8"/>
      <c r="AM270" s="8"/>
      <c r="AN270" s="8"/>
      <c r="BE270" s="42"/>
      <c r="BF270" s="5"/>
      <c r="BG270" s="35"/>
      <c r="BH270" s="5"/>
      <c r="BI270" s="6"/>
      <c r="BJ270" s="35"/>
      <c r="BK270" s="5"/>
      <c r="BL270" s="41"/>
      <c r="BM270" s="35"/>
      <c r="BN270" s="5"/>
      <c r="BO270" s="42"/>
      <c r="BP270" s="42"/>
      <c r="BQ270" s="40"/>
      <c r="BR270" s="5"/>
      <c r="DA270" s="218"/>
      <c r="DH270" s="8"/>
      <c r="DI270" s="8"/>
      <c r="DJ270" s="8"/>
      <c r="DK270" s="8"/>
      <c r="DL270" s="8"/>
      <c r="DM270" s="8"/>
      <c r="DN270" s="8"/>
      <c r="EE270" s="42"/>
      <c r="EF270" s="5"/>
      <c r="EG270" s="35"/>
      <c r="EH270" s="5"/>
      <c r="EI270" s="6"/>
      <c r="EJ270" s="35"/>
      <c r="EK270" s="5"/>
      <c r="EL270" s="41"/>
      <c r="EM270" s="35"/>
      <c r="EN270" s="5"/>
      <c r="EO270" s="42"/>
      <c r="EP270" s="42"/>
      <c r="EQ270" s="40"/>
      <c r="ER270" s="219"/>
      <c r="ES270" s="56"/>
    </row>
    <row r="271" spans="34:149">
      <c r="AH271" s="8"/>
      <c r="AI271" s="8"/>
      <c r="AJ271" s="8"/>
      <c r="AK271" s="8"/>
      <c r="AL271" s="8"/>
      <c r="AM271" s="8"/>
      <c r="AN271" s="8"/>
      <c r="BE271" s="42"/>
      <c r="BF271" s="5"/>
      <c r="BG271" s="35"/>
      <c r="BH271" s="5"/>
      <c r="BI271" s="6"/>
      <c r="BJ271" s="35"/>
      <c r="BK271" s="5"/>
      <c r="BL271" s="41"/>
      <c r="BM271" s="35"/>
      <c r="BN271" s="5"/>
      <c r="BO271" s="42"/>
      <c r="BP271" s="42"/>
      <c r="BQ271" s="40"/>
      <c r="BR271" s="5"/>
      <c r="DA271" s="218"/>
      <c r="DH271" s="8"/>
      <c r="DI271" s="8"/>
      <c r="DJ271" s="8"/>
      <c r="DK271" s="8"/>
      <c r="DL271" s="8"/>
      <c r="DM271" s="8"/>
      <c r="DN271" s="8"/>
      <c r="EE271" s="42"/>
      <c r="EF271" s="5"/>
      <c r="EG271" s="35"/>
      <c r="EH271" s="5"/>
      <c r="EI271" s="6"/>
      <c r="EJ271" s="35"/>
      <c r="EK271" s="5"/>
      <c r="EL271" s="41"/>
      <c r="EM271" s="35"/>
      <c r="EN271" s="5"/>
      <c r="EO271" s="42"/>
      <c r="EP271" s="42"/>
      <c r="EQ271" s="40"/>
      <c r="ER271" s="219"/>
      <c r="ES271" s="56"/>
    </row>
    <row r="272" spans="34:149">
      <c r="AH272" s="8"/>
      <c r="AI272" s="8"/>
      <c r="AJ272" s="8"/>
      <c r="AK272" s="8"/>
      <c r="AL272" s="8"/>
      <c r="AM272" s="8"/>
      <c r="AN272" s="8"/>
      <c r="BE272" s="42"/>
      <c r="BF272" s="5"/>
      <c r="BG272" s="35"/>
      <c r="BH272" s="5"/>
      <c r="BI272" s="6"/>
      <c r="BJ272" s="35"/>
      <c r="BK272" s="5"/>
      <c r="BL272" s="41"/>
      <c r="BM272" s="35"/>
      <c r="BN272" s="5"/>
      <c r="BO272" s="42"/>
      <c r="BP272" s="42"/>
      <c r="BQ272" s="40"/>
      <c r="BR272" s="5"/>
      <c r="DA272" s="218"/>
      <c r="DH272" s="8"/>
      <c r="DI272" s="8"/>
      <c r="DJ272" s="8"/>
      <c r="DK272" s="8"/>
      <c r="DL272" s="8"/>
      <c r="DM272" s="8"/>
      <c r="DN272" s="8"/>
      <c r="EE272" s="42"/>
      <c r="EF272" s="5"/>
      <c r="EG272" s="35"/>
      <c r="EH272" s="5"/>
      <c r="EI272" s="6"/>
      <c r="EJ272" s="35"/>
      <c r="EK272" s="5"/>
      <c r="EL272" s="41"/>
      <c r="EM272" s="35"/>
      <c r="EN272" s="5"/>
      <c r="EO272" s="42"/>
      <c r="EP272" s="42"/>
      <c r="EQ272" s="40"/>
      <c r="ER272" s="219"/>
      <c r="ES272" s="56"/>
    </row>
    <row r="273" spans="34:149">
      <c r="AH273" s="8"/>
      <c r="AI273" s="8"/>
      <c r="AJ273" s="8"/>
      <c r="AK273" s="8"/>
      <c r="AL273" s="8"/>
      <c r="AM273" s="8"/>
      <c r="AN273" s="8"/>
      <c r="BE273" s="42"/>
      <c r="BF273" s="5"/>
      <c r="BG273" s="35"/>
      <c r="BH273" s="5"/>
      <c r="BI273" s="6"/>
      <c r="BJ273" s="35"/>
      <c r="BK273" s="5"/>
      <c r="BL273" s="41"/>
      <c r="BM273" s="35"/>
      <c r="BN273" s="5"/>
      <c r="BO273" s="42"/>
      <c r="BP273" s="42"/>
      <c r="BQ273" s="40"/>
      <c r="BR273" s="5"/>
      <c r="DA273" s="218"/>
      <c r="DH273" s="8"/>
      <c r="DI273" s="8"/>
      <c r="DJ273" s="8"/>
      <c r="DK273" s="8"/>
      <c r="DL273" s="8"/>
      <c r="DM273" s="8"/>
      <c r="DN273" s="8"/>
      <c r="EE273" s="42"/>
      <c r="EF273" s="5"/>
      <c r="EG273" s="35"/>
      <c r="EH273" s="5"/>
      <c r="EI273" s="6"/>
      <c r="EJ273" s="35"/>
      <c r="EK273" s="5"/>
      <c r="EL273" s="41"/>
      <c r="EM273" s="35"/>
      <c r="EN273" s="5"/>
      <c r="EO273" s="42"/>
      <c r="EP273" s="42"/>
      <c r="EQ273" s="40"/>
      <c r="ER273" s="219"/>
      <c r="ES273" s="56"/>
    </row>
    <row r="274" spans="34:149">
      <c r="AH274" s="8"/>
      <c r="AI274" s="8"/>
      <c r="AJ274" s="8"/>
      <c r="AK274" s="8"/>
      <c r="AL274" s="8"/>
      <c r="AM274" s="8"/>
      <c r="AN274" s="8"/>
      <c r="BE274" s="42"/>
      <c r="BF274" s="5"/>
      <c r="BG274" s="35"/>
      <c r="BH274" s="5"/>
      <c r="BI274" s="6"/>
      <c r="BJ274" s="35"/>
      <c r="BK274" s="5"/>
      <c r="BL274" s="41"/>
      <c r="BM274" s="35"/>
      <c r="BN274" s="5"/>
      <c r="BO274" s="42"/>
      <c r="BP274" s="42"/>
      <c r="BQ274" s="40"/>
      <c r="BR274" s="5"/>
      <c r="DA274" s="218"/>
      <c r="DH274" s="8"/>
      <c r="DI274" s="8"/>
      <c r="DJ274" s="8"/>
      <c r="DK274" s="8"/>
      <c r="DL274" s="8"/>
      <c r="DM274" s="8"/>
      <c r="DN274" s="8"/>
      <c r="EE274" s="42"/>
      <c r="EF274" s="5"/>
      <c r="EG274" s="35"/>
      <c r="EH274" s="5"/>
      <c r="EI274" s="6"/>
      <c r="EJ274" s="35"/>
      <c r="EK274" s="5"/>
      <c r="EL274" s="41"/>
      <c r="EM274" s="35"/>
      <c r="EN274" s="5"/>
      <c r="EO274" s="42"/>
      <c r="EP274" s="42"/>
      <c r="EQ274" s="40"/>
      <c r="ER274" s="219"/>
      <c r="ES274" s="56"/>
    </row>
    <row r="275" spans="34:149">
      <c r="AH275" s="8"/>
      <c r="AI275" s="8"/>
      <c r="AJ275" s="8"/>
      <c r="AK275" s="8"/>
      <c r="AL275" s="8"/>
      <c r="AM275" s="8"/>
      <c r="AN275" s="8"/>
      <c r="BE275" s="42"/>
      <c r="BF275" s="5"/>
      <c r="BG275" s="35"/>
      <c r="BH275" s="5"/>
      <c r="BI275" s="6"/>
      <c r="BJ275" s="35"/>
      <c r="BK275" s="5"/>
      <c r="BL275" s="41"/>
      <c r="BM275" s="35"/>
      <c r="BN275" s="5"/>
      <c r="BO275" s="42"/>
      <c r="BP275" s="42"/>
      <c r="BQ275" s="40"/>
      <c r="BR275" s="5"/>
      <c r="DA275" s="218"/>
      <c r="DH275" s="8"/>
      <c r="DI275" s="8"/>
      <c r="DJ275" s="8"/>
      <c r="DK275" s="8"/>
      <c r="DL275" s="8"/>
      <c r="DM275" s="8"/>
      <c r="DN275" s="8"/>
      <c r="EE275" s="42"/>
      <c r="EF275" s="5"/>
      <c r="EG275" s="35"/>
      <c r="EH275" s="5"/>
      <c r="EI275" s="6"/>
      <c r="EJ275" s="35"/>
      <c r="EK275" s="5"/>
      <c r="EL275" s="41"/>
      <c r="EM275" s="35"/>
      <c r="EN275" s="5"/>
      <c r="EO275" s="42"/>
      <c r="EP275" s="42"/>
      <c r="EQ275" s="40"/>
      <c r="ER275" s="219"/>
      <c r="ES275" s="56"/>
    </row>
    <row r="276" spans="34:149">
      <c r="AH276" s="8"/>
      <c r="AI276" s="8"/>
      <c r="AJ276" s="8"/>
      <c r="AK276" s="8"/>
      <c r="AL276" s="8"/>
      <c r="AM276" s="8"/>
      <c r="AN276" s="8"/>
      <c r="BE276" s="42"/>
      <c r="BF276" s="5"/>
      <c r="BG276" s="35"/>
      <c r="BH276" s="5"/>
      <c r="BI276" s="6"/>
      <c r="BJ276" s="35"/>
      <c r="BK276" s="5"/>
      <c r="BL276" s="41"/>
      <c r="BM276" s="35"/>
      <c r="BN276" s="5"/>
      <c r="BO276" s="42"/>
      <c r="BP276" s="42"/>
      <c r="BQ276" s="40"/>
      <c r="BR276" s="5"/>
      <c r="DA276" s="218"/>
      <c r="DH276" s="8"/>
      <c r="DI276" s="8"/>
      <c r="DJ276" s="8"/>
      <c r="DK276" s="8"/>
      <c r="DL276" s="8"/>
      <c r="DM276" s="8"/>
      <c r="DN276" s="8"/>
      <c r="EE276" s="42"/>
      <c r="EF276" s="5"/>
      <c r="EG276" s="35"/>
      <c r="EH276" s="5"/>
      <c r="EI276" s="6"/>
      <c r="EJ276" s="35"/>
      <c r="EK276" s="5"/>
      <c r="EL276" s="41"/>
      <c r="EM276" s="35"/>
      <c r="EN276" s="5"/>
      <c r="EO276" s="42"/>
      <c r="EP276" s="42"/>
      <c r="EQ276" s="40"/>
      <c r="ER276" s="219"/>
      <c r="ES276" s="56"/>
    </row>
    <row r="277" spans="34:149">
      <c r="AH277" s="8"/>
      <c r="AI277" s="8"/>
      <c r="AJ277" s="8"/>
      <c r="AK277" s="8"/>
      <c r="AL277" s="8"/>
      <c r="AM277" s="8"/>
      <c r="AN277" s="8"/>
      <c r="BE277" s="42"/>
      <c r="BF277" s="5"/>
      <c r="BG277" s="35"/>
      <c r="BH277" s="5"/>
      <c r="BI277" s="6"/>
      <c r="BJ277" s="35"/>
      <c r="BK277" s="5"/>
      <c r="BL277" s="41"/>
      <c r="BM277" s="35"/>
      <c r="BN277" s="5"/>
      <c r="BO277" s="42"/>
      <c r="BP277" s="42"/>
      <c r="BQ277" s="40"/>
      <c r="BR277" s="5"/>
      <c r="DA277" s="218"/>
      <c r="DH277" s="8"/>
      <c r="DI277" s="8"/>
      <c r="DJ277" s="8"/>
      <c r="DK277" s="8"/>
      <c r="DL277" s="8"/>
      <c r="DM277" s="8"/>
      <c r="DN277" s="8"/>
      <c r="EE277" s="42"/>
      <c r="EF277" s="5"/>
      <c r="EG277" s="35"/>
      <c r="EH277" s="5"/>
      <c r="EI277" s="6"/>
      <c r="EJ277" s="35"/>
      <c r="EK277" s="5"/>
      <c r="EL277" s="41"/>
      <c r="EM277" s="35"/>
      <c r="EN277" s="5"/>
      <c r="EO277" s="42"/>
      <c r="EP277" s="42"/>
      <c r="EQ277" s="40"/>
      <c r="ER277" s="219"/>
      <c r="ES277" s="56"/>
    </row>
    <row r="278" spans="34:149">
      <c r="AH278" s="8"/>
      <c r="AI278" s="8"/>
      <c r="AJ278" s="8"/>
      <c r="AK278" s="8"/>
      <c r="AL278" s="8"/>
      <c r="AM278" s="8"/>
      <c r="AN278" s="8"/>
      <c r="BE278" s="42"/>
      <c r="BF278" s="5"/>
      <c r="BG278" s="35"/>
      <c r="BH278" s="5"/>
      <c r="BI278" s="6"/>
      <c r="BJ278" s="35"/>
      <c r="BK278" s="5"/>
      <c r="BL278" s="41"/>
      <c r="BM278" s="35"/>
      <c r="BN278" s="5"/>
      <c r="BO278" s="42"/>
      <c r="BP278" s="42"/>
      <c r="BQ278" s="40"/>
      <c r="BR278" s="5"/>
      <c r="DA278" s="218"/>
      <c r="DH278" s="8"/>
      <c r="DI278" s="8"/>
      <c r="DJ278" s="8"/>
      <c r="DK278" s="8"/>
      <c r="DL278" s="8"/>
      <c r="DM278" s="8"/>
      <c r="DN278" s="8"/>
      <c r="EE278" s="42"/>
      <c r="EF278" s="5"/>
      <c r="EG278" s="35"/>
      <c r="EH278" s="5"/>
      <c r="EI278" s="6"/>
      <c r="EJ278" s="35"/>
      <c r="EK278" s="5"/>
      <c r="EL278" s="41"/>
      <c r="EM278" s="35"/>
      <c r="EN278" s="5"/>
      <c r="EO278" s="42"/>
      <c r="EP278" s="42"/>
      <c r="EQ278" s="40"/>
      <c r="ER278" s="219"/>
      <c r="ES278" s="56"/>
    </row>
    <row r="279" spans="34:149">
      <c r="AH279" s="8"/>
      <c r="AI279" s="8"/>
      <c r="AJ279" s="8"/>
      <c r="AK279" s="8"/>
      <c r="AL279" s="8"/>
      <c r="AM279" s="8"/>
      <c r="AN279" s="8"/>
      <c r="BE279" s="42"/>
      <c r="BF279" s="5"/>
      <c r="BG279" s="35"/>
      <c r="BH279" s="5"/>
      <c r="BI279" s="6"/>
      <c r="BJ279" s="35"/>
      <c r="BK279" s="5"/>
      <c r="BL279" s="41"/>
      <c r="BM279" s="35"/>
      <c r="BN279" s="5"/>
      <c r="BO279" s="42"/>
      <c r="BP279" s="42"/>
      <c r="BQ279" s="40"/>
      <c r="BR279" s="5"/>
      <c r="DA279" s="218"/>
      <c r="DH279" s="8"/>
      <c r="DI279" s="8"/>
      <c r="DJ279" s="8"/>
      <c r="DK279" s="8"/>
      <c r="DL279" s="8"/>
      <c r="DM279" s="8"/>
      <c r="DN279" s="8"/>
      <c r="EE279" s="42"/>
      <c r="EF279" s="5"/>
      <c r="EG279" s="35"/>
      <c r="EH279" s="5"/>
      <c r="EI279" s="6"/>
      <c r="EJ279" s="35"/>
      <c r="EK279" s="5"/>
      <c r="EL279" s="41"/>
      <c r="EM279" s="35"/>
      <c r="EN279" s="5"/>
      <c r="EO279" s="42"/>
      <c r="EP279" s="42"/>
      <c r="EQ279" s="40"/>
      <c r="ER279" s="219"/>
      <c r="ES279" s="56"/>
    </row>
    <row r="280" spans="34:149">
      <c r="AH280" s="8"/>
      <c r="AI280" s="8"/>
      <c r="AJ280" s="8"/>
      <c r="AK280" s="8"/>
      <c r="AL280" s="8"/>
      <c r="AM280" s="8"/>
      <c r="AN280" s="8"/>
      <c r="BE280" s="42"/>
      <c r="BF280" s="5"/>
      <c r="BG280" s="35"/>
      <c r="BH280" s="5"/>
      <c r="BI280" s="6"/>
      <c r="BJ280" s="35"/>
      <c r="BK280" s="5"/>
      <c r="BL280" s="41"/>
      <c r="BM280" s="35"/>
      <c r="BN280" s="5"/>
      <c r="BO280" s="42"/>
      <c r="BP280" s="42"/>
      <c r="BQ280" s="40"/>
      <c r="BR280" s="5"/>
      <c r="DA280" s="218"/>
      <c r="DH280" s="8"/>
      <c r="DI280" s="8"/>
      <c r="DJ280" s="8"/>
      <c r="DK280" s="8"/>
      <c r="DL280" s="8"/>
      <c r="DM280" s="8"/>
      <c r="DN280" s="8"/>
      <c r="EE280" s="42"/>
      <c r="EF280" s="5"/>
      <c r="EG280" s="35"/>
      <c r="EH280" s="5"/>
      <c r="EI280" s="6"/>
      <c r="EJ280" s="35"/>
      <c r="EK280" s="5"/>
      <c r="EL280" s="41"/>
      <c r="EM280" s="35"/>
      <c r="EN280" s="5"/>
      <c r="EO280" s="42"/>
      <c r="EP280" s="42"/>
      <c r="EQ280" s="40"/>
      <c r="ER280" s="219"/>
      <c r="ES280" s="56"/>
    </row>
    <row r="281" spans="34:149">
      <c r="AH281" s="8"/>
      <c r="AI281" s="8"/>
      <c r="AJ281" s="8"/>
      <c r="AK281" s="8"/>
      <c r="AL281" s="8"/>
      <c r="AM281" s="8"/>
      <c r="AN281" s="8"/>
      <c r="BE281" s="42"/>
      <c r="BF281" s="5"/>
      <c r="BG281" s="35"/>
      <c r="BH281" s="5"/>
      <c r="BI281" s="6"/>
      <c r="BJ281" s="35"/>
      <c r="BK281" s="5"/>
      <c r="BL281" s="41"/>
      <c r="BM281" s="35"/>
      <c r="BN281" s="5"/>
      <c r="BO281" s="42"/>
      <c r="BP281" s="42"/>
      <c r="BQ281" s="40"/>
      <c r="BR281" s="5"/>
      <c r="DA281" s="218"/>
      <c r="DH281" s="8"/>
      <c r="DI281" s="8"/>
      <c r="DJ281" s="8"/>
      <c r="DK281" s="8"/>
      <c r="DL281" s="8"/>
      <c r="DM281" s="8"/>
      <c r="DN281" s="8"/>
      <c r="EE281" s="42"/>
      <c r="EF281" s="5"/>
      <c r="EG281" s="35"/>
      <c r="EH281" s="5"/>
      <c r="EI281" s="6"/>
      <c r="EJ281" s="35"/>
      <c r="EK281" s="5"/>
      <c r="EL281" s="41"/>
      <c r="EM281" s="35"/>
      <c r="EN281" s="5"/>
      <c r="EO281" s="42"/>
      <c r="EP281" s="42"/>
      <c r="EQ281" s="40"/>
      <c r="ER281" s="219"/>
      <c r="ES281" s="56"/>
    </row>
    <row r="282" spans="34:149">
      <c r="AH282" s="8"/>
      <c r="AI282" s="8"/>
      <c r="AJ282" s="8"/>
      <c r="AK282" s="8"/>
      <c r="AL282" s="8"/>
      <c r="AM282" s="8"/>
      <c r="AN282" s="8"/>
      <c r="BE282" s="42"/>
      <c r="BF282" s="5"/>
      <c r="BG282" s="35"/>
      <c r="BH282" s="5"/>
      <c r="BI282" s="6"/>
      <c r="BJ282" s="35"/>
      <c r="BK282" s="5"/>
      <c r="BL282" s="41"/>
      <c r="BM282" s="35"/>
      <c r="BN282" s="5"/>
      <c r="BO282" s="42"/>
      <c r="BP282" s="42"/>
      <c r="BQ282" s="40"/>
      <c r="BR282" s="5"/>
      <c r="DA282" s="218"/>
      <c r="DH282" s="8"/>
      <c r="DI282" s="8"/>
      <c r="DJ282" s="8"/>
      <c r="DK282" s="8"/>
      <c r="DL282" s="8"/>
      <c r="DM282" s="8"/>
      <c r="DN282" s="8"/>
      <c r="EE282" s="42"/>
      <c r="EF282" s="5"/>
      <c r="EG282" s="35"/>
      <c r="EH282" s="5"/>
      <c r="EI282" s="6"/>
      <c r="EJ282" s="35"/>
      <c r="EK282" s="5"/>
      <c r="EL282" s="41"/>
      <c r="EM282" s="35"/>
      <c r="EN282" s="5"/>
      <c r="EO282" s="42"/>
      <c r="EP282" s="42"/>
      <c r="EQ282" s="40"/>
      <c r="ER282" s="219"/>
      <c r="ES282" s="56"/>
    </row>
    <row r="283" spans="34:149">
      <c r="AH283" s="8"/>
      <c r="AI283" s="8"/>
      <c r="AJ283" s="8"/>
      <c r="AK283" s="8"/>
      <c r="AL283" s="8"/>
      <c r="AM283" s="8"/>
      <c r="AN283" s="8"/>
      <c r="BE283" s="42"/>
      <c r="BF283" s="5"/>
      <c r="BG283" s="35"/>
      <c r="BH283" s="5"/>
      <c r="BI283" s="6"/>
      <c r="BJ283" s="35"/>
      <c r="BK283" s="5"/>
      <c r="BL283" s="41"/>
      <c r="BM283" s="35"/>
      <c r="BN283" s="5"/>
      <c r="BO283" s="42"/>
      <c r="BP283" s="42"/>
      <c r="BQ283" s="40"/>
      <c r="BR283" s="5"/>
      <c r="DA283" s="218"/>
      <c r="DH283" s="8"/>
      <c r="DI283" s="8"/>
      <c r="DJ283" s="8"/>
      <c r="DK283" s="8"/>
      <c r="DL283" s="8"/>
      <c r="DM283" s="8"/>
      <c r="DN283" s="8"/>
      <c r="EE283" s="42"/>
      <c r="EF283" s="5"/>
      <c r="EG283" s="35"/>
      <c r="EH283" s="5"/>
      <c r="EI283" s="6"/>
      <c r="EJ283" s="35"/>
      <c r="EK283" s="5"/>
      <c r="EL283" s="41"/>
      <c r="EM283" s="35"/>
      <c r="EN283" s="5"/>
      <c r="EO283" s="42"/>
      <c r="EP283" s="42"/>
      <c r="EQ283" s="40"/>
      <c r="ER283" s="219"/>
      <c r="ES283" s="56"/>
    </row>
    <row r="284" spans="34:149">
      <c r="AH284" s="8"/>
      <c r="AI284" s="8"/>
      <c r="AJ284" s="8"/>
      <c r="AK284" s="8"/>
      <c r="AL284" s="8"/>
      <c r="AM284" s="8"/>
      <c r="AN284" s="8"/>
      <c r="BE284" s="42"/>
      <c r="BF284" s="5"/>
      <c r="BG284" s="35"/>
      <c r="BH284" s="5"/>
      <c r="BI284" s="6"/>
      <c r="BJ284" s="35"/>
      <c r="BK284" s="5"/>
      <c r="BL284" s="41"/>
      <c r="BM284" s="35"/>
      <c r="BN284" s="5"/>
      <c r="BO284" s="42"/>
      <c r="BP284" s="42"/>
      <c r="BQ284" s="40"/>
      <c r="BR284" s="5"/>
      <c r="DA284" s="218"/>
      <c r="DH284" s="8"/>
      <c r="DI284" s="8"/>
      <c r="DJ284" s="8"/>
      <c r="DK284" s="8"/>
      <c r="DL284" s="8"/>
      <c r="DM284" s="8"/>
      <c r="DN284" s="8"/>
      <c r="EE284" s="42"/>
      <c r="EF284" s="5"/>
      <c r="EG284" s="35"/>
      <c r="EH284" s="5"/>
      <c r="EI284" s="6"/>
      <c r="EJ284" s="35"/>
      <c r="EK284" s="5"/>
      <c r="EL284" s="41"/>
      <c r="EM284" s="35"/>
      <c r="EN284" s="5"/>
      <c r="EO284" s="42"/>
      <c r="EP284" s="42"/>
      <c r="EQ284" s="40"/>
      <c r="ER284" s="219"/>
      <c r="ES284" s="56"/>
    </row>
    <row r="285" spans="34:149">
      <c r="AH285" s="8"/>
      <c r="AI285" s="8"/>
      <c r="AJ285" s="8"/>
      <c r="AK285" s="8"/>
      <c r="AL285" s="8"/>
      <c r="AM285" s="8"/>
      <c r="AN285" s="8"/>
      <c r="BE285" s="42"/>
      <c r="BF285" s="5"/>
      <c r="BG285" s="35"/>
      <c r="BH285" s="5"/>
      <c r="BI285" s="6"/>
      <c r="BJ285" s="35"/>
      <c r="BK285" s="5"/>
      <c r="BL285" s="41"/>
      <c r="BM285" s="35"/>
      <c r="BN285" s="5"/>
      <c r="BO285" s="42"/>
      <c r="BP285" s="42"/>
      <c r="BQ285" s="40"/>
      <c r="BR285" s="5"/>
      <c r="DA285" s="218"/>
      <c r="DH285" s="8"/>
      <c r="DI285" s="8"/>
      <c r="DJ285" s="8"/>
      <c r="DK285" s="8"/>
      <c r="DL285" s="8"/>
      <c r="DM285" s="8"/>
      <c r="DN285" s="8"/>
      <c r="EE285" s="42"/>
      <c r="EF285" s="5"/>
      <c r="EG285" s="35"/>
      <c r="EH285" s="5"/>
      <c r="EI285" s="6"/>
      <c r="EJ285" s="35"/>
      <c r="EK285" s="5"/>
      <c r="EL285" s="41"/>
      <c r="EM285" s="35"/>
      <c r="EN285" s="5"/>
      <c r="EO285" s="42"/>
      <c r="EP285" s="42"/>
      <c r="EQ285" s="40"/>
      <c r="ER285" s="219"/>
      <c r="ES285" s="56"/>
    </row>
    <row r="286" spans="34:149">
      <c r="AH286" s="8"/>
      <c r="AI286" s="8"/>
      <c r="AJ286" s="8"/>
      <c r="AK286" s="8"/>
      <c r="AL286" s="8"/>
      <c r="AM286" s="8"/>
      <c r="AN286" s="8"/>
      <c r="BE286" s="42"/>
      <c r="BF286" s="5"/>
      <c r="BG286" s="35"/>
      <c r="BH286" s="5"/>
      <c r="BI286" s="6"/>
      <c r="BJ286" s="35"/>
      <c r="BK286" s="5"/>
      <c r="BL286" s="41"/>
      <c r="BM286" s="35"/>
      <c r="BN286" s="5"/>
      <c r="BO286" s="42"/>
      <c r="BP286" s="42"/>
      <c r="BQ286" s="40"/>
      <c r="BR286" s="5"/>
      <c r="DA286" s="218"/>
      <c r="DH286" s="8"/>
      <c r="DI286" s="8"/>
      <c r="DJ286" s="8"/>
      <c r="DK286" s="8"/>
      <c r="DL286" s="8"/>
      <c r="DM286" s="8"/>
      <c r="DN286" s="8"/>
      <c r="EE286" s="42"/>
      <c r="EF286" s="5"/>
      <c r="EG286" s="35"/>
      <c r="EH286" s="5"/>
      <c r="EI286" s="6"/>
      <c r="EJ286" s="35"/>
      <c r="EK286" s="5"/>
      <c r="EL286" s="41"/>
      <c r="EM286" s="35"/>
      <c r="EN286" s="5"/>
      <c r="EO286" s="42"/>
      <c r="EP286" s="42"/>
      <c r="EQ286" s="40"/>
      <c r="ER286" s="219"/>
      <c r="ES286" s="56"/>
    </row>
    <row r="287" spans="34:149">
      <c r="AH287" s="8"/>
      <c r="AI287" s="8"/>
      <c r="AJ287" s="8"/>
      <c r="AK287" s="8"/>
      <c r="AL287" s="8"/>
      <c r="AM287" s="8"/>
      <c r="AN287" s="8"/>
      <c r="BE287" s="42"/>
      <c r="BF287" s="5"/>
      <c r="BG287" s="35"/>
      <c r="BH287" s="5"/>
      <c r="BI287" s="6"/>
      <c r="BJ287" s="35"/>
      <c r="BK287" s="5"/>
      <c r="BL287" s="41"/>
      <c r="BM287" s="35"/>
      <c r="BN287" s="5"/>
      <c r="BO287" s="42"/>
      <c r="BP287" s="42"/>
      <c r="BQ287" s="40"/>
      <c r="BR287" s="5"/>
      <c r="DA287" s="218"/>
      <c r="DH287" s="8"/>
      <c r="DI287" s="8"/>
      <c r="DJ287" s="8"/>
      <c r="DK287" s="8"/>
      <c r="DL287" s="8"/>
      <c r="DM287" s="8"/>
      <c r="DN287" s="8"/>
      <c r="EE287" s="42"/>
      <c r="EF287" s="5"/>
      <c r="EG287" s="35"/>
      <c r="EH287" s="5"/>
      <c r="EI287" s="6"/>
      <c r="EJ287" s="35"/>
      <c r="EK287" s="5"/>
      <c r="EL287" s="41"/>
      <c r="EM287" s="35"/>
      <c r="EN287" s="5"/>
      <c r="EO287" s="42"/>
      <c r="EP287" s="42"/>
      <c r="EQ287" s="40"/>
      <c r="ER287" s="219"/>
      <c r="ES287" s="56"/>
    </row>
    <row r="288" spans="34:149">
      <c r="AH288" s="8"/>
      <c r="AI288" s="8"/>
      <c r="AJ288" s="8"/>
      <c r="AK288" s="8"/>
      <c r="AL288" s="8"/>
      <c r="AM288" s="8"/>
      <c r="AN288" s="8"/>
      <c r="BE288" s="42"/>
      <c r="BF288" s="5"/>
      <c r="BG288" s="35"/>
      <c r="BH288" s="5"/>
      <c r="BI288" s="6"/>
      <c r="BJ288" s="35"/>
      <c r="BK288" s="5"/>
      <c r="BL288" s="41"/>
      <c r="BM288" s="35"/>
      <c r="BN288" s="5"/>
      <c r="BO288" s="42"/>
      <c r="BP288" s="42"/>
      <c r="BQ288" s="40"/>
      <c r="BR288" s="5"/>
      <c r="DA288" s="218"/>
      <c r="DH288" s="8"/>
      <c r="DI288" s="8"/>
      <c r="DJ288" s="8"/>
      <c r="DK288" s="8"/>
      <c r="DL288" s="8"/>
      <c r="DM288" s="8"/>
      <c r="DN288" s="8"/>
      <c r="EE288" s="42"/>
      <c r="EF288" s="5"/>
      <c r="EG288" s="35"/>
      <c r="EH288" s="5"/>
      <c r="EI288" s="6"/>
      <c r="EJ288" s="35"/>
      <c r="EK288" s="5"/>
      <c r="EL288" s="41"/>
      <c r="EM288" s="35"/>
      <c r="EN288" s="5"/>
      <c r="EO288" s="42"/>
      <c r="EP288" s="42"/>
      <c r="EQ288" s="40"/>
      <c r="ER288" s="219"/>
      <c r="ES288" s="56"/>
    </row>
    <row r="289" spans="34:149">
      <c r="AH289" s="8"/>
      <c r="AI289" s="8"/>
      <c r="AJ289" s="8"/>
      <c r="AK289" s="8"/>
      <c r="AL289" s="8"/>
      <c r="AM289" s="8"/>
      <c r="AN289" s="8"/>
      <c r="BE289" s="42"/>
      <c r="BF289" s="5"/>
      <c r="BG289" s="35"/>
      <c r="BH289" s="5"/>
      <c r="BI289" s="6"/>
      <c r="BJ289" s="35"/>
      <c r="BK289" s="5"/>
      <c r="BL289" s="41"/>
      <c r="BM289" s="35"/>
      <c r="BN289" s="5"/>
      <c r="BO289" s="42"/>
      <c r="BP289" s="42"/>
      <c r="BQ289" s="40"/>
      <c r="BR289" s="5"/>
      <c r="DA289" s="218"/>
      <c r="DH289" s="8"/>
      <c r="DI289" s="8"/>
      <c r="DJ289" s="8"/>
      <c r="DK289" s="8"/>
      <c r="DL289" s="8"/>
      <c r="DM289" s="8"/>
      <c r="DN289" s="8"/>
      <c r="EE289" s="42"/>
      <c r="EF289" s="5"/>
      <c r="EG289" s="35"/>
      <c r="EH289" s="5"/>
      <c r="EI289" s="6"/>
      <c r="EJ289" s="35"/>
      <c r="EK289" s="5"/>
      <c r="EL289" s="41"/>
      <c r="EM289" s="35"/>
      <c r="EN289" s="5"/>
      <c r="EO289" s="42"/>
      <c r="EP289" s="42"/>
      <c r="EQ289" s="40"/>
      <c r="ER289" s="219"/>
      <c r="ES289" s="56"/>
    </row>
    <row r="290" spans="34:149">
      <c r="AH290" s="8"/>
      <c r="AI290" s="8"/>
      <c r="AJ290" s="8"/>
      <c r="AK290" s="8"/>
      <c r="AL290" s="8"/>
      <c r="AM290" s="8"/>
      <c r="AN290" s="8"/>
      <c r="BE290" s="42"/>
      <c r="BF290" s="5"/>
      <c r="BG290" s="35"/>
      <c r="BH290" s="5"/>
      <c r="BI290" s="6"/>
      <c r="BJ290" s="35"/>
      <c r="BK290" s="5"/>
      <c r="BL290" s="41"/>
      <c r="BM290" s="35"/>
      <c r="BN290" s="5"/>
      <c r="BO290" s="42"/>
      <c r="BP290" s="42"/>
      <c r="BQ290" s="40"/>
      <c r="BR290" s="5"/>
      <c r="DA290" s="218"/>
      <c r="DH290" s="8"/>
      <c r="DI290" s="8"/>
      <c r="DJ290" s="8"/>
      <c r="DK290" s="8"/>
      <c r="DL290" s="8"/>
      <c r="DM290" s="8"/>
      <c r="DN290" s="8"/>
      <c r="EE290" s="42"/>
      <c r="EF290" s="5"/>
      <c r="EG290" s="35"/>
      <c r="EH290" s="5"/>
      <c r="EI290" s="6"/>
      <c r="EJ290" s="35"/>
      <c r="EK290" s="5"/>
      <c r="EL290" s="41"/>
      <c r="EM290" s="35"/>
      <c r="EN290" s="5"/>
      <c r="EO290" s="42"/>
      <c r="EP290" s="42"/>
      <c r="EQ290" s="40"/>
      <c r="ER290" s="219"/>
      <c r="ES290" s="56"/>
    </row>
    <row r="291" spans="34:149">
      <c r="AH291" s="8"/>
      <c r="AI291" s="8"/>
      <c r="AJ291" s="8"/>
      <c r="AK291" s="8"/>
      <c r="AL291" s="8"/>
      <c r="AM291" s="8"/>
      <c r="AN291" s="8"/>
      <c r="BE291" s="42"/>
      <c r="BF291" s="5"/>
      <c r="BG291" s="35"/>
      <c r="BH291" s="5"/>
      <c r="BI291" s="6"/>
      <c r="BJ291" s="35"/>
      <c r="BK291" s="5"/>
      <c r="BL291" s="41"/>
      <c r="BM291" s="35"/>
      <c r="BN291" s="5"/>
      <c r="BO291" s="42"/>
      <c r="BP291" s="42"/>
      <c r="BQ291" s="40"/>
      <c r="BR291" s="5"/>
      <c r="DA291" s="218"/>
      <c r="DH291" s="8"/>
      <c r="DI291" s="8"/>
      <c r="DJ291" s="8"/>
      <c r="DK291" s="8"/>
      <c r="DL291" s="8"/>
      <c r="DM291" s="8"/>
      <c r="DN291" s="8"/>
      <c r="EE291" s="42"/>
      <c r="EF291" s="5"/>
      <c r="EG291" s="35"/>
      <c r="EH291" s="5"/>
      <c r="EI291" s="6"/>
      <c r="EJ291" s="35"/>
      <c r="EK291" s="5"/>
      <c r="EL291" s="41"/>
      <c r="EM291" s="35"/>
      <c r="EN291" s="5"/>
      <c r="EO291" s="42"/>
      <c r="EP291" s="42"/>
      <c r="EQ291" s="40"/>
      <c r="ER291" s="219"/>
      <c r="ES291" s="56"/>
    </row>
    <row r="292" spans="34:149">
      <c r="AH292" s="8"/>
      <c r="AI292" s="8"/>
      <c r="AJ292" s="8"/>
      <c r="AK292" s="8"/>
      <c r="AL292" s="8"/>
      <c r="AM292" s="8"/>
      <c r="AN292" s="8"/>
      <c r="BE292" s="42"/>
      <c r="BF292" s="5"/>
      <c r="BG292" s="35"/>
      <c r="BH292" s="5"/>
      <c r="BI292" s="6"/>
      <c r="BJ292" s="35"/>
      <c r="BK292" s="5"/>
      <c r="BL292" s="41"/>
      <c r="BM292" s="35"/>
      <c r="BN292" s="5"/>
      <c r="BO292" s="42"/>
      <c r="BP292" s="42"/>
      <c r="BQ292" s="40"/>
      <c r="BR292" s="5"/>
      <c r="DA292" s="218"/>
      <c r="DH292" s="8"/>
      <c r="DI292" s="8"/>
      <c r="DJ292" s="8"/>
      <c r="DK292" s="8"/>
      <c r="DL292" s="8"/>
      <c r="DM292" s="8"/>
      <c r="DN292" s="8"/>
      <c r="EE292" s="42"/>
      <c r="EF292" s="5"/>
      <c r="EG292" s="35"/>
      <c r="EH292" s="5"/>
      <c r="EI292" s="6"/>
      <c r="EJ292" s="35"/>
      <c r="EK292" s="5"/>
      <c r="EL292" s="41"/>
      <c r="EM292" s="35"/>
      <c r="EN292" s="5"/>
      <c r="EO292" s="42"/>
      <c r="EP292" s="42"/>
      <c r="EQ292" s="40"/>
      <c r="ER292" s="219"/>
      <c r="ES292" s="56"/>
    </row>
    <row r="293" spans="34:149">
      <c r="AH293" s="8"/>
      <c r="AI293" s="8"/>
      <c r="AJ293" s="8"/>
      <c r="AK293" s="8"/>
      <c r="AL293" s="8"/>
      <c r="AM293" s="8"/>
      <c r="AN293" s="8"/>
      <c r="BE293" s="42"/>
      <c r="BF293" s="5"/>
      <c r="BG293" s="35"/>
      <c r="BH293" s="5"/>
      <c r="BI293" s="6"/>
      <c r="BJ293" s="35"/>
      <c r="BK293" s="5"/>
      <c r="BL293" s="41"/>
      <c r="BM293" s="35"/>
      <c r="BN293" s="5"/>
      <c r="BO293" s="42"/>
      <c r="BP293" s="42"/>
      <c r="BQ293" s="40"/>
      <c r="BR293" s="5"/>
      <c r="DA293" s="218"/>
      <c r="DH293" s="8"/>
      <c r="DI293" s="8"/>
      <c r="DJ293" s="8"/>
      <c r="DK293" s="8"/>
      <c r="DL293" s="8"/>
      <c r="DM293" s="8"/>
      <c r="DN293" s="8"/>
      <c r="EE293" s="42"/>
      <c r="EF293" s="5"/>
      <c r="EG293" s="35"/>
      <c r="EH293" s="5"/>
      <c r="EI293" s="6"/>
      <c r="EJ293" s="35"/>
      <c r="EK293" s="5"/>
      <c r="EL293" s="41"/>
      <c r="EM293" s="35"/>
      <c r="EN293" s="5"/>
      <c r="EO293" s="42"/>
      <c r="EP293" s="42"/>
      <c r="EQ293" s="40"/>
      <c r="ER293" s="219"/>
      <c r="ES293" s="56"/>
    </row>
    <row r="294" spans="34:149">
      <c r="AH294" s="8"/>
      <c r="AI294" s="8"/>
      <c r="AJ294" s="8"/>
      <c r="AK294" s="8"/>
      <c r="AL294" s="8"/>
      <c r="AM294" s="8"/>
      <c r="AN294" s="8"/>
      <c r="BE294" s="42"/>
      <c r="BF294" s="5"/>
      <c r="BG294" s="35"/>
      <c r="BH294" s="5"/>
      <c r="BI294" s="6"/>
      <c r="BJ294" s="35"/>
      <c r="BK294" s="5"/>
      <c r="BL294" s="41"/>
      <c r="BM294" s="35"/>
      <c r="BN294" s="5"/>
      <c r="BO294" s="42"/>
      <c r="BP294" s="42"/>
      <c r="BQ294" s="40"/>
      <c r="BR294" s="5"/>
      <c r="DA294" s="218"/>
      <c r="DH294" s="8"/>
      <c r="DI294" s="8"/>
      <c r="DJ294" s="8"/>
      <c r="DK294" s="8"/>
      <c r="DL294" s="8"/>
      <c r="DM294" s="8"/>
      <c r="DN294" s="8"/>
      <c r="EE294" s="42"/>
      <c r="EF294" s="5"/>
      <c r="EG294" s="35"/>
      <c r="EH294" s="5"/>
      <c r="EI294" s="6"/>
      <c r="EJ294" s="35"/>
      <c r="EK294" s="5"/>
      <c r="EL294" s="41"/>
      <c r="EM294" s="35"/>
      <c r="EN294" s="5"/>
      <c r="EO294" s="42"/>
      <c r="EP294" s="42"/>
      <c r="EQ294" s="40"/>
      <c r="ER294" s="219"/>
      <c r="ES294" s="56"/>
    </row>
    <row r="295" spans="34:149">
      <c r="AH295" s="8"/>
      <c r="AI295" s="8"/>
      <c r="AJ295" s="8"/>
      <c r="AK295" s="8"/>
      <c r="AL295" s="8"/>
      <c r="AM295" s="8"/>
      <c r="AN295" s="8"/>
      <c r="BE295" s="42"/>
      <c r="BF295" s="5"/>
      <c r="BG295" s="35"/>
      <c r="BH295" s="5"/>
      <c r="BI295" s="6"/>
      <c r="BJ295" s="35"/>
      <c r="BK295" s="5"/>
      <c r="BL295" s="41"/>
      <c r="BM295" s="35"/>
      <c r="BN295" s="5"/>
      <c r="BO295" s="42"/>
      <c r="BP295" s="42"/>
      <c r="BQ295" s="40"/>
      <c r="BR295" s="5"/>
      <c r="DA295" s="218"/>
      <c r="DH295" s="8"/>
      <c r="DI295" s="8"/>
      <c r="DJ295" s="8"/>
      <c r="DK295" s="8"/>
      <c r="DL295" s="8"/>
      <c r="DM295" s="8"/>
      <c r="DN295" s="8"/>
      <c r="EE295" s="42"/>
      <c r="EF295" s="5"/>
      <c r="EG295" s="35"/>
      <c r="EH295" s="5"/>
      <c r="EI295" s="6"/>
      <c r="EJ295" s="35"/>
      <c r="EK295" s="5"/>
      <c r="EL295" s="41"/>
      <c r="EM295" s="35"/>
      <c r="EN295" s="5"/>
      <c r="EO295" s="42"/>
      <c r="EP295" s="42"/>
      <c r="EQ295" s="40"/>
      <c r="ER295" s="219"/>
      <c r="ES295" s="56"/>
    </row>
    <row r="296" spans="34:149">
      <c r="AH296" s="8"/>
      <c r="AI296" s="8"/>
      <c r="AJ296" s="8"/>
      <c r="AK296" s="8"/>
      <c r="AL296" s="8"/>
      <c r="AM296" s="8"/>
      <c r="AN296" s="8"/>
      <c r="BE296" s="42"/>
      <c r="BF296" s="5"/>
      <c r="BG296" s="35"/>
      <c r="BH296" s="5"/>
      <c r="BI296" s="6"/>
      <c r="BJ296" s="35"/>
      <c r="BK296" s="5"/>
      <c r="BL296" s="41"/>
      <c r="BM296" s="35"/>
      <c r="BN296" s="5"/>
      <c r="BO296" s="42"/>
      <c r="BP296" s="42"/>
      <c r="BQ296" s="40"/>
      <c r="BR296" s="5"/>
      <c r="DA296" s="218"/>
      <c r="DH296" s="8"/>
      <c r="DI296" s="8"/>
      <c r="DJ296" s="8"/>
      <c r="DK296" s="8"/>
      <c r="DL296" s="8"/>
      <c r="DM296" s="8"/>
      <c r="DN296" s="8"/>
      <c r="EE296" s="42"/>
      <c r="EF296" s="5"/>
      <c r="EG296" s="35"/>
      <c r="EH296" s="5"/>
      <c r="EI296" s="6"/>
      <c r="EJ296" s="35"/>
      <c r="EK296" s="5"/>
      <c r="EL296" s="41"/>
      <c r="EM296" s="35"/>
      <c r="EN296" s="5"/>
      <c r="EO296" s="42"/>
      <c r="EP296" s="42"/>
      <c r="EQ296" s="40"/>
      <c r="ER296" s="219"/>
      <c r="ES296" s="56"/>
    </row>
    <row r="297" spans="34:149">
      <c r="AH297" s="8"/>
      <c r="AI297" s="8"/>
      <c r="AJ297" s="8"/>
      <c r="AK297" s="8"/>
      <c r="AL297" s="8"/>
      <c r="AM297" s="8"/>
      <c r="AN297" s="8"/>
      <c r="BE297" s="42"/>
      <c r="BF297" s="5"/>
      <c r="BG297" s="35"/>
      <c r="BH297" s="5"/>
      <c r="BI297" s="6"/>
      <c r="BJ297" s="35"/>
      <c r="BK297" s="5"/>
      <c r="BL297" s="41"/>
      <c r="BM297" s="35"/>
      <c r="BN297" s="5"/>
      <c r="BO297" s="42"/>
      <c r="BP297" s="42"/>
      <c r="BQ297" s="40"/>
      <c r="BR297" s="5"/>
      <c r="DA297" s="218"/>
      <c r="DH297" s="8"/>
      <c r="DI297" s="8"/>
      <c r="DJ297" s="8"/>
      <c r="DK297" s="8"/>
      <c r="DL297" s="8"/>
      <c r="DM297" s="8"/>
      <c r="DN297" s="8"/>
      <c r="EE297" s="42"/>
      <c r="EF297" s="5"/>
      <c r="EG297" s="35"/>
      <c r="EH297" s="5"/>
      <c r="EI297" s="6"/>
      <c r="EJ297" s="35"/>
      <c r="EK297" s="5"/>
      <c r="EL297" s="41"/>
      <c r="EM297" s="35"/>
      <c r="EN297" s="5"/>
      <c r="EO297" s="42"/>
      <c r="EP297" s="42"/>
      <c r="EQ297" s="40"/>
      <c r="ER297" s="219"/>
      <c r="ES297" s="56"/>
    </row>
    <row r="298" spans="34:149">
      <c r="AH298" s="8"/>
      <c r="AI298" s="8"/>
      <c r="AJ298" s="8"/>
      <c r="AK298" s="8"/>
      <c r="AL298" s="8"/>
      <c r="AM298" s="8"/>
      <c r="AN298" s="8"/>
      <c r="BE298" s="42"/>
      <c r="BF298" s="5"/>
      <c r="BG298" s="35"/>
      <c r="BH298" s="5"/>
      <c r="BI298" s="6"/>
      <c r="BJ298" s="35"/>
      <c r="BK298" s="5"/>
      <c r="BL298" s="41"/>
      <c r="BM298" s="35"/>
      <c r="BN298" s="5"/>
      <c r="BO298" s="42"/>
      <c r="BP298" s="42"/>
      <c r="BQ298" s="40"/>
      <c r="BR298" s="5"/>
      <c r="DA298" s="218"/>
      <c r="DH298" s="8"/>
      <c r="DI298" s="8"/>
      <c r="DJ298" s="8"/>
      <c r="DK298" s="8"/>
      <c r="DL298" s="8"/>
      <c r="DM298" s="8"/>
      <c r="DN298" s="8"/>
      <c r="EE298" s="42"/>
      <c r="EF298" s="5"/>
      <c r="EG298" s="35"/>
      <c r="EH298" s="5"/>
      <c r="EI298" s="6"/>
      <c r="EJ298" s="35"/>
      <c r="EK298" s="5"/>
      <c r="EL298" s="41"/>
      <c r="EM298" s="35"/>
      <c r="EN298" s="5"/>
      <c r="EO298" s="42"/>
      <c r="EP298" s="42"/>
      <c r="EQ298" s="40"/>
      <c r="ER298" s="219"/>
      <c r="ES298" s="56"/>
    </row>
    <row r="299" spans="34:149">
      <c r="AH299" s="8"/>
      <c r="AI299" s="8"/>
      <c r="AJ299" s="8"/>
      <c r="AK299" s="8"/>
      <c r="AL299" s="8"/>
      <c r="AM299" s="8"/>
      <c r="AN299" s="8"/>
      <c r="BE299" s="42"/>
      <c r="BF299" s="5"/>
      <c r="BG299" s="35"/>
      <c r="BH299" s="5"/>
      <c r="BI299" s="6"/>
      <c r="BJ299" s="35"/>
      <c r="BK299" s="5"/>
      <c r="BL299" s="41"/>
      <c r="BM299" s="35"/>
      <c r="BN299" s="5"/>
      <c r="BO299" s="42"/>
      <c r="BP299" s="42"/>
      <c r="BQ299" s="40"/>
      <c r="BR299" s="5"/>
      <c r="DA299" s="218"/>
      <c r="DH299" s="8"/>
      <c r="DI299" s="8"/>
      <c r="DJ299" s="8"/>
      <c r="DK299" s="8"/>
      <c r="DL299" s="8"/>
      <c r="DM299" s="8"/>
      <c r="DN299" s="8"/>
      <c r="EE299" s="42"/>
      <c r="EF299" s="5"/>
      <c r="EG299" s="35"/>
      <c r="EH299" s="5"/>
      <c r="EI299" s="6"/>
      <c r="EJ299" s="35"/>
      <c r="EK299" s="5"/>
      <c r="EL299" s="41"/>
      <c r="EM299" s="35"/>
      <c r="EN299" s="5"/>
      <c r="EO299" s="42"/>
      <c r="EP299" s="42"/>
      <c r="EQ299" s="40"/>
      <c r="ER299" s="219"/>
      <c r="ES299" s="56"/>
    </row>
    <row r="300" spans="34:149">
      <c r="AH300" s="8"/>
      <c r="AI300" s="8"/>
      <c r="AJ300" s="8"/>
      <c r="AK300" s="8"/>
      <c r="AL300" s="8"/>
      <c r="AM300" s="8"/>
      <c r="AN300" s="8"/>
      <c r="BE300" s="42"/>
      <c r="BF300" s="5"/>
      <c r="BG300" s="35"/>
      <c r="BH300" s="5"/>
      <c r="BI300" s="6"/>
      <c r="BJ300" s="35"/>
      <c r="BK300" s="5"/>
      <c r="BL300" s="41"/>
      <c r="BM300" s="35"/>
      <c r="BN300" s="5"/>
      <c r="BO300" s="42"/>
      <c r="BP300" s="42"/>
      <c r="BQ300" s="40"/>
      <c r="BR300" s="5"/>
      <c r="DA300" s="218"/>
      <c r="DH300" s="8"/>
      <c r="DI300" s="8"/>
      <c r="DJ300" s="8"/>
      <c r="DK300" s="8"/>
      <c r="DL300" s="8"/>
      <c r="DM300" s="8"/>
      <c r="DN300" s="8"/>
      <c r="EE300" s="42"/>
      <c r="EF300" s="5"/>
      <c r="EG300" s="35"/>
      <c r="EH300" s="5"/>
      <c r="EI300" s="6"/>
      <c r="EJ300" s="35"/>
      <c r="EK300" s="5"/>
      <c r="EL300" s="41"/>
      <c r="EM300" s="35"/>
      <c r="EN300" s="5"/>
      <c r="EO300" s="42"/>
      <c r="EP300" s="42"/>
      <c r="EQ300" s="40"/>
      <c r="ER300" s="219"/>
      <c r="ES300" s="56"/>
    </row>
    <row r="301" spans="34:149">
      <c r="AH301" s="8"/>
      <c r="AI301" s="8"/>
      <c r="AJ301" s="8"/>
      <c r="AK301" s="8"/>
      <c r="AL301" s="8"/>
      <c r="AM301" s="8"/>
      <c r="AN301" s="8"/>
      <c r="BE301" s="42"/>
      <c r="BF301" s="5"/>
      <c r="BG301" s="35"/>
      <c r="BH301" s="5"/>
      <c r="BI301" s="6"/>
      <c r="BJ301" s="35"/>
      <c r="BK301" s="5"/>
      <c r="BL301" s="41"/>
      <c r="BM301" s="35"/>
      <c r="BN301" s="5"/>
      <c r="BO301" s="42"/>
      <c r="BP301" s="42"/>
      <c r="BQ301" s="40"/>
      <c r="BR301" s="5"/>
      <c r="DA301" s="218"/>
      <c r="DH301" s="8"/>
      <c r="DI301" s="8"/>
      <c r="DJ301" s="8"/>
      <c r="DK301" s="8"/>
      <c r="DL301" s="8"/>
      <c r="DM301" s="8"/>
      <c r="DN301" s="8"/>
      <c r="EE301" s="42"/>
      <c r="EF301" s="5"/>
      <c r="EG301" s="35"/>
      <c r="EH301" s="5"/>
      <c r="EI301" s="6"/>
      <c r="EJ301" s="35"/>
      <c r="EK301" s="5"/>
      <c r="EL301" s="41"/>
      <c r="EM301" s="35"/>
      <c r="EN301" s="5"/>
      <c r="EO301" s="42"/>
      <c r="EP301" s="42"/>
      <c r="EQ301" s="40"/>
      <c r="ER301" s="219"/>
      <c r="ES301" s="56"/>
    </row>
    <row r="302" spans="34:149">
      <c r="AH302" s="8"/>
      <c r="AI302" s="8"/>
      <c r="AJ302" s="8"/>
      <c r="AK302" s="8"/>
      <c r="AL302" s="8"/>
      <c r="AM302" s="8"/>
      <c r="AN302" s="8"/>
      <c r="BE302" s="42"/>
      <c r="BF302" s="5"/>
      <c r="BG302" s="35"/>
      <c r="BH302" s="5"/>
      <c r="BI302" s="6"/>
      <c r="BJ302" s="35"/>
      <c r="BK302" s="5"/>
      <c r="BL302" s="41"/>
      <c r="BM302" s="35"/>
      <c r="BN302" s="5"/>
      <c r="BO302" s="42"/>
      <c r="BP302" s="42"/>
      <c r="BQ302" s="40"/>
      <c r="BR302" s="5"/>
      <c r="DA302" s="218"/>
      <c r="DH302" s="8"/>
      <c r="DI302" s="8"/>
      <c r="DJ302" s="8"/>
      <c r="DK302" s="8"/>
      <c r="DL302" s="8"/>
      <c r="DM302" s="8"/>
      <c r="DN302" s="8"/>
      <c r="EE302" s="42"/>
      <c r="EF302" s="5"/>
      <c r="EG302" s="35"/>
      <c r="EH302" s="5"/>
      <c r="EI302" s="6"/>
      <c r="EJ302" s="35"/>
      <c r="EK302" s="5"/>
      <c r="EL302" s="41"/>
      <c r="EM302" s="35"/>
      <c r="EN302" s="5"/>
      <c r="EO302" s="42"/>
      <c r="EP302" s="42"/>
      <c r="EQ302" s="40"/>
      <c r="ER302" s="219"/>
      <c r="ES302" s="56"/>
    </row>
    <row r="303" spans="34:149">
      <c r="AH303" s="8"/>
      <c r="AI303" s="8"/>
      <c r="AJ303" s="8"/>
      <c r="AK303" s="8"/>
      <c r="AL303" s="8"/>
      <c r="AM303" s="8"/>
      <c r="AN303" s="8"/>
      <c r="BE303" s="42"/>
      <c r="BF303" s="5"/>
      <c r="BG303" s="35"/>
      <c r="BH303" s="5"/>
      <c r="BI303" s="6"/>
      <c r="BJ303" s="35"/>
      <c r="BK303" s="5"/>
      <c r="BL303" s="41"/>
      <c r="BM303" s="35"/>
      <c r="BN303" s="5"/>
      <c r="BO303" s="42"/>
      <c r="BP303" s="42"/>
      <c r="BQ303" s="40"/>
      <c r="BR303" s="5"/>
      <c r="DA303" s="218"/>
      <c r="DH303" s="8"/>
      <c r="DI303" s="8"/>
      <c r="DJ303" s="8"/>
      <c r="DK303" s="8"/>
      <c r="DL303" s="8"/>
      <c r="DM303" s="8"/>
      <c r="DN303" s="8"/>
      <c r="EE303" s="42"/>
      <c r="EF303" s="5"/>
      <c r="EG303" s="35"/>
      <c r="EH303" s="5"/>
      <c r="EI303" s="6"/>
      <c r="EJ303" s="35"/>
      <c r="EK303" s="5"/>
      <c r="EL303" s="41"/>
      <c r="EM303" s="35"/>
      <c r="EN303" s="5"/>
      <c r="EO303" s="42"/>
      <c r="EP303" s="42"/>
      <c r="EQ303" s="40"/>
      <c r="ER303" s="219"/>
      <c r="ES303" s="56"/>
    </row>
    <row r="304" spans="34:149">
      <c r="AH304" s="8"/>
      <c r="AI304" s="8"/>
      <c r="AJ304" s="8"/>
      <c r="AK304" s="8"/>
      <c r="AL304" s="8"/>
      <c r="AM304" s="8"/>
      <c r="AN304" s="8"/>
      <c r="BE304" s="42"/>
      <c r="BF304" s="5"/>
      <c r="BG304" s="35"/>
      <c r="BH304" s="5"/>
      <c r="BI304" s="6"/>
      <c r="BJ304" s="35"/>
      <c r="BK304" s="5"/>
      <c r="BL304" s="41"/>
      <c r="BM304" s="35"/>
      <c r="BN304" s="5"/>
      <c r="BO304" s="42"/>
      <c r="BP304" s="42"/>
      <c r="BQ304" s="40"/>
      <c r="BR304" s="5"/>
      <c r="DA304" s="218"/>
      <c r="DH304" s="8"/>
      <c r="DI304" s="8"/>
      <c r="DJ304" s="8"/>
      <c r="DK304" s="8"/>
      <c r="DL304" s="8"/>
      <c r="DM304" s="8"/>
      <c r="DN304" s="8"/>
      <c r="EE304" s="42"/>
      <c r="EF304" s="5"/>
      <c r="EG304" s="35"/>
      <c r="EH304" s="5"/>
      <c r="EI304" s="6"/>
      <c r="EJ304" s="35"/>
      <c r="EK304" s="5"/>
      <c r="EL304" s="41"/>
      <c r="EM304" s="35"/>
      <c r="EN304" s="5"/>
      <c r="EO304" s="42"/>
      <c r="EP304" s="42"/>
      <c r="EQ304" s="40"/>
      <c r="ER304" s="219"/>
      <c r="ES304" s="56"/>
    </row>
    <row r="305" spans="34:149">
      <c r="AH305" s="8"/>
      <c r="AI305" s="8"/>
      <c r="AJ305" s="8"/>
      <c r="AK305" s="8"/>
      <c r="AL305" s="8"/>
      <c r="AM305" s="8"/>
      <c r="AN305" s="8"/>
      <c r="BE305" s="42"/>
      <c r="BF305" s="5"/>
      <c r="BG305" s="35"/>
      <c r="BH305" s="5"/>
      <c r="BI305" s="6"/>
      <c r="BJ305" s="35"/>
      <c r="BK305" s="5"/>
      <c r="BL305" s="41"/>
      <c r="BM305" s="35"/>
      <c r="BN305" s="5"/>
      <c r="BO305" s="42"/>
      <c r="BP305" s="42"/>
      <c r="BQ305" s="40"/>
      <c r="BR305" s="5"/>
      <c r="DA305" s="218"/>
      <c r="DH305" s="8"/>
      <c r="DI305" s="8"/>
      <c r="DJ305" s="8"/>
      <c r="DK305" s="8"/>
      <c r="DL305" s="8"/>
      <c r="DM305" s="8"/>
      <c r="DN305" s="8"/>
      <c r="EE305" s="42"/>
      <c r="EF305" s="5"/>
      <c r="EG305" s="35"/>
      <c r="EH305" s="5"/>
      <c r="EI305" s="6"/>
      <c r="EJ305" s="35"/>
      <c r="EK305" s="5"/>
      <c r="EL305" s="41"/>
      <c r="EM305" s="35"/>
      <c r="EN305" s="5"/>
      <c r="EO305" s="42"/>
      <c r="EP305" s="42"/>
      <c r="EQ305" s="40"/>
      <c r="ER305" s="219"/>
      <c r="ES305" s="56"/>
    </row>
    <row r="306" spans="34:149">
      <c r="AH306" s="8"/>
      <c r="AI306" s="8"/>
      <c r="AJ306" s="8"/>
      <c r="AK306" s="8"/>
      <c r="AL306" s="8"/>
      <c r="AM306" s="8"/>
      <c r="AN306" s="8"/>
      <c r="BE306" s="42"/>
      <c r="BF306" s="5"/>
      <c r="BG306" s="35"/>
      <c r="BH306" s="5"/>
      <c r="BI306" s="6"/>
      <c r="BJ306" s="35"/>
      <c r="BK306" s="5"/>
      <c r="BL306" s="41"/>
      <c r="BM306" s="35"/>
      <c r="BN306" s="5"/>
      <c r="BO306" s="42"/>
      <c r="BP306" s="42"/>
      <c r="BQ306" s="40"/>
      <c r="BR306" s="5"/>
      <c r="DA306" s="218"/>
      <c r="DH306" s="8"/>
      <c r="DI306" s="8"/>
      <c r="DJ306" s="8"/>
      <c r="DK306" s="8"/>
      <c r="DL306" s="8"/>
      <c r="DM306" s="8"/>
      <c r="DN306" s="8"/>
      <c r="EE306" s="42"/>
      <c r="EF306" s="5"/>
      <c r="EG306" s="35"/>
      <c r="EH306" s="5"/>
      <c r="EI306" s="6"/>
      <c r="EJ306" s="35"/>
      <c r="EK306" s="5"/>
      <c r="EL306" s="41"/>
      <c r="EM306" s="35"/>
      <c r="EN306" s="5"/>
      <c r="EO306" s="42"/>
      <c r="EP306" s="42"/>
      <c r="EQ306" s="40"/>
      <c r="ER306" s="219"/>
      <c r="ES306" s="56"/>
    </row>
    <row r="307" spans="34:149">
      <c r="AH307" s="8"/>
      <c r="AI307" s="8"/>
      <c r="AJ307" s="8"/>
      <c r="AK307" s="8"/>
      <c r="AL307" s="8"/>
      <c r="AM307" s="8"/>
      <c r="AN307" s="8"/>
      <c r="BE307" s="42"/>
      <c r="BF307" s="5"/>
      <c r="BG307" s="35"/>
      <c r="BH307" s="5"/>
      <c r="BI307" s="6"/>
      <c r="BJ307" s="35"/>
      <c r="BK307" s="5"/>
      <c r="BL307" s="41"/>
      <c r="BM307" s="35"/>
      <c r="BN307" s="5"/>
      <c r="BO307" s="42"/>
      <c r="BP307" s="42"/>
      <c r="BQ307" s="40"/>
      <c r="BR307" s="5"/>
      <c r="DA307" s="218"/>
      <c r="DH307" s="8"/>
      <c r="DI307" s="8"/>
      <c r="DJ307" s="8"/>
      <c r="DK307" s="8"/>
      <c r="DL307" s="8"/>
      <c r="DM307" s="8"/>
      <c r="DN307" s="8"/>
      <c r="EE307" s="42"/>
      <c r="EF307" s="5"/>
      <c r="EG307" s="35"/>
      <c r="EH307" s="5"/>
      <c r="EI307" s="6"/>
      <c r="EJ307" s="35"/>
      <c r="EK307" s="5"/>
      <c r="EL307" s="41"/>
      <c r="EM307" s="35"/>
      <c r="EN307" s="5"/>
      <c r="EO307" s="42"/>
      <c r="EP307" s="42"/>
      <c r="EQ307" s="40"/>
      <c r="ER307" s="219"/>
      <c r="ES307" s="56"/>
    </row>
    <row r="308" spans="34:149">
      <c r="AH308" s="8"/>
      <c r="AI308" s="8"/>
      <c r="AJ308" s="8"/>
      <c r="AK308" s="8"/>
      <c r="AL308" s="8"/>
      <c r="AM308" s="8"/>
      <c r="AN308" s="8"/>
      <c r="BE308" s="42"/>
      <c r="BF308" s="5"/>
      <c r="BG308" s="35"/>
      <c r="BH308" s="5"/>
      <c r="BI308" s="6"/>
      <c r="BJ308" s="35"/>
      <c r="BK308" s="5"/>
      <c r="BL308" s="41"/>
      <c r="BM308" s="35"/>
      <c r="BN308" s="5"/>
      <c r="BO308" s="42"/>
      <c r="BP308" s="42"/>
      <c r="BQ308" s="40"/>
      <c r="BR308" s="5"/>
      <c r="DA308" s="218"/>
      <c r="DH308" s="8"/>
      <c r="DI308" s="8"/>
      <c r="DJ308" s="8"/>
      <c r="DK308" s="8"/>
      <c r="DL308" s="8"/>
      <c r="DM308" s="8"/>
      <c r="DN308" s="8"/>
      <c r="EE308" s="42"/>
      <c r="EF308" s="5"/>
      <c r="EG308" s="35"/>
      <c r="EH308" s="5"/>
      <c r="EI308" s="6"/>
      <c r="EJ308" s="35"/>
      <c r="EK308" s="5"/>
      <c r="EL308" s="41"/>
      <c r="EM308" s="35"/>
      <c r="EN308" s="5"/>
      <c r="EO308" s="42"/>
      <c r="EP308" s="42"/>
      <c r="EQ308" s="40"/>
      <c r="ER308" s="219"/>
      <c r="ES308" s="56"/>
    </row>
    <row r="309" spans="34:149">
      <c r="AH309" s="8"/>
      <c r="AI309" s="8"/>
      <c r="AJ309" s="8"/>
      <c r="AK309" s="8"/>
      <c r="AL309" s="8"/>
      <c r="AM309" s="8"/>
      <c r="AN309" s="8"/>
      <c r="BE309" s="42"/>
      <c r="BF309" s="5"/>
      <c r="BG309" s="35"/>
      <c r="BH309" s="5"/>
      <c r="BI309" s="6"/>
      <c r="BJ309" s="35"/>
      <c r="BK309" s="5"/>
      <c r="BL309" s="41"/>
      <c r="BM309" s="35"/>
      <c r="BN309" s="5"/>
      <c r="BO309" s="42"/>
      <c r="BP309" s="42"/>
      <c r="BQ309" s="40"/>
      <c r="BR309" s="5"/>
      <c r="DA309" s="218"/>
      <c r="DH309" s="8"/>
      <c r="DI309" s="8"/>
      <c r="DJ309" s="8"/>
      <c r="DK309" s="8"/>
      <c r="DL309" s="8"/>
      <c r="DM309" s="8"/>
      <c r="DN309" s="8"/>
      <c r="EE309" s="42"/>
      <c r="EF309" s="5"/>
      <c r="EG309" s="35"/>
      <c r="EH309" s="5"/>
      <c r="EI309" s="6"/>
      <c r="EJ309" s="35"/>
      <c r="EK309" s="5"/>
      <c r="EL309" s="41"/>
      <c r="EM309" s="35"/>
      <c r="EN309" s="5"/>
      <c r="EO309" s="42"/>
      <c r="EP309" s="42"/>
      <c r="EQ309" s="40"/>
      <c r="ER309" s="219"/>
      <c r="ES309" s="56"/>
    </row>
    <row r="310" spans="34:149">
      <c r="AH310" s="8"/>
      <c r="AI310" s="8"/>
      <c r="AJ310" s="8"/>
      <c r="AK310" s="8"/>
      <c r="AL310" s="8"/>
      <c r="AM310" s="8"/>
      <c r="AN310" s="8"/>
      <c r="BE310" s="42"/>
      <c r="BF310" s="5"/>
      <c r="BG310" s="35"/>
      <c r="BH310" s="5"/>
      <c r="BI310" s="6"/>
      <c r="BJ310" s="35"/>
      <c r="BK310" s="5"/>
      <c r="BL310" s="41"/>
      <c r="BM310" s="35"/>
      <c r="BN310" s="5"/>
      <c r="BO310" s="42"/>
      <c r="BP310" s="42"/>
      <c r="BQ310" s="40"/>
      <c r="BR310" s="5"/>
      <c r="DA310" s="218"/>
      <c r="DH310" s="8"/>
      <c r="DI310" s="8"/>
      <c r="DJ310" s="8"/>
      <c r="DK310" s="8"/>
      <c r="DL310" s="8"/>
      <c r="DM310" s="8"/>
      <c r="DN310" s="8"/>
      <c r="EE310" s="42"/>
      <c r="EF310" s="5"/>
      <c r="EG310" s="35"/>
      <c r="EH310" s="5"/>
      <c r="EI310" s="6"/>
      <c r="EJ310" s="35"/>
      <c r="EK310" s="5"/>
      <c r="EL310" s="41"/>
      <c r="EM310" s="35"/>
      <c r="EN310" s="5"/>
      <c r="EO310" s="42"/>
      <c r="EP310" s="42"/>
      <c r="EQ310" s="40"/>
      <c r="ER310" s="219"/>
      <c r="ES310" s="56"/>
    </row>
    <row r="311" spans="34:149">
      <c r="AH311" s="8"/>
      <c r="AI311" s="8"/>
      <c r="AJ311" s="8"/>
      <c r="AK311" s="8"/>
      <c r="AL311" s="8"/>
      <c r="AM311" s="8"/>
      <c r="AN311" s="8"/>
      <c r="BE311" s="42"/>
      <c r="BF311" s="5"/>
      <c r="BG311" s="35"/>
      <c r="BH311" s="5"/>
      <c r="BI311" s="6"/>
      <c r="BJ311" s="35"/>
      <c r="BK311" s="5"/>
      <c r="BL311" s="41"/>
      <c r="BM311" s="35"/>
      <c r="BN311" s="5"/>
      <c r="BO311" s="42"/>
      <c r="BP311" s="42"/>
      <c r="BQ311" s="40"/>
      <c r="BR311" s="5"/>
      <c r="DA311" s="218"/>
      <c r="DH311" s="8"/>
      <c r="DI311" s="8"/>
      <c r="DJ311" s="8"/>
      <c r="DK311" s="8"/>
      <c r="DL311" s="8"/>
      <c r="DM311" s="8"/>
      <c r="DN311" s="8"/>
      <c r="EE311" s="42"/>
      <c r="EF311" s="5"/>
      <c r="EG311" s="35"/>
      <c r="EH311" s="5"/>
      <c r="EI311" s="6"/>
      <c r="EJ311" s="35"/>
      <c r="EK311" s="5"/>
      <c r="EL311" s="41"/>
      <c r="EM311" s="35"/>
      <c r="EN311" s="5"/>
      <c r="EO311" s="42"/>
      <c r="EP311" s="42"/>
      <c r="EQ311" s="40"/>
      <c r="ER311" s="219"/>
      <c r="ES311" s="56"/>
    </row>
    <row r="312" spans="34:149">
      <c r="AH312" s="8"/>
      <c r="AI312" s="8"/>
      <c r="AJ312" s="8"/>
      <c r="AK312" s="8"/>
      <c r="AL312" s="8"/>
      <c r="AM312" s="8"/>
      <c r="AN312" s="8"/>
      <c r="BE312" s="42"/>
      <c r="BF312" s="5"/>
      <c r="BG312" s="35"/>
      <c r="BH312" s="5"/>
      <c r="BI312" s="6"/>
      <c r="BJ312" s="35"/>
      <c r="BK312" s="5"/>
      <c r="BL312" s="41"/>
      <c r="BM312" s="35"/>
      <c r="BN312" s="5"/>
      <c r="BO312" s="42"/>
      <c r="BP312" s="42"/>
      <c r="BQ312" s="40"/>
      <c r="BR312" s="5"/>
      <c r="DA312" s="218"/>
      <c r="DH312" s="8"/>
      <c r="DI312" s="8"/>
      <c r="DJ312" s="8"/>
      <c r="DK312" s="8"/>
      <c r="DL312" s="8"/>
      <c r="DM312" s="8"/>
      <c r="DN312" s="8"/>
      <c r="EE312" s="42"/>
      <c r="EF312" s="5"/>
      <c r="EG312" s="35"/>
      <c r="EH312" s="5"/>
      <c r="EI312" s="6"/>
      <c r="EJ312" s="35"/>
      <c r="EK312" s="5"/>
      <c r="EL312" s="41"/>
      <c r="EM312" s="35"/>
      <c r="EN312" s="5"/>
      <c r="EO312" s="42"/>
      <c r="EP312" s="42"/>
      <c r="EQ312" s="40"/>
      <c r="ER312" s="219"/>
      <c r="ES312" s="56"/>
    </row>
    <row r="313" spans="34:149">
      <c r="AH313" s="8"/>
      <c r="AI313" s="8"/>
      <c r="AJ313" s="8"/>
      <c r="AK313" s="8"/>
      <c r="AL313" s="8"/>
      <c r="AM313" s="8"/>
      <c r="AN313" s="8"/>
      <c r="BE313" s="42"/>
      <c r="BF313" s="5"/>
      <c r="BG313" s="35"/>
      <c r="BH313" s="5"/>
      <c r="BI313" s="6"/>
      <c r="BJ313" s="35"/>
      <c r="BK313" s="5"/>
      <c r="BL313" s="41"/>
      <c r="BM313" s="35"/>
      <c r="BN313" s="5"/>
      <c r="BO313" s="42"/>
      <c r="BP313" s="42"/>
      <c r="BQ313" s="40"/>
      <c r="BR313" s="5"/>
      <c r="DA313" s="218"/>
      <c r="DH313" s="8"/>
      <c r="DI313" s="8"/>
      <c r="DJ313" s="8"/>
      <c r="DK313" s="8"/>
      <c r="DL313" s="8"/>
      <c r="DM313" s="8"/>
      <c r="DN313" s="8"/>
      <c r="EE313" s="42"/>
      <c r="EF313" s="5"/>
      <c r="EG313" s="35"/>
      <c r="EH313" s="5"/>
      <c r="EI313" s="6"/>
      <c r="EJ313" s="35"/>
      <c r="EK313" s="5"/>
      <c r="EL313" s="41"/>
      <c r="EM313" s="35"/>
      <c r="EN313" s="5"/>
      <c r="EO313" s="42"/>
      <c r="EP313" s="42"/>
      <c r="EQ313" s="40"/>
      <c r="ER313" s="219"/>
      <c r="ES313" s="56"/>
    </row>
    <row r="314" spans="34:149">
      <c r="AH314" s="8"/>
      <c r="AI314" s="8"/>
      <c r="AJ314" s="8"/>
      <c r="AK314" s="8"/>
      <c r="AL314" s="8"/>
      <c r="AM314" s="8"/>
      <c r="AN314" s="8"/>
      <c r="BE314" s="42"/>
      <c r="BF314" s="5"/>
      <c r="BG314" s="35"/>
      <c r="BH314" s="5"/>
      <c r="BI314" s="6"/>
      <c r="BJ314" s="35"/>
      <c r="BK314" s="5"/>
      <c r="BL314" s="41"/>
      <c r="BM314" s="35"/>
      <c r="BN314" s="5"/>
      <c r="BO314" s="42"/>
      <c r="BP314" s="42"/>
      <c r="BQ314" s="40"/>
      <c r="BR314" s="5"/>
      <c r="DA314" s="218"/>
      <c r="DH314" s="8"/>
      <c r="DI314" s="8"/>
      <c r="DJ314" s="8"/>
      <c r="DK314" s="8"/>
      <c r="DL314" s="8"/>
      <c r="DM314" s="8"/>
      <c r="DN314" s="8"/>
      <c r="EE314" s="42"/>
      <c r="EF314" s="5"/>
      <c r="EG314" s="35"/>
      <c r="EH314" s="5"/>
      <c r="EI314" s="6"/>
      <c r="EJ314" s="35"/>
      <c r="EK314" s="5"/>
      <c r="EL314" s="41"/>
      <c r="EM314" s="35"/>
      <c r="EN314" s="5"/>
      <c r="EO314" s="42"/>
      <c r="EP314" s="42"/>
      <c r="EQ314" s="40"/>
      <c r="ER314" s="219"/>
      <c r="ES314" s="56"/>
    </row>
    <row r="315" spans="34:149">
      <c r="AH315" s="8"/>
      <c r="AI315" s="8"/>
      <c r="AJ315" s="8"/>
      <c r="AK315" s="8"/>
      <c r="AL315" s="8"/>
      <c r="AM315" s="8"/>
      <c r="AN315" s="8"/>
      <c r="BE315" s="42"/>
      <c r="BF315" s="5"/>
      <c r="BG315" s="35"/>
      <c r="BH315" s="5"/>
      <c r="BI315" s="6"/>
      <c r="BJ315" s="35"/>
      <c r="BK315" s="5"/>
      <c r="BL315" s="41"/>
      <c r="BM315" s="35"/>
      <c r="BN315" s="5"/>
      <c r="BO315" s="42"/>
      <c r="BP315" s="42"/>
      <c r="BQ315" s="40"/>
      <c r="BR315" s="5"/>
      <c r="DA315" s="218"/>
      <c r="DH315" s="8"/>
      <c r="DI315" s="8"/>
      <c r="DJ315" s="8"/>
      <c r="DK315" s="8"/>
      <c r="DL315" s="8"/>
      <c r="DM315" s="8"/>
      <c r="DN315" s="8"/>
      <c r="EE315" s="42"/>
      <c r="EF315" s="5"/>
      <c r="EG315" s="35"/>
      <c r="EH315" s="5"/>
      <c r="EI315" s="6"/>
      <c r="EJ315" s="35"/>
      <c r="EK315" s="5"/>
      <c r="EL315" s="41"/>
      <c r="EM315" s="35"/>
      <c r="EN315" s="5"/>
      <c r="EO315" s="42"/>
      <c r="EP315" s="42"/>
      <c r="EQ315" s="40"/>
      <c r="ER315" s="219"/>
      <c r="ES315" s="56"/>
    </row>
    <row r="316" spans="34:149">
      <c r="AH316" s="8"/>
      <c r="AI316" s="8"/>
      <c r="AJ316" s="8"/>
      <c r="AK316" s="8"/>
      <c r="AL316" s="8"/>
      <c r="AM316" s="8"/>
      <c r="AN316" s="8"/>
      <c r="BE316" s="42"/>
      <c r="BF316" s="5"/>
      <c r="BG316" s="35"/>
      <c r="BH316" s="5"/>
      <c r="BI316" s="6"/>
      <c r="BJ316" s="35"/>
      <c r="BK316" s="5"/>
      <c r="BL316" s="41"/>
      <c r="BM316" s="35"/>
      <c r="BN316" s="5"/>
      <c r="BO316" s="42"/>
      <c r="BP316" s="42"/>
      <c r="BQ316" s="40"/>
      <c r="BR316" s="5"/>
      <c r="DA316" s="218"/>
      <c r="DH316" s="8"/>
      <c r="DI316" s="8"/>
      <c r="DJ316" s="8"/>
      <c r="DK316" s="8"/>
      <c r="DL316" s="8"/>
      <c r="DM316" s="8"/>
      <c r="DN316" s="8"/>
      <c r="EE316" s="42"/>
      <c r="EF316" s="5"/>
      <c r="EG316" s="35"/>
      <c r="EH316" s="5"/>
      <c r="EI316" s="6"/>
      <c r="EJ316" s="35"/>
      <c r="EK316" s="5"/>
      <c r="EL316" s="41"/>
      <c r="EM316" s="35"/>
      <c r="EN316" s="5"/>
      <c r="EO316" s="42"/>
      <c r="EP316" s="42"/>
      <c r="EQ316" s="40"/>
      <c r="ER316" s="219"/>
      <c r="ES316" s="56"/>
    </row>
    <row r="317" spans="34:149">
      <c r="AH317" s="8"/>
      <c r="AI317" s="8"/>
      <c r="AJ317" s="8"/>
      <c r="AK317" s="8"/>
      <c r="AL317" s="8"/>
      <c r="AM317" s="8"/>
      <c r="AN317" s="8"/>
      <c r="BE317" s="42"/>
      <c r="BF317" s="5"/>
      <c r="BG317" s="35"/>
      <c r="BH317" s="5"/>
      <c r="BI317" s="6"/>
      <c r="BJ317" s="35"/>
      <c r="BK317" s="5"/>
      <c r="BL317" s="41"/>
      <c r="BM317" s="35"/>
      <c r="BN317" s="5"/>
      <c r="BO317" s="42"/>
      <c r="BP317" s="42"/>
      <c r="BQ317" s="40"/>
      <c r="BR317" s="5"/>
      <c r="DA317" s="218"/>
      <c r="DH317" s="8"/>
      <c r="DI317" s="8"/>
      <c r="DJ317" s="8"/>
      <c r="DK317" s="8"/>
      <c r="DL317" s="8"/>
      <c r="DM317" s="8"/>
      <c r="DN317" s="8"/>
      <c r="EE317" s="42"/>
      <c r="EF317" s="5"/>
      <c r="EG317" s="35"/>
      <c r="EH317" s="5"/>
      <c r="EI317" s="6"/>
      <c r="EJ317" s="35"/>
      <c r="EK317" s="5"/>
      <c r="EL317" s="41"/>
      <c r="EM317" s="35"/>
      <c r="EN317" s="5"/>
      <c r="EO317" s="42"/>
      <c r="EP317" s="42"/>
      <c r="EQ317" s="40"/>
      <c r="ER317" s="219"/>
      <c r="ES317" s="56"/>
    </row>
    <row r="318" spans="34:149">
      <c r="AH318" s="8"/>
      <c r="AI318" s="8"/>
      <c r="AJ318" s="8"/>
      <c r="AK318" s="8"/>
      <c r="AL318" s="8"/>
      <c r="AM318" s="8"/>
      <c r="AN318" s="8"/>
      <c r="BE318" s="42"/>
      <c r="BF318" s="5"/>
      <c r="BG318" s="35"/>
      <c r="BH318" s="5"/>
      <c r="BI318" s="6"/>
      <c r="BJ318" s="35"/>
      <c r="BK318" s="5"/>
      <c r="BL318" s="41"/>
      <c r="BM318" s="35"/>
      <c r="BN318" s="5"/>
      <c r="BO318" s="42"/>
      <c r="BP318" s="42"/>
      <c r="BQ318" s="40"/>
      <c r="BR318" s="5"/>
      <c r="DA318" s="218"/>
      <c r="DH318" s="8"/>
      <c r="DI318" s="8"/>
      <c r="DJ318" s="8"/>
      <c r="DK318" s="8"/>
      <c r="DL318" s="8"/>
      <c r="DM318" s="8"/>
      <c r="DN318" s="8"/>
      <c r="EE318" s="42"/>
      <c r="EF318" s="5"/>
      <c r="EG318" s="35"/>
      <c r="EH318" s="5"/>
      <c r="EI318" s="6"/>
      <c r="EJ318" s="35"/>
      <c r="EK318" s="5"/>
      <c r="EL318" s="41"/>
      <c r="EM318" s="35"/>
      <c r="EN318" s="5"/>
      <c r="EO318" s="42"/>
      <c r="EP318" s="42"/>
      <c r="EQ318" s="40"/>
      <c r="ER318" s="219"/>
      <c r="ES318" s="56"/>
    </row>
    <row r="319" spans="34:149">
      <c r="AH319" s="8"/>
      <c r="AI319" s="8"/>
      <c r="AJ319" s="8"/>
      <c r="AK319" s="8"/>
      <c r="AL319" s="8"/>
      <c r="AM319" s="8"/>
      <c r="AN319" s="8"/>
      <c r="BE319" s="42"/>
      <c r="BF319" s="5"/>
      <c r="BG319" s="35"/>
      <c r="BH319" s="5"/>
      <c r="BI319" s="6"/>
      <c r="BJ319" s="35"/>
      <c r="BK319" s="5"/>
      <c r="BL319" s="41"/>
      <c r="BM319" s="35"/>
      <c r="BN319" s="5"/>
      <c r="BO319" s="42"/>
      <c r="BP319" s="42"/>
      <c r="BQ319" s="40"/>
      <c r="BR319" s="5"/>
      <c r="DA319" s="218"/>
      <c r="DH319" s="8"/>
      <c r="DI319" s="8"/>
      <c r="DJ319" s="8"/>
      <c r="DK319" s="8"/>
      <c r="DL319" s="8"/>
      <c r="DM319" s="8"/>
      <c r="DN319" s="8"/>
      <c r="EE319" s="42"/>
      <c r="EF319" s="5"/>
      <c r="EG319" s="35"/>
      <c r="EH319" s="5"/>
      <c r="EI319" s="6"/>
      <c r="EJ319" s="35"/>
      <c r="EK319" s="5"/>
      <c r="EL319" s="41"/>
      <c r="EM319" s="35"/>
      <c r="EN319" s="5"/>
      <c r="EO319" s="42"/>
      <c r="EP319" s="42"/>
      <c r="EQ319" s="40"/>
      <c r="ER319" s="219"/>
      <c r="ES319" s="56"/>
    </row>
    <row r="320" spans="34:149">
      <c r="AH320" s="8"/>
      <c r="AI320" s="8"/>
      <c r="AJ320" s="8"/>
      <c r="AK320" s="8"/>
      <c r="AL320" s="8"/>
      <c r="AM320" s="8"/>
      <c r="AN320" s="8"/>
      <c r="BE320" s="42"/>
      <c r="BF320" s="5"/>
      <c r="BG320" s="35"/>
      <c r="BH320" s="5"/>
      <c r="BI320" s="6"/>
      <c r="BJ320" s="35"/>
      <c r="BK320" s="5"/>
      <c r="BL320" s="41"/>
      <c r="BM320" s="35"/>
      <c r="BN320" s="5"/>
      <c r="BO320" s="42"/>
      <c r="BP320" s="42"/>
      <c r="BQ320" s="40"/>
      <c r="BR320" s="5"/>
      <c r="DA320" s="218"/>
      <c r="DH320" s="8"/>
      <c r="DI320" s="8"/>
      <c r="DJ320" s="8"/>
      <c r="DK320" s="8"/>
      <c r="DL320" s="8"/>
      <c r="DM320" s="8"/>
      <c r="DN320" s="8"/>
      <c r="EE320" s="42"/>
      <c r="EF320" s="5"/>
      <c r="EG320" s="35"/>
      <c r="EH320" s="5"/>
      <c r="EI320" s="6"/>
      <c r="EJ320" s="35"/>
      <c r="EK320" s="5"/>
      <c r="EL320" s="41"/>
      <c r="EM320" s="35"/>
      <c r="EN320" s="5"/>
      <c r="EO320" s="42"/>
      <c r="EP320" s="42"/>
      <c r="EQ320" s="40"/>
      <c r="ER320" s="219"/>
      <c r="ES320" s="56"/>
    </row>
    <row r="321" spans="34:149">
      <c r="AH321" s="8"/>
      <c r="AI321" s="8"/>
      <c r="AJ321" s="8"/>
      <c r="AK321" s="8"/>
      <c r="AL321" s="8"/>
      <c r="AM321" s="8"/>
      <c r="AN321" s="8"/>
      <c r="BE321" s="42"/>
      <c r="BF321" s="5"/>
      <c r="BG321" s="35"/>
      <c r="BH321" s="5"/>
      <c r="BI321" s="6"/>
      <c r="BJ321" s="35"/>
      <c r="BK321" s="5"/>
      <c r="BL321" s="41"/>
      <c r="BM321" s="35"/>
      <c r="BN321" s="5"/>
      <c r="BO321" s="42"/>
      <c r="BP321" s="42"/>
      <c r="BQ321" s="40"/>
      <c r="BR321" s="5"/>
      <c r="DA321" s="218"/>
      <c r="DH321" s="8"/>
      <c r="DI321" s="8"/>
      <c r="DJ321" s="8"/>
      <c r="DK321" s="8"/>
      <c r="DL321" s="8"/>
      <c r="DM321" s="8"/>
      <c r="DN321" s="8"/>
      <c r="EE321" s="42"/>
      <c r="EF321" s="5"/>
      <c r="EG321" s="35"/>
      <c r="EH321" s="5"/>
      <c r="EI321" s="6"/>
      <c r="EJ321" s="35"/>
      <c r="EK321" s="5"/>
      <c r="EL321" s="41"/>
      <c r="EM321" s="35"/>
      <c r="EN321" s="5"/>
      <c r="EO321" s="42"/>
      <c r="EP321" s="42"/>
      <c r="EQ321" s="40"/>
      <c r="ER321" s="219"/>
      <c r="ES321" s="56"/>
    </row>
    <row r="322" spans="34:149">
      <c r="AH322" s="8"/>
      <c r="AI322" s="8"/>
      <c r="AJ322" s="8"/>
      <c r="AK322" s="8"/>
      <c r="AL322" s="8"/>
      <c r="AM322" s="8"/>
      <c r="AN322" s="8"/>
      <c r="BE322" s="42"/>
      <c r="BF322" s="5"/>
      <c r="BG322" s="35"/>
      <c r="BH322" s="5"/>
      <c r="BI322" s="6"/>
      <c r="BJ322" s="35"/>
      <c r="BK322" s="5"/>
      <c r="BL322" s="41"/>
      <c r="BM322" s="35"/>
      <c r="BN322" s="5"/>
      <c r="BO322" s="42"/>
      <c r="BP322" s="42"/>
      <c r="BQ322" s="40"/>
      <c r="BR322" s="5"/>
      <c r="DA322" s="218"/>
      <c r="DH322" s="8"/>
      <c r="DI322" s="8"/>
      <c r="DJ322" s="8"/>
      <c r="DK322" s="8"/>
      <c r="DL322" s="8"/>
      <c r="DM322" s="8"/>
      <c r="DN322" s="8"/>
      <c r="EE322" s="42"/>
      <c r="EF322" s="5"/>
      <c r="EG322" s="35"/>
      <c r="EH322" s="5"/>
      <c r="EI322" s="6"/>
      <c r="EJ322" s="35"/>
      <c r="EK322" s="5"/>
      <c r="EL322" s="41"/>
      <c r="EM322" s="35"/>
      <c r="EN322" s="5"/>
      <c r="EO322" s="42"/>
      <c r="EP322" s="42"/>
      <c r="EQ322" s="40"/>
      <c r="ER322" s="219"/>
      <c r="ES322" s="56"/>
    </row>
    <row r="323" spans="34:149">
      <c r="AH323" s="8"/>
      <c r="AI323" s="8"/>
      <c r="AJ323" s="8"/>
      <c r="AK323" s="8"/>
      <c r="AL323" s="8"/>
      <c r="AM323" s="8"/>
      <c r="AN323" s="8"/>
      <c r="BE323" s="42"/>
      <c r="BF323" s="5"/>
      <c r="BG323" s="35"/>
      <c r="BH323" s="5"/>
      <c r="BI323" s="6"/>
      <c r="BJ323" s="35"/>
      <c r="BK323" s="5"/>
      <c r="BL323" s="41"/>
      <c r="BM323" s="35"/>
      <c r="BN323" s="5"/>
      <c r="BO323" s="42"/>
      <c r="BP323" s="42"/>
      <c r="BQ323" s="40"/>
      <c r="BR323" s="5"/>
      <c r="DA323" s="218"/>
      <c r="DH323" s="8"/>
      <c r="DI323" s="8"/>
      <c r="DJ323" s="8"/>
      <c r="DK323" s="8"/>
      <c r="DL323" s="8"/>
      <c r="DM323" s="8"/>
      <c r="DN323" s="8"/>
      <c r="EE323" s="42"/>
      <c r="EF323" s="5"/>
      <c r="EG323" s="35"/>
      <c r="EH323" s="5"/>
      <c r="EI323" s="6"/>
      <c r="EJ323" s="35"/>
      <c r="EK323" s="5"/>
      <c r="EL323" s="41"/>
      <c r="EM323" s="35"/>
      <c r="EN323" s="5"/>
      <c r="EO323" s="42"/>
      <c r="EP323" s="42"/>
      <c r="EQ323" s="40"/>
      <c r="ER323" s="219"/>
      <c r="ES323" s="56"/>
    </row>
    <row r="324" spans="34:149">
      <c r="AH324" s="8"/>
      <c r="AI324" s="8"/>
      <c r="AJ324" s="8"/>
      <c r="AK324" s="8"/>
      <c r="AL324" s="8"/>
      <c r="AM324" s="8"/>
      <c r="AN324" s="8"/>
      <c r="BE324" s="42"/>
      <c r="BF324" s="5"/>
      <c r="BG324" s="35"/>
      <c r="BH324" s="5"/>
      <c r="BI324" s="6"/>
      <c r="BJ324" s="35"/>
      <c r="BK324" s="5"/>
      <c r="BL324" s="41"/>
      <c r="BM324" s="35"/>
      <c r="BN324" s="5"/>
      <c r="BO324" s="42"/>
      <c r="BP324" s="42"/>
      <c r="BQ324" s="40"/>
      <c r="BR324" s="5"/>
      <c r="DA324" s="218"/>
      <c r="DH324" s="8"/>
      <c r="DI324" s="8"/>
      <c r="DJ324" s="8"/>
      <c r="DK324" s="8"/>
      <c r="DL324" s="8"/>
      <c r="DM324" s="8"/>
      <c r="DN324" s="8"/>
      <c r="EE324" s="42"/>
      <c r="EF324" s="5"/>
      <c r="EG324" s="35"/>
      <c r="EH324" s="5"/>
      <c r="EI324" s="6"/>
      <c r="EJ324" s="35"/>
      <c r="EK324" s="5"/>
      <c r="EL324" s="41"/>
      <c r="EM324" s="35"/>
      <c r="EN324" s="5"/>
      <c r="EO324" s="42"/>
      <c r="EP324" s="42"/>
      <c r="EQ324" s="40"/>
      <c r="ER324" s="219"/>
      <c r="ES324" s="56"/>
    </row>
    <row r="325" spans="34:149">
      <c r="AH325" s="8"/>
      <c r="AI325" s="8"/>
      <c r="AJ325" s="8"/>
      <c r="AK325" s="8"/>
      <c r="AL325" s="8"/>
      <c r="AM325" s="8"/>
      <c r="AN325" s="8"/>
      <c r="BE325" s="42"/>
      <c r="BF325" s="5"/>
      <c r="BG325" s="35"/>
      <c r="BH325" s="5"/>
      <c r="BI325" s="6"/>
      <c r="BJ325" s="35"/>
      <c r="BK325" s="5"/>
      <c r="BL325" s="41"/>
      <c r="BM325" s="35"/>
      <c r="BN325" s="5"/>
      <c r="BO325" s="42"/>
      <c r="BP325" s="42"/>
      <c r="BQ325" s="40"/>
      <c r="BR325" s="5"/>
      <c r="DA325" s="218"/>
      <c r="DH325" s="8"/>
      <c r="DI325" s="8"/>
      <c r="DJ325" s="8"/>
      <c r="DK325" s="8"/>
      <c r="DL325" s="8"/>
      <c r="DM325" s="8"/>
      <c r="DN325" s="8"/>
      <c r="EE325" s="42"/>
      <c r="EF325" s="5"/>
      <c r="EG325" s="35"/>
      <c r="EH325" s="5"/>
      <c r="EI325" s="6"/>
      <c r="EJ325" s="35"/>
      <c r="EK325" s="5"/>
      <c r="EL325" s="41"/>
      <c r="EM325" s="35"/>
      <c r="EN325" s="5"/>
      <c r="EO325" s="42"/>
      <c r="EP325" s="42"/>
      <c r="EQ325" s="40"/>
      <c r="ER325" s="219"/>
      <c r="ES325" s="56"/>
    </row>
    <row r="326" spans="34:149">
      <c r="AH326" s="8"/>
      <c r="AI326" s="8"/>
      <c r="AJ326" s="8"/>
      <c r="AK326" s="8"/>
      <c r="AL326" s="8"/>
      <c r="AM326" s="8"/>
      <c r="AN326" s="8"/>
      <c r="BE326" s="42"/>
      <c r="BF326" s="5"/>
      <c r="BG326" s="35"/>
      <c r="BH326" s="5"/>
      <c r="BI326" s="6"/>
      <c r="BJ326" s="35"/>
      <c r="BK326" s="5"/>
      <c r="BL326" s="41"/>
      <c r="BM326" s="35"/>
      <c r="BN326" s="5"/>
      <c r="BO326" s="42"/>
      <c r="BP326" s="42"/>
      <c r="BQ326" s="40"/>
      <c r="BR326" s="5"/>
      <c r="DA326" s="218"/>
      <c r="DH326" s="8"/>
      <c r="DI326" s="8"/>
      <c r="DJ326" s="8"/>
      <c r="DK326" s="8"/>
      <c r="DL326" s="8"/>
      <c r="DM326" s="8"/>
      <c r="DN326" s="8"/>
      <c r="EE326" s="42"/>
      <c r="EF326" s="5"/>
      <c r="EG326" s="35"/>
      <c r="EH326" s="5"/>
      <c r="EI326" s="6"/>
      <c r="EJ326" s="35"/>
      <c r="EK326" s="5"/>
      <c r="EL326" s="41"/>
      <c r="EM326" s="35"/>
      <c r="EN326" s="5"/>
      <c r="EO326" s="42"/>
      <c r="EP326" s="42"/>
      <c r="EQ326" s="40"/>
      <c r="ER326" s="219"/>
      <c r="ES326" s="56"/>
    </row>
    <row r="327" spans="34:149">
      <c r="AH327" s="8"/>
      <c r="AI327" s="8"/>
      <c r="AJ327" s="8"/>
      <c r="AK327" s="8"/>
      <c r="AL327" s="8"/>
      <c r="AM327" s="8"/>
      <c r="AN327" s="8"/>
      <c r="BE327" s="42"/>
      <c r="BF327" s="5"/>
      <c r="BG327" s="35"/>
      <c r="BH327" s="5"/>
      <c r="BI327" s="6"/>
      <c r="BJ327" s="35"/>
      <c r="BK327" s="5"/>
      <c r="BL327" s="41"/>
      <c r="BM327" s="35"/>
      <c r="BN327" s="5"/>
      <c r="BO327" s="42"/>
      <c r="BP327" s="42"/>
      <c r="BQ327" s="40"/>
      <c r="BR327" s="5"/>
      <c r="DA327" s="218"/>
      <c r="DH327" s="8"/>
      <c r="DI327" s="8"/>
      <c r="DJ327" s="8"/>
      <c r="DK327" s="8"/>
      <c r="DL327" s="8"/>
      <c r="DM327" s="8"/>
      <c r="DN327" s="8"/>
      <c r="EE327" s="42"/>
      <c r="EF327" s="5"/>
      <c r="EG327" s="35"/>
      <c r="EH327" s="5"/>
      <c r="EI327" s="6"/>
      <c r="EJ327" s="35"/>
      <c r="EK327" s="5"/>
      <c r="EL327" s="41"/>
      <c r="EM327" s="35"/>
      <c r="EN327" s="5"/>
      <c r="EO327" s="42"/>
      <c r="EP327" s="42"/>
      <c r="EQ327" s="40"/>
      <c r="ER327" s="219"/>
      <c r="ES327" s="56"/>
    </row>
    <row r="328" spans="34:149">
      <c r="AH328" s="8"/>
      <c r="AI328" s="8"/>
      <c r="AJ328" s="8"/>
      <c r="AK328" s="8"/>
      <c r="AL328" s="8"/>
      <c r="AM328" s="8"/>
      <c r="AN328" s="8"/>
      <c r="BE328" s="42"/>
      <c r="BF328" s="5"/>
      <c r="BG328" s="35"/>
      <c r="BH328" s="5"/>
      <c r="BI328" s="6"/>
      <c r="BJ328" s="35"/>
      <c r="BK328" s="5"/>
      <c r="BL328" s="41"/>
      <c r="BM328" s="35"/>
      <c r="BN328" s="5"/>
      <c r="BO328" s="42"/>
      <c r="BP328" s="42"/>
      <c r="BQ328" s="40"/>
      <c r="BR328" s="5"/>
      <c r="DA328" s="218"/>
      <c r="DH328" s="8"/>
      <c r="DI328" s="8"/>
      <c r="DJ328" s="8"/>
      <c r="DK328" s="8"/>
      <c r="DL328" s="8"/>
      <c r="DM328" s="8"/>
      <c r="DN328" s="8"/>
      <c r="EE328" s="42"/>
      <c r="EF328" s="5"/>
      <c r="EG328" s="35"/>
      <c r="EH328" s="5"/>
      <c r="EI328" s="6"/>
      <c r="EJ328" s="35"/>
      <c r="EK328" s="5"/>
      <c r="EL328" s="41"/>
      <c r="EM328" s="35"/>
      <c r="EN328" s="5"/>
      <c r="EO328" s="42"/>
      <c r="EP328" s="42"/>
      <c r="EQ328" s="40"/>
      <c r="ER328" s="219"/>
      <c r="ES328" s="56"/>
    </row>
    <row r="329" spans="34:149">
      <c r="AH329" s="8"/>
      <c r="AI329" s="8"/>
      <c r="AJ329" s="8"/>
      <c r="AK329" s="8"/>
      <c r="AL329" s="8"/>
      <c r="AM329" s="8"/>
      <c r="AN329" s="8"/>
      <c r="BE329" s="42"/>
      <c r="BF329" s="5"/>
      <c r="BG329" s="35"/>
      <c r="BH329" s="5"/>
      <c r="BI329" s="6"/>
      <c r="BJ329" s="35"/>
      <c r="BK329" s="5"/>
      <c r="BL329" s="41"/>
      <c r="BM329" s="35"/>
      <c r="BN329" s="5"/>
      <c r="BO329" s="42"/>
      <c r="BP329" s="42"/>
      <c r="BQ329" s="40"/>
      <c r="BR329" s="5"/>
      <c r="DA329" s="218"/>
      <c r="DH329" s="8"/>
      <c r="DI329" s="8"/>
      <c r="DJ329" s="8"/>
      <c r="DK329" s="8"/>
      <c r="DL329" s="8"/>
      <c r="DM329" s="8"/>
      <c r="DN329" s="8"/>
      <c r="EE329" s="42"/>
      <c r="EF329" s="5"/>
      <c r="EG329" s="35"/>
      <c r="EH329" s="5"/>
      <c r="EI329" s="6"/>
      <c r="EJ329" s="35"/>
      <c r="EK329" s="5"/>
      <c r="EL329" s="41"/>
      <c r="EM329" s="35"/>
      <c r="EN329" s="5"/>
      <c r="EO329" s="42"/>
      <c r="EP329" s="42"/>
      <c r="EQ329" s="40"/>
      <c r="ER329" s="219"/>
      <c r="ES329" s="56"/>
    </row>
    <row r="330" spans="34:149">
      <c r="AH330" s="8"/>
      <c r="AI330" s="8"/>
      <c r="AJ330" s="8"/>
      <c r="AK330" s="8"/>
      <c r="AL330" s="8"/>
      <c r="AM330" s="8"/>
      <c r="AN330" s="8"/>
      <c r="BE330" s="42"/>
      <c r="BF330" s="5"/>
      <c r="BG330" s="35"/>
      <c r="BH330" s="5"/>
      <c r="BI330" s="6"/>
      <c r="BJ330" s="35"/>
      <c r="BK330" s="5"/>
      <c r="BL330" s="41"/>
      <c r="BM330" s="35"/>
      <c r="BN330" s="5"/>
      <c r="BO330" s="42"/>
      <c r="BP330" s="42"/>
      <c r="BQ330" s="40"/>
      <c r="BR330" s="5"/>
      <c r="DA330" s="218"/>
      <c r="DH330" s="8"/>
      <c r="DI330" s="8"/>
      <c r="DJ330" s="8"/>
      <c r="DK330" s="8"/>
      <c r="DL330" s="8"/>
      <c r="DM330" s="8"/>
      <c r="DN330" s="8"/>
      <c r="EE330" s="42"/>
      <c r="EF330" s="5"/>
      <c r="EG330" s="35"/>
      <c r="EH330" s="5"/>
      <c r="EI330" s="6"/>
      <c r="EJ330" s="35"/>
      <c r="EK330" s="5"/>
      <c r="EL330" s="41"/>
      <c r="EM330" s="35"/>
      <c r="EN330" s="5"/>
      <c r="EO330" s="42"/>
      <c r="EP330" s="42"/>
      <c r="EQ330" s="40"/>
      <c r="ER330" s="219"/>
      <c r="ES330" s="56"/>
    </row>
    <row r="331" spans="34:149">
      <c r="AH331" s="8"/>
      <c r="AI331" s="8"/>
      <c r="AJ331" s="8"/>
      <c r="AK331" s="8"/>
      <c r="AL331" s="8"/>
      <c r="AM331" s="8"/>
      <c r="AN331" s="8"/>
      <c r="BE331" s="42"/>
      <c r="BF331" s="5"/>
      <c r="BG331" s="35"/>
      <c r="BH331" s="5"/>
      <c r="BI331" s="6"/>
      <c r="BJ331" s="35"/>
      <c r="BK331" s="5"/>
      <c r="BL331" s="41"/>
      <c r="BM331" s="35"/>
      <c r="BN331" s="5"/>
      <c r="BO331" s="42"/>
      <c r="BP331" s="42"/>
      <c r="BQ331" s="40"/>
      <c r="BR331" s="5"/>
      <c r="DA331" s="218"/>
      <c r="DH331" s="8"/>
      <c r="DI331" s="8"/>
      <c r="DJ331" s="8"/>
      <c r="DK331" s="8"/>
      <c r="DL331" s="8"/>
      <c r="DM331" s="8"/>
      <c r="DN331" s="8"/>
      <c r="EE331" s="42"/>
      <c r="EF331" s="5"/>
      <c r="EG331" s="35"/>
      <c r="EH331" s="5"/>
      <c r="EI331" s="6"/>
      <c r="EJ331" s="35"/>
      <c r="EK331" s="5"/>
      <c r="EL331" s="41"/>
      <c r="EM331" s="35"/>
      <c r="EN331" s="5"/>
      <c r="EO331" s="42"/>
      <c r="EP331" s="42"/>
      <c r="EQ331" s="40"/>
      <c r="ER331" s="219"/>
      <c r="ES331" s="56"/>
    </row>
    <row r="332" spans="34:149">
      <c r="AH332" s="8"/>
      <c r="AI332" s="8"/>
      <c r="AJ332" s="8"/>
      <c r="AK332" s="8"/>
      <c r="AL332" s="8"/>
      <c r="AM332" s="8"/>
      <c r="AN332" s="8"/>
      <c r="BE332" s="42"/>
      <c r="BF332" s="5"/>
      <c r="BG332" s="35"/>
      <c r="BH332" s="5"/>
      <c r="BI332" s="6"/>
      <c r="BJ332" s="35"/>
      <c r="BK332" s="5"/>
      <c r="BL332" s="41"/>
      <c r="BM332" s="35"/>
      <c r="BN332" s="5"/>
      <c r="BO332" s="42"/>
      <c r="BP332" s="42"/>
      <c r="BQ332" s="40"/>
      <c r="BR332" s="5"/>
      <c r="DA332" s="218"/>
      <c r="DH332" s="8"/>
      <c r="DI332" s="8"/>
      <c r="DJ332" s="8"/>
      <c r="DK332" s="8"/>
      <c r="DL332" s="8"/>
      <c r="DM332" s="8"/>
      <c r="DN332" s="8"/>
      <c r="EE332" s="42"/>
      <c r="EF332" s="5"/>
      <c r="EG332" s="35"/>
      <c r="EH332" s="5"/>
      <c r="EI332" s="6"/>
      <c r="EJ332" s="35"/>
      <c r="EK332" s="5"/>
      <c r="EL332" s="41"/>
      <c r="EM332" s="35"/>
      <c r="EN332" s="5"/>
      <c r="EO332" s="42"/>
      <c r="EP332" s="42"/>
      <c r="EQ332" s="40"/>
      <c r="ER332" s="219"/>
      <c r="ES332" s="56"/>
    </row>
    <row r="333" spans="34:149">
      <c r="AH333" s="8"/>
      <c r="AI333" s="8"/>
      <c r="AJ333" s="8"/>
      <c r="AK333" s="8"/>
      <c r="AL333" s="8"/>
      <c r="AM333" s="8"/>
      <c r="AN333" s="8"/>
      <c r="BE333" s="42"/>
      <c r="BF333" s="5"/>
      <c r="BG333" s="35"/>
      <c r="BH333" s="5"/>
      <c r="BI333" s="6"/>
      <c r="BJ333" s="35"/>
      <c r="BK333" s="5"/>
      <c r="BL333" s="41"/>
      <c r="BM333" s="35"/>
      <c r="BN333" s="5"/>
      <c r="BO333" s="42"/>
      <c r="BP333" s="42"/>
      <c r="BQ333" s="40"/>
      <c r="BR333" s="5"/>
      <c r="DA333" s="218"/>
      <c r="DH333" s="8"/>
      <c r="DI333" s="8"/>
      <c r="DJ333" s="8"/>
      <c r="DK333" s="8"/>
      <c r="DL333" s="8"/>
      <c r="DM333" s="8"/>
      <c r="DN333" s="8"/>
      <c r="EE333" s="42"/>
      <c r="EF333" s="5"/>
      <c r="EG333" s="35"/>
      <c r="EH333" s="5"/>
      <c r="EI333" s="6"/>
      <c r="EJ333" s="35"/>
      <c r="EK333" s="5"/>
      <c r="EL333" s="41"/>
      <c r="EM333" s="35"/>
      <c r="EN333" s="5"/>
      <c r="EO333" s="42"/>
      <c r="EP333" s="42"/>
      <c r="EQ333" s="40"/>
      <c r="ER333" s="219"/>
      <c r="ES333" s="56"/>
    </row>
    <row r="334" spans="34:149">
      <c r="AH334" s="8"/>
      <c r="AI334" s="8"/>
      <c r="AJ334" s="8"/>
      <c r="AK334" s="8"/>
      <c r="AL334" s="8"/>
      <c r="AM334" s="8"/>
      <c r="AN334" s="8"/>
      <c r="BE334" s="42"/>
      <c r="BF334" s="5"/>
      <c r="BG334" s="35"/>
      <c r="BH334" s="5"/>
      <c r="BI334" s="6"/>
      <c r="BJ334" s="35"/>
      <c r="BK334" s="5"/>
      <c r="BL334" s="41"/>
      <c r="BM334" s="35"/>
      <c r="BN334" s="5"/>
      <c r="BO334" s="42"/>
      <c r="BP334" s="42"/>
      <c r="BQ334" s="40"/>
      <c r="BR334" s="5"/>
      <c r="DA334" s="218"/>
      <c r="DH334" s="8"/>
      <c r="DI334" s="8"/>
      <c r="DJ334" s="8"/>
      <c r="DK334" s="8"/>
      <c r="DL334" s="8"/>
      <c r="DM334" s="8"/>
      <c r="DN334" s="8"/>
      <c r="EE334" s="42"/>
      <c r="EF334" s="5"/>
      <c r="EG334" s="35"/>
      <c r="EH334" s="5"/>
      <c r="EI334" s="6"/>
      <c r="EJ334" s="35"/>
      <c r="EK334" s="5"/>
      <c r="EL334" s="41"/>
      <c r="EM334" s="35"/>
      <c r="EN334" s="5"/>
      <c r="EO334" s="42"/>
      <c r="EP334" s="42"/>
      <c r="EQ334" s="40"/>
      <c r="ER334" s="219"/>
      <c r="ES334" s="56"/>
    </row>
    <row r="335" spans="34:149">
      <c r="AH335" s="8"/>
      <c r="AI335" s="8"/>
      <c r="AJ335" s="8"/>
      <c r="AK335" s="8"/>
      <c r="AL335" s="8"/>
      <c r="AM335" s="8"/>
      <c r="AN335" s="8"/>
      <c r="BE335" s="42"/>
      <c r="BF335" s="5"/>
      <c r="BG335" s="35"/>
      <c r="BH335" s="5"/>
      <c r="BI335" s="6"/>
      <c r="BJ335" s="35"/>
      <c r="BK335" s="5"/>
      <c r="BL335" s="41"/>
      <c r="BM335" s="35"/>
      <c r="BN335" s="5"/>
      <c r="BO335" s="42"/>
      <c r="BP335" s="42"/>
      <c r="BQ335" s="40"/>
      <c r="BR335" s="5"/>
      <c r="DA335" s="218"/>
      <c r="DH335" s="8"/>
      <c r="DI335" s="8"/>
      <c r="DJ335" s="8"/>
      <c r="DK335" s="8"/>
      <c r="DL335" s="8"/>
      <c r="DM335" s="8"/>
      <c r="DN335" s="8"/>
      <c r="EE335" s="42"/>
      <c r="EF335" s="5"/>
      <c r="EG335" s="35"/>
      <c r="EH335" s="5"/>
      <c r="EI335" s="6"/>
      <c r="EJ335" s="35"/>
      <c r="EK335" s="5"/>
      <c r="EL335" s="41"/>
      <c r="EM335" s="35"/>
      <c r="EN335" s="5"/>
      <c r="EO335" s="42"/>
      <c r="EP335" s="42"/>
      <c r="EQ335" s="40"/>
      <c r="ER335" s="219"/>
      <c r="ES335" s="56"/>
    </row>
    <row r="336" spans="34:149">
      <c r="AH336" s="8"/>
      <c r="AI336" s="8"/>
      <c r="AJ336" s="8"/>
      <c r="AK336" s="8"/>
      <c r="AL336" s="8"/>
      <c r="AM336" s="8"/>
      <c r="AN336" s="8"/>
      <c r="BE336" s="42"/>
      <c r="BF336" s="5"/>
      <c r="BG336" s="35"/>
      <c r="BH336" s="5"/>
      <c r="BI336" s="6"/>
      <c r="BJ336" s="35"/>
      <c r="BK336" s="5"/>
      <c r="BL336" s="41"/>
      <c r="BM336" s="35"/>
      <c r="BN336" s="5"/>
      <c r="BO336" s="42"/>
      <c r="BP336" s="42"/>
      <c r="BQ336" s="40"/>
      <c r="BR336" s="5"/>
      <c r="DA336" s="218"/>
      <c r="DH336" s="8"/>
      <c r="DI336" s="8"/>
      <c r="DJ336" s="8"/>
      <c r="DK336" s="8"/>
      <c r="DL336" s="8"/>
      <c r="DM336" s="8"/>
      <c r="DN336" s="8"/>
      <c r="EE336" s="42"/>
      <c r="EF336" s="5"/>
      <c r="EG336" s="35"/>
      <c r="EH336" s="5"/>
      <c r="EI336" s="6"/>
      <c r="EJ336" s="35"/>
      <c r="EK336" s="5"/>
      <c r="EL336" s="41"/>
      <c r="EM336" s="35"/>
      <c r="EN336" s="5"/>
      <c r="EO336" s="42"/>
      <c r="EP336" s="42"/>
      <c r="EQ336" s="40"/>
      <c r="ER336" s="219"/>
      <c r="ES336" s="56"/>
    </row>
    <row r="337" spans="34:149">
      <c r="AH337" s="8"/>
      <c r="AI337" s="8"/>
      <c r="AJ337" s="8"/>
      <c r="AK337" s="8"/>
      <c r="AL337" s="8"/>
      <c r="AM337" s="8"/>
      <c r="AN337" s="8"/>
      <c r="BE337" s="42"/>
      <c r="BF337" s="5"/>
      <c r="BG337" s="35"/>
      <c r="BH337" s="5"/>
      <c r="BI337" s="6"/>
      <c r="BJ337" s="35"/>
      <c r="BK337" s="5"/>
      <c r="BL337" s="41"/>
      <c r="BM337" s="35"/>
      <c r="BN337" s="5"/>
      <c r="BO337" s="42"/>
      <c r="BP337" s="42"/>
      <c r="BQ337" s="40"/>
      <c r="BR337" s="5"/>
      <c r="DA337" s="218"/>
      <c r="DH337" s="8"/>
      <c r="DI337" s="8"/>
      <c r="DJ337" s="8"/>
      <c r="DK337" s="8"/>
      <c r="DL337" s="8"/>
      <c r="DM337" s="8"/>
      <c r="DN337" s="8"/>
      <c r="EE337" s="42"/>
      <c r="EF337" s="5"/>
      <c r="EG337" s="35"/>
      <c r="EH337" s="5"/>
      <c r="EI337" s="6"/>
      <c r="EJ337" s="35"/>
      <c r="EK337" s="5"/>
      <c r="EL337" s="41"/>
      <c r="EM337" s="35"/>
      <c r="EN337" s="5"/>
      <c r="EO337" s="42"/>
      <c r="EP337" s="42"/>
      <c r="EQ337" s="40"/>
      <c r="ER337" s="219"/>
      <c r="ES337" s="56"/>
    </row>
    <row r="338" spans="34:149">
      <c r="AH338" s="8"/>
      <c r="AI338" s="8"/>
      <c r="AJ338" s="8"/>
      <c r="AK338" s="8"/>
      <c r="AL338" s="8"/>
      <c r="AM338" s="8"/>
      <c r="AN338" s="8"/>
      <c r="BE338" s="42"/>
      <c r="BF338" s="5"/>
      <c r="BG338" s="35"/>
      <c r="BH338" s="5"/>
      <c r="BI338" s="6"/>
      <c r="BJ338" s="35"/>
      <c r="BK338" s="5"/>
      <c r="BL338" s="41"/>
      <c r="BM338" s="35"/>
      <c r="BN338" s="5"/>
      <c r="BO338" s="42"/>
      <c r="BP338" s="42"/>
      <c r="BQ338" s="40"/>
      <c r="BR338" s="5"/>
      <c r="DA338" s="218"/>
      <c r="DH338" s="8"/>
      <c r="DI338" s="8"/>
      <c r="DJ338" s="8"/>
      <c r="DK338" s="8"/>
      <c r="DL338" s="8"/>
      <c r="DM338" s="8"/>
      <c r="DN338" s="8"/>
      <c r="EE338" s="42"/>
      <c r="EF338" s="5"/>
      <c r="EG338" s="35"/>
      <c r="EH338" s="5"/>
      <c r="EI338" s="6"/>
      <c r="EJ338" s="35"/>
      <c r="EK338" s="5"/>
      <c r="EL338" s="41"/>
      <c r="EM338" s="35"/>
      <c r="EN338" s="5"/>
      <c r="EO338" s="42"/>
      <c r="EP338" s="42"/>
      <c r="EQ338" s="40"/>
      <c r="ER338" s="219"/>
      <c r="ES338" s="56"/>
    </row>
    <row r="339" spans="34:149">
      <c r="AH339" s="8"/>
      <c r="AI339" s="8"/>
      <c r="AJ339" s="8"/>
      <c r="AK339" s="8"/>
      <c r="AL339" s="8"/>
      <c r="AM339" s="8"/>
      <c r="AN339" s="8"/>
      <c r="BE339" s="42"/>
      <c r="BF339" s="5"/>
      <c r="BG339" s="35"/>
      <c r="BH339" s="5"/>
      <c r="BI339" s="6"/>
      <c r="BJ339" s="35"/>
      <c r="BK339" s="5"/>
      <c r="BL339" s="41"/>
      <c r="BM339" s="35"/>
      <c r="BN339" s="5"/>
      <c r="BO339" s="42"/>
      <c r="BP339" s="42"/>
      <c r="BQ339" s="40"/>
      <c r="BR339" s="5"/>
      <c r="DA339" s="218"/>
      <c r="DH339" s="8"/>
      <c r="DI339" s="8"/>
      <c r="DJ339" s="8"/>
      <c r="DK339" s="8"/>
      <c r="DL339" s="8"/>
      <c r="DM339" s="8"/>
      <c r="DN339" s="8"/>
      <c r="EE339" s="42"/>
      <c r="EF339" s="5"/>
      <c r="EG339" s="35"/>
      <c r="EH339" s="5"/>
      <c r="EI339" s="6"/>
      <c r="EJ339" s="35"/>
      <c r="EK339" s="5"/>
      <c r="EL339" s="41"/>
      <c r="EM339" s="35"/>
      <c r="EN339" s="5"/>
      <c r="EO339" s="42"/>
      <c r="EP339" s="42"/>
      <c r="EQ339" s="40"/>
      <c r="ER339" s="219"/>
      <c r="ES339" s="56"/>
    </row>
    <row r="340" spans="34:149">
      <c r="AH340" s="8"/>
      <c r="AI340" s="8"/>
      <c r="AJ340" s="8"/>
      <c r="AK340" s="8"/>
      <c r="AL340" s="8"/>
      <c r="AM340" s="8"/>
      <c r="AN340" s="8"/>
      <c r="BE340" s="42"/>
      <c r="BF340" s="5"/>
      <c r="BG340" s="35"/>
      <c r="BH340" s="5"/>
      <c r="BI340" s="6"/>
      <c r="BJ340" s="35"/>
      <c r="BK340" s="5"/>
      <c r="BL340" s="41"/>
      <c r="BM340" s="35"/>
      <c r="BN340" s="5"/>
      <c r="BO340" s="42"/>
      <c r="BP340" s="42"/>
      <c r="BQ340" s="40"/>
      <c r="BR340" s="5"/>
      <c r="DA340" s="218"/>
      <c r="DH340" s="8"/>
      <c r="DI340" s="8"/>
      <c r="DJ340" s="8"/>
      <c r="DK340" s="8"/>
      <c r="DL340" s="8"/>
      <c r="DM340" s="8"/>
      <c r="DN340" s="8"/>
      <c r="EE340" s="42"/>
      <c r="EF340" s="5"/>
      <c r="EG340" s="35"/>
      <c r="EH340" s="5"/>
      <c r="EI340" s="6"/>
      <c r="EJ340" s="35"/>
      <c r="EK340" s="5"/>
      <c r="EL340" s="41"/>
      <c r="EM340" s="35"/>
      <c r="EN340" s="5"/>
      <c r="EO340" s="42"/>
      <c r="EP340" s="42"/>
      <c r="EQ340" s="40"/>
      <c r="ER340" s="219"/>
      <c r="ES340" s="56"/>
    </row>
    <row r="341" spans="34:149">
      <c r="AH341" s="8"/>
      <c r="AI341" s="8"/>
      <c r="AJ341" s="8"/>
      <c r="AK341" s="8"/>
      <c r="AL341" s="8"/>
      <c r="AM341" s="8"/>
      <c r="AN341" s="8"/>
      <c r="BE341" s="42"/>
      <c r="BF341" s="5"/>
      <c r="BG341" s="35"/>
      <c r="BH341" s="5"/>
      <c r="BI341" s="6"/>
      <c r="BJ341" s="35"/>
      <c r="BK341" s="5"/>
      <c r="BL341" s="41"/>
      <c r="BM341" s="35"/>
      <c r="BN341" s="5"/>
      <c r="BO341" s="42"/>
      <c r="BP341" s="42"/>
      <c r="BQ341" s="40"/>
      <c r="BR341" s="5"/>
      <c r="DA341" s="218"/>
      <c r="DH341" s="8"/>
      <c r="DI341" s="8"/>
      <c r="DJ341" s="8"/>
      <c r="DK341" s="8"/>
      <c r="DL341" s="8"/>
      <c r="DM341" s="8"/>
      <c r="DN341" s="8"/>
      <c r="EE341" s="42"/>
      <c r="EF341" s="5"/>
      <c r="EG341" s="35"/>
      <c r="EH341" s="5"/>
      <c r="EI341" s="6"/>
      <c r="EJ341" s="35"/>
      <c r="EK341" s="5"/>
      <c r="EL341" s="41"/>
      <c r="EM341" s="35"/>
      <c r="EN341" s="5"/>
      <c r="EO341" s="42"/>
      <c r="EP341" s="42"/>
      <c r="EQ341" s="40"/>
      <c r="ER341" s="219"/>
      <c r="ES341" s="56"/>
    </row>
    <row r="342" spans="34:149">
      <c r="AH342" s="8"/>
      <c r="AI342" s="8"/>
      <c r="AJ342" s="8"/>
      <c r="AK342" s="8"/>
      <c r="AL342" s="8"/>
      <c r="AM342" s="8"/>
      <c r="AN342" s="8"/>
      <c r="BE342" s="42"/>
      <c r="BF342" s="5"/>
      <c r="BG342" s="35"/>
      <c r="BH342" s="5"/>
      <c r="BI342" s="6"/>
      <c r="BJ342" s="35"/>
      <c r="BK342" s="5"/>
      <c r="BL342" s="41"/>
      <c r="BM342" s="35"/>
      <c r="BN342" s="5"/>
      <c r="BO342" s="42"/>
      <c r="BP342" s="42"/>
      <c r="BQ342" s="40"/>
      <c r="BR342" s="5"/>
      <c r="DA342" s="218"/>
      <c r="DH342" s="8"/>
      <c r="DI342" s="8"/>
      <c r="DJ342" s="8"/>
      <c r="DK342" s="8"/>
      <c r="DL342" s="8"/>
      <c r="DM342" s="8"/>
      <c r="DN342" s="8"/>
      <c r="EE342" s="42"/>
      <c r="EF342" s="5"/>
      <c r="EG342" s="35"/>
      <c r="EH342" s="5"/>
      <c r="EI342" s="6"/>
      <c r="EJ342" s="35"/>
      <c r="EK342" s="5"/>
      <c r="EL342" s="41"/>
      <c r="EM342" s="35"/>
      <c r="EN342" s="5"/>
      <c r="EO342" s="42"/>
      <c r="EP342" s="42"/>
      <c r="EQ342" s="40"/>
      <c r="ER342" s="219"/>
      <c r="ES342" s="56"/>
    </row>
    <row r="343" spans="34:149">
      <c r="AH343" s="8"/>
      <c r="AI343" s="8"/>
      <c r="AJ343" s="8"/>
      <c r="AK343" s="8"/>
      <c r="AL343" s="8"/>
      <c r="AM343" s="8"/>
      <c r="AN343" s="8"/>
      <c r="BE343" s="42"/>
      <c r="BF343" s="5"/>
      <c r="BG343" s="35"/>
      <c r="BH343" s="5"/>
      <c r="BI343" s="6"/>
      <c r="BJ343" s="35"/>
      <c r="BK343" s="5"/>
      <c r="BL343" s="41"/>
      <c r="BM343" s="35"/>
      <c r="BN343" s="5"/>
      <c r="BO343" s="42"/>
      <c r="BP343" s="42"/>
      <c r="BQ343" s="40"/>
      <c r="BR343" s="5"/>
      <c r="DA343" s="218"/>
      <c r="DH343" s="8"/>
      <c r="DI343" s="8"/>
      <c r="DJ343" s="8"/>
      <c r="DK343" s="8"/>
      <c r="DL343" s="8"/>
      <c r="DM343" s="8"/>
      <c r="DN343" s="8"/>
      <c r="EE343" s="42"/>
      <c r="EF343" s="5"/>
      <c r="EG343" s="35"/>
      <c r="EH343" s="5"/>
      <c r="EI343" s="6"/>
      <c r="EJ343" s="35"/>
      <c r="EK343" s="5"/>
      <c r="EL343" s="41"/>
      <c r="EM343" s="35"/>
      <c r="EN343" s="5"/>
      <c r="EO343" s="42"/>
      <c r="EP343" s="42"/>
      <c r="EQ343" s="40"/>
      <c r="ER343" s="219"/>
      <c r="ES343" s="56"/>
    </row>
    <row r="344" spans="34:149">
      <c r="AH344" s="8"/>
      <c r="AI344" s="8"/>
      <c r="AJ344" s="8"/>
      <c r="AK344" s="8"/>
      <c r="AL344" s="8"/>
      <c r="AM344" s="8"/>
      <c r="AN344" s="8"/>
      <c r="BE344" s="42"/>
      <c r="BF344" s="5"/>
      <c r="BG344" s="35"/>
      <c r="BH344" s="5"/>
      <c r="BI344" s="6"/>
      <c r="BJ344" s="35"/>
      <c r="BK344" s="5"/>
      <c r="BL344" s="41"/>
      <c r="BM344" s="35"/>
      <c r="BN344" s="5"/>
      <c r="BO344" s="42"/>
      <c r="BP344" s="42"/>
      <c r="BQ344" s="40"/>
      <c r="BR344" s="5"/>
      <c r="DA344" s="218"/>
      <c r="DH344" s="8"/>
      <c r="DI344" s="8"/>
      <c r="DJ344" s="8"/>
      <c r="DK344" s="8"/>
      <c r="DL344" s="8"/>
      <c r="DM344" s="8"/>
      <c r="DN344" s="8"/>
      <c r="EE344" s="42"/>
      <c r="EF344" s="5"/>
      <c r="EG344" s="35"/>
      <c r="EH344" s="5"/>
      <c r="EI344" s="6"/>
      <c r="EJ344" s="35"/>
      <c r="EK344" s="5"/>
      <c r="EL344" s="41"/>
      <c r="EM344" s="35"/>
      <c r="EN344" s="5"/>
      <c r="EO344" s="42"/>
      <c r="EP344" s="42"/>
      <c r="EQ344" s="40"/>
      <c r="ER344" s="219"/>
      <c r="ES344" s="56"/>
    </row>
    <row r="345" spans="34:149">
      <c r="AH345" s="8"/>
      <c r="AI345" s="8"/>
      <c r="AJ345" s="8"/>
      <c r="AK345" s="8"/>
      <c r="AL345" s="8"/>
      <c r="AM345" s="8"/>
      <c r="AN345" s="8"/>
      <c r="BE345" s="42"/>
      <c r="BF345" s="5"/>
      <c r="BG345" s="35"/>
      <c r="BH345" s="5"/>
      <c r="BI345" s="6"/>
      <c r="BJ345" s="35"/>
      <c r="BK345" s="5"/>
      <c r="BL345" s="41"/>
      <c r="BM345" s="35"/>
      <c r="BN345" s="5"/>
      <c r="BO345" s="42"/>
      <c r="BP345" s="42"/>
      <c r="BQ345" s="40"/>
      <c r="BR345" s="5"/>
      <c r="DA345" s="218"/>
      <c r="DH345" s="8"/>
      <c r="DI345" s="8"/>
      <c r="DJ345" s="8"/>
      <c r="DK345" s="8"/>
      <c r="DL345" s="8"/>
      <c r="DM345" s="8"/>
      <c r="DN345" s="8"/>
      <c r="EE345" s="42"/>
      <c r="EF345" s="5"/>
      <c r="EG345" s="35"/>
      <c r="EH345" s="5"/>
      <c r="EI345" s="6"/>
      <c r="EJ345" s="35"/>
      <c r="EK345" s="5"/>
      <c r="EL345" s="41"/>
      <c r="EM345" s="35"/>
      <c r="EN345" s="5"/>
      <c r="EO345" s="42"/>
      <c r="EP345" s="42"/>
      <c r="EQ345" s="40"/>
      <c r="ER345" s="219"/>
      <c r="ES345" s="56"/>
    </row>
    <row r="346" spans="34:149">
      <c r="AH346" s="8"/>
      <c r="AI346" s="8"/>
      <c r="AJ346" s="8"/>
      <c r="AK346" s="8"/>
      <c r="AL346" s="8"/>
      <c r="AM346" s="8"/>
      <c r="AN346" s="8"/>
      <c r="BE346" s="42"/>
      <c r="BF346" s="5"/>
      <c r="BG346" s="35"/>
      <c r="BH346" s="5"/>
      <c r="BI346" s="6"/>
      <c r="BJ346" s="35"/>
      <c r="BK346" s="5"/>
      <c r="BL346" s="41"/>
      <c r="BM346" s="35"/>
      <c r="BN346" s="5"/>
      <c r="BO346" s="42"/>
      <c r="BP346" s="42"/>
      <c r="BQ346" s="40"/>
      <c r="BR346" s="5"/>
      <c r="DA346" s="218"/>
      <c r="DH346" s="8"/>
      <c r="DI346" s="8"/>
      <c r="DJ346" s="8"/>
      <c r="DK346" s="8"/>
      <c r="DL346" s="8"/>
      <c r="DM346" s="8"/>
      <c r="DN346" s="8"/>
      <c r="EE346" s="42"/>
      <c r="EF346" s="5"/>
      <c r="EG346" s="35"/>
      <c r="EH346" s="5"/>
      <c r="EI346" s="6"/>
      <c r="EJ346" s="35"/>
      <c r="EK346" s="5"/>
      <c r="EL346" s="41"/>
      <c r="EM346" s="35"/>
      <c r="EN346" s="5"/>
      <c r="EO346" s="42"/>
      <c r="EP346" s="42"/>
      <c r="EQ346" s="40"/>
      <c r="ER346" s="219"/>
      <c r="ES346" s="56"/>
    </row>
    <row r="347" spans="34:149">
      <c r="AH347" s="8"/>
      <c r="AI347" s="8"/>
      <c r="AJ347" s="8"/>
      <c r="AK347" s="8"/>
      <c r="AL347" s="8"/>
      <c r="AM347" s="8"/>
      <c r="AN347" s="8"/>
      <c r="BE347" s="42"/>
      <c r="BF347" s="5"/>
      <c r="BG347" s="35"/>
      <c r="BH347" s="5"/>
      <c r="BI347" s="6"/>
      <c r="BJ347" s="35"/>
      <c r="BK347" s="5"/>
      <c r="BL347" s="41"/>
      <c r="BM347" s="35"/>
      <c r="BN347" s="5"/>
      <c r="BO347" s="42"/>
      <c r="BP347" s="42"/>
      <c r="BQ347" s="40"/>
      <c r="BR347" s="5"/>
      <c r="DA347" s="218"/>
      <c r="DH347" s="8"/>
      <c r="DI347" s="8"/>
      <c r="DJ347" s="8"/>
      <c r="DK347" s="8"/>
      <c r="DL347" s="8"/>
      <c r="DM347" s="8"/>
      <c r="DN347" s="8"/>
      <c r="EE347" s="42"/>
      <c r="EF347" s="5"/>
      <c r="EG347" s="35"/>
      <c r="EH347" s="5"/>
      <c r="EI347" s="6"/>
      <c r="EJ347" s="35"/>
      <c r="EK347" s="5"/>
      <c r="EL347" s="41"/>
      <c r="EM347" s="35"/>
      <c r="EN347" s="5"/>
      <c r="EO347" s="42"/>
      <c r="EP347" s="42"/>
      <c r="EQ347" s="40"/>
      <c r="ER347" s="219"/>
      <c r="ES347" s="56"/>
    </row>
    <row r="348" spans="34:149">
      <c r="AH348" s="8"/>
      <c r="AI348" s="8"/>
      <c r="AJ348" s="8"/>
      <c r="AK348" s="8"/>
      <c r="AL348" s="8"/>
      <c r="AM348" s="8"/>
      <c r="AN348" s="8"/>
      <c r="BE348" s="42"/>
      <c r="BF348" s="5"/>
      <c r="BG348" s="35"/>
      <c r="BH348" s="5"/>
      <c r="BI348" s="6"/>
      <c r="BJ348" s="35"/>
      <c r="BK348" s="5"/>
      <c r="BL348" s="41"/>
      <c r="BM348" s="35"/>
      <c r="BN348" s="5"/>
      <c r="BO348" s="42"/>
      <c r="BP348" s="42"/>
      <c r="BQ348" s="40"/>
      <c r="BR348" s="5"/>
      <c r="DA348" s="218"/>
      <c r="DH348" s="8"/>
      <c r="DI348" s="8"/>
      <c r="DJ348" s="8"/>
      <c r="DK348" s="8"/>
      <c r="DL348" s="8"/>
      <c r="DM348" s="8"/>
      <c r="DN348" s="8"/>
      <c r="EE348" s="42"/>
      <c r="EF348" s="5"/>
      <c r="EG348" s="35"/>
      <c r="EH348" s="5"/>
      <c r="EI348" s="6"/>
      <c r="EJ348" s="35"/>
      <c r="EK348" s="5"/>
      <c r="EL348" s="41"/>
      <c r="EM348" s="35"/>
      <c r="EN348" s="5"/>
      <c r="EO348" s="42"/>
      <c r="EP348" s="42"/>
      <c r="EQ348" s="40"/>
      <c r="ER348" s="219"/>
      <c r="ES348" s="56"/>
    </row>
    <row r="349" spans="34:149">
      <c r="AH349" s="8"/>
      <c r="AI349" s="8"/>
      <c r="AJ349" s="8"/>
      <c r="AK349" s="8"/>
      <c r="AL349" s="8"/>
      <c r="AM349" s="8"/>
      <c r="AN349" s="8"/>
      <c r="BE349" s="42"/>
      <c r="BF349" s="5"/>
      <c r="BG349" s="35"/>
      <c r="BH349" s="5"/>
      <c r="BI349" s="6"/>
      <c r="BJ349" s="35"/>
      <c r="BK349" s="5"/>
      <c r="BL349" s="41"/>
      <c r="BM349" s="35"/>
      <c r="BN349" s="5"/>
      <c r="BO349" s="42"/>
      <c r="BP349" s="42"/>
      <c r="BQ349" s="40"/>
      <c r="BR349" s="5"/>
      <c r="DA349" s="218"/>
      <c r="DH349" s="8"/>
      <c r="DI349" s="8"/>
      <c r="DJ349" s="8"/>
      <c r="DK349" s="8"/>
      <c r="DL349" s="8"/>
      <c r="DM349" s="8"/>
      <c r="DN349" s="8"/>
      <c r="EE349" s="42"/>
      <c r="EF349" s="5"/>
      <c r="EG349" s="35"/>
      <c r="EH349" s="5"/>
      <c r="EI349" s="6"/>
      <c r="EJ349" s="35"/>
      <c r="EK349" s="5"/>
      <c r="EL349" s="41"/>
      <c r="EM349" s="35"/>
      <c r="EN349" s="5"/>
      <c r="EO349" s="42"/>
      <c r="EP349" s="42"/>
      <c r="EQ349" s="40"/>
      <c r="ER349" s="219"/>
      <c r="ES349" s="56"/>
    </row>
    <row r="350" spans="34:149">
      <c r="AH350" s="8"/>
      <c r="AI350" s="8"/>
      <c r="AJ350" s="8"/>
      <c r="AK350" s="8"/>
      <c r="AL350" s="8"/>
      <c r="AM350" s="8"/>
      <c r="AN350" s="8"/>
      <c r="BE350" s="42"/>
      <c r="BF350" s="5"/>
      <c r="BG350" s="35"/>
      <c r="BH350" s="5"/>
      <c r="BI350" s="6"/>
      <c r="BJ350" s="35"/>
      <c r="BK350" s="5"/>
      <c r="BL350" s="41"/>
      <c r="BM350" s="35"/>
      <c r="BN350" s="5"/>
      <c r="BO350" s="42"/>
      <c r="BP350" s="42"/>
      <c r="BQ350" s="40"/>
      <c r="BR350" s="5"/>
      <c r="DA350" s="218"/>
      <c r="DH350" s="8"/>
      <c r="DI350" s="8"/>
      <c r="DJ350" s="8"/>
      <c r="DK350" s="8"/>
      <c r="DL350" s="8"/>
      <c r="DM350" s="8"/>
      <c r="DN350" s="8"/>
      <c r="EE350" s="42"/>
      <c r="EF350" s="5"/>
      <c r="EG350" s="35"/>
      <c r="EH350" s="5"/>
      <c r="EI350" s="6"/>
      <c r="EJ350" s="35"/>
      <c r="EK350" s="5"/>
      <c r="EL350" s="41"/>
      <c r="EM350" s="35"/>
      <c r="EN350" s="5"/>
      <c r="EO350" s="42"/>
      <c r="EP350" s="42"/>
      <c r="EQ350" s="40"/>
      <c r="ER350" s="219"/>
      <c r="ES350" s="56"/>
    </row>
    <row r="351" spans="34:149">
      <c r="AH351" s="8"/>
      <c r="AI351" s="8"/>
      <c r="AJ351" s="8"/>
      <c r="AK351" s="8"/>
      <c r="AL351" s="8"/>
      <c r="AM351" s="8"/>
      <c r="AN351" s="8"/>
      <c r="BE351" s="42"/>
      <c r="BF351" s="5"/>
      <c r="BG351" s="35"/>
      <c r="BH351" s="5"/>
      <c r="BI351" s="6"/>
      <c r="BJ351" s="35"/>
      <c r="BK351" s="5"/>
      <c r="BL351" s="41"/>
      <c r="BM351" s="35"/>
      <c r="BN351" s="5"/>
      <c r="BO351" s="42"/>
      <c r="BP351" s="42"/>
      <c r="BQ351" s="40"/>
      <c r="BR351" s="5"/>
      <c r="DA351" s="218"/>
      <c r="DH351" s="8"/>
      <c r="DI351" s="8"/>
      <c r="DJ351" s="8"/>
      <c r="DK351" s="8"/>
      <c r="DL351" s="8"/>
      <c r="DM351" s="8"/>
      <c r="DN351" s="8"/>
      <c r="EE351" s="42"/>
      <c r="EF351" s="5"/>
      <c r="EG351" s="35"/>
      <c r="EH351" s="5"/>
      <c r="EI351" s="6"/>
      <c r="EJ351" s="35"/>
      <c r="EK351" s="5"/>
      <c r="EL351" s="41"/>
      <c r="EM351" s="35"/>
      <c r="EN351" s="5"/>
      <c r="EO351" s="42"/>
      <c r="EP351" s="42"/>
      <c r="EQ351" s="40"/>
      <c r="ER351" s="219"/>
      <c r="ES351" s="56"/>
    </row>
    <row r="352" spans="34:149">
      <c r="AH352" s="8"/>
      <c r="AI352" s="8"/>
      <c r="AJ352" s="8"/>
      <c r="AK352" s="8"/>
      <c r="AL352" s="8"/>
      <c r="AM352" s="8"/>
      <c r="AN352" s="8"/>
      <c r="BE352" s="42"/>
      <c r="BF352" s="5"/>
      <c r="BG352" s="35"/>
      <c r="BH352" s="5"/>
      <c r="BI352" s="6"/>
      <c r="BJ352" s="35"/>
      <c r="BK352" s="5"/>
      <c r="BL352" s="41"/>
      <c r="BM352" s="35"/>
      <c r="BN352" s="5"/>
      <c r="BO352" s="42"/>
      <c r="BP352" s="42"/>
      <c r="BQ352" s="40"/>
      <c r="BR352" s="5"/>
      <c r="DA352" s="218"/>
      <c r="DH352" s="8"/>
      <c r="DI352" s="8"/>
      <c r="DJ352" s="8"/>
      <c r="DK352" s="8"/>
      <c r="DL352" s="8"/>
      <c r="DM352" s="8"/>
      <c r="DN352" s="8"/>
      <c r="EE352" s="42"/>
      <c r="EF352" s="5"/>
      <c r="EG352" s="35"/>
      <c r="EH352" s="5"/>
      <c r="EI352" s="6"/>
      <c r="EJ352" s="35"/>
      <c r="EK352" s="5"/>
      <c r="EL352" s="41"/>
      <c r="EM352" s="35"/>
      <c r="EN352" s="5"/>
      <c r="EO352" s="42"/>
      <c r="EP352" s="42"/>
      <c r="EQ352" s="40"/>
      <c r="ER352" s="219"/>
      <c r="ES352" s="56"/>
    </row>
    <row r="353" spans="34:149">
      <c r="AH353" s="8"/>
      <c r="AI353" s="8"/>
      <c r="AJ353" s="8"/>
      <c r="AK353" s="8"/>
      <c r="AL353" s="8"/>
      <c r="AM353" s="8"/>
      <c r="AN353" s="8"/>
      <c r="BE353" s="42"/>
      <c r="BF353" s="5"/>
      <c r="BG353" s="35"/>
      <c r="BH353" s="5"/>
      <c r="BI353" s="6"/>
      <c r="BJ353" s="35"/>
      <c r="BK353" s="5"/>
      <c r="BL353" s="41"/>
      <c r="BM353" s="35"/>
      <c r="BN353" s="5"/>
      <c r="BO353" s="42"/>
      <c r="BP353" s="42"/>
      <c r="BQ353" s="40"/>
      <c r="BR353" s="5"/>
      <c r="DA353" s="218"/>
      <c r="DH353" s="8"/>
      <c r="DI353" s="8"/>
      <c r="DJ353" s="8"/>
      <c r="DK353" s="8"/>
      <c r="DL353" s="8"/>
      <c r="DM353" s="8"/>
      <c r="DN353" s="8"/>
      <c r="EE353" s="42"/>
      <c r="EF353" s="5"/>
      <c r="EG353" s="35"/>
      <c r="EH353" s="5"/>
      <c r="EI353" s="6"/>
      <c r="EJ353" s="35"/>
      <c r="EK353" s="5"/>
      <c r="EL353" s="41"/>
      <c r="EM353" s="35"/>
      <c r="EN353" s="5"/>
      <c r="EO353" s="42"/>
      <c r="EP353" s="42"/>
      <c r="EQ353" s="40"/>
      <c r="ER353" s="219"/>
      <c r="ES353" s="56"/>
    </row>
    <row r="354" spans="34:149">
      <c r="AH354" s="8"/>
      <c r="AI354" s="8"/>
      <c r="AJ354" s="8"/>
      <c r="AK354" s="8"/>
      <c r="AL354" s="8"/>
      <c r="AM354" s="8"/>
      <c r="AN354" s="8"/>
      <c r="BE354" s="42"/>
      <c r="BF354" s="5"/>
      <c r="BG354" s="35"/>
      <c r="BH354" s="5"/>
      <c r="BI354" s="6"/>
      <c r="BJ354" s="35"/>
      <c r="BK354" s="5"/>
      <c r="BL354" s="41"/>
      <c r="BM354" s="35"/>
      <c r="BN354" s="5"/>
      <c r="BO354" s="42"/>
      <c r="BP354" s="42"/>
      <c r="BQ354" s="40"/>
      <c r="BR354" s="5"/>
      <c r="DA354" s="218"/>
      <c r="DH354" s="8"/>
      <c r="DI354" s="8"/>
      <c r="DJ354" s="8"/>
      <c r="DK354" s="8"/>
      <c r="DL354" s="8"/>
      <c r="DM354" s="8"/>
      <c r="DN354" s="8"/>
      <c r="EE354" s="42"/>
      <c r="EF354" s="5"/>
      <c r="EG354" s="35"/>
      <c r="EH354" s="5"/>
      <c r="EI354" s="6"/>
      <c r="EJ354" s="35"/>
      <c r="EK354" s="5"/>
      <c r="EL354" s="41"/>
      <c r="EM354" s="35"/>
      <c r="EN354" s="5"/>
      <c r="EO354" s="42"/>
      <c r="EP354" s="42"/>
      <c r="EQ354" s="40"/>
      <c r="ER354" s="219"/>
      <c r="ES354" s="56"/>
    </row>
    <row r="355" spans="34:149">
      <c r="AH355" s="8"/>
      <c r="AI355" s="8"/>
      <c r="AJ355" s="8"/>
      <c r="AK355" s="8"/>
      <c r="AL355" s="8"/>
      <c r="AM355" s="8"/>
      <c r="AN355" s="8"/>
      <c r="BE355" s="42"/>
      <c r="BF355" s="5"/>
      <c r="BG355" s="35"/>
      <c r="BH355" s="5"/>
      <c r="BI355" s="6"/>
      <c r="BJ355" s="35"/>
      <c r="BK355" s="5"/>
      <c r="BL355" s="41"/>
      <c r="BM355" s="35"/>
      <c r="BN355" s="5"/>
      <c r="BO355" s="42"/>
      <c r="BP355" s="42"/>
      <c r="BQ355" s="40"/>
      <c r="BR355" s="5"/>
      <c r="DA355" s="218"/>
      <c r="DH355" s="8"/>
      <c r="DI355" s="8"/>
      <c r="DJ355" s="8"/>
      <c r="DK355" s="8"/>
      <c r="DL355" s="8"/>
      <c r="DM355" s="8"/>
      <c r="DN355" s="8"/>
      <c r="EE355" s="42"/>
      <c r="EF355" s="5"/>
      <c r="EG355" s="35"/>
      <c r="EH355" s="5"/>
      <c r="EI355" s="6"/>
      <c r="EJ355" s="35"/>
      <c r="EK355" s="5"/>
      <c r="EL355" s="41"/>
      <c r="EM355" s="35"/>
      <c r="EN355" s="5"/>
      <c r="EO355" s="42"/>
      <c r="EP355" s="42"/>
      <c r="EQ355" s="40"/>
      <c r="ER355" s="219"/>
      <c r="ES355" s="56"/>
    </row>
    <row r="356" spans="34:149">
      <c r="AH356" s="8"/>
      <c r="AI356" s="8"/>
      <c r="AJ356" s="8"/>
      <c r="AK356" s="8"/>
      <c r="AL356" s="8"/>
      <c r="AM356" s="8"/>
      <c r="AN356" s="8"/>
      <c r="BE356" s="42"/>
      <c r="BF356" s="5"/>
      <c r="BG356" s="35"/>
      <c r="BH356" s="5"/>
      <c r="BI356" s="6"/>
      <c r="BJ356" s="35"/>
      <c r="BK356" s="5"/>
      <c r="BL356" s="41"/>
      <c r="BM356" s="35"/>
      <c r="BN356" s="5"/>
      <c r="BO356" s="42"/>
      <c r="BP356" s="42"/>
      <c r="BQ356" s="40"/>
      <c r="BR356" s="5"/>
      <c r="DA356" s="218"/>
      <c r="DH356" s="8"/>
      <c r="DI356" s="8"/>
      <c r="DJ356" s="8"/>
      <c r="DK356" s="8"/>
      <c r="DL356" s="8"/>
      <c r="DM356" s="8"/>
      <c r="DN356" s="8"/>
      <c r="EE356" s="42"/>
      <c r="EF356" s="5"/>
      <c r="EG356" s="35"/>
      <c r="EH356" s="5"/>
      <c r="EI356" s="6"/>
      <c r="EJ356" s="35"/>
      <c r="EK356" s="5"/>
      <c r="EL356" s="41"/>
      <c r="EM356" s="35"/>
      <c r="EN356" s="5"/>
      <c r="EO356" s="42"/>
      <c r="EP356" s="42"/>
      <c r="EQ356" s="40"/>
      <c r="ER356" s="219"/>
      <c r="ES356" s="56"/>
    </row>
    <row r="357" spans="34:149">
      <c r="AH357" s="8"/>
      <c r="AI357" s="8"/>
      <c r="AJ357" s="8"/>
      <c r="AK357" s="8"/>
      <c r="AL357" s="8"/>
      <c r="AM357" s="8"/>
      <c r="AN357" s="8"/>
      <c r="BE357" s="42"/>
      <c r="BF357" s="5"/>
      <c r="BG357" s="35"/>
      <c r="BH357" s="5"/>
      <c r="BI357" s="6"/>
      <c r="BJ357" s="35"/>
      <c r="BK357" s="5"/>
      <c r="BL357" s="41"/>
      <c r="BM357" s="35"/>
      <c r="BN357" s="5"/>
      <c r="BO357" s="42"/>
      <c r="BP357" s="42"/>
      <c r="BQ357" s="40"/>
      <c r="BR357" s="5"/>
      <c r="DA357" s="218"/>
      <c r="DH357" s="8"/>
      <c r="DI357" s="8"/>
      <c r="DJ357" s="8"/>
      <c r="DK357" s="8"/>
      <c r="DL357" s="8"/>
      <c r="DM357" s="8"/>
      <c r="DN357" s="8"/>
      <c r="EE357" s="42"/>
      <c r="EF357" s="5"/>
      <c r="EG357" s="35"/>
      <c r="EH357" s="5"/>
      <c r="EI357" s="6"/>
      <c r="EJ357" s="35"/>
      <c r="EK357" s="5"/>
      <c r="EL357" s="41"/>
      <c r="EM357" s="35"/>
      <c r="EN357" s="5"/>
      <c r="EO357" s="42"/>
      <c r="EP357" s="42"/>
      <c r="EQ357" s="40"/>
      <c r="ER357" s="219"/>
      <c r="ES357" s="56"/>
    </row>
    <row r="358" spans="34:149">
      <c r="AH358" s="8"/>
      <c r="AI358" s="8"/>
      <c r="AJ358" s="8"/>
      <c r="AK358" s="8"/>
      <c r="AL358" s="8"/>
      <c r="AM358" s="8"/>
      <c r="AN358" s="8"/>
      <c r="BE358" s="42"/>
      <c r="BF358" s="5"/>
      <c r="BG358" s="35"/>
      <c r="BH358" s="5"/>
      <c r="BI358" s="6"/>
      <c r="BJ358" s="35"/>
      <c r="BK358" s="5"/>
      <c r="BL358" s="41"/>
      <c r="BM358" s="35"/>
      <c r="BN358" s="5"/>
      <c r="BO358" s="42"/>
      <c r="BP358" s="42"/>
      <c r="BQ358" s="40"/>
      <c r="BR358" s="5"/>
      <c r="DA358" s="218"/>
      <c r="DH358" s="8"/>
      <c r="DI358" s="8"/>
      <c r="DJ358" s="8"/>
      <c r="DK358" s="8"/>
      <c r="DL358" s="8"/>
      <c r="DM358" s="8"/>
      <c r="DN358" s="8"/>
      <c r="EE358" s="42"/>
      <c r="EF358" s="5"/>
      <c r="EG358" s="35"/>
      <c r="EH358" s="5"/>
      <c r="EI358" s="6"/>
      <c r="EJ358" s="35"/>
      <c r="EK358" s="5"/>
      <c r="EL358" s="41"/>
      <c r="EM358" s="35"/>
      <c r="EN358" s="5"/>
      <c r="EO358" s="42"/>
      <c r="EP358" s="42"/>
      <c r="EQ358" s="40"/>
      <c r="ER358" s="219"/>
      <c r="ES358" s="56"/>
    </row>
    <row r="359" spans="34:149">
      <c r="AH359" s="8"/>
      <c r="AI359" s="8"/>
      <c r="AJ359" s="8"/>
      <c r="AK359" s="8"/>
      <c r="AL359" s="8"/>
      <c r="AM359" s="8"/>
      <c r="AN359" s="8"/>
      <c r="BE359" s="42"/>
      <c r="BF359" s="5"/>
      <c r="BG359" s="35"/>
      <c r="BH359" s="5"/>
      <c r="BI359" s="6"/>
      <c r="BJ359" s="35"/>
      <c r="BK359" s="5"/>
      <c r="BL359" s="41"/>
      <c r="BM359" s="35"/>
      <c r="BN359" s="5"/>
      <c r="BO359" s="42"/>
      <c r="BP359" s="42"/>
      <c r="BQ359" s="40"/>
      <c r="BR359" s="5"/>
      <c r="DA359" s="218"/>
      <c r="DH359" s="8"/>
      <c r="DI359" s="8"/>
      <c r="DJ359" s="8"/>
      <c r="DK359" s="8"/>
      <c r="DL359" s="8"/>
      <c r="DM359" s="8"/>
      <c r="DN359" s="8"/>
      <c r="EE359" s="42"/>
      <c r="EF359" s="5"/>
      <c r="EG359" s="35"/>
      <c r="EH359" s="5"/>
      <c r="EI359" s="6"/>
      <c r="EJ359" s="35"/>
      <c r="EK359" s="5"/>
      <c r="EL359" s="41"/>
      <c r="EM359" s="35"/>
      <c r="EN359" s="5"/>
      <c r="EO359" s="42"/>
      <c r="EP359" s="42"/>
      <c r="EQ359" s="40"/>
      <c r="ER359" s="219"/>
      <c r="ES359" s="56"/>
    </row>
    <row r="360" spans="34:149">
      <c r="AH360" s="8"/>
      <c r="AI360" s="8"/>
      <c r="AJ360" s="8"/>
      <c r="AK360" s="8"/>
      <c r="AL360" s="8"/>
      <c r="AM360" s="8"/>
      <c r="AN360" s="8"/>
      <c r="BE360" s="42"/>
      <c r="BF360" s="5"/>
      <c r="BG360" s="35"/>
      <c r="BH360" s="5"/>
      <c r="BI360" s="6"/>
      <c r="BJ360" s="35"/>
      <c r="BK360" s="5"/>
      <c r="BL360" s="41"/>
      <c r="BM360" s="35"/>
      <c r="BN360" s="5"/>
      <c r="BO360" s="42"/>
      <c r="BP360" s="42"/>
      <c r="BQ360" s="40"/>
      <c r="BR360" s="5"/>
      <c r="DA360" s="218"/>
      <c r="DH360" s="8"/>
      <c r="DI360" s="8"/>
      <c r="DJ360" s="8"/>
      <c r="DK360" s="8"/>
      <c r="DL360" s="8"/>
      <c r="DM360" s="8"/>
      <c r="DN360" s="8"/>
      <c r="EE360" s="42"/>
      <c r="EF360" s="5"/>
      <c r="EG360" s="35"/>
      <c r="EH360" s="5"/>
      <c r="EI360" s="6"/>
      <c r="EJ360" s="35"/>
      <c r="EK360" s="5"/>
      <c r="EL360" s="41"/>
      <c r="EM360" s="35"/>
      <c r="EN360" s="5"/>
      <c r="EO360" s="42"/>
      <c r="EP360" s="42"/>
      <c r="EQ360" s="40"/>
      <c r="ER360" s="219"/>
      <c r="ES360" s="56"/>
    </row>
    <row r="361" spans="34:149">
      <c r="AH361" s="8"/>
      <c r="AI361" s="8"/>
      <c r="AJ361" s="8"/>
      <c r="AK361" s="8"/>
      <c r="AL361" s="8"/>
      <c r="AM361" s="8"/>
      <c r="AN361" s="8"/>
      <c r="BE361" s="42"/>
      <c r="BF361" s="5"/>
      <c r="BG361" s="35"/>
      <c r="BH361" s="5"/>
      <c r="BI361" s="6"/>
      <c r="BJ361" s="35"/>
      <c r="BK361" s="5"/>
      <c r="BL361" s="41"/>
      <c r="BM361" s="35"/>
      <c r="BN361" s="5"/>
      <c r="BO361" s="42"/>
      <c r="BP361" s="42"/>
      <c r="BQ361" s="40"/>
      <c r="BR361" s="5"/>
      <c r="DA361" s="218"/>
      <c r="DH361" s="8"/>
      <c r="DI361" s="8"/>
      <c r="DJ361" s="8"/>
      <c r="DK361" s="8"/>
      <c r="DL361" s="8"/>
      <c r="DM361" s="8"/>
      <c r="DN361" s="8"/>
      <c r="EE361" s="42"/>
      <c r="EF361" s="5"/>
      <c r="EG361" s="35"/>
      <c r="EH361" s="5"/>
      <c r="EI361" s="6"/>
      <c r="EJ361" s="35"/>
      <c r="EK361" s="5"/>
      <c r="EL361" s="41"/>
      <c r="EM361" s="35"/>
      <c r="EN361" s="5"/>
      <c r="EO361" s="42"/>
      <c r="EP361" s="42"/>
      <c r="EQ361" s="40"/>
      <c r="ER361" s="219"/>
      <c r="ES361" s="56"/>
    </row>
    <row r="362" spans="34:149">
      <c r="AH362" s="8"/>
      <c r="AI362" s="8"/>
      <c r="AJ362" s="8"/>
      <c r="AK362" s="8"/>
      <c r="AL362" s="8"/>
      <c r="AM362" s="8"/>
      <c r="AN362" s="8"/>
      <c r="BE362" s="42"/>
      <c r="BF362" s="5"/>
      <c r="BG362" s="35"/>
      <c r="BH362" s="5"/>
      <c r="BI362" s="6"/>
      <c r="BJ362" s="35"/>
      <c r="BK362" s="5"/>
      <c r="BL362" s="41"/>
      <c r="BM362" s="35"/>
      <c r="BN362" s="5"/>
      <c r="BO362" s="42"/>
      <c r="BP362" s="42"/>
      <c r="BQ362" s="40"/>
      <c r="BR362" s="5"/>
      <c r="DA362" s="218"/>
      <c r="DH362" s="8"/>
      <c r="DI362" s="8"/>
      <c r="DJ362" s="8"/>
      <c r="DK362" s="8"/>
      <c r="DL362" s="8"/>
      <c r="DM362" s="8"/>
      <c r="DN362" s="8"/>
      <c r="EE362" s="42"/>
      <c r="EF362" s="5"/>
      <c r="EG362" s="35"/>
      <c r="EH362" s="5"/>
      <c r="EI362" s="6"/>
      <c r="EJ362" s="35"/>
      <c r="EK362" s="5"/>
      <c r="EL362" s="41"/>
      <c r="EM362" s="35"/>
      <c r="EN362" s="5"/>
      <c r="EO362" s="42"/>
      <c r="EP362" s="42"/>
      <c r="EQ362" s="40"/>
      <c r="ER362" s="219"/>
      <c r="ES362" s="56"/>
    </row>
    <row r="363" spans="34:149">
      <c r="AH363" s="8"/>
      <c r="AI363" s="8"/>
      <c r="AJ363" s="8"/>
      <c r="AK363" s="8"/>
      <c r="AL363" s="8"/>
      <c r="AM363" s="8"/>
      <c r="AN363" s="8"/>
      <c r="BE363" s="42"/>
      <c r="BF363" s="5"/>
      <c r="BG363" s="35"/>
      <c r="BH363" s="5"/>
      <c r="BI363" s="6"/>
      <c r="BJ363" s="35"/>
      <c r="BK363" s="5"/>
      <c r="BL363" s="41"/>
      <c r="BM363" s="35"/>
      <c r="BN363" s="5"/>
      <c r="BO363" s="42"/>
      <c r="BP363" s="42"/>
      <c r="BQ363" s="40"/>
      <c r="BR363" s="5"/>
      <c r="DA363" s="218"/>
      <c r="DH363" s="8"/>
      <c r="DI363" s="8"/>
      <c r="DJ363" s="8"/>
      <c r="DK363" s="8"/>
      <c r="DL363" s="8"/>
      <c r="DM363" s="8"/>
      <c r="DN363" s="8"/>
      <c r="EE363" s="42"/>
      <c r="EF363" s="5"/>
      <c r="EG363" s="35"/>
      <c r="EH363" s="5"/>
      <c r="EI363" s="6"/>
      <c r="EJ363" s="35"/>
      <c r="EK363" s="5"/>
      <c r="EL363" s="41"/>
      <c r="EM363" s="35"/>
      <c r="EN363" s="5"/>
      <c r="EO363" s="42"/>
      <c r="EP363" s="42"/>
      <c r="EQ363" s="40"/>
      <c r="ER363" s="219"/>
      <c r="ES363" s="56"/>
    </row>
    <row r="364" spans="34:149">
      <c r="AH364" s="8"/>
      <c r="AI364" s="8"/>
      <c r="AJ364" s="8"/>
      <c r="AK364" s="8"/>
      <c r="AL364" s="8"/>
      <c r="AM364" s="8"/>
      <c r="AN364" s="8"/>
      <c r="BE364" s="42"/>
      <c r="BF364" s="5"/>
      <c r="BG364" s="35"/>
      <c r="BH364" s="5"/>
      <c r="BI364" s="6"/>
      <c r="BJ364" s="35"/>
      <c r="BK364" s="5"/>
      <c r="BL364" s="41"/>
      <c r="BM364" s="35"/>
      <c r="BN364" s="5"/>
      <c r="BO364" s="42"/>
      <c r="BP364" s="42"/>
      <c r="BQ364" s="40"/>
      <c r="BR364" s="5"/>
      <c r="DA364" s="218"/>
      <c r="DH364" s="8"/>
      <c r="DI364" s="8"/>
      <c r="DJ364" s="8"/>
      <c r="DK364" s="8"/>
      <c r="DL364" s="8"/>
      <c r="DM364" s="8"/>
      <c r="DN364" s="8"/>
      <c r="EE364" s="42"/>
      <c r="EF364" s="5"/>
      <c r="EG364" s="35"/>
      <c r="EH364" s="5"/>
      <c r="EI364" s="6"/>
      <c r="EJ364" s="35"/>
      <c r="EK364" s="5"/>
      <c r="EL364" s="41"/>
      <c r="EM364" s="35"/>
      <c r="EN364" s="5"/>
      <c r="EO364" s="42"/>
      <c r="EP364" s="42"/>
      <c r="EQ364" s="40"/>
      <c r="ER364" s="219"/>
      <c r="ES364" s="56"/>
    </row>
    <row r="365" spans="34:149">
      <c r="AH365" s="8"/>
      <c r="AI365" s="8"/>
      <c r="AJ365" s="8"/>
      <c r="AK365" s="8"/>
      <c r="AL365" s="8"/>
      <c r="AM365" s="8"/>
      <c r="AN365" s="8"/>
      <c r="BE365" s="42"/>
      <c r="BF365" s="5"/>
      <c r="BG365" s="35"/>
      <c r="BH365" s="5"/>
      <c r="BI365" s="6"/>
      <c r="BJ365" s="35"/>
      <c r="BK365" s="5"/>
      <c r="BL365" s="41"/>
      <c r="BM365" s="35"/>
      <c r="BN365" s="5"/>
      <c r="BO365" s="42"/>
      <c r="BP365" s="42"/>
      <c r="BQ365" s="40"/>
      <c r="BR365" s="5"/>
      <c r="DA365" s="218"/>
      <c r="DH365" s="8"/>
      <c r="DI365" s="8"/>
      <c r="DJ365" s="8"/>
      <c r="DK365" s="8"/>
      <c r="DL365" s="8"/>
      <c r="DM365" s="8"/>
      <c r="DN365" s="8"/>
      <c r="EE365" s="42"/>
      <c r="EF365" s="5"/>
      <c r="EG365" s="35"/>
      <c r="EH365" s="5"/>
      <c r="EI365" s="6"/>
      <c r="EJ365" s="35"/>
      <c r="EK365" s="5"/>
      <c r="EL365" s="41"/>
      <c r="EM365" s="35"/>
      <c r="EN365" s="5"/>
      <c r="EO365" s="42"/>
      <c r="EP365" s="42"/>
      <c r="EQ365" s="40"/>
      <c r="ER365" s="219"/>
      <c r="ES365" s="56"/>
    </row>
    <row r="366" spans="34:149">
      <c r="AH366" s="8"/>
      <c r="AI366" s="8"/>
      <c r="AJ366" s="8"/>
      <c r="AK366" s="8"/>
      <c r="AL366" s="8"/>
      <c r="AM366" s="8"/>
      <c r="AN366" s="8"/>
      <c r="BE366" s="42"/>
      <c r="BF366" s="5"/>
      <c r="BG366" s="35"/>
      <c r="BH366" s="5"/>
      <c r="BI366" s="6"/>
      <c r="BJ366" s="35"/>
      <c r="BK366" s="5"/>
      <c r="BL366" s="41"/>
      <c r="BM366" s="35"/>
      <c r="BN366" s="5"/>
      <c r="BO366" s="42"/>
      <c r="BP366" s="42"/>
      <c r="BQ366" s="40"/>
      <c r="BR366" s="5"/>
      <c r="DA366" s="218"/>
      <c r="DH366" s="8"/>
      <c r="DI366" s="8"/>
      <c r="DJ366" s="8"/>
      <c r="DK366" s="8"/>
      <c r="DL366" s="8"/>
      <c r="DM366" s="8"/>
      <c r="DN366" s="8"/>
      <c r="EE366" s="42"/>
      <c r="EF366" s="5"/>
      <c r="EG366" s="35"/>
      <c r="EH366" s="5"/>
      <c r="EI366" s="6"/>
      <c r="EJ366" s="35"/>
      <c r="EK366" s="5"/>
      <c r="EL366" s="41"/>
      <c r="EM366" s="35"/>
      <c r="EN366" s="5"/>
      <c r="EO366" s="42"/>
      <c r="EP366" s="42"/>
      <c r="EQ366" s="40"/>
      <c r="ER366" s="219"/>
      <c r="ES366" s="56"/>
    </row>
    <row r="367" spans="34:149">
      <c r="AH367" s="8"/>
      <c r="AI367" s="8"/>
      <c r="AJ367" s="8"/>
      <c r="AK367" s="8"/>
      <c r="AL367" s="8"/>
      <c r="AM367" s="8"/>
      <c r="AN367" s="8"/>
      <c r="BE367" s="42"/>
      <c r="BF367" s="5"/>
      <c r="BG367" s="35"/>
      <c r="BH367" s="5"/>
      <c r="BI367" s="6"/>
      <c r="BJ367" s="35"/>
      <c r="BK367" s="5"/>
      <c r="BL367" s="41"/>
      <c r="BM367" s="35"/>
      <c r="BN367" s="5"/>
      <c r="BO367" s="42"/>
      <c r="BP367" s="42"/>
      <c r="BQ367" s="40"/>
      <c r="BR367" s="5"/>
      <c r="DA367" s="218"/>
      <c r="DH367" s="8"/>
      <c r="DI367" s="8"/>
      <c r="DJ367" s="8"/>
      <c r="DK367" s="8"/>
      <c r="DL367" s="8"/>
      <c r="DM367" s="8"/>
      <c r="DN367" s="8"/>
      <c r="EE367" s="42"/>
      <c r="EF367" s="5"/>
      <c r="EG367" s="35"/>
      <c r="EH367" s="5"/>
      <c r="EI367" s="6"/>
      <c r="EJ367" s="35"/>
      <c r="EK367" s="5"/>
      <c r="EL367" s="41"/>
      <c r="EM367" s="35"/>
      <c r="EN367" s="5"/>
      <c r="EO367" s="42"/>
      <c r="EP367" s="42"/>
      <c r="EQ367" s="40"/>
      <c r="ER367" s="219"/>
      <c r="ES367" s="56"/>
    </row>
    <row r="368" spans="34:149">
      <c r="AH368" s="8"/>
      <c r="AI368" s="8"/>
      <c r="AJ368" s="8"/>
      <c r="AK368" s="8"/>
      <c r="AL368" s="8"/>
      <c r="AM368" s="8"/>
      <c r="AN368" s="8"/>
      <c r="BE368" s="42"/>
      <c r="BF368" s="5"/>
      <c r="BG368" s="35"/>
      <c r="BH368" s="5"/>
      <c r="BI368" s="6"/>
      <c r="BJ368" s="35"/>
      <c r="BK368" s="5"/>
      <c r="BL368" s="41"/>
      <c r="BM368" s="35"/>
      <c r="BN368" s="5"/>
      <c r="BO368" s="42"/>
      <c r="BP368" s="42"/>
      <c r="BQ368" s="40"/>
      <c r="BR368" s="5"/>
      <c r="DA368" s="218"/>
      <c r="DH368" s="8"/>
      <c r="DI368" s="8"/>
      <c r="DJ368" s="8"/>
      <c r="DK368" s="8"/>
      <c r="DL368" s="8"/>
      <c r="DM368" s="8"/>
      <c r="DN368" s="8"/>
      <c r="EE368" s="42"/>
      <c r="EF368" s="5"/>
      <c r="EG368" s="35"/>
      <c r="EH368" s="5"/>
      <c r="EI368" s="6"/>
      <c r="EJ368" s="35"/>
      <c r="EK368" s="5"/>
      <c r="EL368" s="41"/>
      <c r="EM368" s="35"/>
      <c r="EN368" s="5"/>
      <c r="EO368" s="42"/>
      <c r="EP368" s="42"/>
      <c r="EQ368" s="40"/>
      <c r="ER368" s="219"/>
      <c r="ES368" s="56"/>
    </row>
    <row r="369" spans="34:149">
      <c r="AH369" s="8"/>
      <c r="AI369" s="8"/>
      <c r="AJ369" s="8"/>
      <c r="AK369" s="8"/>
      <c r="AL369" s="8"/>
      <c r="AM369" s="8"/>
      <c r="AN369" s="8"/>
      <c r="BE369" s="42"/>
      <c r="BF369" s="5"/>
      <c r="BG369" s="35"/>
      <c r="BH369" s="5"/>
      <c r="BI369" s="6"/>
      <c r="BJ369" s="35"/>
      <c r="BK369" s="5"/>
      <c r="BL369" s="41"/>
      <c r="BM369" s="35"/>
      <c r="BN369" s="5"/>
      <c r="BO369" s="42"/>
      <c r="BP369" s="42"/>
      <c r="BQ369" s="40"/>
      <c r="BR369" s="5"/>
      <c r="DA369" s="218"/>
      <c r="DH369" s="8"/>
      <c r="DI369" s="8"/>
      <c r="DJ369" s="8"/>
      <c r="DK369" s="8"/>
      <c r="DL369" s="8"/>
      <c r="DM369" s="8"/>
      <c r="DN369" s="8"/>
      <c r="EE369" s="42"/>
      <c r="EF369" s="5"/>
      <c r="EG369" s="35"/>
      <c r="EH369" s="5"/>
      <c r="EI369" s="6"/>
      <c r="EJ369" s="35"/>
      <c r="EK369" s="5"/>
      <c r="EL369" s="41"/>
      <c r="EM369" s="35"/>
      <c r="EN369" s="5"/>
      <c r="EO369" s="42"/>
      <c r="EP369" s="42"/>
      <c r="EQ369" s="40"/>
      <c r="ER369" s="219"/>
      <c r="ES369" s="56"/>
    </row>
    <row r="370" spans="34:149">
      <c r="AH370" s="8"/>
      <c r="AI370" s="8"/>
      <c r="AJ370" s="8"/>
      <c r="AK370" s="8"/>
      <c r="AL370" s="8"/>
      <c r="AM370" s="8"/>
      <c r="AN370" s="8"/>
      <c r="BE370" s="42"/>
      <c r="BF370" s="5"/>
      <c r="BG370" s="35"/>
      <c r="BH370" s="5"/>
      <c r="BI370" s="6"/>
      <c r="BJ370" s="35"/>
      <c r="BK370" s="5"/>
      <c r="BL370" s="41"/>
      <c r="BM370" s="35"/>
      <c r="BN370" s="5"/>
      <c r="BO370" s="42"/>
      <c r="BP370" s="42"/>
      <c r="BQ370" s="40"/>
      <c r="BR370" s="5"/>
      <c r="DA370" s="218"/>
      <c r="DH370" s="8"/>
      <c r="DI370" s="8"/>
      <c r="DJ370" s="8"/>
      <c r="DK370" s="8"/>
      <c r="DL370" s="8"/>
      <c r="DM370" s="8"/>
      <c r="DN370" s="8"/>
      <c r="EE370" s="42"/>
      <c r="EF370" s="5"/>
      <c r="EG370" s="35"/>
      <c r="EH370" s="5"/>
      <c r="EI370" s="6"/>
      <c r="EJ370" s="35"/>
      <c r="EK370" s="5"/>
      <c r="EL370" s="41"/>
      <c r="EM370" s="35"/>
      <c r="EN370" s="5"/>
      <c r="EO370" s="42"/>
      <c r="EP370" s="42"/>
      <c r="EQ370" s="40"/>
      <c r="ER370" s="219"/>
      <c r="ES370" s="56"/>
    </row>
    <row r="371" spans="34:149">
      <c r="AH371" s="8"/>
      <c r="AI371" s="8"/>
      <c r="AJ371" s="8"/>
      <c r="AK371" s="8"/>
      <c r="AL371" s="8"/>
      <c r="AM371" s="8"/>
      <c r="AN371" s="8"/>
      <c r="BE371" s="42"/>
      <c r="BF371" s="5"/>
      <c r="BG371" s="35"/>
      <c r="BH371" s="5"/>
      <c r="BI371" s="6"/>
      <c r="BJ371" s="35"/>
      <c r="BK371" s="5"/>
      <c r="BL371" s="41"/>
      <c r="BM371" s="35"/>
      <c r="BN371" s="5"/>
      <c r="BO371" s="42"/>
      <c r="BP371" s="42"/>
      <c r="BQ371" s="40"/>
      <c r="BR371" s="5"/>
      <c r="DA371" s="218"/>
      <c r="DH371" s="8"/>
      <c r="DI371" s="8"/>
      <c r="DJ371" s="8"/>
      <c r="DK371" s="8"/>
      <c r="DL371" s="8"/>
      <c r="DM371" s="8"/>
      <c r="DN371" s="8"/>
      <c r="EE371" s="42"/>
      <c r="EF371" s="5"/>
      <c r="EG371" s="35"/>
      <c r="EH371" s="5"/>
      <c r="EI371" s="6"/>
      <c r="EJ371" s="35"/>
      <c r="EK371" s="5"/>
      <c r="EL371" s="41"/>
      <c r="EM371" s="35"/>
      <c r="EN371" s="5"/>
      <c r="EO371" s="42"/>
      <c r="EP371" s="42"/>
      <c r="EQ371" s="40"/>
      <c r="ER371" s="219"/>
      <c r="ES371" s="56"/>
    </row>
    <row r="372" spans="34:149">
      <c r="AH372" s="8"/>
      <c r="AI372" s="8"/>
      <c r="AJ372" s="8"/>
      <c r="AK372" s="8"/>
      <c r="AL372" s="8"/>
      <c r="AM372" s="8"/>
      <c r="AN372" s="8"/>
      <c r="BE372" s="42"/>
      <c r="BF372" s="5"/>
      <c r="BG372" s="35"/>
      <c r="BH372" s="5"/>
      <c r="BI372" s="6"/>
      <c r="BJ372" s="35"/>
      <c r="BK372" s="5"/>
      <c r="BL372" s="41"/>
      <c r="BM372" s="35"/>
      <c r="BN372" s="5"/>
      <c r="BO372" s="42"/>
      <c r="BP372" s="42"/>
      <c r="BQ372" s="40"/>
      <c r="BR372" s="5"/>
      <c r="DA372" s="218"/>
      <c r="DH372" s="8"/>
      <c r="DI372" s="8"/>
      <c r="DJ372" s="8"/>
      <c r="DK372" s="8"/>
      <c r="DL372" s="8"/>
      <c r="DM372" s="8"/>
      <c r="DN372" s="8"/>
      <c r="EE372" s="42"/>
      <c r="EF372" s="5"/>
      <c r="EG372" s="35"/>
      <c r="EH372" s="5"/>
      <c r="EI372" s="6"/>
      <c r="EJ372" s="35"/>
      <c r="EK372" s="5"/>
      <c r="EL372" s="41"/>
      <c r="EM372" s="35"/>
      <c r="EN372" s="5"/>
      <c r="EO372" s="42"/>
      <c r="EP372" s="42"/>
      <c r="EQ372" s="40"/>
      <c r="ER372" s="219"/>
      <c r="ES372" s="56"/>
    </row>
    <row r="373" spans="34:149">
      <c r="AH373" s="8"/>
      <c r="AI373" s="8"/>
      <c r="AJ373" s="8"/>
      <c r="AK373" s="8"/>
      <c r="AL373" s="8"/>
      <c r="AM373" s="8"/>
      <c r="AN373" s="8"/>
      <c r="BE373" s="42"/>
      <c r="BF373" s="5"/>
      <c r="BG373" s="35"/>
      <c r="BH373" s="5"/>
      <c r="BI373" s="6"/>
      <c r="BJ373" s="35"/>
      <c r="BK373" s="5"/>
      <c r="BL373" s="41"/>
      <c r="BM373" s="35"/>
      <c r="BN373" s="5"/>
      <c r="BO373" s="42"/>
      <c r="BP373" s="42"/>
      <c r="BQ373" s="40"/>
      <c r="BR373" s="5"/>
      <c r="DA373" s="218"/>
      <c r="DH373" s="8"/>
      <c r="DI373" s="8"/>
      <c r="DJ373" s="8"/>
      <c r="DK373" s="8"/>
      <c r="DL373" s="8"/>
      <c r="DM373" s="8"/>
      <c r="DN373" s="8"/>
      <c r="EE373" s="42"/>
      <c r="EF373" s="5"/>
      <c r="EG373" s="35"/>
      <c r="EH373" s="5"/>
      <c r="EI373" s="6"/>
      <c r="EJ373" s="35"/>
      <c r="EK373" s="5"/>
      <c r="EL373" s="41"/>
      <c r="EM373" s="35"/>
      <c r="EN373" s="5"/>
      <c r="EO373" s="42"/>
      <c r="EP373" s="42"/>
      <c r="EQ373" s="40"/>
      <c r="ER373" s="219"/>
      <c r="ES373" s="56"/>
    </row>
    <row r="374" spans="34:149">
      <c r="AH374" s="8"/>
      <c r="AI374" s="8"/>
      <c r="AJ374" s="8"/>
      <c r="AK374" s="8"/>
      <c r="AL374" s="8"/>
      <c r="AM374" s="8"/>
      <c r="AN374" s="8"/>
      <c r="BE374" s="42"/>
      <c r="BF374" s="5"/>
      <c r="BG374" s="35"/>
      <c r="BH374" s="5"/>
      <c r="BI374" s="6"/>
      <c r="BJ374" s="35"/>
      <c r="BK374" s="5"/>
      <c r="BL374" s="41"/>
      <c r="BM374" s="35"/>
      <c r="BN374" s="5"/>
      <c r="BO374" s="42"/>
      <c r="BP374" s="42"/>
      <c r="BQ374" s="40"/>
      <c r="BR374" s="5"/>
      <c r="DA374" s="218"/>
      <c r="DH374" s="8"/>
      <c r="DI374" s="8"/>
      <c r="DJ374" s="8"/>
      <c r="DK374" s="8"/>
      <c r="DL374" s="8"/>
      <c r="DM374" s="8"/>
      <c r="DN374" s="8"/>
      <c r="EE374" s="42"/>
      <c r="EF374" s="5"/>
      <c r="EG374" s="35"/>
      <c r="EH374" s="5"/>
      <c r="EI374" s="6"/>
      <c r="EJ374" s="35"/>
      <c r="EK374" s="5"/>
      <c r="EL374" s="41"/>
      <c r="EM374" s="35"/>
      <c r="EN374" s="5"/>
      <c r="EO374" s="42"/>
      <c r="EP374" s="42"/>
      <c r="EQ374" s="40"/>
      <c r="ER374" s="219"/>
      <c r="ES374" s="56"/>
    </row>
    <row r="375" spans="34:149">
      <c r="AH375" s="8"/>
      <c r="AI375" s="8"/>
      <c r="AJ375" s="8"/>
      <c r="AK375" s="8"/>
      <c r="AL375" s="8"/>
      <c r="AM375" s="8"/>
      <c r="AN375" s="8"/>
      <c r="BE375" s="42"/>
      <c r="BF375" s="5"/>
      <c r="BG375" s="35"/>
      <c r="BH375" s="5"/>
      <c r="BI375" s="6"/>
      <c r="BJ375" s="35"/>
      <c r="BK375" s="5"/>
      <c r="BL375" s="41"/>
      <c r="BM375" s="35"/>
      <c r="BN375" s="5"/>
      <c r="BO375" s="42"/>
      <c r="BP375" s="42"/>
      <c r="BQ375" s="40"/>
      <c r="BR375" s="5"/>
      <c r="DA375" s="218"/>
      <c r="DH375" s="8"/>
      <c r="DI375" s="8"/>
      <c r="DJ375" s="8"/>
      <c r="DK375" s="8"/>
      <c r="DL375" s="8"/>
      <c r="DM375" s="8"/>
      <c r="DN375" s="8"/>
      <c r="EE375" s="42"/>
      <c r="EF375" s="5"/>
      <c r="EG375" s="35"/>
      <c r="EH375" s="5"/>
      <c r="EI375" s="6"/>
      <c r="EJ375" s="35"/>
      <c r="EK375" s="5"/>
      <c r="EL375" s="41"/>
      <c r="EM375" s="35"/>
      <c r="EN375" s="5"/>
      <c r="EO375" s="42"/>
      <c r="EP375" s="42"/>
      <c r="EQ375" s="40"/>
      <c r="ER375" s="219"/>
      <c r="ES375" s="56"/>
    </row>
    <row r="376" spans="34:149">
      <c r="AH376" s="8"/>
      <c r="AI376" s="8"/>
      <c r="AJ376" s="8"/>
      <c r="AK376" s="8"/>
      <c r="AL376" s="8"/>
      <c r="AM376" s="8"/>
      <c r="AN376" s="8"/>
      <c r="BE376" s="42"/>
      <c r="BF376" s="5"/>
      <c r="BG376" s="35"/>
      <c r="BH376" s="5"/>
      <c r="BI376" s="6"/>
      <c r="BJ376" s="35"/>
      <c r="BK376" s="5"/>
      <c r="BL376" s="41"/>
      <c r="BM376" s="35"/>
      <c r="BN376" s="5"/>
      <c r="BO376" s="42"/>
      <c r="BP376" s="42"/>
      <c r="BQ376" s="40"/>
      <c r="BR376" s="5"/>
      <c r="DA376" s="218"/>
      <c r="DH376" s="8"/>
      <c r="DI376" s="8"/>
      <c r="DJ376" s="8"/>
      <c r="DK376" s="8"/>
      <c r="DL376" s="8"/>
      <c r="DM376" s="8"/>
      <c r="DN376" s="8"/>
      <c r="EE376" s="42"/>
      <c r="EF376" s="5"/>
      <c r="EG376" s="35"/>
      <c r="EH376" s="5"/>
      <c r="EI376" s="6"/>
      <c r="EJ376" s="35"/>
      <c r="EK376" s="5"/>
      <c r="EL376" s="41"/>
      <c r="EM376" s="35"/>
      <c r="EN376" s="5"/>
      <c r="EO376" s="42"/>
      <c r="EP376" s="42"/>
      <c r="EQ376" s="40"/>
      <c r="ER376" s="219"/>
      <c r="ES376" s="56"/>
    </row>
    <row r="377" spans="34:149">
      <c r="AH377" s="8"/>
      <c r="AI377" s="8"/>
      <c r="AJ377" s="8"/>
      <c r="AK377" s="8"/>
      <c r="AL377" s="8"/>
      <c r="AM377" s="8"/>
      <c r="AN377" s="8"/>
      <c r="BE377" s="42"/>
      <c r="BF377" s="5"/>
      <c r="BG377" s="35"/>
      <c r="BH377" s="5"/>
      <c r="BI377" s="6"/>
      <c r="BJ377" s="35"/>
      <c r="BK377" s="5"/>
      <c r="BL377" s="41"/>
      <c r="BM377" s="35"/>
      <c r="BN377" s="5"/>
      <c r="BO377" s="42"/>
      <c r="BP377" s="42"/>
      <c r="BQ377" s="40"/>
      <c r="BR377" s="5"/>
      <c r="DA377" s="218"/>
      <c r="DH377" s="8"/>
      <c r="DI377" s="8"/>
      <c r="DJ377" s="8"/>
      <c r="DK377" s="8"/>
      <c r="DL377" s="8"/>
      <c r="DM377" s="8"/>
      <c r="DN377" s="8"/>
      <c r="EE377" s="42"/>
      <c r="EF377" s="5"/>
      <c r="EG377" s="35"/>
      <c r="EH377" s="5"/>
      <c r="EI377" s="6"/>
      <c r="EJ377" s="35"/>
      <c r="EK377" s="5"/>
      <c r="EL377" s="41"/>
      <c r="EM377" s="35"/>
      <c r="EN377" s="5"/>
      <c r="EO377" s="42"/>
      <c r="EP377" s="42"/>
      <c r="EQ377" s="40"/>
      <c r="ER377" s="219"/>
      <c r="ES377" s="56"/>
    </row>
    <row r="378" spans="34:149">
      <c r="AH378" s="8"/>
      <c r="AI378" s="8"/>
      <c r="AJ378" s="8"/>
      <c r="AK378" s="8"/>
      <c r="AL378" s="8"/>
      <c r="AM378" s="8"/>
      <c r="AN378" s="8"/>
      <c r="BE378" s="42"/>
      <c r="BF378" s="5"/>
      <c r="BG378" s="35"/>
      <c r="BH378" s="5"/>
      <c r="BI378" s="6"/>
      <c r="BJ378" s="35"/>
      <c r="BK378" s="5"/>
      <c r="BL378" s="41"/>
      <c r="BM378" s="35"/>
      <c r="BN378" s="5"/>
      <c r="BO378" s="42"/>
      <c r="BP378" s="42"/>
      <c r="BQ378" s="40"/>
      <c r="BR378" s="5"/>
      <c r="DA378" s="218"/>
      <c r="DH378" s="8"/>
      <c r="DI378" s="8"/>
      <c r="DJ378" s="8"/>
      <c r="DK378" s="8"/>
      <c r="DL378" s="8"/>
      <c r="DM378" s="8"/>
      <c r="DN378" s="8"/>
      <c r="EE378" s="42"/>
      <c r="EF378" s="5"/>
      <c r="EG378" s="35"/>
      <c r="EH378" s="5"/>
      <c r="EI378" s="6"/>
      <c r="EJ378" s="35"/>
      <c r="EK378" s="5"/>
      <c r="EL378" s="41"/>
      <c r="EM378" s="35"/>
      <c r="EN378" s="5"/>
      <c r="EO378" s="42"/>
      <c r="EP378" s="42"/>
      <c r="EQ378" s="40"/>
      <c r="ER378" s="219"/>
      <c r="ES378" s="56"/>
    </row>
    <row r="379" spans="34:149">
      <c r="AH379" s="8"/>
      <c r="AI379" s="8"/>
      <c r="AJ379" s="8"/>
      <c r="AK379" s="8"/>
      <c r="AL379" s="8"/>
      <c r="AM379" s="8"/>
      <c r="AN379" s="8"/>
      <c r="BE379" s="42"/>
      <c r="BF379" s="5"/>
      <c r="BG379" s="35"/>
      <c r="BH379" s="5"/>
      <c r="BI379" s="6"/>
      <c r="BJ379" s="35"/>
      <c r="BK379" s="5"/>
      <c r="BL379" s="41"/>
      <c r="BM379" s="35"/>
      <c r="BN379" s="5"/>
      <c r="BO379" s="42"/>
      <c r="BP379" s="42"/>
      <c r="BQ379" s="40"/>
      <c r="BR379" s="5"/>
      <c r="DA379" s="218"/>
      <c r="DH379" s="8"/>
      <c r="DI379" s="8"/>
      <c r="DJ379" s="8"/>
      <c r="DK379" s="8"/>
      <c r="DL379" s="8"/>
      <c r="DM379" s="8"/>
      <c r="DN379" s="8"/>
      <c r="EE379" s="42"/>
      <c r="EF379" s="5"/>
      <c r="EG379" s="35"/>
      <c r="EH379" s="5"/>
      <c r="EI379" s="6"/>
      <c r="EJ379" s="35"/>
      <c r="EK379" s="5"/>
      <c r="EL379" s="41"/>
      <c r="EM379" s="35"/>
      <c r="EN379" s="5"/>
      <c r="EO379" s="42"/>
      <c r="EP379" s="42"/>
      <c r="EQ379" s="40"/>
      <c r="ER379" s="219"/>
      <c r="ES379" s="56"/>
    </row>
    <row r="380" spans="34:149">
      <c r="AH380" s="8"/>
      <c r="AI380" s="8"/>
      <c r="AJ380" s="8"/>
      <c r="AK380" s="8"/>
      <c r="AL380" s="8"/>
      <c r="AM380" s="8"/>
      <c r="AN380" s="8"/>
      <c r="BE380" s="42"/>
      <c r="BF380" s="5"/>
      <c r="BG380" s="35"/>
      <c r="BH380" s="5"/>
      <c r="BI380" s="6"/>
      <c r="BJ380" s="35"/>
      <c r="BK380" s="5"/>
      <c r="BL380" s="41"/>
      <c r="BM380" s="35"/>
      <c r="BN380" s="5"/>
      <c r="BO380" s="42"/>
      <c r="BP380" s="42"/>
      <c r="BQ380" s="40"/>
      <c r="BR380" s="5"/>
      <c r="DA380" s="218"/>
      <c r="DH380" s="8"/>
      <c r="DI380" s="8"/>
      <c r="DJ380" s="8"/>
      <c r="DK380" s="8"/>
      <c r="DL380" s="8"/>
      <c r="DM380" s="8"/>
      <c r="DN380" s="8"/>
      <c r="EE380" s="42"/>
      <c r="EF380" s="5"/>
      <c r="EG380" s="35"/>
      <c r="EH380" s="5"/>
      <c r="EI380" s="6"/>
      <c r="EJ380" s="35"/>
      <c r="EK380" s="5"/>
      <c r="EL380" s="41"/>
      <c r="EM380" s="35"/>
      <c r="EN380" s="5"/>
      <c r="EO380" s="42"/>
      <c r="EP380" s="42"/>
      <c r="EQ380" s="40"/>
      <c r="ER380" s="219"/>
      <c r="ES380" s="56"/>
    </row>
    <row r="381" spans="34:149">
      <c r="AH381" s="8"/>
      <c r="AI381" s="8"/>
      <c r="AJ381" s="8"/>
      <c r="AK381" s="8"/>
      <c r="AL381" s="8"/>
      <c r="AM381" s="8"/>
      <c r="AN381" s="8"/>
      <c r="BE381" s="42"/>
      <c r="BF381" s="5"/>
      <c r="BG381" s="35"/>
      <c r="BH381" s="5"/>
      <c r="BI381" s="6"/>
      <c r="BJ381" s="35"/>
      <c r="BK381" s="5"/>
      <c r="BL381" s="41"/>
      <c r="BM381" s="35"/>
      <c r="BN381" s="5"/>
      <c r="BO381" s="42"/>
      <c r="BP381" s="42"/>
      <c r="BQ381" s="40"/>
      <c r="BR381" s="5"/>
      <c r="DA381" s="218"/>
      <c r="DH381" s="8"/>
      <c r="DI381" s="8"/>
      <c r="DJ381" s="8"/>
      <c r="DK381" s="8"/>
      <c r="DL381" s="8"/>
      <c r="DM381" s="8"/>
      <c r="DN381" s="8"/>
      <c r="EE381" s="42"/>
      <c r="EF381" s="5"/>
      <c r="EG381" s="35"/>
      <c r="EH381" s="5"/>
      <c r="EI381" s="6"/>
      <c r="EJ381" s="35"/>
      <c r="EK381" s="5"/>
      <c r="EL381" s="41"/>
      <c r="EM381" s="35"/>
      <c r="EN381" s="5"/>
      <c r="EO381" s="42"/>
      <c r="EP381" s="42"/>
      <c r="EQ381" s="40"/>
      <c r="ER381" s="219"/>
      <c r="ES381" s="56"/>
    </row>
    <row r="382" spans="34:149">
      <c r="AH382" s="8"/>
      <c r="AI382" s="8"/>
      <c r="AJ382" s="8"/>
      <c r="AK382" s="8"/>
      <c r="AL382" s="8"/>
      <c r="AM382" s="8"/>
      <c r="AN382" s="8"/>
      <c r="BE382" s="42"/>
      <c r="BF382" s="5"/>
      <c r="BG382" s="35"/>
      <c r="BH382" s="5"/>
      <c r="BI382" s="6"/>
      <c r="BJ382" s="35"/>
      <c r="BK382" s="5"/>
      <c r="BL382" s="41"/>
      <c r="BM382" s="35"/>
      <c r="BN382" s="5"/>
      <c r="BO382" s="42"/>
      <c r="BP382" s="42"/>
      <c r="BQ382" s="40"/>
      <c r="BR382" s="5"/>
      <c r="DA382" s="218"/>
      <c r="DH382" s="8"/>
      <c r="DI382" s="8"/>
      <c r="DJ382" s="8"/>
      <c r="DK382" s="8"/>
      <c r="DL382" s="8"/>
      <c r="DM382" s="8"/>
      <c r="DN382" s="8"/>
      <c r="EE382" s="42"/>
      <c r="EF382" s="5"/>
      <c r="EG382" s="35"/>
      <c r="EH382" s="5"/>
      <c r="EI382" s="6"/>
      <c r="EJ382" s="35"/>
      <c r="EK382" s="5"/>
      <c r="EL382" s="41"/>
      <c r="EM382" s="35"/>
      <c r="EN382" s="5"/>
      <c r="EO382" s="42"/>
      <c r="EP382" s="42"/>
      <c r="EQ382" s="40"/>
      <c r="ER382" s="219"/>
      <c r="ES382" s="56"/>
    </row>
    <row r="383" spans="34:149">
      <c r="AH383" s="8"/>
      <c r="AI383" s="8"/>
      <c r="AJ383" s="8"/>
      <c r="AK383" s="8"/>
      <c r="AL383" s="8"/>
      <c r="AM383" s="8"/>
      <c r="AN383" s="8"/>
      <c r="BE383" s="42"/>
      <c r="BF383" s="5"/>
      <c r="BG383" s="35"/>
      <c r="BH383" s="5"/>
      <c r="BI383" s="6"/>
      <c r="BJ383" s="35"/>
      <c r="BK383" s="5"/>
      <c r="BL383" s="41"/>
      <c r="BM383" s="35"/>
      <c r="BN383" s="5"/>
      <c r="BO383" s="42"/>
      <c r="BP383" s="42"/>
      <c r="BQ383" s="40"/>
      <c r="BR383" s="5"/>
      <c r="DA383" s="218"/>
      <c r="DH383" s="8"/>
      <c r="DI383" s="8"/>
      <c r="DJ383" s="8"/>
      <c r="DK383" s="8"/>
      <c r="DL383" s="8"/>
      <c r="DM383" s="8"/>
      <c r="DN383" s="8"/>
      <c r="EE383" s="42"/>
      <c r="EF383" s="5"/>
      <c r="EG383" s="35"/>
      <c r="EH383" s="5"/>
      <c r="EI383" s="6"/>
      <c r="EJ383" s="35"/>
      <c r="EK383" s="5"/>
      <c r="EL383" s="41"/>
      <c r="EM383" s="35"/>
      <c r="EN383" s="5"/>
      <c r="EO383" s="42"/>
      <c r="EP383" s="42"/>
      <c r="EQ383" s="40"/>
      <c r="ER383" s="219"/>
      <c r="ES383" s="56"/>
    </row>
    <row r="384" spans="34:149">
      <c r="AH384" s="8"/>
      <c r="AI384" s="8"/>
      <c r="AJ384" s="8"/>
      <c r="AK384" s="8"/>
      <c r="AL384" s="8"/>
      <c r="AM384" s="8"/>
      <c r="AN384" s="8"/>
      <c r="BE384" s="42"/>
      <c r="BF384" s="5"/>
      <c r="BG384" s="35"/>
      <c r="BH384" s="5"/>
      <c r="BI384" s="6"/>
      <c r="BJ384" s="35"/>
      <c r="BK384" s="5"/>
      <c r="BL384" s="41"/>
      <c r="BM384" s="35"/>
      <c r="BN384" s="5"/>
      <c r="BO384" s="42"/>
      <c r="BP384" s="42"/>
      <c r="BQ384" s="40"/>
      <c r="BR384" s="5"/>
      <c r="DA384" s="218"/>
      <c r="DH384" s="8"/>
      <c r="DI384" s="8"/>
      <c r="DJ384" s="8"/>
      <c r="DK384" s="8"/>
      <c r="DL384" s="8"/>
      <c r="DM384" s="8"/>
      <c r="DN384" s="8"/>
      <c r="EE384" s="42"/>
      <c r="EF384" s="5"/>
      <c r="EG384" s="35"/>
      <c r="EH384" s="5"/>
      <c r="EI384" s="6"/>
      <c r="EJ384" s="35"/>
      <c r="EK384" s="5"/>
      <c r="EL384" s="41"/>
      <c r="EM384" s="35"/>
      <c r="EN384" s="5"/>
      <c r="EO384" s="42"/>
      <c r="EP384" s="42"/>
      <c r="EQ384" s="40"/>
      <c r="ER384" s="219"/>
      <c r="ES384" s="56"/>
    </row>
    <row r="385" spans="34:149">
      <c r="AH385" s="8"/>
      <c r="AI385" s="8"/>
      <c r="AJ385" s="8"/>
      <c r="AK385" s="8"/>
      <c r="AL385" s="8"/>
      <c r="AM385" s="8"/>
      <c r="AN385" s="8"/>
      <c r="BE385" s="42"/>
      <c r="BF385" s="5"/>
      <c r="BG385" s="35"/>
      <c r="BH385" s="5"/>
      <c r="BI385" s="6"/>
      <c r="BJ385" s="35"/>
      <c r="BK385" s="5"/>
      <c r="BL385" s="41"/>
      <c r="BM385" s="35"/>
      <c r="BN385" s="5"/>
      <c r="BO385" s="42"/>
      <c r="BP385" s="42"/>
      <c r="BQ385" s="40"/>
      <c r="BR385" s="5"/>
      <c r="DA385" s="218"/>
      <c r="DH385" s="8"/>
      <c r="DI385" s="8"/>
      <c r="DJ385" s="8"/>
      <c r="DK385" s="8"/>
      <c r="DL385" s="8"/>
      <c r="DM385" s="8"/>
      <c r="DN385" s="8"/>
      <c r="EE385" s="42"/>
      <c r="EF385" s="5"/>
      <c r="EG385" s="35"/>
      <c r="EH385" s="5"/>
      <c r="EI385" s="6"/>
      <c r="EJ385" s="35"/>
      <c r="EK385" s="5"/>
      <c r="EL385" s="41"/>
      <c r="EM385" s="35"/>
      <c r="EN385" s="5"/>
      <c r="EO385" s="42"/>
      <c r="EP385" s="42"/>
      <c r="EQ385" s="40"/>
      <c r="ER385" s="219"/>
      <c r="ES385" s="56"/>
    </row>
    <row r="386" spans="34:149">
      <c r="AH386" s="8"/>
      <c r="AI386" s="8"/>
      <c r="AJ386" s="8"/>
      <c r="AK386" s="8"/>
      <c r="AL386" s="8"/>
      <c r="AM386" s="8"/>
      <c r="AN386" s="8"/>
      <c r="BE386" s="42"/>
      <c r="BF386" s="5"/>
      <c r="BG386" s="35"/>
      <c r="BH386" s="5"/>
      <c r="BI386" s="6"/>
      <c r="BJ386" s="35"/>
      <c r="BK386" s="5"/>
      <c r="BL386" s="41"/>
      <c r="BM386" s="35"/>
      <c r="BN386" s="5"/>
      <c r="BO386" s="42"/>
      <c r="BP386" s="42"/>
      <c r="BQ386" s="40"/>
      <c r="BR386" s="5"/>
      <c r="DA386" s="218"/>
      <c r="DH386" s="8"/>
      <c r="DI386" s="8"/>
      <c r="DJ386" s="8"/>
      <c r="DK386" s="8"/>
      <c r="DL386" s="8"/>
      <c r="DM386" s="8"/>
      <c r="DN386" s="8"/>
      <c r="EE386" s="42"/>
      <c r="EF386" s="5"/>
      <c r="EG386" s="35"/>
      <c r="EH386" s="5"/>
      <c r="EI386" s="6"/>
      <c r="EJ386" s="35"/>
      <c r="EK386" s="5"/>
      <c r="EL386" s="41"/>
      <c r="EM386" s="35"/>
      <c r="EN386" s="5"/>
      <c r="EO386" s="42"/>
      <c r="EP386" s="42"/>
      <c r="EQ386" s="40"/>
      <c r="ER386" s="219"/>
      <c r="ES386" s="56"/>
    </row>
    <row r="387" spans="34:149">
      <c r="AH387" s="8"/>
      <c r="AI387" s="8"/>
      <c r="AJ387" s="8"/>
      <c r="AK387" s="8"/>
      <c r="AL387" s="8"/>
      <c r="AM387" s="8"/>
      <c r="AN387" s="8"/>
      <c r="BE387" s="42"/>
      <c r="BF387" s="5"/>
      <c r="BG387" s="35"/>
      <c r="BH387" s="5"/>
      <c r="BI387" s="6"/>
      <c r="BJ387" s="35"/>
      <c r="BK387" s="5"/>
      <c r="BL387" s="41"/>
      <c r="BM387" s="35"/>
      <c r="BN387" s="5"/>
      <c r="BO387" s="42"/>
      <c r="BP387" s="42"/>
      <c r="BQ387" s="40"/>
      <c r="BR387" s="5"/>
      <c r="DA387" s="218"/>
      <c r="DH387" s="8"/>
      <c r="DI387" s="8"/>
      <c r="DJ387" s="8"/>
      <c r="DK387" s="8"/>
      <c r="DL387" s="8"/>
      <c r="DM387" s="8"/>
      <c r="DN387" s="8"/>
      <c r="EE387" s="42"/>
      <c r="EF387" s="5"/>
      <c r="EG387" s="35"/>
      <c r="EH387" s="5"/>
      <c r="EI387" s="6"/>
      <c r="EJ387" s="35"/>
      <c r="EK387" s="5"/>
      <c r="EL387" s="41"/>
      <c r="EM387" s="35"/>
      <c r="EN387" s="5"/>
      <c r="EO387" s="42"/>
      <c r="EP387" s="42"/>
      <c r="EQ387" s="40"/>
      <c r="ER387" s="219"/>
      <c r="ES387" s="56"/>
    </row>
    <row r="388" spans="34:149">
      <c r="AH388" s="8"/>
      <c r="AI388" s="8"/>
      <c r="AJ388" s="8"/>
      <c r="AK388" s="8"/>
      <c r="AL388" s="8"/>
      <c r="AM388" s="8"/>
      <c r="AN388" s="8"/>
      <c r="BE388" s="42"/>
      <c r="BF388" s="5"/>
      <c r="BG388" s="35"/>
      <c r="BH388" s="5"/>
      <c r="BI388" s="6"/>
      <c r="BJ388" s="35"/>
      <c r="BK388" s="5"/>
      <c r="BL388" s="41"/>
      <c r="BM388" s="35"/>
      <c r="BN388" s="5"/>
      <c r="BO388" s="42"/>
      <c r="BP388" s="42"/>
      <c r="BQ388" s="40"/>
      <c r="BR388" s="5"/>
      <c r="DA388" s="218"/>
      <c r="DH388" s="8"/>
      <c r="DI388" s="8"/>
      <c r="DJ388" s="8"/>
      <c r="DK388" s="8"/>
      <c r="DL388" s="8"/>
      <c r="DM388" s="8"/>
      <c r="DN388" s="8"/>
      <c r="EE388" s="42"/>
      <c r="EF388" s="5"/>
      <c r="EG388" s="35"/>
      <c r="EH388" s="5"/>
      <c r="EI388" s="6"/>
      <c r="EJ388" s="35"/>
      <c r="EK388" s="5"/>
      <c r="EL388" s="41"/>
      <c r="EM388" s="35"/>
      <c r="EN388" s="5"/>
      <c r="EO388" s="42"/>
      <c r="EP388" s="42"/>
      <c r="EQ388" s="40"/>
      <c r="ER388" s="219"/>
      <c r="ES388" s="56"/>
    </row>
    <row r="389" spans="34:149">
      <c r="AH389" s="8"/>
      <c r="AI389" s="8"/>
      <c r="AJ389" s="8"/>
      <c r="AK389" s="8"/>
      <c r="AL389" s="8"/>
      <c r="AM389" s="8"/>
      <c r="AN389" s="8"/>
      <c r="BE389" s="42"/>
      <c r="BF389" s="5"/>
      <c r="BG389" s="35"/>
      <c r="BH389" s="5"/>
      <c r="BI389" s="6"/>
      <c r="BJ389" s="35"/>
      <c r="BK389" s="5"/>
      <c r="BL389" s="41"/>
      <c r="BM389" s="35"/>
      <c r="BN389" s="5"/>
      <c r="BO389" s="42"/>
      <c r="BP389" s="42"/>
      <c r="BQ389" s="40"/>
      <c r="BR389" s="5"/>
      <c r="DA389" s="218"/>
      <c r="DH389" s="8"/>
      <c r="DI389" s="8"/>
      <c r="DJ389" s="8"/>
      <c r="DK389" s="8"/>
      <c r="DL389" s="8"/>
      <c r="DM389" s="8"/>
      <c r="DN389" s="8"/>
      <c r="EE389" s="42"/>
      <c r="EF389" s="5"/>
      <c r="EG389" s="35"/>
      <c r="EH389" s="5"/>
      <c r="EI389" s="6"/>
      <c r="EJ389" s="35"/>
      <c r="EK389" s="5"/>
      <c r="EL389" s="41"/>
      <c r="EM389" s="35"/>
      <c r="EN389" s="5"/>
      <c r="EO389" s="42"/>
      <c r="EP389" s="42"/>
      <c r="EQ389" s="40"/>
      <c r="ER389" s="219"/>
      <c r="ES389" s="56"/>
    </row>
    <row r="390" spans="34:149">
      <c r="AH390" s="8"/>
      <c r="AI390" s="8"/>
      <c r="AJ390" s="8"/>
      <c r="AK390" s="8"/>
      <c r="AL390" s="8"/>
      <c r="AM390" s="8"/>
      <c r="AN390" s="8"/>
      <c r="BE390" s="42"/>
      <c r="BF390" s="5"/>
      <c r="BG390" s="35"/>
      <c r="BH390" s="5"/>
      <c r="BI390" s="6"/>
      <c r="BJ390" s="35"/>
      <c r="BK390" s="5"/>
      <c r="BL390" s="41"/>
      <c r="BM390" s="35"/>
      <c r="BN390" s="5"/>
      <c r="BO390" s="42"/>
      <c r="BP390" s="42"/>
      <c r="BQ390" s="40"/>
      <c r="BR390" s="5"/>
      <c r="DA390" s="218"/>
      <c r="DH390" s="8"/>
      <c r="DI390" s="8"/>
      <c r="DJ390" s="8"/>
      <c r="DK390" s="8"/>
      <c r="DL390" s="8"/>
      <c r="DM390" s="8"/>
      <c r="DN390" s="8"/>
      <c r="EE390" s="42"/>
      <c r="EF390" s="5"/>
      <c r="EG390" s="35"/>
      <c r="EH390" s="5"/>
      <c r="EI390" s="6"/>
      <c r="EJ390" s="35"/>
      <c r="EK390" s="5"/>
      <c r="EL390" s="41"/>
      <c r="EM390" s="35"/>
      <c r="EN390" s="5"/>
      <c r="EO390" s="42"/>
      <c r="EP390" s="42"/>
      <c r="EQ390" s="40"/>
      <c r="ER390" s="219"/>
      <c r="ES390" s="56"/>
    </row>
    <row r="391" spans="34:149">
      <c r="AH391" s="8"/>
      <c r="AI391" s="8"/>
      <c r="AJ391" s="8"/>
      <c r="AK391" s="8"/>
      <c r="AL391" s="8"/>
      <c r="AM391" s="8"/>
      <c r="AN391" s="8"/>
      <c r="BE391" s="42"/>
      <c r="BF391" s="5"/>
      <c r="BG391" s="35"/>
      <c r="BH391" s="5"/>
      <c r="BI391" s="6"/>
      <c r="BJ391" s="35"/>
      <c r="BK391" s="5"/>
      <c r="BL391" s="41"/>
      <c r="BM391" s="35"/>
      <c r="BN391" s="5"/>
      <c r="BO391" s="42"/>
      <c r="BP391" s="42"/>
      <c r="BQ391" s="40"/>
      <c r="BR391" s="5"/>
      <c r="DA391" s="218"/>
      <c r="DH391" s="8"/>
      <c r="DI391" s="8"/>
      <c r="DJ391" s="8"/>
      <c r="DK391" s="8"/>
      <c r="DL391" s="8"/>
      <c r="DM391" s="8"/>
      <c r="DN391" s="8"/>
      <c r="EE391" s="42"/>
      <c r="EF391" s="5"/>
      <c r="EG391" s="35"/>
      <c r="EH391" s="5"/>
      <c r="EI391" s="6"/>
      <c r="EJ391" s="35"/>
      <c r="EK391" s="5"/>
      <c r="EL391" s="41"/>
      <c r="EM391" s="35"/>
      <c r="EN391" s="5"/>
      <c r="EO391" s="42"/>
      <c r="EP391" s="42"/>
      <c r="EQ391" s="40"/>
      <c r="ER391" s="219"/>
      <c r="ES391" s="56"/>
    </row>
    <row r="392" spans="34:149">
      <c r="AH392" s="8"/>
      <c r="AI392" s="8"/>
      <c r="AJ392" s="8"/>
      <c r="AK392" s="8"/>
      <c r="AL392" s="8"/>
      <c r="AM392" s="8"/>
      <c r="AN392" s="8"/>
      <c r="BE392" s="42"/>
      <c r="BF392" s="5"/>
      <c r="BG392" s="35"/>
      <c r="BH392" s="5"/>
      <c r="BI392" s="6"/>
      <c r="BJ392" s="35"/>
      <c r="BK392" s="5"/>
      <c r="BL392" s="41"/>
      <c r="BM392" s="35"/>
      <c r="BN392" s="5"/>
      <c r="BO392" s="42"/>
      <c r="BP392" s="42"/>
      <c r="BQ392" s="40"/>
      <c r="BR392" s="5"/>
      <c r="DA392" s="218"/>
      <c r="DH392" s="8"/>
      <c r="DI392" s="8"/>
      <c r="DJ392" s="8"/>
      <c r="DK392" s="8"/>
      <c r="DL392" s="8"/>
      <c r="DM392" s="8"/>
      <c r="DN392" s="8"/>
      <c r="EE392" s="42"/>
      <c r="EF392" s="5"/>
      <c r="EG392" s="35"/>
      <c r="EH392" s="5"/>
      <c r="EI392" s="6"/>
      <c r="EJ392" s="35"/>
      <c r="EK392" s="5"/>
      <c r="EL392" s="41"/>
      <c r="EM392" s="35"/>
      <c r="EN392" s="5"/>
      <c r="EO392" s="42"/>
      <c r="EP392" s="42"/>
      <c r="EQ392" s="40"/>
      <c r="ER392" s="219"/>
      <c r="ES392" s="56"/>
    </row>
    <row r="393" spans="34:149">
      <c r="AH393" s="8"/>
      <c r="AI393" s="8"/>
      <c r="AJ393" s="8"/>
      <c r="AK393" s="8"/>
      <c r="AL393" s="8"/>
      <c r="AM393" s="8"/>
      <c r="AN393" s="8"/>
      <c r="BE393" s="42"/>
      <c r="BF393" s="5"/>
      <c r="BG393" s="35"/>
      <c r="BH393" s="5"/>
      <c r="BI393" s="6"/>
      <c r="BJ393" s="35"/>
      <c r="BK393" s="5"/>
      <c r="BL393" s="41"/>
      <c r="BM393" s="35"/>
      <c r="BN393" s="5"/>
      <c r="BO393" s="42"/>
      <c r="BP393" s="42"/>
      <c r="BQ393" s="40"/>
      <c r="BR393" s="5"/>
      <c r="DA393" s="218"/>
      <c r="DH393" s="8"/>
      <c r="DI393" s="8"/>
      <c r="DJ393" s="8"/>
      <c r="DK393" s="8"/>
      <c r="DL393" s="8"/>
      <c r="DM393" s="8"/>
      <c r="DN393" s="8"/>
      <c r="EE393" s="42"/>
      <c r="EF393" s="5"/>
      <c r="EG393" s="35"/>
      <c r="EH393" s="5"/>
      <c r="EI393" s="6"/>
      <c r="EJ393" s="35"/>
      <c r="EK393" s="5"/>
      <c r="EL393" s="41"/>
      <c r="EM393" s="35"/>
      <c r="EN393" s="5"/>
      <c r="EO393" s="42"/>
      <c r="EP393" s="42"/>
      <c r="EQ393" s="40"/>
      <c r="ER393" s="219"/>
      <c r="ES393" s="56"/>
    </row>
    <row r="394" spans="34:149">
      <c r="AH394" s="8"/>
      <c r="AI394" s="8"/>
      <c r="AJ394" s="8"/>
      <c r="AK394" s="8"/>
      <c r="AL394" s="8"/>
      <c r="AM394" s="8"/>
      <c r="AN394" s="8"/>
      <c r="BE394" s="42"/>
      <c r="BF394" s="5"/>
      <c r="BG394" s="35"/>
      <c r="BH394" s="5"/>
      <c r="BI394" s="6"/>
      <c r="BJ394" s="35"/>
      <c r="BK394" s="5"/>
      <c r="BL394" s="41"/>
      <c r="BM394" s="35"/>
      <c r="BN394" s="5"/>
      <c r="BO394" s="42"/>
      <c r="BP394" s="42"/>
      <c r="BQ394" s="40"/>
      <c r="BR394" s="5"/>
      <c r="DA394" s="218"/>
      <c r="DH394" s="8"/>
      <c r="DI394" s="8"/>
      <c r="DJ394" s="8"/>
      <c r="DK394" s="8"/>
      <c r="DL394" s="8"/>
      <c r="DM394" s="8"/>
      <c r="DN394" s="8"/>
      <c r="EE394" s="42"/>
      <c r="EF394" s="5"/>
      <c r="EG394" s="35"/>
      <c r="EH394" s="5"/>
      <c r="EI394" s="6"/>
      <c r="EJ394" s="35"/>
      <c r="EK394" s="5"/>
      <c r="EL394" s="41"/>
      <c r="EM394" s="35"/>
      <c r="EN394" s="5"/>
      <c r="EO394" s="42"/>
      <c r="EP394" s="42"/>
      <c r="EQ394" s="40"/>
      <c r="ER394" s="219"/>
      <c r="ES394" s="56"/>
    </row>
    <row r="395" spans="34:149">
      <c r="AH395" s="8"/>
      <c r="AI395" s="8"/>
      <c r="AJ395" s="8"/>
      <c r="AK395" s="8"/>
      <c r="AL395" s="8"/>
      <c r="AM395" s="8"/>
      <c r="AN395" s="8"/>
      <c r="BE395" s="42"/>
      <c r="BF395" s="5"/>
      <c r="BG395" s="35"/>
      <c r="BH395" s="5"/>
      <c r="BI395" s="6"/>
      <c r="BJ395" s="35"/>
      <c r="BK395" s="5"/>
      <c r="BL395" s="41"/>
      <c r="BM395" s="35"/>
      <c r="BN395" s="5"/>
      <c r="BO395" s="42"/>
      <c r="BP395" s="42"/>
      <c r="BQ395" s="40"/>
      <c r="BR395" s="5"/>
      <c r="DA395" s="218"/>
      <c r="DH395" s="8"/>
      <c r="DI395" s="8"/>
      <c r="DJ395" s="8"/>
      <c r="DK395" s="8"/>
      <c r="DL395" s="8"/>
      <c r="DM395" s="8"/>
      <c r="DN395" s="8"/>
      <c r="EE395" s="42"/>
      <c r="EF395" s="5"/>
      <c r="EG395" s="35"/>
      <c r="EH395" s="5"/>
      <c r="EI395" s="6"/>
      <c r="EJ395" s="35"/>
      <c r="EK395" s="5"/>
      <c r="EL395" s="41"/>
      <c r="EM395" s="35"/>
      <c r="EN395" s="5"/>
      <c r="EO395" s="42"/>
      <c r="EP395" s="42"/>
      <c r="EQ395" s="40"/>
      <c r="ER395" s="219"/>
      <c r="ES395" s="56"/>
    </row>
    <row r="396" spans="34:149">
      <c r="AH396" s="8"/>
      <c r="AI396" s="8"/>
      <c r="AJ396" s="8"/>
      <c r="AK396" s="8"/>
      <c r="AL396" s="8"/>
      <c r="AM396" s="8"/>
      <c r="AN396" s="8"/>
      <c r="BE396" s="42"/>
      <c r="BF396" s="5"/>
      <c r="BG396" s="35"/>
      <c r="BH396" s="5"/>
      <c r="BI396" s="6"/>
      <c r="BJ396" s="35"/>
      <c r="BK396" s="5"/>
      <c r="BL396" s="41"/>
      <c r="BM396" s="35"/>
      <c r="BN396" s="5"/>
      <c r="BO396" s="42"/>
      <c r="BP396" s="42"/>
      <c r="BQ396" s="40"/>
      <c r="BR396" s="5"/>
      <c r="DA396" s="218"/>
      <c r="DH396" s="8"/>
      <c r="DI396" s="8"/>
      <c r="DJ396" s="8"/>
      <c r="DK396" s="8"/>
      <c r="DL396" s="8"/>
      <c r="DM396" s="8"/>
      <c r="DN396" s="8"/>
      <c r="EE396" s="42"/>
      <c r="EF396" s="5"/>
      <c r="EG396" s="35"/>
      <c r="EH396" s="5"/>
      <c r="EI396" s="6"/>
      <c r="EJ396" s="35"/>
      <c r="EK396" s="5"/>
      <c r="EL396" s="41"/>
      <c r="EM396" s="35"/>
      <c r="EN396" s="5"/>
      <c r="EO396" s="42"/>
      <c r="EP396" s="42"/>
      <c r="EQ396" s="40"/>
      <c r="ER396" s="219"/>
      <c r="ES396" s="56"/>
    </row>
    <row r="397" spans="34:149">
      <c r="AH397" s="8"/>
      <c r="AI397" s="8"/>
      <c r="AJ397" s="8"/>
      <c r="AK397" s="8"/>
      <c r="AL397" s="8"/>
      <c r="AM397" s="8"/>
      <c r="AN397" s="8"/>
      <c r="BE397" s="42"/>
      <c r="BF397" s="5"/>
      <c r="BG397" s="35"/>
      <c r="BH397" s="5"/>
      <c r="BI397" s="6"/>
      <c r="BJ397" s="35"/>
      <c r="BK397" s="5"/>
      <c r="BL397" s="41"/>
      <c r="BM397" s="35"/>
      <c r="BN397" s="5"/>
      <c r="BO397" s="42"/>
      <c r="BP397" s="42"/>
      <c r="BQ397" s="40"/>
      <c r="BR397" s="5"/>
      <c r="DA397" s="218"/>
      <c r="DH397" s="8"/>
      <c r="DI397" s="8"/>
      <c r="DJ397" s="8"/>
      <c r="DK397" s="8"/>
      <c r="DL397" s="8"/>
      <c r="DM397" s="8"/>
      <c r="DN397" s="8"/>
      <c r="EE397" s="42"/>
      <c r="EF397" s="5"/>
      <c r="EG397" s="35"/>
      <c r="EH397" s="5"/>
      <c r="EI397" s="6"/>
      <c r="EJ397" s="35"/>
      <c r="EK397" s="5"/>
      <c r="EL397" s="41"/>
      <c r="EM397" s="35"/>
      <c r="EN397" s="5"/>
      <c r="EO397" s="42"/>
      <c r="EP397" s="42"/>
      <c r="EQ397" s="40"/>
      <c r="ER397" s="219"/>
      <c r="ES397" s="56"/>
    </row>
    <row r="398" spans="34:149">
      <c r="AH398" s="8"/>
      <c r="AI398" s="8"/>
      <c r="AJ398" s="8"/>
      <c r="AK398" s="8"/>
      <c r="AL398" s="8"/>
      <c r="AM398" s="8"/>
      <c r="AN398" s="8"/>
      <c r="BE398" s="42"/>
      <c r="BF398" s="5"/>
      <c r="BG398" s="35"/>
      <c r="BH398" s="5"/>
      <c r="BI398" s="6"/>
      <c r="BJ398" s="35"/>
      <c r="BK398" s="5"/>
      <c r="BL398" s="41"/>
      <c r="BM398" s="35"/>
      <c r="BN398" s="5"/>
      <c r="BO398" s="42"/>
      <c r="BP398" s="42"/>
      <c r="BQ398" s="40"/>
      <c r="BR398" s="5"/>
      <c r="DA398" s="218"/>
      <c r="DH398" s="8"/>
      <c r="DI398" s="8"/>
      <c r="DJ398" s="8"/>
      <c r="DK398" s="8"/>
      <c r="DL398" s="8"/>
      <c r="DM398" s="8"/>
      <c r="DN398" s="8"/>
      <c r="EE398" s="42"/>
      <c r="EF398" s="5"/>
      <c r="EG398" s="35"/>
      <c r="EH398" s="5"/>
      <c r="EI398" s="6"/>
      <c r="EJ398" s="35"/>
      <c r="EK398" s="5"/>
      <c r="EL398" s="41"/>
      <c r="EM398" s="35"/>
      <c r="EN398" s="5"/>
      <c r="EO398" s="42"/>
      <c r="EP398" s="42"/>
      <c r="EQ398" s="40"/>
      <c r="ER398" s="219"/>
      <c r="ES398" s="56"/>
    </row>
    <row r="399" spans="34:149">
      <c r="AH399" s="8"/>
      <c r="AI399" s="8"/>
      <c r="AJ399" s="8"/>
      <c r="AK399" s="8"/>
      <c r="AL399" s="8"/>
      <c r="AM399" s="8"/>
      <c r="AN399" s="8"/>
      <c r="BE399" s="42"/>
      <c r="BF399" s="5"/>
      <c r="BG399" s="35"/>
      <c r="BH399" s="5"/>
      <c r="BI399" s="6"/>
      <c r="BJ399" s="35"/>
      <c r="BK399" s="5"/>
      <c r="BL399" s="41"/>
      <c r="BM399" s="35"/>
      <c r="BN399" s="5"/>
      <c r="BO399" s="42"/>
      <c r="BP399" s="42"/>
      <c r="BQ399" s="40"/>
      <c r="BR399" s="5"/>
      <c r="DA399" s="218"/>
      <c r="DH399" s="8"/>
      <c r="DI399" s="8"/>
      <c r="DJ399" s="8"/>
      <c r="DK399" s="8"/>
      <c r="DL399" s="8"/>
      <c r="DM399" s="8"/>
      <c r="DN399" s="8"/>
      <c r="EE399" s="42"/>
      <c r="EF399" s="5"/>
      <c r="EG399" s="35"/>
      <c r="EH399" s="5"/>
      <c r="EI399" s="6"/>
      <c r="EJ399" s="35"/>
      <c r="EK399" s="5"/>
      <c r="EL399" s="41"/>
      <c r="EM399" s="35"/>
      <c r="EN399" s="5"/>
      <c r="EO399" s="42"/>
      <c r="EP399" s="42"/>
      <c r="EQ399" s="40"/>
      <c r="ER399" s="219"/>
      <c r="ES399" s="56"/>
    </row>
    <row r="400" spans="34:149">
      <c r="AH400" s="8"/>
      <c r="AI400" s="8"/>
      <c r="AJ400" s="8"/>
      <c r="AK400" s="8"/>
      <c r="AL400" s="8"/>
      <c r="AM400" s="8"/>
      <c r="AN400" s="8"/>
      <c r="BE400" s="42"/>
      <c r="BF400" s="5"/>
      <c r="BG400" s="35"/>
      <c r="BH400" s="5"/>
      <c r="BI400" s="6"/>
      <c r="BJ400" s="35"/>
      <c r="BK400" s="5"/>
      <c r="BL400" s="41"/>
      <c r="BM400" s="35"/>
      <c r="BN400" s="5"/>
      <c r="BO400" s="42"/>
      <c r="BP400" s="42"/>
      <c r="BQ400" s="40"/>
      <c r="BR400" s="5"/>
      <c r="DA400" s="218"/>
      <c r="DH400" s="8"/>
      <c r="DI400" s="8"/>
      <c r="DJ400" s="8"/>
      <c r="DK400" s="8"/>
      <c r="DL400" s="8"/>
      <c r="DM400" s="8"/>
      <c r="DN400" s="8"/>
      <c r="EE400" s="42"/>
      <c r="EF400" s="5"/>
      <c r="EG400" s="35"/>
      <c r="EH400" s="5"/>
      <c r="EI400" s="6"/>
      <c r="EJ400" s="35"/>
      <c r="EK400" s="5"/>
      <c r="EL400" s="41"/>
      <c r="EM400" s="35"/>
      <c r="EN400" s="5"/>
      <c r="EO400" s="42"/>
      <c r="EP400" s="42"/>
      <c r="EQ400" s="40"/>
      <c r="ER400" s="219"/>
      <c r="ES400" s="56"/>
    </row>
    <row r="401" spans="34:149">
      <c r="AH401" s="8"/>
      <c r="AI401" s="8"/>
      <c r="AJ401" s="8"/>
      <c r="AK401" s="8"/>
      <c r="AL401" s="8"/>
      <c r="AM401" s="8"/>
      <c r="AN401" s="8"/>
      <c r="BE401" s="42"/>
      <c r="BF401" s="5"/>
      <c r="BG401" s="35"/>
      <c r="BH401" s="5"/>
      <c r="BI401" s="6"/>
      <c r="BJ401" s="35"/>
      <c r="BK401" s="5"/>
      <c r="BL401" s="41"/>
      <c r="BM401" s="35"/>
      <c r="BN401" s="5"/>
      <c r="BO401" s="42"/>
      <c r="BP401" s="42"/>
      <c r="BQ401" s="40"/>
      <c r="BR401" s="5"/>
      <c r="DA401" s="218"/>
      <c r="DH401" s="8"/>
      <c r="DI401" s="8"/>
      <c r="DJ401" s="8"/>
      <c r="DK401" s="8"/>
      <c r="DL401" s="8"/>
      <c r="DM401" s="8"/>
      <c r="DN401" s="8"/>
      <c r="EE401" s="42"/>
      <c r="EF401" s="5"/>
      <c r="EG401" s="35"/>
      <c r="EH401" s="5"/>
      <c r="EI401" s="6"/>
      <c r="EJ401" s="35"/>
      <c r="EK401" s="5"/>
      <c r="EL401" s="41"/>
      <c r="EM401" s="35"/>
      <c r="EN401" s="5"/>
      <c r="EO401" s="42"/>
      <c r="EP401" s="42"/>
      <c r="EQ401" s="40"/>
      <c r="ER401" s="219"/>
      <c r="ES401" s="56"/>
    </row>
    <row r="402" spans="34:149">
      <c r="AH402" s="8"/>
      <c r="AI402" s="8"/>
      <c r="AJ402" s="8"/>
      <c r="AK402" s="8"/>
      <c r="AL402" s="8"/>
      <c r="AM402" s="8"/>
      <c r="AN402" s="8"/>
      <c r="BE402" s="42"/>
      <c r="BF402" s="5"/>
      <c r="BG402" s="35"/>
      <c r="BH402" s="5"/>
      <c r="BI402" s="6"/>
      <c r="BJ402" s="35"/>
      <c r="BK402" s="5"/>
      <c r="BL402" s="41"/>
      <c r="BM402" s="35"/>
      <c r="BN402" s="5"/>
      <c r="BO402" s="42"/>
      <c r="BP402" s="42"/>
      <c r="BQ402" s="40"/>
      <c r="BR402" s="5"/>
      <c r="DA402" s="218"/>
      <c r="DH402" s="8"/>
      <c r="DI402" s="8"/>
      <c r="DJ402" s="8"/>
      <c r="DK402" s="8"/>
      <c r="DL402" s="8"/>
      <c r="DM402" s="8"/>
      <c r="DN402" s="8"/>
      <c r="EE402" s="42"/>
      <c r="EF402" s="5"/>
      <c r="EG402" s="35"/>
      <c r="EH402" s="5"/>
      <c r="EI402" s="6"/>
      <c r="EJ402" s="35"/>
      <c r="EK402" s="5"/>
      <c r="EL402" s="41"/>
      <c r="EM402" s="35"/>
      <c r="EN402" s="5"/>
      <c r="EO402" s="42"/>
      <c r="EP402" s="42"/>
      <c r="EQ402" s="40"/>
      <c r="ER402" s="219"/>
      <c r="ES402" s="56"/>
    </row>
    <row r="403" spans="34:149">
      <c r="AH403" s="8"/>
      <c r="AI403" s="8"/>
      <c r="AJ403" s="8"/>
      <c r="AK403" s="8"/>
      <c r="AL403" s="8"/>
      <c r="AM403" s="8"/>
      <c r="AN403" s="8"/>
      <c r="BE403" s="42"/>
      <c r="BF403" s="5"/>
      <c r="BG403" s="35"/>
      <c r="BH403" s="5"/>
      <c r="BI403" s="6"/>
      <c r="BJ403" s="35"/>
      <c r="BK403" s="5"/>
      <c r="BL403" s="41"/>
      <c r="BM403" s="35"/>
      <c r="BN403" s="5"/>
      <c r="BO403" s="42"/>
      <c r="BP403" s="42"/>
      <c r="BQ403" s="40"/>
      <c r="BR403" s="5"/>
      <c r="DA403" s="218"/>
      <c r="DH403" s="8"/>
      <c r="DI403" s="8"/>
      <c r="DJ403" s="8"/>
      <c r="DK403" s="8"/>
      <c r="DL403" s="8"/>
      <c r="DM403" s="8"/>
      <c r="DN403" s="8"/>
      <c r="EE403" s="42"/>
      <c r="EF403" s="5"/>
      <c r="EG403" s="35"/>
      <c r="EH403" s="5"/>
      <c r="EI403" s="6"/>
      <c r="EJ403" s="35"/>
      <c r="EK403" s="5"/>
      <c r="EL403" s="41"/>
      <c r="EM403" s="35"/>
      <c r="EN403" s="5"/>
      <c r="EO403" s="42"/>
      <c r="EP403" s="42"/>
      <c r="EQ403" s="40"/>
      <c r="ER403" s="219"/>
      <c r="ES403" s="56"/>
    </row>
    <row r="404" spans="34:149">
      <c r="AH404" s="8"/>
      <c r="AI404" s="8"/>
      <c r="AJ404" s="8"/>
      <c r="AK404" s="8"/>
      <c r="AL404" s="8"/>
      <c r="AM404" s="8"/>
      <c r="AN404" s="8"/>
      <c r="BE404" s="42"/>
      <c r="BF404" s="5"/>
      <c r="BG404" s="35"/>
      <c r="BH404" s="5"/>
      <c r="BI404" s="6"/>
      <c r="BJ404" s="35"/>
      <c r="BK404" s="5"/>
      <c r="BL404" s="41"/>
      <c r="BM404" s="35"/>
      <c r="BN404" s="5"/>
      <c r="BO404" s="42"/>
      <c r="BP404" s="42"/>
      <c r="BQ404" s="40"/>
      <c r="BR404" s="5"/>
      <c r="DA404" s="218"/>
      <c r="DH404" s="8"/>
      <c r="DI404" s="8"/>
      <c r="DJ404" s="8"/>
      <c r="DK404" s="8"/>
      <c r="DL404" s="8"/>
      <c r="DM404" s="8"/>
      <c r="DN404" s="8"/>
      <c r="EE404" s="42"/>
      <c r="EF404" s="5"/>
      <c r="EG404" s="35"/>
      <c r="EH404" s="5"/>
      <c r="EI404" s="6"/>
      <c r="EJ404" s="35"/>
      <c r="EK404" s="5"/>
      <c r="EL404" s="41"/>
      <c r="EM404" s="35"/>
      <c r="EN404" s="5"/>
      <c r="EO404" s="42"/>
      <c r="EP404" s="42"/>
      <c r="EQ404" s="40"/>
      <c r="ER404" s="219"/>
      <c r="ES404" s="56"/>
    </row>
    <row r="405" spans="34:149">
      <c r="AH405" s="8"/>
      <c r="AI405" s="8"/>
      <c r="AJ405" s="8"/>
      <c r="AK405" s="8"/>
      <c r="AL405" s="8"/>
      <c r="AM405" s="8"/>
      <c r="AN405" s="8"/>
      <c r="BE405" s="42"/>
      <c r="BF405" s="5"/>
      <c r="BG405" s="35"/>
      <c r="BH405" s="5"/>
      <c r="BI405" s="6"/>
      <c r="BJ405" s="35"/>
      <c r="BK405" s="5"/>
      <c r="BL405" s="41"/>
      <c r="BM405" s="35"/>
      <c r="BN405" s="5"/>
      <c r="BO405" s="42"/>
      <c r="BP405" s="42"/>
      <c r="BQ405" s="40"/>
      <c r="BR405" s="5"/>
      <c r="DA405" s="218"/>
      <c r="DH405" s="8"/>
      <c r="DI405" s="8"/>
      <c r="DJ405" s="8"/>
      <c r="DK405" s="8"/>
      <c r="DL405" s="8"/>
      <c r="DM405" s="8"/>
      <c r="DN405" s="8"/>
      <c r="EE405" s="42"/>
      <c r="EF405" s="5"/>
      <c r="EG405" s="35"/>
      <c r="EH405" s="5"/>
      <c r="EI405" s="6"/>
      <c r="EJ405" s="35"/>
      <c r="EK405" s="5"/>
      <c r="EL405" s="41"/>
      <c r="EM405" s="35"/>
      <c r="EN405" s="5"/>
      <c r="EO405" s="42"/>
      <c r="EP405" s="42"/>
      <c r="EQ405" s="40"/>
      <c r="ER405" s="219"/>
      <c r="ES405" s="56"/>
    </row>
    <row r="406" spans="34:149">
      <c r="AH406" s="8"/>
      <c r="AI406" s="8"/>
      <c r="AJ406" s="8"/>
      <c r="AK406" s="8"/>
      <c r="AL406" s="8"/>
      <c r="AM406" s="8"/>
      <c r="AN406" s="8"/>
      <c r="BE406" s="42"/>
      <c r="BF406" s="5"/>
      <c r="BG406" s="35"/>
      <c r="BH406" s="5"/>
      <c r="BI406" s="6"/>
      <c r="BJ406" s="35"/>
      <c r="BK406" s="5"/>
      <c r="BL406" s="41"/>
      <c r="BM406" s="35"/>
      <c r="BN406" s="5"/>
      <c r="BO406" s="42"/>
      <c r="BP406" s="42"/>
      <c r="BQ406" s="40"/>
      <c r="BR406" s="5"/>
      <c r="DA406" s="218"/>
      <c r="DH406" s="8"/>
      <c r="DI406" s="8"/>
      <c r="DJ406" s="8"/>
      <c r="DK406" s="8"/>
      <c r="DL406" s="8"/>
      <c r="DM406" s="8"/>
      <c r="DN406" s="8"/>
      <c r="EE406" s="42"/>
      <c r="EF406" s="5"/>
      <c r="EG406" s="35"/>
      <c r="EH406" s="5"/>
      <c r="EI406" s="6"/>
      <c r="EJ406" s="35"/>
      <c r="EK406" s="5"/>
      <c r="EL406" s="41"/>
      <c r="EM406" s="35"/>
      <c r="EN406" s="5"/>
      <c r="EO406" s="42"/>
      <c r="EP406" s="42"/>
      <c r="EQ406" s="40"/>
      <c r="ER406" s="219"/>
      <c r="ES406" s="56"/>
    </row>
    <row r="407" spans="34:149">
      <c r="AH407" s="8"/>
      <c r="AI407" s="8"/>
      <c r="AJ407" s="8"/>
      <c r="AK407" s="8"/>
      <c r="AL407" s="8"/>
      <c r="AM407" s="8"/>
      <c r="AN407" s="8"/>
      <c r="BE407" s="42"/>
      <c r="BF407" s="5"/>
      <c r="BG407" s="35"/>
      <c r="BH407" s="5"/>
      <c r="BI407" s="6"/>
      <c r="BJ407" s="35"/>
      <c r="BK407" s="5"/>
      <c r="BL407" s="41"/>
      <c r="BM407" s="35"/>
      <c r="BN407" s="5"/>
      <c r="BO407" s="42"/>
      <c r="BP407" s="42"/>
      <c r="BQ407" s="40"/>
      <c r="BR407" s="5"/>
      <c r="DA407" s="218"/>
      <c r="DH407" s="8"/>
      <c r="DI407" s="8"/>
      <c r="DJ407" s="8"/>
      <c r="DK407" s="8"/>
      <c r="DL407" s="8"/>
      <c r="DM407" s="8"/>
      <c r="DN407" s="8"/>
      <c r="EE407" s="42"/>
      <c r="EF407" s="5"/>
      <c r="EG407" s="35"/>
      <c r="EH407" s="5"/>
      <c r="EI407" s="6"/>
      <c r="EJ407" s="35"/>
      <c r="EK407" s="5"/>
      <c r="EL407" s="41"/>
      <c r="EM407" s="35"/>
      <c r="EN407" s="5"/>
      <c r="EO407" s="42"/>
      <c r="EP407" s="42"/>
      <c r="EQ407" s="40"/>
      <c r="ER407" s="219"/>
      <c r="ES407" s="56"/>
    </row>
    <row r="408" spans="34:149">
      <c r="AH408" s="8"/>
      <c r="AI408" s="8"/>
      <c r="AJ408" s="8"/>
      <c r="AK408" s="8"/>
      <c r="AL408" s="8"/>
      <c r="AM408" s="8"/>
      <c r="AN408" s="8"/>
      <c r="BE408" s="42"/>
      <c r="BF408" s="5"/>
      <c r="BG408" s="35"/>
      <c r="BH408" s="5"/>
      <c r="BI408" s="6"/>
      <c r="BJ408" s="35"/>
      <c r="BK408" s="5"/>
      <c r="BL408" s="41"/>
      <c r="BM408" s="35"/>
      <c r="BN408" s="5"/>
      <c r="BO408" s="42"/>
      <c r="BP408" s="42"/>
      <c r="BQ408" s="40"/>
      <c r="BR408" s="5"/>
      <c r="DA408" s="218"/>
      <c r="DH408" s="8"/>
      <c r="DI408" s="8"/>
      <c r="DJ408" s="8"/>
      <c r="DK408" s="8"/>
      <c r="DL408" s="8"/>
      <c r="DM408" s="8"/>
      <c r="DN408" s="8"/>
      <c r="EE408" s="42"/>
      <c r="EF408" s="5"/>
      <c r="EG408" s="35"/>
      <c r="EH408" s="5"/>
      <c r="EI408" s="6"/>
      <c r="EJ408" s="35"/>
      <c r="EK408" s="5"/>
      <c r="EL408" s="41"/>
      <c r="EM408" s="35"/>
      <c r="EN408" s="5"/>
      <c r="EO408" s="42"/>
      <c r="EP408" s="42"/>
      <c r="EQ408" s="40"/>
      <c r="ER408" s="219"/>
      <c r="ES408" s="56"/>
    </row>
    <row r="409" spans="34:149">
      <c r="AH409" s="8"/>
      <c r="AI409" s="8"/>
      <c r="AJ409" s="8"/>
      <c r="AK409" s="8"/>
      <c r="AL409" s="8"/>
      <c r="AM409" s="8"/>
      <c r="AN409" s="8"/>
      <c r="BE409" s="42"/>
      <c r="BF409" s="5"/>
      <c r="BG409" s="35"/>
      <c r="BH409" s="5"/>
      <c r="BI409" s="6"/>
      <c r="BJ409" s="35"/>
      <c r="BK409" s="5"/>
      <c r="BL409" s="41"/>
      <c r="BM409" s="35"/>
      <c r="BN409" s="5"/>
      <c r="BO409" s="42"/>
      <c r="BP409" s="42"/>
      <c r="BQ409" s="40"/>
      <c r="BR409" s="5"/>
      <c r="DA409" s="218"/>
      <c r="DH409" s="8"/>
      <c r="DI409" s="8"/>
      <c r="DJ409" s="8"/>
      <c r="DK409" s="8"/>
      <c r="DL409" s="8"/>
      <c r="DM409" s="8"/>
      <c r="DN409" s="8"/>
      <c r="EE409" s="42"/>
      <c r="EF409" s="5"/>
      <c r="EG409" s="35"/>
      <c r="EH409" s="5"/>
      <c r="EI409" s="6"/>
      <c r="EJ409" s="35"/>
      <c r="EK409" s="5"/>
      <c r="EL409" s="41"/>
      <c r="EM409" s="35"/>
      <c r="EN409" s="5"/>
      <c r="EO409" s="42"/>
      <c r="EP409" s="42"/>
      <c r="EQ409" s="40"/>
      <c r="ER409" s="219"/>
      <c r="ES409" s="56"/>
    </row>
    <row r="410" spans="34:149">
      <c r="AH410" s="8"/>
      <c r="AI410" s="8"/>
      <c r="AJ410" s="8"/>
      <c r="AK410" s="8"/>
      <c r="AL410" s="8"/>
      <c r="AM410" s="8"/>
      <c r="AN410" s="8"/>
      <c r="BE410" s="42"/>
      <c r="BF410" s="5"/>
      <c r="BG410" s="35"/>
      <c r="BH410" s="5"/>
      <c r="BI410" s="6"/>
      <c r="BJ410" s="35"/>
      <c r="BK410" s="5"/>
      <c r="BL410" s="41"/>
      <c r="BM410" s="35"/>
      <c r="BN410" s="5"/>
      <c r="BO410" s="42"/>
      <c r="BP410" s="42"/>
      <c r="BQ410" s="40"/>
      <c r="BR410" s="5"/>
      <c r="DA410" s="218"/>
      <c r="DH410" s="8"/>
      <c r="DI410" s="8"/>
      <c r="DJ410" s="8"/>
      <c r="DK410" s="8"/>
      <c r="DL410" s="8"/>
      <c r="DM410" s="8"/>
      <c r="DN410" s="8"/>
      <c r="EE410" s="42"/>
      <c r="EF410" s="5"/>
      <c r="EG410" s="35"/>
      <c r="EH410" s="5"/>
      <c r="EI410" s="6"/>
      <c r="EJ410" s="35"/>
      <c r="EK410" s="5"/>
      <c r="EL410" s="41"/>
      <c r="EM410" s="35"/>
      <c r="EN410" s="5"/>
      <c r="EO410" s="42"/>
      <c r="EP410" s="42"/>
      <c r="EQ410" s="40"/>
      <c r="ER410" s="219"/>
      <c r="ES410" s="56"/>
    </row>
    <row r="411" spans="34:149">
      <c r="AH411" s="8"/>
      <c r="AI411" s="8"/>
      <c r="AJ411" s="8"/>
      <c r="AK411" s="8"/>
      <c r="AL411" s="8"/>
      <c r="AM411" s="8"/>
      <c r="AN411" s="8"/>
      <c r="BE411" s="42"/>
      <c r="BF411" s="5"/>
      <c r="BG411" s="35"/>
      <c r="BH411" s="5"/>
      <c r="BI411" s="6"/>
      <c r="BJ411" s="35"/>
      <c r="BK411" s="5"/>
      <c r="BL411" s="41"/>
      <c r="BM411" s="35"/>
      <c r="BN411" s="5"/>
      <c r="BO411" s="42"/>
      <c r="BP411" s="42"/>
      <c r="BQ411" s="40"/>
      <c r="BR411" s="5"/>
      <c r="DA411" s="218"/>
      <c r="DH411" s="8"/>
      <c r="DI411" s="8"/>
      <c r="DJ411" s="8"/>
      <c r="DK411" s="8"/>
      <c r="DL411" s="8"/>
      <c r="DM411" s="8"/>
      <c r="DN411" s="8"/>
      <c r="EE411" s="42"/>
      <c r="EF411" s="5"/>
      <c r="EG411" s="35"/>
      <c r="EH411" s="5"/>
      <c r="EI411" s="6"/>
      <c r="EJ411" s="35"/>
      <c r="EK411" s="5"/>
      <c r="EL411" s="41"/>
      <c r="EM411" s="35"/>
      <c r="EN411" s="5"/>
      <c r="EO411" s="42"/>
      <c r="EP411" s="42"/>
      <c r="EQ411" s="40"/>
      <c r="ER411" s="219"/>
      <c r="ES411" s="56"/>
    </row>
    <row r="412" spans="34:149">
      <c r="AH412" s="8"/>
      <c r="AI412" s="8"/>
      <c r="AJ412" s="8"/>
      <c r="AK412" s="8"/>
      <c r="AL412" s="8"/>
      <c r="AM412" s="8"/>
      <c r="AN412" s="8"/>
      <c r="BE412" s="42"/>
      <c r="BF412" s="5"/>
      <c r="BG412" s="35"/>
      <c r="BH412" s="5"/>
      <c r="BI412" s="6"/>
      <c r="BJ412" s="35"/>
      <c r="BK412" s="5"/>
      <c r="BL412" s="41"/>
      <c r="BM412" s="35"/>
      <c r="BN412" s="5"/>
      <c r="BO412" s="42"/>
      <c r="BP412" s="42"/>
      <c r="BQ412" s="40"/>
      <c r="BR412" s="5"/>
      <c r="DA412" s="218"/>
      <c r="DH412" s="8"/>
      <c r="DI412" s="8"/>
      <c r="DJ412" s="8"/>
      <c r="DK412" s="8"/>
      <c r="DL412" s="8"/>
      <c r="DM412" s="8"/>
      <c r="DN412" s="8"/>
      <c r="EE412" s="42"/>
      <c r="EF412" s="5"/>
      <c r="EG412" s="35"/>
      <c r="EH412" s="5"/>
      <c r="EI412" s="6"/>
      <c r="EJ412" s="35"/>
      <c r="EK412" s="5"/>
      <c r="EL412" s="41"/>
      <c r="EM412" s="35"/>
      <c r="EN412" s="5"/>
      <c r="EO412" s="42"/>
      <c r="EP412" s="42"/>
      <c r="EQ412" s="40"/>
      <c r="ER412" s="219"/>
      <c r="ES412" s="56"/>
    </row>
    <row r="413" spans="34:149">
      <c r="AH413" s="8"/>
      <c r="AI413" s="8"/>
      <c r="AJ413" s="8"/>
      <c r="AK413" s="8"/>
      <c r="AL413" s="8"/>
      <c r="AM413" s="8"/>
      <c r="AN413" s="8"/>
      <c r="BE413" s="42"/>
      <c r="BF413" s="5"/>
      <c r="BG413" s="35"/>
      <c r="BH413" s="5"/>
      <c r="BI413" s="6"/>
      <c r="BJ413" s="35"/>
      <c r="BK413" s="5"/>
      <c r="BL413" s="41"/>
      <c r="BM413" s="35"/>
      <c r="BN413" s="5"/>
      <c r="BO413" s="42"/>
      <c r="BP413" s="42"/>
      <c r="BQ413" s="40"/>
      <c r="BR413" s="5"/>
      <c r="DA413" s="218"/>
      <c r="DH413" s="8"/>
      <c r="DI413" s="8"/>
      <c r="DJ413" s="8"/>
      <c r="DK413" s="8"/>
      <c r="DL413" s="8"/>
      <c r="DM413" s="8"/>
      <c r="DN413" s="8"/>
      <c r="EE413" s="42"/>
      <c r="EF413" s="5"/>
      <c r="EG413" s="35"/>
      <c r="EH413" s="5"/>
      <c r="EI413" s="6"/>
      <c r="EJ413" s="35"/>
      <c r="EK413" s="5"/>
      <c r="EL413" s="41"/>
      <c r="EM413" s="35"/>
      <c r="EN413" s="5"/>
      <c r="EO413" s="42"/>
      <c r="EP413" s="42"/>
      <c r="EQ413" s="40"/>
      <c r="ER413" s="219"/>
      <c r="ES413" s="56"/>
    </row>
    <row r="414" spans="34:149">
      <c r="AH414" s="8"/>
      <c r="AI414" s="8"/>
      <c r="AJ414" s="8"/>
      <c r="AK414" s="8"/>
      <c r="AL414" s="8"/>
      <c r="AM414" s="8"/>
      <c r="AN414" s="8"/>
      <c r="BE414" s="42"/>
      <c r="BF414" s="5"/>
      <c r="BG414" s="35"/>
      <c r="BH414" s="5"/>
      <c r="BI414" s="6"/>
      <c r="BJ414" s="35"/>
      <c r="BK414" s="5"/>
      <c r="BL414" s="41"/>
      <c r="BM414" s="35"/>
      <c r="BN414" s="5"/>
      <c r="BO414" s="42"/>
      <c r="BP414" s="42"/>
      <c r="BQ414" s="40"/>
      <c r="BR414" s="5"/>
      <c r="DA414" s="218"/>
      <c r="DH414" s="8"/>
      <c r="DI414" s="8"/>
      <c r="DJ414" s="8"/>
      <c r="DK414" s="8"/>
      <c r="DL414" s="8"/>
      <c r="DM414" s="8"/>
      <c r="DN414" s="8"/>
      <c r="EE414" s="42"/>
      <c r="EF414" s="5"/>
      <c r="EG414" s="35"/>
      <c r="EH414" s="5"/>
      <c r="EI414" s="6"/>
      <c r="EJ414" s="35"/>
      <c r="EK414" s="5"/>
      <c r="EL414" s="41"/>
      <c r="EM414" s="35"/>
      <c r="EN414" s="5"/>
      <c r="EO414" s="42"/>
      <c r="EP414" s="42"/>
      <c r="EQ414" s="40"/>
      <c r="ER414" s="219"/>
      <c r="ES414" s="56"/>
    </row>
    <row r="415" spans="34:149">
      <c r="AH415" s="8"/>
      <c r="AI415" s="8"/>
      <c r="AJ415" s="8"/>
      <c r="AK415" s="8"/>
      <c r="AL415" s="8"/>
      <c r="AM415" s="8"/>
      <c r="AN415" s="8"/>
      <c r="BE415" s="42"/>
      <c r="BF415" s="5"/>
      <c r="BG415" s="35"/>
      <c r="BH415" s="5"/>
      <c r="BI415" s="6"/>
      <c r="BJ415" s="35"/>
      <c r="BK415" s="5"/>
      <c r="BL415" s="41"/>
      <c r="BM415" s="35"/>
      <c r="BN415" s="5"/>
      <c r="BO415" s="42"/>
      <c r="BP415" s="42"/>
      <c r="BQ415" s="40"/>
      <c r="BR415" s="5"/>
      <c r="DA415" s="218"/>
      <c r="DH415" s="8"/>
      <c r="DI415" s="8"/>
      <c r="DJ415" s="8"/>
      <c r="DK415" s="8"/>
      <c r="DL415" s="8"/>
      <c r="DM415" s="8"/>
      <c r="DN415" s="8"/>
      <c r="EE415" s="42"/>
      <c r="EF415" s="5"/>
      <c r="EG415" s="35"/>
      <c r="EH415" s="5"/>
      <c r="EI415" s="6"/>
      <c r="EJ415" s="35"/>
      <c r="EK415" s="5"/>
      <c r="EL415" s="41"/>
      <c r="EM415" s="35"/>
      <c r="EN415" s="5"/>
      <c r="EO415" s="42"/>
      <c r="EP415" s="42"/>
      <c r="EQ415" s="40"/>
      <c r="ER415" s="219"/>
      <c r="ES415" s="56"/>
    </row>
    <row r="416" spans="34:149">
      <c r="AH416" s="8"/>
      <c r="AI416" s="8"/>
      <c r="AJ416" s="8"/>
      <c r="AK416" s="8"/>
      <c r="AL416" s="8"/>
      <c r="AM416" s="8"/>
      <c r="AN416" s="8"/>
      <c r="BE416" s="42"/>
      <c r="BF416" s="5"/>
      <c r="BG416" s="35"/>
      <c r="BH416" s="5"/>
      <c r="BI416" s="6"/>
      <c r="BJ416" s="35"/>
      <c r="BK416" s="5"/>
      <c r="BL416" s="41"/>
      <c r="BM416" s="35"/>
      <c r="BN416" s="5"/>
      <c r="BO416" s="42"/>
      <c r="BP416" s="42"/>
      <c r="BQ416" s="40"/>
      <c r="BR416" s="5"/>
      <c r="DA416" s="218"/>
      <c r="DH416" s="8"/>
      <c r="DI416" s="8"/>
      <c r="DJ416" s="8"/>
      <c r="DK416" s="8"/>
      <c r="DL416" s="8"/>
      <c r="DM416" s="8"/>
      <c r="DN416" s="8"/>
      <c r="EE416" s="42"/>
      <c r="EF416" s="5"/>
      <c r="EG416" s="35"/>
      <c r="EH416" s="5"/>
      <c r="EI416" s="6"/>
      <c r="EJ416" s="35"/>
      <c r="EK416" s="5"/>
      <c r="EL416" s="41"/>
      <c r="EM416" s="35"/>
      <c r="EN416" s="5"/>
      <c r="EO416" s="42"/>
      <c r="EP416" s="42"/>
      <c r="EQ416" s="40"/>
      <c r="ER416" s="219"/>
      <c r="ES416" s="56"/>
    </row>
    <row r="417" spans="34:149">
      <c r="AH417" s="8"/>
      <c r="AI417" s="8"/>
      <c r="AJ417" s="8"/>
      <c r="AK417" s="8"/>
      <c r="AL417" s="8"/>
      <c r="AM417" s="8"/>
      <c r="AN417" s="8"/>
      <c r="BE417" s="42"/>
      <c r="BF417" s="5"/>
      <c r="BG417" s="35"/>
      <c r="BH417" s="5"/>
      <c r="BI417" s="6"/>
      <c r="BJ417" s="35"/>
      <c r="BK417" s="5"/>
      <c r="BL417" s="41"/>
      <c r="BM417" s="35"/>
      <c r="BN417" s="5"/>
      <c r="BO417" s="42"/>
      <c r="BP417" s="42"/>
      <c r="BQ417" s="40"/>
      <c r="BR417" s="5"/>
      <c r="DA417" s="218"/>
      <c r="DH417" s="8"/>
      <c r="DI417" s="8"/>
      <c r="DJ417" s="8"/>
      <c r="DK417" s="8"/>
      <c r="DL417" s="8"/>
      <c r="DM417" s="8"/>
      <c r="DN417" s="8"/>
      <c r="EE417" s="42"/>
      <c r="EF417" s="5"/>
      <c r="EG417" s="35"/>
      <c r="EH417" s="5"/>
      <c r="EI417" s="6"/>
      <c r="EJ417" s="35"/>
      <c r="EK417" s="5"/>
      <c r="EL417" s="41"/>
      <c r="EM417" s="35"/>
      <c r="EN417" s="5"/>
      <c r="EO417" s="42"/>
      <c r="EP417" s="42"/>
      <c r="EQ417" s="40"/>
      <c r="ER417" s="219"/>
      <c r="ES417" s="56"/>
    </row>
    <row r="418" spans="34:149">
      <c r="AH418" s="8"/>
      <c r="AI418" s="8"/>
      <c r="AJ418" s="8"/>
      <c r="AK418" s="8"/>
      <c r="AL418" s="8"/>
      <c r="AM418" s="8"/>
      <c r="AN418" s="8"/>
      <c r="BE418" s="42"/>
      <c r="BF418" s="5"/>
      <c r="BG418" s="35"/>
      <c r="BH418" s="5"/>
      <c r="BI418" s="6"/>
      <c r="BJ418" s="35"/>
      <c r="BK418" s="5"/>
      <c r="BL418" s="41"/>
      <c r="BM418" s="35"/>
      <c r="BN418" s="5"/>
      <c r="BO418" s="42"/>
      <c r="BP418" s="42"/>
      <c r="BQ418" s="40"/>
      <c r="BR418" s="5"/>
      <c r="DA418" s="218"/>
      <c r="DH418" s="8"/>
      <c r="DI418" s="8"/>
      <c r="DJ418" s="8"/>
      <c r="DK418" s="8"/>
      <c r="DL418" s="8"/>
      <c r="DM418" s="8"/>
      <c r="DN418" s="8"/>
      <c r="EE418" s="42"/>
      <c r="EF418" s="5"/>
      <c r="EG418" s="35"/>
      <c r="EH418" s="5"/>
      <c r="EI418" s="6"/>
      <c r="EJ418" s="35"/>
      <c r="EK418" s="5"/>
      <c r="EL418" s="41"/>
      <c r="EM418" s="35"/>
      <c r="EN418" s="5"/>
      <c r="EO418" s="42"/>
      <c r="EP418" s="42"/>
      <c r="EQ418" s="40"/>
      <c r="ER418" s="219"/>
      <c r="ES418" s="56"/>
    </row>
    <row r="419" spans="34:149">
      <c r="AH419" s="8"/>
      <c r="AI419" s="8"/>
      <c r="AJ419" s="8"/>
      <c r="AK419" s="8"/>
      <c r="AL419" s="8"/>
      <c r="AM419" s="8"/>
      <c r="AN419" s="8"/>
      <c r="BE419" s="42"/>
      <c r="BF419" s="5"/>
      <c r="BG419" s="35"/>
      <c r="BH419" s="5"/>
      <c r="BI419" s="6"/>
      <c r="BJ419" s="35"/>
      <c r="BK419" s="5"/>
      <c r="BL419" s="41"/>
      <c r="BM419" s="35"/>
      <c r="BN419" s="5"/>
      <c r="BO419" s="42"/>
      <c r="BP419" s="42"/>
      <c r="BQ419" s="40"/>
      <c r="BR419" s="5"/>
      <c r="DA419" s="218"/>
      <c r="DH419" s="8"/>
      <c r="DI419" s="8"/>
      <c r="DJ419" s="8"/>
      <c r="DK419" s="8"/>
      <c r="DL419" s="8"/>
      <c r="DM419" s="8"/>
      <c r="DN419" s="8"/>
      <c r="EE419" s="42"/>
      <c r="EF419" s="5"/>
      <c r="EG419" s="35"/>
      <c r="EH419" s="5"/>
      <c r="EI419" s="6"/>
      <c r="EJ419" s="35"/>
      <c r="EK419" s="5"/>
      <c r="EL419" s="41"/>
      <c r="EM419" s="35"/>
      <c r="EN419" s="5"/>
      <c r="EO419" s="42"/>
      <c r="EP419" s="42"/>
      <c r="EQ419" s="40"/>
      <c r="ER419" s="219"/>
      <c r="ES419" s="56"/>
    </row>
    <row r="420" spans="34:149">
      <c r="AH420" s="8"/>
      <c r="AI420" s="8"/>
      <c r="AJ420" s="8"/>
      <c r="AK420" s="8"/>
      <c r="AL420" s="8"/>
      <c r="AM420" s="8"/>
      <c r="AN420" s="8"/>
      <c r="BE420" s="42"/>
      <c r="BF420" s="5"/>
      <c r="BG420" s="35"/>
      <c r="BH420" s="5"/>
      <c r="BI420" s="6"/>
      <c r="BJ420" s="35"/>
      <c r="BK420" s="5"/>
      <c r="BL420" s="41"/>
      <c r="BM420" s="35"/>
      <c r="BN420" s="5"/>
      <c r="BO420" s="42"/>
      <c r="BP420" s="42"/>
      <c r="BQ420" s="40"/>
      <c r="BR420" s="5"/>
      <c r="DA420" s="218"/>
      <c r="DH420" s="8"/>
      <c r="DI420" s="8"/>
      <c r="DJ420" s="8"/>
      <c r="DK420" s="8"/>
      <c r="DL420" s="8"/>
      <c r="DM420" s="8"/>
      <c r="DN420" s="8"/>
      <c r="EE420" s="42"/>
      <c r="EF420" s="5"/>
      <c r="EG420" s="35"/>
      <c r="EH420" s="5"/>
      <c r="EI420" s="6"/>
      <c r="EJ420" s="35"/>
      <c r="EK420" s="5"/>
      <c r="EL420" s="41"/>
      <c r="EM420" s="35"/>
      <c r="EN420" s="5"/>
      <c r="EO420" s="42"/>
      <c r="EP420" s="42"/>
      <c r="EQ420" s="40"/>
      <c r="ER420" s="219"/>
      <c r="ES420" s="56"/>
    </row>
    <row r="421" spans="34:149">
      <c r="AH421" s="8"/>
      <c r="AI421" s="8"/>
      <c r="AJ421" s="8"/>
      <c r="AK421" s="8"/>
      <c r="AL421" s="8"/>
      <c r="AM421" s="8"/>
      <c r="AN421" s="8"/>
      <c r="BE421" s="42"/>
      <c r="BF421" s="5"/>
      <c r="BG421" s="35"/>
      <c r="BH421" s="5"/>
      <c r="BI421" s="6"/>
      <c r="BJ421" s="35"/>
      <c r="BK421" s="5"/>
      <c r="BL421" s="41"/>
      <c r="BM421" s="35"/>
      <c r="BN421" s="5"/>
      <c r="BO421" s="42"/>
      <c r="BP421" s="42"/>
      <c r="BQ421" s="40"/>
      <c r="BR421" s="5"/>
      <c r="DA421" s="218"/>
      <c r="DH421" s="8"/>
      <c r="DI421" s="8"/>
      <c r="DJ421" s="8"/>
      <c r="DK421" s="8"/>
      <c r="DL421" s="8"/>
      <c r="DM421" s="8"/>
      <c r="DN421" s="8"/>
      <c r="EE421" s="42"/>
      <c r="EF421" s="5"/>
      <c r="EG421" s="35"/>
      <c r="EH421" s="5"/>
      <c r="EI421" s="6"/>
      <c r="EJ421" s="35"/>
      <c r="EK421" s="5"/>
      <c r="EL421" s="41"/>
      <c r="EM421" s="35"/>
      <c r="EN421" s="5"/>
      <c r="EO421" s="42"/>
      <c r="EP421" s="42"/>
      <c r="EQ421" s="40"/>
      <c r="ER421" s="219"/>
      <c r="ES421" s="56"/>
    </row>
    <row r="422" spans="34:149">
      <c r="AH422" s="8"/>
      <c r="AI422" s="8"/>
      <c r="AJ422" s="8"/>
      <c r="AK422" s="8"/>
      <c r="AL422" s="8"/>
      <c r="AM422" s="8"/>
      <c r="AN422" s="8"/>
      <c r="BE422" s="42"/>
      <c r="BF422" s="5"/>
      <c r="BG422" s="35"/>
      <c r="BH422" s="5"/>
      <c r="BI422" s="6"/>
      <c r="BJ422" s="35"/>
      <c r="BK422" s="5"/>
      <c r="BL422" s="41"/>
      <c r="BM422" s="35"/>
      <c r="BN422" s="5"/>
      <c r="BO422" s="42"/>
      <c r="BP422" s="42"/>
      <c r="BQ422" s="40"/>
      <c r="BR422" s="5"/>
      <c r="DA422" s="218"/>
      <c r="DH422" s="8"/>
      <c r="DI422" s="8"/>
      <c r="DJ422" s="8"/>
      <c r="DK422" s="8"/>
      <c r="DL422" s="8"/>
      <c r="DM422" s="8"/>
      <c r="DN422" s="8"/>
      <c r="EE422" s="42"/>
      <c r="EF422" s="5"/>
      <c r="EG422" s="35"/>
      <c r="EH422" s="5"/>
      <c r="EI422" s="6"/>
      <c r="EJ422" s="35"/>
      <c r="EK422" s="5"/>
      <c r="EL422" s="41"/>
      <c r="EM422" s="35"/>
      <c r="EN422" s="5"/>
      <c r="EO422" s="42"/>
      <c r="EP422" s="42"/>
      <c r="EQ422" s="40"/>
      <c r="ER422" s="219"/>
      <c r="ES422" s="56"/>
    </row>
    <row r="423" spans="34:149">
      <c r="AH423" s="8"/>
      <c r="AI423" s="8"/>
      <c r="AJ423" s="8"/>
      <c r="AK423" s="8"/>
      <c r="AL423" s="8"/>
      <c r="AM423" s="8"/>
      <c r="AN423" s="8"/>
      <c r="BE423" s="42"/>
      <c r="BF423" s="5"/>
      <c r="BG423" s="35"/>
      <c r="BH423" s="5"/>
      <c r="BI423" s="6"/>
      <c r="BJ423" s="35"/>
      <c r="BK423" s="5"/>
      <c r="BL423" s="41"/>
      <c r="BM423" s="35"/>
      <c r="BN423" s="5"/>
      <c r="BO423" s="42"/>
      <c r="BP423" s="42"/>
      <c r="BQ423" s="40"/>
      <c r="BR423" s="5"/>
      <c r="DA423" s="218"/>
      <c r="DH423" s="8"/>
      <c r="DI423" s="8"/>
      <c r="DJ423" s="8"/>
      <c r="DK423" s="8"/>
      <c r="DL423" s="8"/>
      <c r="DM423" s="8"/>
      <c r="DN423" s="8"/>
      <c r="EE423" s="42"/>
      <c r="EF423" s="5"/>
      <c r="EG423" s="35"/>
      <c r="EH423" s="5"/>
      <c r="EI423" s="6"/>
      <c r="EJ423" s="35"/>
      <c r="EK423" s="5"/>
      <c r="EL423" s="41"/>
      <c r="EM423" s="35"/>
      <c r="EN423" s="5"/>
      <c r="EO423" s="42"/>
      <c r="EP423" s="42"/>
      <c r="EQ423" s="40"/>
      <c r="ER423" s="219"/>
      <c r="ES423" s="56"/>
    </row>
    <row r="424" spans="34:149">
      <c r="AH424" s="8"/>
      <c r="AI424" s="8"/>
      <c r="AJ424" s="8"/>
      <c r="AK424" s="8"/>
      <c r="AL424" s="8"/>
      <c r="AM424" s="8"/>
      <c r="AN424" s="8"/>
      <c r="BE424" s="42"/>
      <c r="BF424" s="5"/>
      <c r="BG424" s="35"/>
      <c r="BH424" s="5"/>
      <c r="BI424" s="6"/>
      <c r="BJ424" s="35"/>
      <c r="BK424" s="5"/>
      <c r="BL424" s="41"/>
      <c r="BM424" s="35"/>
      <c r="BN424" s="5"/>
      <c r="BO424" s="42"/>
      <c r="BP424" s="42"/>
      <c r="BQ424" s="40"/>
      <c r="BR424" s="5"/>
      <c r="DA424" s="218"/>
      <c r="DH424" s="8"/>
      <c r="DI424" s="8"/>
      <c r="DJ424" s="8"/>
      <c r="DK424" s="8"/>
      <c r="DL424" s="8"/>
      <c r="DM424" s="8"/>
      <c r="DN424" s="8"/>
      <c r="EE424" s="42"/>
      <c r="EF424" s="5"/>
      <c r="EG424" s="35"/>
      <c r="EH424" s="5"/>
      <c r="EI424" s="6"/>
      <c r="EJ424" s="35"/>
      <c r="EK424" s="5"/>
      <c r="EL424" s="41"/>
      <c r="EM424" s="35"/>
      <c r="EN424" s="5"/>
      <c r="EO424" s="42"/>
      <c r="EP424" s="42"/>
      <c r="EQ424" s="40"/>
      <c r="ER424" s="219"/>
      <c r="ES424" s="56"/>
    </row>
    <row r="425" spans="34:149">
      <c r="AH425" s="8"/>
      <c r="AI425" s="8"/>
      <c r="AJ425" s="8"/>
      <c r="AK425" s="8"/>
      <c r="AL425" s="8"/>
      <c r="AM425" s="8"/>
      <c r="AN425" s="8"/>
      <c r="BE425" s="42"/>
      <c r="BF425" s="5"/>
      <c r="BG425" s="35"/>
      <c r="BH425" s="5"/>
      <c r="BI425" s="6"/>
      <c r="BJ425" s="35"/>
      <c r="BK425" s="5"/>
      <c r="BL425" s="41"/>
      <c r="BM425" s="35"/>
      <c r="BN425" s="5"/>
      <c r="BO425" s="42"/>
      <c r="BP425" s="42"/>
      <c r="BQ425" s="40"/>
      <c r="BR425" s="5"/>
      <c r="DA425" s="218"/>
      <c r="DH425" s="8"/>
      <c r="DI425" s="8"/>
      <c r="DJ425" s="8"/>
      <c r="DK425" s="8"/>
      <c r="DL425" s="8"/>
      <c r="DM425" s="8"/>
      <c r="DN425" s="8"/>
      <c r="EE425" s="42"/>
      <c r="EF425" s="5"/>
      <c r="EG425" s="35"/>
      <c r="EH425" s="5"/>
      <c r="EI425" s="6"/>
      <c r="EJ425" s="35"/>
      <c r="EK425" s="5"/>
      <c r="EL425" s="41"/>
      <c r="EM425" s="35"/>
      <c r="EN425" s="5"/>
      <c r="EO425" s="42"/>
      <c r="EP425" s="42"/>
      <c r="EQ425" s="40"/>
      <c r="ER425" s="219"/>
      <c r="ES425" s="56"/>
    </row>
    <row r="426" spans="34:149">
      <c r="AH426" s="8"/>
      <c r="AI426" s="8"/>
      <c r="AJ426" s="8"/>
      <c r="AK426" s="8"/>
      <c r="AL426" s="8"/>
      <c r="AM426" s="8"/>
      <c r="AN426" s="8"/>
      <c r="BE426" s="42"/>
      <c r="BF426" s="5"/>
      <c r="BG426" s="35"/>
      <c r="BH426" s="5"/>
      <c r="BI426" s="6"/>
      <c r="BJ426" s="35"/>
      <c r="BK426" s="5"/>
      <c r="BL426" s="41"/>
      <c r="BM426" s="35"/>
      <c r="BN426" s="5"/>
      <c r="BO426" s="42"/>
      <c r="BP426" s="42"/>
      <c r="BQ426" s="40"/>
      <c r="BR426" s="5"/>
      <c r="DA426" s="218"/>
      <c r="DH426" s="8"/>
      <c r="DI426" s="8"/>
      <c r="DJ426" s="8"/>
      <c r="DK426" s="8"/>
      <c r="DL426" s="8"/>
      <c r="DM426" s="8"/>
      <c r="DN426" s="8"/>
      <c r="EE426" s="42"/>
      <c r="EF426" s="5"/>
      <c r="EG426" s="35"/>
      <c r="EH426" s="5"/>
      <c r="EI426" s="6"/>
      <c r="EJ426" s="35"/>
      <c r="EK426" s="5"/>
      <c r="EL426" s="41"/>
      <c r="EM426" s="35"/>
      <c r="EN426" s="5"/>
      <c r="EO426" s="42"/>
      <c r="EP426" s="42"/>
      <c r="EQ426" s="40"/>
      <c r="ER426" s="219"/>
      <c r="ES426" s="56"/>
    </row>
    <row r="427" spans="34:149">
      <c r="AH427" s="8"/>
      <c r="AI427" s="8"/>
      <c r="AJ427" s="8"/>
      <c r="AK427" s="8"/>
      <c r="AL427" s="8"/>
      <c r="AM427" s="8"/>
      <c r="AN427" s="8"/>
      <c r="BE427" s="42"/>
      <c r="BF427" s="5"/>
      <c r="BG427" s="35"/>
      <c r="BH427" s="5"/>
      <c r="BI427" s="6"/>
      <c r="BJ427" s="35"/>
      <c r="BK427" s="5"/>
      <c r="BL427" s="41"/>
      <c r="BM427" s="35"/>
      <c r="BN427" s="5"/>
      <c r="BO427" s="42"/>
      <c r="BP427" s="42"/>
      <c r="BQ427" s="40"/>
      <c r="BR427" s="5"/>
      <c r="DA427" s="218"/>
      <c r="DH427" s="8"/>
      <c r="DI427" s="8"/>
      <c r="DJ427" s="8"/>
      <c r="DK427" s="8"/>
      <c r="DL427" s="8"/>
      <c r="DM427" s="8"/>
      <c r="DN427" s="8"/>
      <c r="EE427" s="42"/>
      <c r="EF427" s="5"/>
      <c r="EG427" s="35"/>
      <c r="EH427" s="5"/>
      <c r="EI427" s="6"/>
      <c r="EJ427" s="35"/>
      <c r="EK427" s="5"/>
      <c r="EL427" s="41"/>
      <c r="EM427" s="35"/>
      <c r="EN427" s="5"/>
      <c r="EO427" s="42"/>
      <c r="EP427" s="42"/>
      <c r="EQ427" s="40"/>
      <c r="ER427" s="219"/>
      <c r="ES427" s="56"/>
    </row>
    <row r="428" spans="34:149">
      <c r="AH428" s="8"/>
      <c r="AI428" s="8"/>
      <c r="AJ428" s="8"/>
      <c r="AK428" s="8"/>
      <c r="AL428" s="8"/>
      <c r="AM428" s="8"/>
      <c r="AN428" s="8"/>
      <c r="BE428" s="42"/>
      <c r="BF428" s="5"/>
      <c r="BG428" s="35"/>
      <c r="BH428" s="5"/>
      <c r="BI428" s="6"/>
      <c r="BJ428" s="35"/>
      <c r="BK428" s="5"/>
      <c r="BL428" s="41"/>
      <c r="BM428" s="35"/>
      <c r="BN428" s="5"/>
      <c r="BO428" s="42"/>
      <c r="BP428" s="42"/>
      <c r="BQ428" s="40"/>
      <c r="BR428" s="5"/>
      <c r="DA428" s="218"/>
      <c r="DH428" s="8"/>
      <c r="DI428" s="8"/>
      <c r="DJ428" s="8"/>
      <c r="DK428" s="8"/>
      <c r="DL428" s="8"/>
      <c r="DM428" s="8"/>
      <c r="DN428" s="8"/>
      <c r="EE428" s="42"/>
      <c r="EF428" s="5"/>
      <c r="EG428" s="35"/>
      <c r="EH428" s="5"/>
      <c r="EI428" s="6"/>
      <c r="EJ428" s="35"/>
      <c r="EK428" s="5"/>
      <c r="EL428" s="41"/>
      <c r="EM428" s="35"/>
      <c r="EN428" s="5"/>
      <c r="EO428" s="42"/>
      <c r="EP428" s="42"/>
      <c r="EQ428" s="40"/>
      <c r="ER428" s="219"/>
      <c r="ES428" s="56"/>
    </row>
    <row r="429" spans="34:149">
      <c r="AH429" s="8"/>
      <c r="AI429" s="8"/>
      <c r="AJ429" s="8"/>
      <c r="AK429" s="8"/>
      <c r="AL429" s="8"/>
      <c r="AM429" s="8"/>
      <c r="AN429" s="8"/>
      <c r="BE429" s="42"/>
      <c r="BF429" s="5"/>
      <c r="BG429" s="35"/>
      <c r="BH429" s="5"/>
      <c r="BI429" s="6"/>
      <c r="BJ429" s="35"/>
      <c r="BK429" s="5"/>
      <c r="BL429" s="41"/>
      <c r="BM429" s="35"/>
      <c r="BN429" s="5"/>
      <c r="BO429" s="42"/>
      <c r="BP429" s="42"/>
      <c r="BQ429" s="40"/>
      <c r="BR429" s="5"/>
      <c r="DA429" s="218"/>
      <c r="DH429" s="8"/>
      <c r="DI429" s="8"/>
      <c r="DJ429" s="8"/>
      <c r="DK429" s="8"/>
      <c r="DL429" s="8"/>
      <c r="DM429" s="8"/>
      <c r="DN429" s="8"/>
      <c r="EE429" s="42"/>
      <c r="EF429" s="5"/>
      <c r="EG429" s="35"/>
      <c r="EH429" s="5"/>
      <c r="EI429" s="6"/>
      <c r="EJ429" s="35"/>
      <c r="EK429" s="5"/>
      <c r="EL429" s="41"/>
      <c r="EM429" s="35"/>
      <c r="EN429" s="5"/>
      <c r="EO429" s="42"/>
      <c r="EP429" s="42"/>
      <c r="EQ429" s="40"/>
      <c r="ER429" s="219"/>
      <c r="ES429" s="56"/>
    </row>
    <row r="430" spans="34:149">
      <c r="AH430" s="8"/>
      <c r="AI430" s="8"/>
      <c r="AJ430" s="8"/>
      <c r="AK430" s="8"/>
      <c r="AL430" s="8"/>
      <c r="AM430" s="8"/>
      <c r="AN430" s="8"/>
      <c r="BE430" s="42"/>
      <c r="BF430" s="5"/>
      <c r="BG430" s="35"/>
      <c r="BH430" s="5"/>
      <c r="BI430" s="6"/>
      <c r="BJ430" s="35"/>
      <c r="BK430" s="5"/>
      <c r="BL430" s="41"/>
      <c r="BM430" s="35"/>
      <c r="BN430" s="5"/>
      <c r="BO430" s="42"/>
      <c r="BP430" s="42"/>
      <c r="BQ430" s="40"/>
      <c r="BR430" s="5"/>
      <c r="DA430" s="218"/>
      <c r="DH430" s="8"/>
      <c r="DI430" s="8"/>
      <c r="DJ430" s="8"/>
      <c r="DK430" s="8"/>
      <c r="DL430" s="8"/>
      <c r="DM430" s="8"/>
      <c r="DN430" s="8"/>
      <c r="EE430" s="42"/>
      <c r="EF430" s="5"/>
      <c r="EG430" s="35"/>
      <c r="EH430" s="5"/>
      <c r="EI430" s="6"/>
      <c r="EJ430" s="35"/>
      <c r="EK430" s="5"/>
      <c r="EL430" s="41"/>
      <c r="EM430" s="35"/>
      <c r="EN430" s="5"/>
      <c r="EO430" s="42"/>
      <c r="EP430" s="42"/>
      <c r="EQ430" s="40"/>
      <c r="ER430" s="219"/>
      <c r="ES430" s="56"/>
    </row>
    <row r="431" spans="34:149">
      <c r="AH431" s="8"/>
      <c r="AI431" s="8"/>
      <c r="AJ431" s="8"/>
      <c r="AK431" s="8"/>
      <c r="AL431" s="8"/>
      <c r="AM431" s="8"/>
      <c r="AN431" s="8"/>
      <c r="BE431" s="42"/>
      <c r="BF431" s="5"/>
      <c r="BG431" s="35"/>
      <c r="BH431" s="5"/>
      <c r="BI431" s="6"/>
      <c r="BJ431" s="35"/>
      <c r="BK431" s="5"/>
      <c r="BL431" s="41"/>
      <c r="BM431" s="35"/>
      <c r="BN431" s="5"/>
      <c r="BO431" s="42"/>
      <c r="BP431" s="42"/>
      <c r="BQ431" s="40"/>
      <c r="BR431" s="5"/>
      <c r="DA431" s="218"/>
      <c r="DH431" s="8"/>
      <c r="DI431" s="8"/>
      <c r="DJ431" s="8"/>
      <c r="DK431" s="8"/>
      <c r="DL431" s="8"/>
      <c r="DM431" s="8"/>
      <c r="DN431" s="8"/>
      <c r="EE431" s="42"/>
      <c r="EF431" s="5"/>
      <c r="EG431" s="35"/>
      <c r="EH431" s="5"/>
      <c r="EI431" s="6"/>
      <c r="EJ431" s="35"/>
      <c r="EK431" s="5"/>
      <c r="EL431" s="41"/>
      <c r="EM431" s="35"/>
      <c r="EN431" s="5"/>
      <c r="EO431" s="42"/>
      <c r="EP431" s="42"/>
      <c r="EQ431" s="40"/>
      <c r="ER431" s="219"/>
      <c r="ES431" s="56"/>
    </row>
    <row r="432" spans="34:149">
      <c r="AH432" s="8"/>
      <c r="AI432" s="8"/>
      <c r="AJ432" s="8"/>
      <c r="AK432" s="8"/>
      <c r="AL432" s="8"/>
      <c r="AM432" s="8"/>
      <c r="AN432" s="8"/>
      <c r="BE432" s="42"/>
      <c r="BF432" s="5"/>
      <c r="BG432" s="35"/>
      <c r="BH432" s="5"/>
      <c r="BI432" s="6"/>
      <c r="BJ432" s="35"/>
      <c r="BK432" s="5"/>
      <c r="BL432" s="41"/>
      <c r="BM432" s="35"/>
      <c r="BN432" s="5"/>
      <c r="BO432" s="42"/>
      <c r="BP432" s="42"/>
      <c r="BQ432" s="40"/>
      <c r="BR432" s="5"/>
      <c r="DA432" s="218"/>
      <c r="DH432" s="8"/>
      <c r="DI432" s="8"/>
      <c r="DJ432" s="8"/>
      <c r="DK432" s="8"/>
      <c r="DL432" s="8"/>
      <c r="DM432" s="8"/>
      <c r="DN432" s="8"/>
      <c r="EE432" s="42"/>
      <c r="EF432" s="5"/>
      <c r="EG432" s="35"/>
      <c r="EH432" s="5"/>
      <c r="EI432" s="6"/>
      <c r="EJ432" s="35"/>
      <c r="EK432" s="5"/>
      <c r="EL432" s="41"/>
      <c r="EM432" s="35"/>
      <c r="EN432" s="5"/>
      <c r="EO432" s="42"/>
      <c r="EP432" s="42"/>
      <c r="EQ432" s="40"/>
      <c r="ER432" s="219"/>
      <c r="ES432" s="56"/>
    </row>
    <row r="433" spans="34:149">
      <c r="AH433" s="8"/>
      <c r="AI433" s="8"/>
      <c r="AJ433" s="8"/>
      <c r="AK433" s="8"/>
      <c r="AL433" s="8"/>
      <c r="AM433" s="8"/>
      <c r="AN433" s="8"/>
      <c r="BE433" s="42"/>
      <c r="BF433" s="5"/>
      <c r="BG433" s="35"/>
      <c r="BH433" s="5"/>
      <c r="BI433" s="6"/>
      <c r="BJ433" s="35"/>
      <c r="BK433" s="5"/>
      <c r="BL433" s="41"/>
      <c r="BM433" s="35"/>
      <c r="BN433" s="5"/>
      <c r="BO433" s="42"/>
      <c r="BP433" s="42"/>
      <c r="BQ433" s="40"/>
      <c r="BR433" s="5"/>
      <c r="DA433" s="218"/>
      <c r="DH433" s="8"/>
      <c r="DI433" s="8"/>
      <c r="DJ433" s="8"/>
      <c r="DK433" s="8"/>
      <c r="DL433" s="8"/>
      <c r="DM433" s="8"/>
      <c r="DN433" s="8"/>
      <c r="EE433" s="42"/>
      <c r="EF433" s="5"/>
      <c r="EG433" s="35"/>
      <c r="EH433" s="5"/>
      <c r="EI433" s="6"/>
      <c r="EJ433" s="35"/>
      <c r="EK433" s="5"/>
      <c r="EL433" s="41"/>
      <c r="EM433" s="35"/>
      <c r="EN433" s="5"/>
      <c r="EO433" s="42"/>
      <c r="EP433" s="42"/>
      <c r="EQ433" s="40"/>
      <c r="ER433" s="219"/>
      <c r="ES433" s="56"/>
    </row>
    <row r="434" spans="34:149">
      <c r="AH434" s="8"/>
      <c r="AI434" s="8"/>
      <c r="AJ434" s="8"/>
      <c r="AK434" s="8"/>
      <c r="AL434" s="8"/>
      <c r="AM434" s="8"/>
      <c r="AN434" s="8"/>
      <c r="BE434" s="42"/>
      <c r="BF434" s="5"/>
      <c r="BG434" s="35"/>
      <c r="BH434" s="5"/>
      <c r="BI434" s="6"/>
      <c r="BJ434" s="35"/>
      <c r="BK434" s="5"/>
      <c r="BL434" s="41"/>
      <c r="BM434" s="35"/>
      <c r="BN434" s="5"/>
      <c r="BO434" s="42"/>
      <c r="BP434" s="42"/>
      <c r="BQ434" s="40"/>
      <c r="BR434" s="5"/>
      <c r="DA434" s="218"/>
      <c r="DH434" s="8"/>
      <c r="DI434" s="8"/>
      <c r="DJ434" s="8"/>
      <c r="DK434" s="8"/>
      <c r="DL434" s="8"/>
      <c r="DM434" s="8"/>
      <c r="DN434" s="8"/>
      <c r="EE434" s="42"/>
      <c r="EF434" s="5"/>
      <c r="EG434" s="35"/>
      <c r="EH434" s="5"/>
      <c r="EI434" s="6"/>
      <c r="EJ434" s="35"/>
      <c r="EK434" s="5"/>
      <c r="EL434" s="41"/>
      <c r="EM434" s="35"/>
      <c r="EN434" s="5"/>
      <c r="EO434" s="42"/>
      <c r="EP434" s="42"/>
      <c r="EQ434" s="40"/>
      <c r="ER434" s="219"/>
      <c r="ES434" s="56"/>
    </row>
    <row r="435" spans="34:149">
      <c r="AH435" s="8"/>
      <c r="AI435" s="8"/>
      <c r="AJ435" s="8"/>
      <c r="AK435" s="8"/>
      <c r="AL435" s="8"/>
      <c r="AM435" s="8"/>
      <c r="AN435" s="8"/>
      <c r="BE435" s="42"/>
      <c r="BF435" s="5"/>
      <c r="BG435" s="35"/>
      <c r="BH435" s="5"/>
      <c r="BI435" s="6"/>
      <c r="BJ435" s="35"/>
      <c r="BK435" s="5"/>
      <c r="BL435" s="41"/>
      <c r="BM435" s="35"/>
      <c r="BN435" s="5"/>
      <c r="BO435" s="42"/>
      <c r="BP435" s="42"/>
      <c r="BQ435" s="40"/>
      <c r="BR435" s="5"/>
      <c r="DA435" s="218"/>
      <c r="DH435" s="8"/>
      <c r="DI435" s="8"/>
      <c r="DJ435" s="8"/>
      <c r="DK435" s="8"/>
      <c r="DL435" s="8"/>
      <c r="DM435" s="8"/>
      <c r="DN435" s="8"/>
      <c r="EE435" s="42"/>
      <c r="EF435" s="5"/>
      <c r="EG435" s="35"/>
      <c r="EH435" s="5"/>
      <c r="EI435" s="6"/>
      <c r="EJ435" s="35"/>
      <c r="EK435" s="5"/>
      <c r="EL435" s="41"/>
      <c r="EM435" s="35"/>
      <c r="EN435" s="5"/>
      <c r="EO435" s="42"/>
      <c r="EP435" s="42"/>
      <c r="EQ435" s="40"/>
      <c r="ER435" s="219"/>
      <c r="ES435" s="56"/>
    </row>
    <row r="436" spans="34:149">
      <c r="AH436" s="8"/>
      <c r="AI436" s="8"/>
      <c r="AJ436" s="8"/>
      <c r="AK436" s="8"/>
      <c r="AL436" s="8"/>
      <c r="AM436" s="8"/>
      <c r="AN436" s="8"/>
      <c r="BE436" s="42"/>
      <c r="BF436" s="5"/>
      <c r="BG436" s="35"/>
      <c r="BH436" s="5"/>
      <c r="BI436" s="6"/>
      <c r="BJ436" s="35"/>
      <c r="BK436" s="5"/>
      <c r="BL436" s="41"/>
      <c r="BM436" s="35"/>
      <c r="BN436" s="5"/>
      <c r="BO436" s="42"/>
      <c r="BP436" s="42"/>
      <c r="BQ436" s="40"/>
      <c r="BR436" s="5"/>
      <c r="DA436" s="218"/>
      <c r="DH436" s="8"/>
      <c r="DI436" s="8"/>
      <c r="DJ436" s="8"/>
      <c r="DK436" s="8"/>
      <c r="DL436" s="8"/>
      <c r="DM436" s="8"/>
      <c r="DN436" s="8"/>
      <c r="EE436" s="42"/>
      <c r="EF436" s="5"/>
      <c r="EG436" s="35"/>
      <c r="EH436" s="5"/>
      <c r="EI436" s="6"/>
      <c r="EJ436" s="35"/>
      <c r="EK436" s="5"/>
      <c r="EL436" s="41"/>
      <c r="EM436" s="35"/>
      <c r="EN436" s="5"/>
      <c r="EO436" s="42"/>
      <c r="EP436" s="42"/>
      <c r="EQ436" s="40"/>
      <c r="ER436" s="219"/>
      <c r="ES436" s="56"/>
    </row>
    <row r="437" spans="34:149">
      <c r="AH437" s="8"/>
      <c r="AI437" s="8"/>
      <c r="AJ437" s="8"/>
      <c r="AK437" s="8"/>
      <c r="AL437" s="8"/>
      <c r="AM437" s="8"/>
      <c r="AN437" s="8"/>
      <c r="BE437" s="42"/>
      <c r="BF437" s="5"/>
      <c r="BG437" s="35"/>
      <c r="BH437" s="5"/>
      <c r="BI437" s="6"/>
      <c r="BJ437" s="35"/>
      <c r="BK437" s="5"/>
      <c r="BL437" s="41"/>
      <c r="BM437" s="35"/>
      <c r="BN437" s="5"/>
      <c r="BO437" s="42"/>
      <c r="BP437" s="42"/>
      <c r="BQ437" s="40"/>
      <c r="BR437" s="5"/>
      <c r="DA437" s="218"/>
      <c r="DH437" s="8"/>
      <c r="DI437" s="8"/>
      <c r="DJ437" s="8"/>
      <c r="DK437" s="8"/>
      <c r="DL437" s="8"/>
      <c r="DM437" s="8"/>
      <c r="DN437" s="8"/>
      <c r="EE437" s="42"/>
      <c r="EF437" s="5"/>
      <c r="EG437" s="35"/>
      <c r="EH437" s="5"/>
      <c r="EI437" s="6"/>
      <c r="EJ437" s="35"/>
      <c r="EK437" s="5"/>
      <c r="EL437" s="41"/>
      <c r="EM437" s="35"/>
      <c r="EN437" s="5"/>
      <c r="EO437" s="42"/>
      <c r="EP437" s="42"/>
      <c r="EQ437" s="40"/>
      <c r="ER437" s="219"/>
      <c r="ES437" s="56"/>
    </row>
    <row r="438" spans="34:149">
      <c r="AH438" s="8"/>
      <c r="AI438" s="8"/>
      <c r="AJ438" s="8"/>
      <c r="AK438" s="8"/>
      <c r="AL438" s="8"/>
      <c r="AM438" s="8"/>
      <c r="AN438" s="8"/>
      <c r="BE438" s="42"/>
      <c r="BF438" s="5"/>
      <c r="BG438" s="35"/>
      <c r="BH438" s="5"/>
      <c r="BI438" s="6"/>
      <c r="BJ438" s="35"/>
      <c r="BK438" s="5"/>
      <c r="BL438" s="41"/>
      <c r="BM438" s="35"/>
      <c r="BN438" s="5"/>
      <c r="BO438" s="42"/>
      <c r="BP438" s="42"/>
      <c r="BQ438" s="40"/>
      <c r="BR438" s="5"/>
      <c r="DA438" s="218"/>
      <c r="DH438" s="8"/>
      <c r="DI438" s="8"/>
      <c r="DJ438" s="8"/>
      <c r="DK438" s="8"/>
      <c r="DL438" s="8"/>
      <c r="DM438" s="8"/>
      <c r="DN438" s="8"/>
      <c r="EE438" s="42"/>
      <c r="EF438" s="5"/>
      <c r="EG438" s="35"/>
      <c r="EH438" s="5"/>
      <c r="EI438" s="6"/>
      <c r="EJ438" s="35"/>
      <c r="EK438" s="5"/>
      <c r="EL438" s="41"/>
      <c r="EM438" s="35"/>
      <c r="EN438" s="5"/>
      <c r="EO438" s="42"/>
      <c r="EP438" s="42"/>
      <c r="EQ438" s="40"/>
      <c r="ER438" s="219"/>
      <c r="ES438" s="56"/>
    </row>
    <row r="439" spans="34:149">
      <c r="DA439" s="218"/>
      <c r="ER439" s="220"/>
      <c r="ES439" s="56"/>
    </row>
    <row r="440" spans="34:149">
      <c r="DA440" s="218"/>
      <c r="ER440" s="220"/>
      <c r="ES440" s="56"/>
    </row>
    <row r="441" spans="34:149">
      <c r="DA441" s="218"/>
      <c r="ER441" s="220"/>
      <c r="ES441" s="56"/>
    </row>
    <row r="442" spans="34:149">
      <c r="DA442" s="218"/>
      <c r="ER442" s="220"/>
      <c r="ES442" s="56"/>
    </row>
    <row r="443" spans="34:149">
      <c r="DA443" s="218"/>
      <c r="ER443" s="220"/>
      <c r="ES443" s="56"/>
    </row>
    <row r="444" spans="34:149">
      <c r="DA444" s="218"/>
      <c r="ER444" s="220"/>
      <c r="ES444" s="56"/>
    </row>
    <row r="445" spans="34:149">
      <c r="DA445" s="218"/>
      <c r="ER445" s="220"/>
      <c r="ES445" s="56"/>
    </row>
    <row r="446" spans="34:149">
      <c r="DA446" s="218"/>
      <c r="ER446" s="220"/>
      <c r="ES446" s="56"/>
    </row>
    <row r="447" spans="34:149">
      <c r="DA447" s="218"/>
      <c r="ER447" s="220"/>
      <c r="ES447" s="56"/>
    </row>
    <row r="448" spans="34:149">
      <c r="DA448" s="218"/>
      <c r="ER448" s="220"/>
      <c r="ES448" s="56"/>
    </row>
    <row r="449" spans="105:149">
      <c r="DA449" s="218"/>
      <c r="ER449" s="220"/>
      <c r="ES449" s="56"/>
    </row>
    <row r="450" spans="105:149">
      <c r="DA450" s="218"/>
      <c r="ER450" s="220"/>
      <c r="ES450" s="56"/>
    </row>
    <row r="451" spans="105:149">
      <c r="DA451" s="218"/>
      <c r="ER451" s="220"/>
      <c r="ES451" s="56"/>
    </row>
    <row r="452" spans="105:149">
      <c r="DA452" s="218"/>
      <c r="ER452" s="220"/>
      <c r="ES452" s="56"/>
    </row>
    <row r="453" spans="105:149">
      <c r="DA453" s="218"/>
      <c r="ER453" s="220"/>
      <c r="ES453" s="56"/>
    </row>
    <row r="454" spans="105:149">
      <c r="DA454" s="218"/>
      <c r="ER454" s="220"/>
      <c r="ES454" s="56"/>
    </row>
    <row r="455" spans="105:149">
      <c r="DA455" s="218"/>
      <c r="ER455" s="220"/>
      <c r="ES455" s="56"/>
    </row>
    <row r="456" spans="105:149">
      <c r="DA456" s="218"/>
      <c r="ER456" s="220"/>
      <c r="ES456" s="56"/>
    </row>
    <row r="457" spans="105:149">
      <c r="DA457" s="218"/>
      <c r="ER457" s="220"/>
      <c r="ES457" s="56"/>
    </row>
    <row r="458" spans="105:149">
      <c r="DA458" s="218"/>
      <c r="ER458" s="220"/>
      <c r="ES458" s="56"/>
    </row>
    <row r="459" spans="105:149">
      <c r="DA459" s="218"/>
      <c r="ER459" s="220"/>
      <c r="ES459" s="56"/>
    </row>
    <row r="460" spans="105:149">
      <c r="DA460" s="218"/>
      <c r="ER460" s="220"/>
      <c r="ES460" s="56"/>
    </row>
    <row r="461" spans="105:149">
      <c r="DA461" s="218"/>
      <c r="ER461" s="220"/>
      <c r="ES461" s="56"/>
    </row>
    <row r="462" spans="105:149">
      <c r="DA462" s="218"/>
      <c r="ER462" s="220"/>
      <c r="ES462" s="56"/>
    </row>
    <row r="463" spans="105:149">
      <c r="DA463" s="218"/>
      <c r="ER463" s="220"/>
      <c r="ES463" s="56"/>
    </row>
    <row r="464" spans="105:149">
      <c r="DA464" s="218"/>
      <c r="ER464" s="220"/>
      <c r="ES464" s="56"/>
    </row>
    <row r="465" spans="105:149">
      <c r="DA465" s="218"/>
      <c r="ER465" s="220"/>
      <c r="ES465" s="56"/>
    </row>
    <row r="466" spans="105:149">
      <c r="DA466" s="218"/>
      <c r="ER466" s="220"/>
      <c r="ES466" s="56"/>
    </row>
    <row r="467" spans="105:149">
      <c r="DA467" s="218"/>
      <c r="ER467" s="220"/>
      <c r="ES467" s="56"/>
    </row>
    <row r="468" spans="105:149">
      <c r="DA468" s="218"/>
      <c r="ER468" s="220"/>
      <c r="ES468" s="56"/>
    </row>
    <row r="469" spans="105:149">
      <c r="DA469" s="218"/>
      <c r="ER469" s="220"/>
      <c r="ES469" s="56"/>
    </row>
    <row r="470" spans="105:149">
      <c r="DA470" s="218"/>
      <c r="ER470" s="220"/>
      <c r="ES470" s="56"/>
    </row>
    <row r="471" spans="105:149">
      <c r="DA471" s="218"/>
      <c r="ER471" s="220"/>
      <c r="ES471" s="56"/>
    </row>
    <row r="472" spans="105:149">
      <c r="DA472" s="218"/>
      <c r="ER472" s="220"/>
      <c r="ES472" s="56"/>
    </row>
    <row r="473" spans="105:149">
      <c r="DA473" s="218"/>
      <c r="ER473" s="220"/>
      <c r="ES473" s="56"/>
    </row>
    <row r="474" spans="105:149">
      <c r="DA474" s="218"/>
      <c r="ER474" s="220"/>
      <c r="ES474" s="56"/>
    </row>
    <row r="475" spans="105:149">
      <c r="DA475" s="218"/>
      <c r="ER475" s="220"/>
      <c r="ES475" s="56"/>
    </row>
    <row r="476" spans="105:149">
      <c r="DA476" s="218"/>
      <c r="ER476" s="220"/>
      <c r="ES476" s="56"/>
    </row>
    <row r="477" spans="105:149">
      <c r="DA477" s="218"/>
      <c r="ER477" s="220"/>
      <c r="ES477" s="56"/>
    </row>
    <row r="478" spans="105:149">
      <c r="DA478" s="218"/>
      <c r="ER478" s="220"/>
      <c r="ES478" s="56"/>
    </row>
    <row r="479" spans="105:149">
      <c r="DA479" s="218"/>
      <c r="ER479" s="220"/>
      <c r="ES479" s="56"/>
    </row>
    <row r="480" spans="105:149">
      <c r="DA480" s="218"/>
      <c r="ER480" s="220"/>
      <c r="ES480" s="56"/>
    </row>
    <row r="481" spans="105:149">
      <c r="DA481" s="218"/>
      <c r="ER481" s="220"/>
      <c r="ES481" s="56"/>
    </row>
    <row r="482" spans="105:149">
      <c r="DA482" s="218"/>
      <c r="ER482" s="220"/>
      <c r="ES482" s="56"/>
    </row>
    <row r="483" spans="105:149">
      <c r="DA483" s="218"/>
      <c r="ER483" s="220"/>
      <c r="ES483" s="56"/>
    </row>
    <row r="484" spans="105:149">
      <c r="DA484" s="218"/>
      <c r="ER484" s="220"/>
      <c r="ES484" s="56"/>
    </row>
    <row r="485" spans="105:149">
      <c r="DA485" s="218"/>
      <c r="ER485" s="220"/>
      <c r="ES485" s="56"/>
    </row>
    <row r="486" spans="105:149">
      <c r="DA486" s="218"/>
      <c r="ER486" s="220"/>
      <c r="ES486" s="56"/>
    </row>
    <row r="487" spans="105:149">
      <c r="DA487" s="218"/>
      <c r="ER487" s="220"/>
      <c r="ES487" s="56"/>
    </row>
    <row r="488" spans="105:149">
      <c r="DA488" s="218"/>
      <c r="ER488" s="220"/>
      <c r="ES488" s="56"/>
    </row>
    <row r="489" spans="105:149">
      <c r="DA489" s="218"/>
      <c r="ER489" s="220"/>
      <c r="ES489" s="56"/>
    </row>
    <row r="490" spans="105:149">
      <c r="DA490" s="218"/>
      <c r="ER490" s="220"/>
      <c r="ES490" s="56"/>
    </row>
    <row r="491" spans="105:149">
      <c r="DA491" s="218"/>
      <c r="ER491" s="220"/>
      <c r="ES491" s="56"/>
    </row>
    <row r="492" spans="105:149">
      <c r="DA492" s="218"/>
      <c r="ER492" s="220"/>
      <c r="ES492" s="56"/>
    </row>
    <row r="493" spans="105:149">
      <c r="DA493" s="218"/>
      <c r="ER493" s="220"/>
      <c r="ES493" s="56"/>
    </row>
    <row r="494" spans="105:149">
      <c r="DA494" s="218"/>
      <c r="ER494" s="220"/>
      <c r="ES494" s="56"/>
    </row>
    <row r="495" spans="105:149">
      <c r="DA495" s="218"/>
      <c r="ER495" s="220"/>
      <c r="ES495" s="56"/>
    </row>
    <row r="496" spans="105:149">
      <c r="DA496" s="218"/>
      <c r="ER496" s="220"/>
      <c r="ES496" s="56"/>
    </row>
    <row r="497" spans="105:149">
      <c r="DA497" s="218"/>
      <c r="ER497" s="220"/>
      <c r="ES497" s="56"/>
    </row>
    <row r="498" spans="105:149">
      <c r="DA498" s="218"/>
      <c r="ER498" s="220"/>
      <c r="ES498" s="56"/>
    </row>
    <row r="499" spans="105:149">
      <c r="DA499" s="218"/>
      <c r="ER499" s="220"/>
      <c r="ES499" s="56"/>
    </row>
    <row r="500" spans="105:149">
      <c r="DA500" s="218"/>
      <c r="ER500" s="220"/>
      <c r="ES500" s="56"/>
    </row>
    <row r="501" spans="105:149">
      <c r="DA501" s="218"/>
      <c r="ER501" s="220"/>
      <c r="ES501" s="56"/>
    </row>
    <row r="502" spans="105:149">
      <c r="DA502" s="218"/>
      <c r="ER502" s="220"/>
      <c r="ES502" s="56"/>
    </row>
    <row r="503" spans="105:149">
      <c r="DA503" s="218"/>
      <c r="ER503" s="220"/>
      <c r="ES503" s="56"/>
    </row>
    <row r="504" spans="105:149">
      <c r="DA504" s="218"/>
      <c r="ER504" s="220"/>
      <c r="ES504" s="56"/>
    </row>
    <row r="505" spans="105:149">
      <c r="DA505" s="218"/>
      <c r="ER505" s="220"/>
      <c r="ES505" s="56"/>
    </row>
    <row r="506" spans="105:149">
      <c r="DA506" s="218"/>
      <c r="ER506" s="220"/>
      <c r="ES506" s="56"/>
    </row>
    <row r="507" spans="105:149">
      <c r="DA507" s="218"/>
      <c r="ER507" s="220"/>
      <c r="ES507" s="56"/>
    </row>
    <row r="508" spans="105:149">
      <c r="DA508" s="218"/>
      <c r="ER508" s="220"/>
      <c r="ES508" s="56"/>
    </row>
    <row r="509" spans="105:149">
      <c r="DA509" s="218"/>
      <c r="ER509" s="220"/>
      <c r="ES509" s="56"/>
    </row>
    <row r="510" spans="105:149">
      <c r="DA510" s="218"/>
      <c r="ER510" s="220"/>
      <c r="ES510" s="56"/>
    </row>
    <row r="511" spans="105:149">
      <c r="DA511" s="218"/>
      <c r="ER511" s="220"/>
      <c r="ES511" s="56"/>
    </row>
    <row r="512" spans="105:149">
      <c r="DA512" s="218"/>
      <c r="ER512" s="220"/>
      <c r="ES512" s="56"/>
    </row>
    <row r="513" spans="105:149">
      <c r="DA513" s="218"/>
      <c r="ER513" s="220"/>
      <c r="ES513" s="56"/>
    </row>
    <row r="514" spans="105:149">
      <c r="DA514" s="218"/>
      <c r="ER514" s="220"/>
      <c r="ES514" s="56"/>
    </row>
    <row r="515" spans="105:149">
      <c r="DA515" s="218"/>
      <c r="ER515" s="220"/>
      <c r="ES515" s="56"/>
    </row>
    <row r="516" spans="105:149">
      <c r="DA516" s="218"/>
      <c r="ER516" s="220"/>
      <c r="ES516" s="56"/>
    </row>
    <row r="517" spans="105:149">
      <c r="DA517" s="218"/>
      <c r="ER517" s="220"/>
      <c r="ES517" s="56"/>
    </row>
    <row r="518" spans="105:149">
      <c r="DA518" s="218"/>
      <c r="ER518" s="220"/>
      <c r="ES518" s="56"/>
    </row>
    <row r="519" spans="105:149">
      <c r="DA519" s="218"/>
      <c r="ER519" s="220"/>
      <c r="ES519" s="56"/>
    </row>
    <row r="520" spans="105:149">
      <c r="DA520" s="218"/>
      <c r="ER520" s="220"/>
      <c r="ES520" s="56"/>
    </row>
    <row r="521" spans="105:149">
      <c r="DA521" s="218"/>
      <c r="ER521" s="220"/>
      <c r="ES521" s="56"/>
    </row>
    <row r="522" spans="105:149">
      <c r="DA522" s="218"/>
      <c r="ER522" s="220"/>
      <c r="ES522" s="56"/>
    </row>
    <row r="523" spans="105:149">
      <c r="DA523" s="218"/>
      <c r="ER523" s="220"/>
      <c r="ES523" s="56"/>
    </row>
    <row r="524" spans="105:149">
      <c r="DA524" s="218"/>
      <c r="ER524" s="220"/>
      <c r="ES524" s="56"/>
    </row>
    <row r="525" spans="105:149">
      <c r="DA525" s="218"/>
      <c r="ER525" s="220"/>
      <c r="ES525" s="56"/>
    </row>
    <row r="526" spans="105:149">
      <c r="DA526" s="218"/>
      <c r="ER526" s="220"/>
      <c r="ES526" s="56"/>
    </row>
    <row r="527" spans="105:149">
      <c r="DA527" s="218"/>
      <c r="ER527" s="220"/>
      <c r="ES527" s="56"/>
    </row>
    <row r="528" spans="105:149">
      <c r="DA528" s="218"/>
      <c r="ER528" s="220"/>
      <c r="ES528" s="56"/>
    </row>
    <row r="529" spans="105:149">
      <c r="DA529" s="218"/>
      <c r="ER529" s="220"/>
      <c r="ES529" s="56"/>
    </row>
    <row r="530" spans="105:149">
      <c r="DA530" s="218"/>
      <c r="ER530" s="220"/>
      <c r="ES530" s="56"/>
    </row>
    <row r="531" spans="105:149">
      <c r="DA531" s="218"/>
      <c r="ER531" s="220"/>
      <c r="ES531" s="56"/>
    </row>
    <row r="532" spans="105:149">
      <c r="DA532" s="218"/>
      <c r="ER532" s="220"/>
      <c r="ES532" s="56"/>
    </row>
    <row r="533" spans="105:149">
      <c r="DA533" s="218"/>
      <c r="ER533" s="220"/>
      <c r="ES533" s="56"/>
    </row>
    <row r="534" spans="105:149">
      <c r="DA534" s="218"/>
      <c r="ER534" s="220"/>
      <c r="ES534" s="56"/>
    </row>
    <row r="535" spans="105:149">
      <c r="DA535" s="218"/>
      <c r="ER535" s="220"/>
      <c r="ES535" s="56"/>
    </row>
    <row r="536" spans="105:149">
      <c r="DA536" s="218"/>
      <c r="ER536" s="220"/>
      <c r="ES536" s="56"/>
    </row>
    <row r="537" spans="105:149">
      <c r="DA537" s="218"/>
      <c r="ER537" s="220"/>
      <c r="ES537" s="56"/>
    </row>
    <row r="538" spans="105:149">
      <c r="DA538" s="218"/>
      <c r="ER538" s="220"/>
      <c r="ES538" s="56"/>
    </row>
    <row r="539" spans="105:149">
      <c r="DA539" s="218"/>
      <c r="ER539" s="220"/>
      <c r="ES539" s="56"/>
    </row>
    <row r="540" spans="105:149">
      <c r="DA540" s="218"/>
      <c r="ER540" s="220"/>
      <c r="ES540" s="56"/>
    </row>
    <row r="541" spans="105:149">
      <c r="DA541" s="218"/>
      <c r="ER541" s="220"/>
      <c r="ES541" s="56"/>
    </row>
    <row r="542" spans="105:149">
      <c r="DA542" s="218"/>
      <c r="ER542" s="220"/>
      <c r="ES542" s="56"/>
    </row>
    <row r="543" spans="105:149">
      <c r="DA543" s="218"/>
      <c r="ER543" s="220"/>
      <c r="ES543" s="56"/>
    </row>
    <row r="544" spans="105:149">
      <c r="DA544" s="218"/>
      <c r="ER544" s="220"/>
      <c r="ES544" s="56"/>
    </row>
    <row r="545" spans="105:149">
      <c r="DA545" s="218"/>
      <c r="ER545" s="220"/>
      <c r="ES545" s="56"/>
    </row>
    <row r="546" spans="105:149">
      <c r="DA546" s="218"/>
      <c r="ER546" s="220"/>
      <c r="ES546" s="56"/>
    </row>
    <row r="547" spans="105:149">
      <c r="DA547" s="218"/>
      <c r="ER547" s="220"/>
      <c r="ES547" s="56"/>
    </row>
    <row r="548" spans="105:149">
      <c r="DA548" s="218"/>
      <c r="ER548" s="220"/>
      <c r="ES548" s="56"/>
    </row>
    <row r="549" spans="105:149">
      <c r="DA549" s="218"/>
      <c r="ER549" s="220"/>
      <c r="ES549" s="56"/>
    </row>
    <row r="550" spans="105:149">
      <c r="DA550" s="218"/>
      <c r="ER550" s="220"/>
      <c r="ES550" s="56"/>
    </row>
    <row r="551" spans="105:149">
      <c r="DA551" s="218"/>
      <c r="ER551" s="220"/>
      <c r="ES551" s="56"/>
    </row>
    <row r="552" spans="105:149">
      <c r="DA552" s="218"/>
      <c r="ER552" s="220"/>
      <c r="ES552" s="56"/>
    </row>
    <row r="553" spans="105:149">
      <c r="DA553" s="218"/>
      <c r="ER553" s="220"/>
      <c r="ES553" s="56"/>
    </row>
    <row r="554" spans="105:149">
      <c r="DA554" s="218"/>
      <c r="ER554" s="220"/>
      <c r="ES554" s="56"/>
    </row>
    <row r="555" spans="105:149">
      <c r="DA555" s="218"/>
      <c r="ER555" s="220"/>
      <c r="ES555" s="56"/>
    </row>
    <row r="556" spans="105:149">
      <c r="DA556" s="218"/>
      <c r="ER556" s="220"/>
      <c r="ES556" s="56"/>
    </row>
    <row r="557" spans="105:149">
      <c r="DA557" s="218"/>
      <c r="ER557" s="220"/>
      <c r="ES557" s="56"/>
    </row>
    <row r="558" spans="105:149">
      <c r="DA558" s="218"/>
      <c r="ER558" s="220"/>
      <c r="ES558" s="56"/>
    </row>
    <row r="559" spans="105:149">
      <c r="DA559" s="218"/>
      <c r="ER559" s="220"/>
      <c r="ES559" s="56"/>
    </row>
    <row r="560" spans="105:149">
      <c r="DA560" s="218"/>
      <c r="ER560" s="220"/>
      <c r="ES560" s="56"/>
    </row>
    <row r="561" spans="105:149">
      <c r="DA561" s="218"/>
      <c r="ER561" s="220"/>
      <c r="ES561" s="56"/>
    </row>
    <row r="562" spans="105:149">
      <c r="DA562" s="218"/>
      <c r="ER562" s="220"/>
      <c r="ES562" s="56"/>
    </row>
    <row r="563" spans="105:149">
      <c r="DA563" s="218"/>
      <c r="ER563" s="220"/>
      <c r="ES563" s="56"/>
    </row>
    <row r="564" spans="105:149">
      <c r="DA564" s="218"/>
      <c r="ER564" s="220"/>
      <c r="ES564" s="56"/>
    </row>
    <row r="565" spans="105:149">
      <c r="DA565" s="218"/>
      <c r="ER565" s="220"/>
      <c r="ES565" s="56"/>
    </row>
    <row r="566" spans="105:149">
      <c r="DA566" s="218"/>
      <c r="ER566" s="220"/>
      <c r="ES566" s="56"/>
    </row>
    <row r="567" spans="105:149">
      <c r="DA567" s="218"/>
      <c r="ER567" s="220"/>
      <c r="ES567" s="56"/>
    </row>
    <row r="568" spans="105:149">
      <c r="DA568" s="218"/>
      <c r="ER568" s="220"/>
      <c r="ES568" s="56"/>
    </row>
    <row r="569" spans="105:149">
      <c r="DA569" s="218"/>
      <c r="ER569" s="220"/>
      <c r="ES569" s="56"/>
    </row>
    <row r="570" spans="105:149">
      <c r="DA570" s="218"/>
      <c r="ER570" s="220"/>
      <c r="ES570" s="56"/>
    </row>
    <row r="571" spans="105:149">
      <c r="DA571" s="218"/>
      <c r="ER571" s="220"/>
      <c r="ES571" s="56"/>
    </row>
    <row r="572" spans="105:149">
      <c r="DA572" s="218"/>
      <c r="ER572" s="220"/>
      <c r="ES572" s="56"/>
    </row>
    <row r="573" spans="105:149">
      <c r="DA573" s="218"/>
      <c r="ER573" s="220"/>
      <c r="ES573" s="56"/>
    </row>
    <row r="574" spans="105:149">
      <c r="DA574" s="218"/>
      <c r="ER574" s="220"/>
      <c r="ES574" s="56"/>
    </row>
    <row r="575" spans="105:149">
      <c r="DA575" s="218"/>
      <c r="ER575" s="220"/>
      <c r="ES575" s="56"/>
    </row>
    <row r="576" spans="105:149">
      <c r="DA576" s="218"/>
      <c r="ER576" s="220"/>
      <c r="ES576" s="56"/>
    </row>
    <row r="577" spans="105:149">
      <c r="DA577" s="218"/>
      <c r="ER577" s="220"/>
      <c r="ES577" s="56"/>
    </row>
    <row r="578" spans="105:149">
      <c r="DA578" s="218"/>
      <c r="ER578" s="220"/>
      <c r="ES578" s="56"/>
    </row>
    <row r="579" spans="105:149">
      <c r="DA579" s="218"/>
      <c r="ER579" s="220"/>
      <c r="ES579" s="56"/>
    </row>
    <row r="580" spans="105:149">
      <c r="DA580" s="218"/>
      <c r="ER580" s="220"/>
      <c r="ES580" s="56"/>
    </row>
    <row r="581" spans="105:149">
      <c r="DA581" s="218"/>
      <c r="ER581" s="220"/>
      <c r="ES581" s="56"/>
    </row>
    <row r="582" spans="105:149">
      <c r="DA582" s="218"/>
      <c r="ER582" s="220"/>
      <c r="ES582" s="56"/>
    </row>
    <row r="583" spans="105:149">
      <c r="DA583" s="218"/>
      <c r="ER583" s="220"/>
      <c r="ES583" s="56"/>
    </row>
    <row r="584" spans="105:149">
      <c r="DA584" s="218"/>
      <c r="ER584" s="220"/>
      <c r="ES584" s="56"/>
    </row>
    <row r="585" spans="105:149">
      <c r="DA585" s="218"/>
      <c r="ER585" s="220"/>
      <c r="ES585" s="56"/>
    </row>
    <row r="586" spans="105:149">
      <c r="DA586" s="218"/>
      <c r="ER586" s="220"/>
      <c r="ES586" s="56"/>
    </row>
    <row r="587" spans="105:149">
      <c r="DA587" s="218"/>
      <c r="ER587" s="220"/>
      <c r="ES587" s="56"/>
    </row>
    <row r="588" spans="105:149">
      <c r="DA588" s="218"/>
      <c r="ER588" s="220"/>
      <c r="ES588" s="56"/>
    </row>
    <row r="589" spans="105:149">
      <c r="DA589" s="218"/>
      <c r="ER589" s="220"/>
      <c r="ES589" s="56"/>
    </row>
    <row r="590" spans="105:149">
      <c r="DA590" s="218"/>
      <c r="ER590" s="220"/>
      <c r="ES590" s="56"/>
    </row>
    <row r="591" spans="105:149">
      <c r="DA591" s="218"/>
      <c r="ER591" s="220"/>
      <c r="ES591" s="56"/>
    </row>
    <row r="592" spans="105:149">
      <c r="DA592" s="218"/>
      <c r="ER592" s="220"/>
      <c r="ES592" s="56"/>
    </row>
    <row r="593" spans="105:149">
      <c r="DA593" s="218"/>
      <c r="ER593" s="220"/>
      <c r="ES593" s="56"/>
    </row>
    <row r="594" spans="105:149">
      <c r="DA594" s="218"/>
      <c r="ER594" s="220"/>
      <c r="ES594" s="56"/>
    </row>
    <row r="595" spans="105:149">
      <c r="DA595" s="218"/>
      <c r="ER595" s="220"/>
      <c r="ES595" s="56"/>
    </row>
    <row r="596" spans="105:149">
      <c r="DA596" s="218"/>
      <c r="ER596" s="220"/>
      <c r="ES596" s="56"/>
    </row>
    <row r="597" spans="105:149">
      <c r="DA597" s="218"/>
      <c r="ER597" s="220"/>
      <c r="ES597" s="56"/>
    </row>
    <row r="598" spans="105:149">
      <c r="DA598" s="218"/>
      <c r="ER598" s="220"/>
      <c r="ES598" s="56"/>
    </row>
    <row r="599" spans="105:149">
      <c r="DA599" s="218"/>
      <c r="ER599" s="220"/>
      <c r="ES599" s="56"/>
    </row>
    <row r="600" spans="105:149">
      <c r="DA600" s="218"/>
      <c r="ER600" s="220"/>
      <c r="ES600" s="56"/>
    </row>
    <row r="601" spans="105:149">
      <c r="DA601" s="218"/>
      <c r="ER601" s="220"/>
      <c r="ES601" s="56"/>
    </row>
    <row r="602" spans="105:149">
      <c r="DA602" s="218"/>
      <c r="ER602" s="220"/>
      <c r="ES602" s="56"/>
    </row>
    <row r="603" spans="105:149">
      <c r="DA603" s="218"/>
      <c r="ER603" s="220"/>
      <c r="ES603" s="56"/>
    </row>
    <row r="604" spans="105:149">
      <c r="DA604" s="218"/>
      <c r="ER604" s="220"/>
      <c r="ES604" s="56"/>
    </row>
    <row r="605" spans="105:149">
      <c r="DA605" s="218"/>
      <c r="ER605" s="220"/>
      <c r="ES605" s="56"/>
    </row>
    <row r="606" spans="105:149">
      <c r="DA606" s="218"/>
      <c r="ER606" s="220"/>
      <c r="ES606" s="56"/>
    </row>
    <row r="607" spans="105:149">
      <c r="DA607" s="218"/>
      <c r="ER607" s="220"/>
      <c r="ES607" s="56"/>
    </row>
    <row r="608" spans="105:149">
      <c r="DA608" s="218"/>
      <c r="ER608" s="220"/>
      <c r="ES608" s="56"/>
    </row>
    <row r="609" spans="105:149">
      <c r="DA609" s="218"/>
      <c r="ER609" s="220"/>
      <c r="ES609" s="56"/>
    </row>
    <row r="610" spans="105:149">
      <c r="DA610" s="218"/>
      <c r="ER610" s="220"/>
      <c r="ES610" s="56"/>
    </row>
    <row r="611" spans="105:149">
      <c r="DA611" s="218"/>
      <c r="ER611" s="220"/>
      <c r="ES611" s="56"/>
    </row>
    <row r="612" spans="105:149">
      <c r="DA612" s="218"/>
      <c r="ER612" s="220"/>
      <c r="ES612" s="56"/>
    </row>
    <row r="613" spans="105:149">
      <c r="DA613" s="218"/>
      <c r="ER613" s="220"/>
      <c r="ES613" s="56"/>
    </row>
    <row r="614" spans="105:149">
      <c r="DA614" s="218"/>
      <c r="ER614" s="220"/>
      <c r="ES614" s="56"/>
    </row>
    <row r="615" spans="105:149">
      <c r="DA615" s="218"/>
      <c r="ER615" s="220"/>
      <c r="ES615" s="56"/>
    </row>
    <row r="616" spans="105:149">
      <c r="DA616" s="218"/>
      <c r="ER616" s="220"/>
      <c r="ES616" s="56"/>
    </row>
    <row r="617" spans="105:149">
      <c r="DA617" s="218"/>
      <c r="ER617" s="220"/>
      <c r="ES617" s="56"/>
    </row>
    <row r="618" spans="105:149">
      <c r="DA618" s="218"/>
      <c r="ER618" s="220"/>
      <c r="ES618" s="56"/>
    </row>
    <row r="619" spans="105:149">
      <c r="DA619" s="218"/>
      <c r="ER619" s="220"/>
      <c r="ES619" s="56"/>
    </row>
    <row r="620" spans="105:149">
      <c r="DA620" s="218"/>
      <c r="ER620" s="220"/>
      <c r="ES620" s="56"/>
    </row>
    <row r="621" spans="105:149">
      <c r="DA621" s="218"/>
      <c r="ER621" s="220"/>
      <c r="ES621" s="56"/>
    </row>
    <row r="622" spans="105:149">
      <c r="DA622" s="218"/>
      <c r="ER622" s="220"/>
      <c r="ES622" s="56"/>
    </row>
    <row r="623" spans="105:149">
      <c r="DA623" s="218"/>
      <c r="ER623" s="220"/>
      <c r="ES623" s="56"/>
    </row>
    <row r="624" spans="105:149">
      <c r="DA624" s="218"/>
      <c r="ER624" s="220"/>
      <c r="ES624" s="56"/>
    </row>
    <row r="625" spans="105:149">
      <c r="DA625" s="218"/>
      <c r="ER625" s="220"/>
      <c r="ES625" s="56"/>
    </row>
    <row r="626" spans="105:149">
      <c r="DA626" s="218"/>
      <c r="ER626" s="220"/>
      <c r="ES626" s="56"/>
    </row>
    <row r="627" spans="105:149">
      <c r="DA627" s="218"/>
      <c r="ER627" s="220"/>
      <c r="ES627" s="56"/>
    </row>
    <row r="628" spans="105:149">
      <c r="DA628" s="218"/>
      <c r="ER628" s="220"/>
      <c r="ES628" s="56"/>
    </row>
    <row r="629" spans="105:149">
      <c r="DA629" s="218"/>
      <c r="ER629" s="220"/>
      <c r="ES629" s="56"/>
    </row>
    <row r="630" spans="105:149">
      <c r="DA630" s="218"/>
      <c r="ER630" s="220"/>
      <c r="ES630" s="56"/>
    </row>
    <row r="631" spans="105:149">
      <c r="DA631" s="218"/>
      <c r="ER631" s="220"/>
      <c r="ES631" s="56"/>
    </row>
    <row r="632" spans="105:149">
      <c r="DA632" s="218"/>
      <c r="ER632" s="220"/>
      <c r="ES632" s="56"/>
    </row>
    <row r="633" spans="105:149">
      <c r="DA633" s="218"/>
      <c r="ER633" s="220"/>
      <c r="ES633" s="56"/>
    </row>
    <row r="634" spans="105:149">
      <c r="DA634" s="218"/>
      <c r="ER634" s="220"/>
      <c r="ES634" s="56"/>
    </row>
    <row r="635" spans="105:149">
      <c r="DA635" s="218"/>
      <c r="ER635" s="220"/>
      <c r="ES635" s="56"/>
    </row>
    <row r="636" spans="105:149">
      <c r="DA636" s="218"/>
      <c r="ER636" s="220"/>
      <c r="ES636" s="56"/>
    </row>
    <row r="637" spans="105:149">
      <c r="DA637" s="218"/>
      <c r="ER637" s="220"/>
      <c r="ES637" s="56"/>
    </row>
    <row r="638" spans="105:149">
      <c r="DA638" s="218"/>
      <c r="ER638" s="220"/>
      <c r="ES638" s="56"/>
    </row>
    <row r="639" spans="105:149">
      <c r="DA639" s="218"/>
      <c r="ER639" s="220"/>
      <c r="ES639" s="56"/>
    </row>
    <row r="640" spans="105:149">
      <c r="DA640" s="218"/>
      <c r="ER640" s="220"/>
      <c r="ES640" s="56"/>
    </row>
    <row r="641" spans="105:149">
      <c r="DA641" s="218"/>
      <c r="ER641" s="220"/>
      <c r="ES641" s="56"/>
    </row>
    <row r="642" spans="105:149">
      <c r="DA642" s="218"/>
      <c r="ER642" s="220"/>
      <c r="ES642" s="56"/>
    </row>
    <row r="643" spans="105:149">
      <c r="DA643" s="218"/>
      <c r="ER643" s="220"/>
      <c r="ES643" s="56"/>
    </row>
    <row r="644" spans="105:149">
      <c r="DA644" s="218"/>
      <c r="ER644" s="220"/>
      <c r="ES644" s="56"/>
    </row>
    <row r="645" spans="105:149">
      <c r="DA645" s="218"/>
      <c r="ER645" s="220"/>
      <c r="ES645" s="56"/>
    </row>
    <row r="646" spans="105:149">
      <c r="DA646" s="218"/>
      <c r="ER646" s="220"/>
      <c r="ES646" s="56"/>
    </row>
    <row r="647" spans="105:149">
      <c r="DA647" s="218"/>
      <c r="ER647" s="220"/>
      <c r="ES647" s="56"/>
    </row>
    <row r="648" spans="105:149">
      <c r="DA648" s="218"/>
      <c r="ER648" s="220"/>
      <c r="ES648" s="56"/>
    </row>
    <row r="649" spans="105:149">
      <c r="DA649" s="218"/>
      <c r="ER649" s="220"/>
      <c r="ES649" s="56"/>
    </row>
    <row r="650" spans="105:149">
      <c r="DA650" s="218"/>
      <c r="ER650" s="220"/>
      <c r="ES650" s="56"/>
    </row>
    <row r="651" spans="105:149">
      <c r="DA651" s="218"/>
      <c r="ER651" s="220"/>
      <c r="ES651" s="56"/>
    </row>
    <row r="652" spans="105:149">
      <c r="DA652" s="218"/>
      <c r="ER652" s="220"/>
      <c r="ES652" s="56"/>
    </row>
    <row r="653" spans="105:149">
      <c r="DA653" s="218"/>
      <c r="ER653" s="220"/>
      <c r="ES653" s="56"/>
    </row>
    <row r="654" spans="105:149">
      <c r="DA654" s="218"/>
      <c r="ER654" s="220"/>
      <c r="ES654" s="56"/>
    </row>
    <row r="655" spans="105:149">
      <c r="DA655" s="218"/>
      <c r="ER655" s="220"/>
      <c r="ES655" s="56"/>
    </row>
    <row r="656" spans="105:149">
      <c r="DA656" s="218"/>
      <c r="ER656" s="220"/>
      <c r="ES656" s="56"/>
    </row>
    <row r="657" spans="105:149">
      <c r="DA657" s="218"/>
      <c r="ER657" s="220"/>
      <c r="ES657" s="56"/>
    </row>
    <row r="658" spans="105:149">
      <c r="DA658" s="218"/>
      <c r="ER658" s="220"/>
      <c r="ES658" s="56"/>
    </row>
    <row r="659" spans="105:149">
      <c r="DA659" s="218"/>
      <c r="ER659" s="220"/>
      <c r="ES659" s="56"/>
    </row>
    <row r="660" spans="105:149">
      <c r="DA660" s="218"/>
      <c r="ER660" s="220"/>
      <c r="ES660" s="56"/>
    </row>
    <row r="661" spans="105:149">
      <c r="DA661" s="218"/>
      <c r="ER661" s="220"/>
      <c r="ES661" s="56"/>
    </row>
    <row r="662" spans="105:149">
      <c r="DA662" s="218"/>
      <c r="ER662" s="220"/>
      <c r="ES662" s="56"/>
    </row>
    <row r="663" spans="105:149">
      <c r="DA663" s="218"/>
      <c r="ER663" s="220"/>
      <c r="ES663" s="56"/>
    </row>
    <row r="664" spans="105:149">
      <c r="DA664" s="218"/>
      <c r="ER664" s="220"/>
      <c r="ES664" s="56"/>
    </row>
    <row r="665" spans="105:149">
      <c r="DA665" s="218"/>
      <c r="ER665" s="220"/>
      <c r="ES665" s="56"/>
    </row>
    <row r="666" spans="105:149">
      <c r="DA666" s="218"/>
      <c r="ER666" s="220"/>
      <c r="ES666" s="56"/>
    </row>
    <row r="667" spans="105:149">
      <c r="DA667" s="218"/>
      <c r="ER667" s="220"/>
      <c r="ES667" s="56"/>
    </row>
    <row r="668" spans="105:149">
      <c r="DA668" s="218"/>
      <c r="ER668" s="220"/>
      <c r="ES668" s="56"/>
    </row>
    <row r="669" spans="105:149">
      <c r="DA669" s="218"/>
      <c r="ER669" s="220"/>
      <c r="ES669" s="56"/>
    </row>
    <row r="670" spans="105:149">
      <c r="DA670" s="218"/>
      <c r="ER670" s="220"/>
      <c r="ES670" s="56"/>
    </row>
    <row r="671" spans="105:149">
      <c r="DA671" s="218"/>
      <c r="ER671" s="220"/>
      <c r="ES671" s="56"/>
    </row>
    <row r="672" spans="105:149">
      <c r="DA672" s="218"/>
      <c r="ER672" s="220"/>
      <c r="ES672" s="56"/>
    </row>
    <row r="673" spans="105:149">
      <c r="DA673" s="218"/>
      <c r="ER673" s="220"/>
      <c r="ES673" s="56"/>
    </row>
    <row r="674" spans="105:149">
      <c r="DA674" s="218"/>
      <c r="ER674" s="220"/>
      <c r="ES674" s="56"/>
    </row>
    <row r="675" spans="105:149">
      <c r="DA675" s="218"/>
      <c r="ER675" s="220"/>
      <c r="ES675" s="56"/>
    </row>
    <row r="676" spans="105:149">
      <c r="DA676" s="218"/>
      <c r="ER676" s="220"/>
      <c r="ES676" s="56"/>
    </row>
    <row r="677" spans="105:149">
      <c r="DA677" s="218"/>
      <c r="ER677" s="220"/>
      <c r="ES677" s="56"/>
    </row>
    <row r="678" spans="105:149">
      <c r="DA678" s="218"/>
      <c r="ER678" s="220"/>
      <c r="ES678" s="56"/>
    </row>
    <row r="679" spans="105:149">
      <c r="DA679" s="218"/>
      <c r="ER679" s="220"/>
      <c r="ES679" s="56"/>
    </row>
    <row r="680" spans="105:149">
      <c r="DA680" s="218"/>
      <c r="ER680" s="220"/>
      <c r="ES680" s="56"/>
    </row>
    <row r="681" spans="105:149">
      <c r="DA681" s="218"/>
      <c r="ER681" s="220"/>
      <c r="ES681" s="56"/>
    </row>
    <row r="682" spans="105:149">
      <c r="DA682" s="218"/>
      <c r="ER682" s="220"/>
      <c r="ES682" s="56"/>
    </row>
    <row r="683" spans="105:149">
      <c r="DA683" s="218"/>
      <c r="ER683" s="220"/>
      <c r="ES683" s="56"/>
    </row>
    <row r="684" spans="105:149">
      <c r="DA684" s="218"/>
      <c r="ER684" s="220"/>
      <c r="ES684" s="56"/>
    </row>
    <row r="685" spans="105:149">
      <c r="DA685" s="218"/>
      <c r="ER685" s="220"/>
      <c r="ES685" s="56"/>
    </row>
    <row r="686" spans="105:149">
      <c r="DA686" s="218"/>
      <c r="ER686" s="220"/>
      <c r="ES686" s="56"/>
    </row>
    <row r="687" spans="105:149">
      <c r="DA687" s="218"/>
      <c r="ER687" s="220"/>
      <c r="ES687" s="56"/>
    </row>
    <row r="688" spans="105:149">
      <c r="DA688" s="218"/>
      <c r="ER688" s="220"/>
      <c r="ES688" s="56"/>
    </row>
    <row r="689" spans="105:149">
      <c r="DA689" s="218"/>
      <c r="ER689" s="220"/>
      <c r="ES689" s="56"/>
    </row>
    <row r="690" spans="105:149">
      <c r="DA690" s="218"/>
      <c r="ER690" s="220"/>
      <c r="ES690" s="56"/>
    </row>
    <row r="691" spans="105:149">
      <c r="DA691" s="218"/>
      <c r="ER691" s="220"/>
      <c r="ES691" s="56"/>
    </row>
    <row r="692" spans="105:149">
      <c r="DA692" s="218"/>
      <c r="ER692" s="220"/>
      <c r="ES692" s="56"/>
    </row>
    <row r="693" spans="105:149">
      <c r="DA693" s="218"/>
      <c r="ER693" s="220"/>
      <c r="ES693" s="56"/>
    </row>
    <row r="694" spans="105:149">
      <c r="DA694" s="218"/>
      <c r="ER694" s="220"/>
      <c r="ES694" s="56"/>
    </row>
    <row r="695" spans="105:149">
      <c r="DA695" s="218"/>
      <c r="ER695" s="220"/>
      <c r="ES695" s="56"/>
    </row>
    <row r="696" spans="105:149">
      <c r="DA696" s="218"/>
      <c r="ER696" s="220"/>
      <c r="ES696" s="56"/>
    </row>
    <row r="697" spans="105:149">
      <c r="DA697" s="218"/>
      <c r="ER697" s="220"/>
      <c r="ES697" s="56"/>
    </row>
    <row r="698" spans="105:149">
      <c r="DA698" s="218"/>
      <c r="ER698" s="220"/>
      <c r="ES698" s="56"/>
    </row>
    <row r="699" spans="105:149">
      <c r="DA699" s="218"/>
      <c r="ER699" s="220"/>
      <c r="ES699" s="56"/>
    </row>
    <row r="700" spans="105:149">
      <c r="DA700" s="218"/>
      <c r="ER700" s="220"/>
      <c r="ES700" s="56"/>
    </row>
    <row r="701" spans="105:149">
      <c r="DA701" s="218"/>
      <c r="ER701" s="220"/>
      <c r="ES701" s="56"/>
    </row>
    <row r="702" spans="105:149">
      <c r="DA702" s="218"/>
      <c r="ER702" s="220"/>
      <c r="ES702" s="56"/>
    </row>
    <row r="703" spans="105:149">
      <c r="DA703" s="218"/>
      <c r="ER703" s="220"/>
      <c r="ES703" s="56"/>
    </row>
    <row r="704" spans="105:149">
      <c r="DA704" s="218"/>
      <c r="ER704" s="220"/>
      <c r="ES704" s="56"/>
    </row>
    <row r="705" spans="105:149">
      <c r="DA705" s="218"/>
      <c r="ER705" s="220"/>
      <c r="ES705" s="56"/>
    </row>
    <row r="706" spans="105:149">
      <c r="DA706" s="218"/>
      <c r="ER706" s="220"/>
      <c r="ES706" s="56"/>
    </row>
    <row r="707" spans="105:149">
      <c r="DA707" s="218"/>
      <c r="ER707" s="220"/>
      <c r="ES707" s="56"/>
    </row>
    <row r="708" spans="105:149">
      <c r="DA708" s="218"/>
      <c r="ER708" s="220"/>
      <c r="ES708" s="56"/>
    </row>
    <row r="709" spans="105:149">
      <c r="DA709" s="218"/>
      <c r="ER709" s="220"/>
      <c r="ES709" s="56"/>
    </row>
    <row r="710" spans="105:149">
      <c r="DA710" s="218"/>
      <c r="ER710" s="220"/>
      <c r="ES710" s="56"/>
    </row>
    <row r="711" spans="105:149">
      <c r="DA711" s="218"/>
      <c r="ER711" s="220"/>
      <c r="ES711" s="56"/>
    </row>
    <row r="712" spans="105:149">
      <c r="DA712" s="218"/>
      <c r="ER712" s="220"/>
      <c r="ES712" s="56"/>
    </row>
    <row r="713" spans="105:149">
      <c r="DA713" s="218"/>
      <c r="ER713" s="220"/>
      <c r="ES713" s="56"/>
    </row>
    <row r="714" spans="105:149">
      <c r="DA714" s="218"/>
      <c r="ER714" s="220"/>
      <c r="ES714" s="56"/>
    </row>
    <row r="715" spans="105:149">
      <c r="DA715" s="218"/>
      <c r="ER715" s="220"/>
      <c r="ES715" s="56"/>
    </row>
    <row r="716" spans="105:149">
      <c r="DA716" s="218"/>
      <c r="ER716" s="220"/>
      <c r="ES716" s="56"/>
    </row>
    <row r="717" spans="105:149">
      <c r="DA717" s="218"/>
      <c r="ER717" s="220"/>
      <c r="ES717" s="56"/>
    </row>
    <row r="718" spans="105:149">
      <c r="DA718" s="218"/>
      <c r="ER718" s="220"/>
      <c r="ES718" s="56"/>
    </row>
    <row r="719" spans="105:149">
      <c r="DA719" s="218"/>
      <c r="ER719" s="220"/>
      <c r="ES719" s="56"/>
    </row>
    <row r="720" spans="105:149">
      <c r="DA720" s="218"/>
      <c r="ER720" s="220"/>
      <c r="ES720" s="56"/>
    </row>
    <row r="721" spans="105:149">
      <c r="DA721" s="218"/>
      <c r="ER721" s="220"/>
      <c r="ES721" s="56"/>
    </row>
    <row r="722" spans="105:149">
      <c r="DA722" s="218"/>
      <c r="ER722" s="220"/>
      <c r="ES722" s="56"/>
    </row>
    <row r="723" spans="105:149">
      <c r="DA723" s="218"/>
      <c r="ER723" s="220"/>
      <c r="ES723" s="56"/>
    </row>
    <row r="724" spans="105:149">
      <c r="DA724" s="218"/>
      <c r="ER724" s="220"/>
      <c r="ES724" s="56"/>
    </row>
    <row r="725" spans="105:149">
      <c r="DA725" s="218"/>
      <c r="ER725" s="220"/>
      <c r="ES725" s="56"/>
    </row>
    <row r="726" spans="105:149">
      <c r="DA726" s="218"/>
      <c r="ER726" s="220"/>
      <c r="ES726" s="56"/>
    </row>
    <row r="727" spans="105:149">
      <c r="DA727" s="218"/>
      <c r="ER727" s="220"/>
      <c r="ES727" s="56"/>
    </row>
    <row r="728" spans="105:149">
      <c r="DA728" s="218"/>
      <c r="ER728" s="220"/>
      <c r="ES728" s="56"/>
    </row>
    <row r="729" spans="105:149">
      <c r="DA729" s="218"/>
      <c r="ER729" s="220"/>
      <c r="ES729" s="56"/>
    </row>
    <row r="730" spans="105:149">
      <c r="DA730" s="218"/>
      <c r="ER730" s="220"/>
      <c r="ES730" s="56"/>
    </row>
    <row r="731" spans="105:149">
      <c r="DA731" s="218"/>
      <c r="ER731" s="220"/>
      <c r="ES731" s="56"/>
    </row>
    <row r="732" spans="105:149">
      <c r="DA732" s="221"/>
      <c r="DB732" s="222"/>
      <c r="DC732" s="222"/>
      <c r="DD732" s="223"/>
      <c r="DE732" s="224"/>
      <c r="DF732" s="224"/>
      <c r="DG732" s="224"/>
      <c r="DH732" s="222"/>
      <c r="DI732" s="222"/>
      <c r="DJ732" s="222"/>
      <c r="DK732" s="222"/>
      <c r="DL732" s="222"/>
      <c r="DM732" s="222"/>
      <c r="DN732" s="222"/>
      <c r="DO732" s="222"/>
      <c r="DP732" s="225"/>
      <c r="DQ732" s="225"/>
      <c r="DR732" s="225"/>
      <c r="DS732" s="225"/>
      <c r="DT732" s="225"/>
      <c r="DU732" s="225"/>
      <c r="DV732" s="225"/>
      <c r="DW732" s="225"/>
      <c r="DX732" s="225"/>
      <c r="DY732" s="225"/>
      <c r="DZ732" s="225"/>
      <c r="EA732" s="225"/>
      <c r="EB732" s="226"/>
      <c r="EC732" s="226"/>
      <c r="ED732" s="226"/>
      <c r="EE732" s="227"/>
      <c r="EF732" s="227"/>
      <c r="EG732" s="227"/>
      <c r="EH732" s="227"/>
      <c r="EI732" s="227"/>
      <c r="EJ732" s="227"/>
      <c r="EK732" s="227"/>
      <c r="EL732" s="227"/>
      <c r="EM732" s="227"/>
      <c r="EN732" s="227"/>
      <c r="EO732" s="227"/>
      <c r="EP732" s="227"/>
      <c r="EQ732" s="227"/>
      <c r="ER732" s="228"/>
      <c r="ES732" s="56"/>
    </row>
  </sheetData>
  <mergeCells count="54">
    <mergeCell ref="Q11:S12"/>
    <mergeCell ref="H13:J13"/>
    <mergeCell ref="AE19:AG20"/>
    <mergeCell ref="T11:U12"/>
    <mergeCell ref="N55:O56"/>
    <mergeCell ref="N57:O57"/>
    <mergeCell ref="H60:J60"/>
    <mergeCell ref="K55:L55"/>
    <mergeCell ref="A11:E12"/>
    <mergeCell ref="H11:P12"/>
    <mergeCell ref="AO19:AO22"/>
    <mergeCell ref="AP19:AP22"/>
    <mergeCell ref="AC21:AC22"/>
    <mergeCell ref="AH19:AM20"/>
    <mergeCell ref="AB21:AB22"/>
    <mergeCell ref="AL21:AM21"/>
    <mergeCell ref="BA21:BA22"/>
    <mergeCell ref="BG21:BG22"/>
    <mergeCell ref="BH21:BH22"/>
    <mergeCell ref="BI19:BK20"/>
    <mergeCell ref="BA19:BD20"/>
    <mergeCell ref="BE19:BH20"/>
    <mergeCell ref="BJ21:BJ22"/>
    <mergeCell ref="BK21:BK22"/>
    <mergeCell ref="ER21:ER22"/>
    <mergeCell ref="DE19:DG20"/>
    <mergeCell ref="DH19:DM20"/>
    <mergeCell ref="DO19:DO22"/>
    <mergeCell ref="DA19:DD20"/>
    <mergeCell ref="EO19:ER20"/>
    <mergeCell ref="DL21:DM21"/>
    <mergeCell ref="EG21:EG22"/>
    <mergeCell ref="EJ21:EJ22"/>
    <mergeCell ref="EM21:EM22"/>
    <mergeCell ref="EN21:EN22"/>
    <mergeCell ref="EQ21:EQ22"/>
    <mergeCell ref="EG19:EH20"/>
    <mergeCell ref="EJ19:EK20"/>
    <mergeCell ref="H104:S105"/>
    <mergeCell ref="BL16:BN16"/>
    <mergeCell ref="DP19:DP22"/>
    <mergeCell ref="EA19:ED20"/>
    <mergeCell ref="EL19:EN20"/>
    <mergeCell ref="DC21:DC22"/>
    <mergeCell ref="EH21:EH22"/>
    <mergeCell ref="EK21:EK22"/>
    <mergeCell ref="DB21:DB22"/>
    <mergeCell ref="EA21:EA22"/>
    <mergeCell ref="BO19:BR20"/>
    <mergeCell ref="BQ21:BQ22"/>
    <mergeCell ref="BR21:BR22"/>
    <mergeCell ref="BN21:BN22"/>
    <mergeCell ref="BM21:BM22"/>
    <mergeCell ref="BL19:BN20"/>
  </mergeCells>
  <phoneticPr fontId="26" type="noConversion"/>
  <conditionalFormatting sqref="S86:S87 S89:S90">
    <cfRule type="containsText" dxfId="61" priority="308" operator="containsText" text="Check">
      <formula>NOT(ISERROR(SEARCH("Check",S86)))</formula>
    </cfRule>
    <cfRule type="containsText" dxfId="60" priority="309" operator="containsText" text="OK">
      <formula>NOT(ISERROR(SEARCH("OK",S86)))</formula>
    </cfRule>
  </conditionalFormatting>
  <conditionalFormatting sqref="BH1:BH9 BH12:BH18 BH23:BH1048576 BK23:BK438 BN23:BN438 BR23:BR438 EH23:EH1048576 EK23:EK438 EN23:EN438 ER23:ER438">
    <cfRule type="containsText" dxfId="59" priority="195" operator="containsText" text="CHECK">
      <formula>NOT(ISERROR(SEARCH("CHECK",BH1)))</formula>
    </cfRule>
    <cfRule type="containsText" dxfId="58" priority="196" operator="containsText" text="OK">
      <formula>NOT(ISERROR(SEARCH("OK",BH1)))</formula>
    </cfRule>
  </conditionalFormatting>
  <conditionalFormatting sqref="BJ21:BJ22">
    <cfRule type="top10" dxfId="57" priority="191" rank="1"/>
  </conditionalFormatting>
  <conditionalFormatting sqref="BM21:BM22">
    <cfRule type="top10" dxfId="56" priority="185" rank="1"/>
  </conditionalFormatting>
  <conditionalFormatting sqref="BQ21:BQ22">
    <cfRule type="top10" dxfId="55" priority="174" rank="1"/>
  </conditionalFormatting>
  <conditionalFormatting sqref="BR21:BR22">
    <cfRule type="top10" dxfId="54" priority="173" rank="1"/>
  </conditionalFormatting>
  <conditionalFormatting sqref="BR21:BR22">
    <cfRule type="containsText" dxfId="53" priority="171" operator="containsText" text="CHECK">
      <formula>NOT(ISERROR(SEARCH("CHECK",BR21)))</formula>
    </cfRule>
    <cfRule type="containsText" dxfId="52" priority="172" operator="containsText" text="OK">
      <formula>NOT(ISERROR(SEARCH("OK",BR21)))</formula>
    </cfRule>
  </conditionalFormatting>
  <conditionalFormatting sqref="BN21:BN22">
    <cfRule type="top10" dxfId="51" priority="168" rank="1"/>
  </conditionalFormatting>
  <conditionalFormatting sqref="BN21:BN22">
    <cfRule type="containsText" dxfId="50" priority="166" operator="containsText" text="CHECK">
      <formula>NOT(ISERROR(SEARCH("CHECK",BN21)))</formula>
    </cfRule>
    <cfRule type="containsText" dxfId="49" priority="167" operator="containsText" text="OK">
      <formula>NOT(ISERROR(SEARCH("OK",BN21)))</formula>
    </cfRule>
  </conditionalFormatting>
  <conditionalFormatting sqref="BK21:BK22">
    <cfRule type="top10" dxfId="48" priority="165" rank="1"/>
  </conditionalFormatting>
  <conditionalFormatting sqref="BK21:BK22">
    <cfRule type="containsText" dxfId="47" priority="163" operator="containsText" text="CHECK">
      <formula>NOT(ISERROR(SEARCH("CHECK",BK21)))</formula>
    </cfRule>
    <cfRule type="containsText" dxfId="46" priority="164" operator="containsText" text="OK">
      <formula>NOT(ISERROR(SEARCH("OK",BK21)))</formula>
    </cfRule>
  </conditionalFormatting>
  <conditionalFormatting sqref="BH21:BH22">
    <cfRule type="top10" dxfId="45" priority="162" rank="1"/>
  </conditionalFormatting>
  <conditionalFormatting sqref="BH21:BH22">
    <cfRule type="containsText" dxfId="44" priority="160" operator="containsText" text="CHECK">
      <formula>NOT(ISERROR(SEARCH("CHECK",BH21)))</formula>
    </cfRule>
    <cfRule type="containsText" dxfId="43" priority="161" operator="containsText" text="OK">
      <formula>NOT(ISERROR(SEARCH("OK",BH21)))</formula>
    </cfRule>
  </conditionalFormatting>
  <conditionalFormatting sqref="BG1:BG9 BG13:BG18 BG21:BG1048576">
    <cfRule type="top10" dxfId="42" priority="139" rank="1"/>
  </conditionalFormatting>
  <conditionalFormatting sqref="BJ1:BJ9 BJ13:BJ1048576">
    <cfRule type="top10" dxfId="41" priority="138" rank="1"/>
  </conditionalFormatting>
  <conditionalFormatting sqref="BM1:BM9 BM13:BM15 BM21:BM1048576 BM17:BM18">
    <cfRule type="top10" dxfId="40" priority="137" rank="1"/>
  </conditionalFormatting>
  <conditionalFormatting sqref="BQ1:BQ9 BQ13:BQ1048576">
    <cfRule type="top10" dxfId="39" priority="136" rank="1"/>
  </conditionalFormatting>
  <conditionalFormatting sqref="S68 S75">
    <cfRule type="containsText" dxfId="38" priority="44" operator="containsText" text="OK">
      <formula>NOT(ISERROR(SEARCH("OK",S68)))</formula>
    </cfRule>
  </conditionalFormatting>
  <conditionalFormatting sqref="S68 S75">
    <cfRule type="containsText" dxfId="37" priority="43" operator="containsText" text="CHECK">
      <formula>NOT(ISERROR(SEARCH("CHECK",S68)))</formula>
    </cfRule>
  </conditionalFormatting>
  <conditionalFormatting sqref="R65">
    <cfRule type="containsText" dxfId="36" priority="42" operator="containsText" text="O/S">
      <formula>NOT(ISERROR(SEARCH("O/S",R65)))</formula>
    </cfRule>
  </conditionalFormatting>
  <conditionalFormatting sqref="S85">
    <cfRule type="containsText" dxfId="35" priority="41" operator="containsText" text="OK">
      <formula>NOT(ISERROR(SEARCH("OK",S85)))</formula>
    </cfRule>
  </conditionalFormatting>
  <conditionalFormatting sqref="S85">
    <cfRule type="containsText" dxfId="34" priority="40" operator="containsText" text="CHECK">
      <formula>NOT(ISERROR(SEARCH("CHECK",S85)))</formula>
    </cfRule>
  </conditionalFormatting>
  <conditionalFormatting sqref="S92">
    <cfRule type="containsText" dxfId="33" priority="38" operator="containsText" text="Check">
      <formula>NOT(ISERROR(SEARCH("Check",S92)))</formula>
    </cfRule>
    <cfRule type="containsText" dxfId="32" priority="39" operator="containsText" text="OK">
      <formula>NOT(ISERROR(SEARCH("OK",S92)))</formula>
    </cfRule>
  </conditionalFormatting>
  <conditionalFormatting sqref="S95">
    <cfRule type="containsText" dxfId="31" priority="37" operator="containsText" text="OK">
      <formula>NOT(ISERROR(SEARCH("OK",S95)))</formula>
    </cfRule>
  </conditionalFormatting>
  <conditionalFormatting sqref="S95">
    <cfRule type="containsText" dxfId="30" priority="36" operator="containsText" text="CHECK">
      <formula>NOT(ISERROR(SEARCH("CHECK",S95)))</formula>
    </cfRule>
  </conditionalFormatting>
  <conditionalFormatting sqref="S113:S114">
    <cfRule type="containsText" dxfId="29" priority="32" operator="containsText" text="OK">
      <formula>NOT(ISERROR(SEARCH("OK",S113)))</formula>
    </cfRule>
  </conditionalFormatting>
  <conditionalFormatting sqref="S113:S114">
    <cfRule type="containsText" dxfId="28" priority="31" operator="containsText" text="CHECK">
      <formula>NOT(ISERROR(SEARCH("CHECK",S113)))</formula>
    </cfRule>
  </conditionalFormatting>
  <conditionalFormatting sqref="A14:B22">
    <cfRule type="expression" dxfId="27" priority="378">
      <formula>$A14=$W$42</formula>
    </cfRule>
  </conditionalFormatting>
  <conditionalFormatting sqref="BM19:BM20">
    <cfRule type="top10" dxfId="26" priority="27" rank="1"/>
  </conditionalFormatting>
  <conditionalFormatting sqref="EH1:EH9 EH12:EH18">
    <cfRule type="containsText" dxfId="25" priority="25" operator="containsText" text="CHECK">
      <formula>NOT(ISERROR(SEARCH("CHECK",EH1)))</formula>
    </cfRule>
    <cfRule type="containsText" dxfId="24" priority="26" operator="containsText" text="OK">
      <formula>NOT(ISERROR(SEARCH("OK",EH1)))</formula>
    </cfRule>
  </conditionalFormatting>
  <conditionalFormatting sqref="EJ21:EJ22">
    <cfRule type="top10" dxfId="23" priority="24" rank="1"/>
  </conditionalFormatting>
  <conditionalFormatting sqref="EM21:EM22">
    <cfRule type="top10" dxfId="22" priority="23" rank="1"/>
  </conditionalFormatting>
  <conditionalFormatting sqref="EQ21:EQ22">
    <cfRule type="top10" dxfId="21" priority="22" rank="1"/>
  </conditionalFormatting>
  <conditionalFormatting sqref="ER21:ER22">
    <cfRule type="top10" dxfId="20" priority="21" rank="1"/>
  </conditionalFormatting>
  <conditionalFormatting sqref="ER21:ER22">
    <cfRule type="containsText" dxfId="19" priority="19" operator="containsText" text="CHECK">
      <formula>NOT(ISERROR(SEARCH("CHECK",ER21)))</formula>
    </cfRule>
    <cfRule type="containsText" dxfId="18" priority="20" operator="containsText" text="OK">
      <formula>NOT(ISERROR(SEARCH("OK",ER21)))</formula>
    </cfRule>
  </conditionalFormatting>
  <conditionalFormatting sqref="EN21:EN22">
    <cfRule type="top10" dxfId="17" priority="18" rank="1"/>
  </conditionalFormatting>
  <conditionalFormatting sqref="EN21:EN22">
    <cfRule type="containsText" dxfId="16" priority="16" operator="containsText" text="CHECK">
      <formula>NOT(ISERROR(SEARCH("CHECK",EN21)))</formula>
    </cfRule>
    <cfRule type="containsText" dxfId="15" priority="17" operator="containsText" text="OK">
      <formula>NOT(ISERROR(SEARCH("OK",EN21)))</formula>
    </cfRule>
  </conditionalFormatting>
  <conditionalFormatting sqref="EK21:EK22">
    <cfRule type="top10" dxfId="14" priority="15" rank="1"/>
  </conditionalFormatting>
  <conditionalFormatting sqref="EK21:EK22">
    <cfRule type="containsText" dxfId="13" priority="13" operator="containsText" text="CHECK">
      <formula>NOT(ISERROR(SEARCH("CHECK",EK21)))</formula>
    </cfRule>
    <cfRule type="containsText" dxfId="12" priority="14" operator="containsText" text="OK">
      <formula>NOT(ISERROR(SEARCH("OK",EK21)))</formula>
    </cfRule>
  </conditionalFormatting>
  <conditionalFormatting sqref="EH21:EH22">
    <cfRule type="top10" dxfId="11" priority="12" rank="1"/>
  </conditionalFormatting>
  <conditionalFormatting sqref="EH21:EH22">
    <cfRule type="containsText" dxfId="10" priority="10" operator="containsText" text="CHECK">
      <formula>NOT(ISERROR(SEARCH("CHECK",EH21)))</formula>
    </cfRule>
    <cfRule type="containsText" dxfId="9" priority="11" operator="containsText" text="OK">
      <formula>NOT(ISERROR(SEARCH("OK",EH21)))</formula>
    </cfRule>
  </conditionalFormatting>
  <conditionalFormatting sqref="EG1:EG9 EG13 EG21:EG1048576">
    <cfRule type="top10" dxfId="8" priority="9" rank="1"/>
  </conditionalFormatting>
  <conditionalFormatting sqref="EJ1:EJ9 EJ13:EJ18 EJ21:EJ1048576">
    <cfRule type="top10" dxfId="7" priority="8" rank="1"/>
  </conditionalFormatting>
  <conditionalFormatting sqref="EM1:EM9 EM13:EM18 EM21:EM1048576">
    <cfRule type="top10" dxfId="6" priority="7" rank="1"/>
  </conditionalFormatting>
  <conditionalFormatting sqref="EQ1:EQ9 EQ13:EQ1048576">
    <cfRule type="top10" dxfId="5" priority="6" rank="1"/>
  </conditionalFormatting>
  <conditionalFormatting sqref="EM19:EM20">
    <cfRule type="top10" dxfId="4" priority="5" rank="1"/>
  </conditionalFormatting>
  <conditionalFormatting sqref="S110">
    <cfRule type="containsText" dxfId="3" priority="1" operator="containsText" text="Shear key">
      <formula>NOT(ISERROR(SEARCH("Shear key",S110)))</formula>
    </cfRule>
    <cfRule type="containsText" dxfId="2" priority="2" operator="containsText" text="Gia cường">
      <formula>NOT(ISERROR(SEARCH("Gia cường",S110)))</formula>
    </cfRule>
    <cfRule type="containsText" dxfId="1" priority="3" operator="containsText" text="Check">
      <formula>NOT(ISERROR(SEARCH("Check",S110)))</formula>
    </cfRule>
    <cfRule type="containsText" dxfId="0" priority="4" operator="containsText" text="OK">
      <formula>NOT(ISERROR(SEARCH("OK",S110)))</formula>
    </cfRule>
  </conditionalFormatting>
  <dataValidations disablePrompts="1" count="3">
    <dataValidation type="list" allowBlank="1" showInputMessage="1" showErrorMessage="1" sqref="U15" xr:uid="{00000000-0002-0000-0100-000001000000}">
      <formula1>$U$13:$U$15</formula1>
    </dataValidation>
    <dataValidation type="list" allowBlank="1" showInputMessage="1" showErrorMessage="1" sqref="T11:U12" xr:uid="{00000000-0002-0000-0100-000002000000}">
      <formula1>$U$14:$U$15</formula1>
    </dataValidation>
    <dataValidation type="list" allowBlank="1" showInputMessage="1" showErrorMessage="1" sqref="P63" xr:uid="{8D0BBF60-14D4-4DFD-9B1B-AB2BCF0D2C4C}">
      <formula1>"Trái, Phải"</formula1>
    </dataValidation>
  </dataValidations>
  <printOptions horizontalCentered="1"/>
  <pageMargins left="0.5" right="0.5" top="0.5" bottom="0.5" header="0.31496062992125984" footer="0.31496062992125984"/>
  <pageSetup scale="84" fitToHeight="0" orientation="landscape" r:id="rId1"/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 xr:uid="{00000000-0002-0000-0100-000003000000}">
          <x14:formula1>
            <xm:f>Data!$K$4:$K$29</xm:f>
          </x14:formula1>
          <xm:sqref>R17</xm:sqref>
        </x14:dataValidation>
        <x14:dataValidation type="list" allowBlank="1" showInputMessage="1" showErrorMessage="1" xr:uid="{00000000-0002-0000-0100-000004000000}">
          <x14:formula1>
            <xm:f>Data!$A$3:$A$99</xm:f>
          </x14:formula1>
          <xm:sqref>R22</xm:sqref>
        </x14:dataValidation>
        <x14:dataValidation type="list" allowBlank="1" showInputMessage="1" showErrorMessage="1" xr:uid="{00000000-0002-0000-0100-000005000000}">
          <x14:formula1>
            <xm:f>Data!$AZ$3:$AZ$99</xm:f>
          </x14:formula1>
          <xm:sqref>R28</xm:sqref>
        </x14:dataValidation>
        <x14:dataValidation type="list" allowBlank="1" showInputMessage="1" showErrorMessage="1" xr:uid="{00000000-0002-0000-0100-000006000000}">
          <x14:formula1>
            <xm:f>Data!$V$4:$V$99</xm:f>
          </x14:formula1>
          <xm:sqref>R44</xm:sqref>
        </x14:dataValidation>
        <x14:dataValidation type="list" allowBlank="1" showInputMessage="1" showErrorMessage="1" xr:uid="{00000000-0002-0000-0100-000007000000}">
          <x14:formula1>
            <xm:f>Data!$H$43:$H$46</xm:f>
          </x14:formula1>
          <xm:sqref>P58</xm:sqref>
        </x14:dataValidation>
        <x14:dataValidation type="list" allowBlank="1" showInputMessage="1" showErrorMessage="1" xr:uid="{00000000-0002-0000-0100-000008000000}">
          <x14:formula1>
            <xm:f>Data!$DH$2:$DH$7</xm:f>
          </x14:formula1>
          <xm:sqref>R16</xm:sqref>
        </x14:dataValidation>
        <x14:dataValidation type="list" allowBlank="1" showInputMessage="1" showErrorMessage="1" xr:uid="{00000000-0002-0000-0100-000009000000}">
          <x14:formula1>
            <xm:f>Data!$BJ$5:$BJ$99</xm:f>
          </x14:formula1>
          <xm:sqref>R35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zoomScale="55" zoomScaleNormal="55" workbookViewId="0">
      <selection activeCell="Q58" sqref="Q58"/>
    </sheetView>
  </sheetViews>
  <sheetFormatPr defaultRowHeight="15"/>
  <sheetData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1"/>
  <sheetViews>
    <sheetView zoomScale="130" zoomScaleNormal="130" workbookViewId="0">
      <selection activeCell="E2" sqref="E2"/>
    </sheetView>
  </sheetViews>
  <sheetFormatPr defaultRowHeight="15"/>
  <cols>
    <col min="1" max="1" width="9.140625" style="61"/>
    <col min="2" max="2" width="61.42578125" customWidth="1"/>
  </cols>
  <sheetData>
    <row r="1" spans="1:2" ht="200.1" customHeight="1">
      <c r="A1" s="61">
        <v>1</v>
      </c>
    </row>
    <row r="2" spans="1:2" ht="200.1" customHeight="1">
      <c r="A2" s="61">
        <v>2</v>
      </c>
    </row>
    <row r="3" spans="1:2" ht="200.1" customHeight="1">
      <c r="A3" s="61">
        <v>3</v>
      </c>
    </row>
    <row r="4" spans="1:2" ht="200.1" customHeight="1">
      <c r="A4" s="61">
        <v>4</v>
      </c>
    </row>
    <row r="5" spans="1:2" ht="200.1" customHeight="1">
      <c r="A5" s="61">
        <v>5</v>
      </c>
    </row>
    <row r="6" spans="1:2">
      <c r="A6" s="61">
        <f>IF(Cal!$R$43=2,1,IF(AND(Cal!$R$43=4,Cal!$R$52=0),2,IF(AND(Cal!$R$43=4,Cal!$R$52&gt;0),3,IF(AND(Cal!$R$43=6,Cal!$R$52=0),4,IF(AND(Cal!$R$43=6,Cal!$R$52&gt;0),5,2)))))</f>
        <v>2</v>
      </c>
      <c r="B6" cm="1">
        <f t="array" ref="B6">INDEX($B$1:$B$5,$A$6)</f>
        <v>0</v>
      </c>
    </row>
    <row r="8" spans="1:2">
      <c r="A8" s="61" t="s">
        <v>169</v>
      </c>
      <c r="B8">
        <f>Cal!$R$40</f>
        <v>200</v>
      </c>
    </row>
    <row r="9" spans="1:2">
      <c r="A9" s="61" t="s">
        <v>170</v>
      </c>
      <c r="B9">
        <f>Cal!$R$39</f>
        <v>100</v>
      </c>
    </row>
    <row r="10" spans="1:2">
      <c r="A10" s="61" t="s">
        <v>171</v>
      </c>
      <c r="B10">
        <f>Cal!$R$46</f>
        <v>300</v>
      </c>
    </row>
    <row r="11" spans="1:2">
      <c r="A11" s="61" t="s">
        <v>172</v>
      </c>
      <c r="B11">
        <f>Cal!$R$47</f>
        <v>200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Data</vt:lpstr>
      <vt:lpstr>Cal</vt:lpstr>
      <vt:lpstr>L410</vt:lpstr>
      <vt:lpstr>Cal!Print_Area</vt:lpstr>
      <vt:lpstr>Data!Print_Area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2026-01-31T12:00:57Z</cp:lastPrinted>
  <dcterms:created xsi:type="dcterms:W3CDTF">2023-12-24T09:13:35Z</dcterms:created>
  <dcterms:modified xsi:type="dcterms:W3CDTF">2026-06-17T14:48:39Z</dcterms:modified>
</cp:coreProperties>
</file>