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Update Excel\"/>
    </mc:Choice>
  </mc:AlternateContent>
  <xr:revisionPtr revIDLastSave="0" documentId="13_ncr:1_{F79254BE-C6A2-4F32-9155-5690ECA178ED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LT" sheetId="13" r:id="rId1"/>
    <sheet name="Data" sheetId="9" r:id="rId2"/>
    <sheet name="Cal" sheetId="6" r:id="rId3"/>
    <sheet name="Pic" sheetId="12" state="veryHidden" r:id="rId4"/>
    <sheet name="Other" sheetId="11" state="hidden" r:id="rId5"/>
    <sheet name="Consteel" sheetId="8" state="hidden" r:id="rId6"/>
  </sheets>
  <functionGroups builtInGroupCount="19"/>
  <definedNames>
    <definedName name="_xlnm._FilterDatabase" localSheetId="2" hidden="1">Cal!$Z$11:$DK$185</definedName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ExternalData_1" localSheetId="5" hidden="1">Consteel!$A$1:$I$29</definedName>
    <definedName name="ExternalData_1" localSheetId="4" hidden="1">Other!$A$1:$I$61</definedName>
    <definedName name="_xlnm.Print_Area" localSheetId="2">Cal!$B$11:$N$113</definedName>
    <definedName name="ReferPic">INDEX(Pic!$B$1:$B$5,Pic!$B$6)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9" l="1"/>
  <c r="B32" i="9"/>
  <c r="B31" i="9"/>
  <c r="BN256" i="6"/>
  <c r="BN255" i="6"/>
  <c r="DH254" i="6"/>
  <c r="BN254" i="6"/>
  <c r="BN253" i="6"/>
  <c r="BN252" i="6"/>
  <c r="DH251" i="6"/>
  <c r="BN251" i="6"/>
  <c r="BN250" i="6"/>
  <c r="BP249" i="6"/>
  <c r="BN249" i="6"/>
  <c r="DH248" i="6"/>
  <c r="BN248" i="6"/>
  <c r="BN247" i="6"/>
  <c r="BN246" i="6"/>
  <c r="DH245" i="6"/>
  <c r="BN245" i="6"/>
  <c r="BN244" i="6"/>
  <c r="BP243" i="6"/>
  <c r="BN243" i="6"/>
  <c r="DH242" i="6"/>
  <c r="BN242" i="6"/>
  <c r="BN241" i="6"/>
  <c r="BN240" i="6"/>
  <c r="DH239" i="6"/>
  <c r="BN239" i="6"/>
  <c r="BN238" i="6"/>
  <c r="BN237" i="6"/>
  <c r="DH236" i="6"/>
  <c r="BN236" i="6"/>
  <c r="BN235" i="6"/>
  <c r="BN234" i="6"/>
  <c r="DH233" i="6"/>
  <c r="BN233" i="6"/>
  <c r="BN232" i="6"/>
  <c r="BN231" i="6"/>
  <c r="DH230" i="6"/>
  <c r="BN230" i="6"/>
  <c r="BN229" i="6"/>
  <c r="BN228" i="6"/>
  <c r="DH227" i="6"/>
  <c r="BN227" i="6"/>
  <c r="BN226" i="6"/>
  <c r="BN225" i="6"/>
  <c r="DH224" i="6"/>
  <c r="BN224" i="6"/>
  <c r="BN223" i="6"/>
  <c r="BN222" i="6"/>
  <c r="DH221" i="6"/>
  <c r="BN221" i="6"/>
  <c r="BN220" i="6"/>
  <c r="BN219" i="6"/>
  <c r="DH218" i="6"/>
  <c r="BN218" i="6"/>
  <c r="BN217" i="6"/>
  <c r="BN216" i="6"/>
  <c r="DH215" i="6"/>
  <c r="BN215" i="6"/>
  <c r="BN214" i="6"/>
  <c r="BP213" i="6"/>
  <c r="BN213" i="6"/>
  <c r="DH212" i="6"/>
  <c r="BN212" i="6"/>
  <c r="BN211" i="6"/>
  <c r="BN210" i="6"/>
  <c r="DH209" i="6"/>
  <c r="BN209" i="6"/>
  <c r="BN208" i="6"/>
  <c r="BN207" i="6"/>
  <c r="DH206" i="6"/>
  <c r="BN206" i="6"/>
  <c r="DI205" i="6"/>
  <c r="BN205" i="6"/>
  <c r="DI204" i="6"/>
  <c r="BN204" i="6"/>
  <c r="DI203" i="6"/>
  <c r="DH203" i="6"/>
  <c r="BN203" i="6"/>
  <c r="BN202" i="6"/>
  <c r="BN201" i="6"/>
  <c r="DH200" i="6"/>
  <c r="BN200" i="6"/>
  <c r="DI199" i="6"/>
  <c r="BN199" i="6"/>
  <c r="DI198" i="6"/>
  <c r="BN198" i="6"/>
  <c r="DI197" i="6"/>
  <c r="DH197" i="6"/>
  <c r="BN197" i="6"/>
  <c r="BN196" i="6"/>
  <c r="BN195" i="6"/>
  <c r="DH194" i="6"/>
  <c r="BN194" i="6"/>
  <c r="DI193" i="6"/>
  <c r="BN193" i="6"/>
  <c r="DI192" i="6"/>
  <c r="BN192" i="6"/>
  <c r="DI191" i="6"/>
  <c r="DH191" i="6"/>
  <c r="BP191" i="6"/>
  <c r="BN191" i="6"/>
  <c r="BN190" i="6"/>
  <c r="BN189" i="6"/>
  <c r="DH188" i="6"/>
  <c r="BN188" i="6"/>
  <c r="DI187" i="6"/>
  <c r="BN187" i="6"/>
  <c r="DI186" i="6"/>
  <c r="BN186" i="6"/>
  <c r="DI185" i="6"/>
  <c r="DH185" i="6"/>
  <c r="BN185" i="6"/>
  <c r="BN184" i="6"/>
  <c r="BN183" i="6"/>
  <c r="DH182" i="6"/>
  <c r="BP182" i="6"/>
  <c r="BN182" i="6"/>
  <c r="BN181" i="6"/>
  <c r="BN180" i="6"/>
  <c r="DH179" i="6"/>
  <c r="BN179" i="6"/>
  <c r="BN178" i="6"/>
  <c r="BN177" i="6"/>
  <c r="DH176" i="6"/>
  <c r="BN176" i="6"/>
  <c r="BN175" i="6"/>
  <c r="BN174" i="6"/>
  <c r="DH173" i="6"/>
  <c r="BN173" i="6"/>
  <c r="BN172" i="6"/>
  <c r="BN171" i="6"/>
  <c r="DH170" i="6"/>
  <c r="BN170" i="6"/>
  <c r="BN169" i="6"/>
  <c r="BN168" i="6"/>
  <c r="DH167" i="6"/>
  <c r="BN167" i="6"/>
  <c r="BN166" i="6"/>
  <c r="BN165" i="6"/>
  <c r="DH164" i="6"/>
  <c r="BN164" i="6"/>
  <c r="BN163" i="6"/>
  <c r="BN162" i="6"/>
  <c r="DH161" i="6"/>
  <c r="BN161" i="6"/>
  <c r="BN160" i="6"/>
  <c r="BN159" i="6"/>
  <c r="DH158" i="6"/>
  <c r="BN158" i="6"/>
  <c r="BN157" i="6"/>
  <c r="BN156" i="6"/>
  <c r="DH155" i="6"/>
  <c r="BN155" i="6"/>
  <c r="BP154" i="6"/>
  <c r="BN154" i="6"/>
  <c r="BN153" i="6"/>
  <c r="DH152" i="6"/>
  <c r="BN152" i="6"/>
  <c r="BN151" i="6"/>
  <c r="BN150" i="6"/>
  <c r="DH149" i="6"/>
  <c r="BN149" i="6"/>
  <c r="BN148" i="6"/>
  <c r="BN147" i="6"/>
  <c r="DH146" i="6"/>
  <c r="BP146" i="6"/>
  <c r="BN146" i="6"/>
  <c r="BN145" i="6"/>
  <c r="BN144" i="6"/>
  <c r="DH143" i="6"/>
  <c r="BN143" i="6"/>
  <c r="BN142" i="6"/>
  <c r="BN141" i="6"/>
  <c r="DH140" i="6"/>
  <c r="BN140" i="6"/>
  <c r="BN139" i="6"/>
  <c r="BN138" i="6"/>
  <c r="DH137" i="6"/>
  <c r="BN137" i="6"/>
  <c r="BN136" i="6"/>
  <c r="BN135" i="6"/>
  <c r="DH134" i="6"/>
  <c r="BN134" i="6"/>
  <c r="BN133" i="6"/>
  <c r="BN132" i="6"/>
  <c r="DH131" i="6"/>
  <c r="BN131" i="6"/>
  <c r="BN130" i="6"/>
  <c r="BN129" i="6"/>
  <c r="DH128" i="6"/>
  <c r="BP128" i="6"/>
  <c r="BN128" i="6"/>
  <c r="DI127" i="6"/>
  <c r="BN127" i="6"/>
  <c r="DI126" i="6"/>
  <c r="BN126" i="6"/>
  <c r="DI125" i="6"/>
  <c r="DH125" i="6"/>
  <c r="BN125" i="6"/>
  <c r="BN124" i="6"/>
  <c r="BP123" i="6"/>
  <c r="BN123" i="6"/>
  <c r="DH122" i="6"/>
  <c r="BN122" i="6"/>
  <c r="DI121" i="6"/>
  <c r="BN121" i="6"/>
  <c r="DI120" i="6"/>
  <c r="BN120" i="6"/>
  <c r="DI119" i="6"/>
  <c r="DH119" i="6"/>
  <c r="BN119" i="6"/>
  <c r="BP118" i="6"/>
  <c r="BN118" i="6"/>
  <c r="BN117" i="6"/>
  <c r="DH116" i="6"/>
  <c r="BN116" i="6"/>
  <c r="DI115" i="6"/>
  <c r="BN115" i="6"/>
  <c r="DI114" i="6"/>
  <c r="BN114" i="6"/>
  <c r="DI113" i="6"/>
  <c r="DH113" i="6"/>
  <c r="BN113" i="6"/>
  <c r="BN112" i="6"/>
  <c r="BP111" i="6"/>
  <c r="BN111" i="6"/>
  <c r="DH110" i="6"/>
  <c r="BN110" i="6"/>
  <c r="DI109" i="6"/>
  <c r="BN109" i="6"/>
  <c r="DI108" i="6"/>
  <c r="BN108" i="6"/>
  <c r="DI107" i="6"/>
  <c r="DH107" i="6"/>
  <c r="BN107" i="6"/>
  <c r="BN106" i="6"/>
  <c r="BN105" i="6"/>
  <c r="DH104" i="6"/>
  <c r="BN104" i="6"/>
  <c r="BN103" i="6"/>
  <c r="BN102" i="6"/>
  <c r="DH101" i="6"/>
  <c r="BN101" i="6"/>
  <c r="BN100" i="6"/>
  <c r="BN99" i="6"/>
  <c r="DH98" i="6"/>
  <c r="BN98" i="6"/>
  <c r="BN97" i="6"/>
  <c r="BN96" i="6"/>
  <c r="DH95" i="6"/>
  <c r="BN95" i="6"/>
  <c r="BN94" i="6"/>
  <c r="BN93" i="6"/>
  <c r="DH92" i="6"/>
  <c r="BN92" i="6"/>
  <c r="BN91" i="6"/>
  <c r="BP90" i="6"/>
  <c r="BN90" i="6"/>
  <c r="DH89" i="6"/>
  <c r="BN89" i="6"/>
  <c r="BN88" i="6"/>
  <c r="BN87" i="6"/>
  <c r="DH86" i="6"/>
  <c r="BN86" i="6"/>
  <c r="BN85" i="6"/>
  <c r="BN84" i="6"/>
  <c r="DH83" i="6"/>
  <c r="BN83" i="6"/>
  <c r="BP82" i="6"/>
  <c r="BN82" i="6"/>
  <c r="BN81" i="6"/>
  <c r="DH80" i="6"/>
  <c r="BN80" i="6"/>
  <c r="BN79" i="6"/>
  <c r="BN78" i="6"/>
  <c r="DH77" i="6"/>
  <c r="BN77" i="6"/>
  <c r="BN76" i="6"/>
  <c r="BN75" i="6"/>
  <c r="DH74" i="6"/>
  <c r="BN74" i="6"/>
  <c r="BN73" i="6"/>
  <c r="BN72" i="6"/>
  <c r="DH71" i="6"/>
  <c r="BN71" i="6"/>
  <c r="BP70" i="6"/>
  <c r="BN70" i="6"/>
  <c r="BN69" i="6"/>
  <c r="DH68" i="6"/>
  <c r="BP68" i="6"/>
  <c r="BN68" i="6"/>
  <c r="BN67" i="6"/>
  <c r="BP66" i="6"/>
  <c r="BN66" i="6"/>
  <c r="DH65" i="6"/>
  <c r="BP65" i="6"/>
  <c r="BN65" i="6"/>
  <c r="BN64" i="6"/>
  <c r="BN63" i="6"/>
  <c r="DH62" i="6"/>
  <c r="BN62" i="6"/>
  <c r="BN61" i="6"/>
  <c r="BP60" i="6"/>
  <c r="BN60" i="6"/>
  <c r="DH59" i="6"/>
  <c r="BN59" i="6"/>
  <c r="BN58" i="6"/>
  <c r="BN57" i="6"/>
  <c r="DH56" i="6"/>
  <c r="BN56" i="6"/>
  <c r="BP55" i="6"/>
  <c r="BN55" i="6"/>
  <c r="BN54" i="6"/>
  <c r="DH53" i="6"/>
  <c r="BN53" i="6"/>
  <c r="BN52" i="6"/>
  <c r="BN51" i="6"/>
  <c r="DH50" i="6"/>
  <c r="BP50" i="6"/>
  <c r="BN50" i="6"/>
  <c r="DI49" i="6"/>
  <c r="BN49" i="6"/>
  <c r="DI48" i="6"/>
  <c r="BN48" i="6"/>
  <c r="DI47" i="6"/>
  <c r="DH47" i="6"/>
  <c r="BN47" i="6"/>
  <c r="BN46" i="6"/>
  <c r="BP45" i="6"/>
  <c r="BN45" i="6"/>
  <c r="DH44" i="6"/>
  <c r="BN44" i="6"/>
  <c r="DI43" i="6"/>
  <c r="BP43" i="6"/>
  <c r="BN43" i="6"/>
  <c r="DI42" i="6"/>
  <c r="BN42" i="6"/>
  <c r="DI41" i="6"/>
  <c r="DH41" i="6"/>
  <c r="BN41" i="6"/>
  <c r="BN40" i="6"/>
  <c r="BN39" i="6"/>
  <c r="DH38" i="6"/>
  <c r="BP38" i="6"/>
  <c r="BN38" i="6"/>
  <c r="DI37" i="6"/>
  <c r="BN37" i="6"/>
  <c r="DI36" i="6"/>
  <c r="BN36" i="6"/>
  <c r="DI35" i="6"/>
  <c r="DH35" i="6"/>
  <c r="BN35" i="6"/>
  <c r="BP34" i="6"/>
  <c r="BN34" i="6"/>
  <c r="BP33" i="6"/>
  <c r="BN33" i="6"/>
  <c r="DH32" i="6"/>
  <c r="BN32" i="6"/>
  <c r="DI31" i="6"/>
  <c r="BN31" i="6"/>
  <c r="DI30" i="6"/>
  <c r="BP30" i="6"/>
  <c r="BN30" i="6"/>
  <c r="DI29" i="6"/>
  <c r="DH29" i="6"/>
  <c r="BP29" i="6"/>
  <c r="BN29" i="6"/>
  <c r="BN28" i="6"/>
  <c r="BN27" i="6"/>
  <c r="DH26" i="6"/>
  <c r="BN26" i="6"/>
  <c r="BN25" i="6"/>
  <c r="BN24" i="6"/>
  <c r="AM256" i="6"/>
  <c r="AM255" i="6"/>
  <c r="AS254" i="6"/>
  <c r="AN254" i="6"/>
  <c r="AM254" i="6"/>
  <c r="BA253" i="6"/>
  <c r="AX253" i="6"/>
  <c r="AW253" i="6"/>
  <c r="AM253" i="6"/>
  <c r="AM252" i="6"/>
  <c r="AM251" i="6"/>
  <c r="AN250" i="6"/>
  <c r="AM250" i="6"/>
  <c r="AM249" i="6"/>
  <c r="AM248" i="6"/>
  <c r="AW247" i="6"/>
  <c r="AX247" i="6" s="1"/>
  <c r="AP247" i="6"/>
  <c r="AM247" i="6"/>
  <c r="AM246" i="6"/>
  <c r="BP246" i="6" s="1"/>
  <c r="AM245" i="6"/>
  <c r="AM244" i="6"/>
  <c r="BA243" i="6"/>
  <c r="AS243" i="6"/>
  <c r="AM243" i="6"/>
  <c r="AW243" i="6" s="1"/>
  <c r="AX243" i="6" s="1"/>
  <c r="AM242" i="6"/>
  <c r="AM241" i="6"/>
  <c r="AX240" i="6"/>
  <c r="AW240" i="6"/>
  <c r="AV240" i="6"/>
  <c r="AS240" i="6"/>
  <c r="AM240" i="6"/>
  <c r="AS239" i="6"/>
  <c r="AN239" i="6"/>
  <c r="AM239" i="6"/>
  <c r="AM238" i="6"/>
  <c r="AM237" i="6"/>
  <c r="AM236" i="6"/>
  <c r="AW236" i="6" s="1"/>
  <c r="AX236" i="6" s="1"/>
  <c r="AM235" i="6"/>
  <c r="AS234" i="6"/>
  <c r="AN234" i="6"/>
  <c r="AM234" i="6"/>
  <c r="BA233" i="6"/>
  <c r="AW233" i="6"/>
  <c r="AX233" i="6" s="1"/>
  <c r="AV233" i="6"/>
  <c r="AS233" i="6"/>
  <c r="AM233" i="6"/>
  <c r="AM232" i="6"/>
  <c r="BP232" i="6" s="1"/>
  <c r="AM231" i="6"/>
  <c r="AM230" i="6"/>
  <c r="AM229" i="6"/>
  <c r="AM228" i="6"/>
  <c r="AM227" i="6"/>
  <c r="AM226" i="6"/>
  <c r="BA226" i="6" s="1"/>
  <c r="BA225" i="6"/>
  <c r="AW225" i="6"/>
  <c r="AX225" i="6" s="1"/>
  <c r="AS225" i="6"/>
  <c r="AM225" i="6"/>
  <c r="AM224" i="6"/>
  <c r="AS223" i="6"/>
  <c r="AM223" i="6"/>
  <c r="AM222" i="6"/>
  <c r="AM221" i="6"/>
  <c r="AW220" i="6"/>
  <c r="AX220" i="6" s="1"/>
  <c r="AV220" i="6"/>
  <c r="AS220" i="6"/>
  <c r="AR220" i="6"/>
  <c r="AP220" i="6"/>
  <c r="AO220" i="6"/>
  <c r="AQ220" i="6" s="1"/>
  <c r="AM220" i="6"/>
  <c r="AM219" i="6"/>
  <c r="AW218" i="6"/>
  <c r="AX218" i="6" s="1"/>
  <c r="AM218" i="6"/>
  <c r="AM217" i="6"/>
  <c r="AN216" i="6"/>
  <c r="AM216" i="6"/>
  <c r="AM215" i="6"/>
  <c r="BP215" i="6" s="1"/>
  <c r="AM214" i="6"/>
  <c r="AX213" i="6"/>
  <c r="AW213" i="6"/>
  <c r="AM213" i="6"/>
  <c r="AP212" i="6"/>
  <c r="AO212" i="6"/>
  <c r="AQ212" i="6" s="1"/>
  <c r="AN212" i="6"/>
  <c r="AM212" i="6"/>
  <c r="AM211" i="6"/>
  <c r="AM210" i="6"/>
  <c r="AW209" i="6"/>
  <c r="AX209" i="6" s="1"/>
  <c r="AV209" i="6"/>
  <c r="AP209" i="6"/>
  <c r="AO209" i="6"/>
  <c r="AM209" i="6"/>
  <c r="AM208" i="6"/>
  <c r="AM207" i="6"/>
  <c r="AM206" i="6"/>
  <c r="BA205" i="6"/>
  <c r="AM205" i="6"/>
  <c r="AW204" i="6"/>
  <c r="AX204" i="6" s="1"/>
  <c r="AV204" i="6"/>
  <c r="AS204" i="6"/>
  <c r="AP204" i="6"/>
  <c r="AN204" i="6"/>
  <c r="AM204" i="6"/>
  <c r="BA204" i="6" s="1"/>
  <c r="AM203" i="6"/>
  <c r="AM202" i="6"/>
  <c r="AV201" i="6"/>
  <c r="AS201" i="6"/>
  <c r="AM201" i="6"/>
  <c r="AM200" i="6"/>
  <c r="BA199" i="6"/>
  <c r="AP199" i="6"/>
  <c r="AO199" i="6"/>
  <c r="AN199" i="6"/>
  <c r="AM199" i="6"/>
  <c r="BA198" i="6"/>
  <c r="AW198" i="6"/>
  <c r="AX198" i="6" s="1"/>
  <c r="AV198" i="6"/>
  <c r="AS198" i="6"/>
  <c r="AM198" i="6"/>
  <c r="AM197" i="6"/>
  <c r="AO197" i="6" s="1"/>
  <c r="AM196" i="6"/>
  <c r="AN196" i="6" s="1"/>
  <c r="BA195" i="6"/>
  <c r="AW195" i="6"/>
  <c r="AX195" i="6" s="1"/>
  <c r="AM195" i="6"/>
  <c r="AM194" i="6"/>
  <c r="BA193" i="6"/>
  <c r="AM193" i="6"/>
  <c r="AM192" i="6"/>
  <c r="AW191" i="6"/>
  <c r="AX191" i="6" s="1"/>
  <c r="AS191" i="6"/>
  <c r="AM191" i="6"/>
  <c r="AM190" i="6"/>
  <c r="AM189" i="6"/>
  <c r="AM188" i="6"/>
  <c r="BA187" i="6"/>
  <c r="AP187" i="6"/>
  <c r="AM187" i="6"/>
  <c r="AV186" i="6"/>
  <c r="AM186" i="6"/>
  <c r="AM185" i="6"/>
  <c r="AM184" i="6"/>
  <c r="AN183" i="6"/>
  <c r="AM183" i="6"/>
  <c r="AM182" i="6"/>
  <c r="AM181" i="6"/>
  <c r="AN181" i="6" s="1"/>
  <c r="AW180" i="6"/>
  <c r="AX180" i="6" s="1"/>
  <c r="AM180" i="6"/>
  <c r="AO179" i="6"/>
  <c r="AM179" i="6"/>
  <c r="AV178" i="6"/>
  <c r="AS178" i="6"/>
  <c r="AP178" i="6"/>
  <c r="AM178" i="6"/>
  <c r="AM177" i="6"/>
  <c r="AW176" i="6"/>
  <c r="AX176" i="6" s="1"/>
  <c r="AV176" i="6"/>
  <c r="AS176" i="6"/>
  <c r="AP176" i="6"/>
  <c r="AO176" i="6"/>
  <c r="AM176" i="6"/>
  <c r="AM175" i="6"/>
  <c r="AM174" i="6"/>
  <c r="BA173" i="6"/>
  <c r="AW173" i="6"/>
  <c r="AX173" i="6" s="1"/>
  <c r="AV173" i="6"/>
  <c r="AS173" i="6"/>
  <c r="AP173" i="6"/>
  <c r="AO173" i="6"/>
  <c r="AM173" i="6"/>
  <c r="AV172" i="6"/>
  <c r="AM172" i="6"/>
  <c r="AM171" i="6"/>
  <c r="AM170" i="6"/>
  <c r="BA170" i="6" s="1"/>
  <c r="AM169" i="6"/>
  <c r="AM168" i="6"/>
  <c r="BA167" i="6"/>
  <c r="AM167" i="6"/>
  <c r="AS166" i="6"/>
  <c r="AM166" i="6"/>
  <c r="BA165" i="6"/>
  <c r="AM165" i="6"/>
  <c r="AM164" i="6"/>
  <c r="AM163" i="6"/>
  <c r="AM162" i="6"/>
  <c r="AM161" i="6"/>
  <c r="AM160" i="6"/>
  <c r="AW160" i="6" s="1"/>
  <c r="AX160" i="6" s="1"/>
  <c r="AM159" i="6"/>
  <c r="BA158" i="6"/>
  <c r="AN158" i="6"/>
  <c r="AM158" i="6"/>
  <c r="BP158" i="6" s="1"/>
  <c r="AM157" i="6"/>
  <c r="AM156" i="6"/>
  <c r="AM155" i="6"/>
  <c r="AW155" i="6" s="1"/>
  <c r="AX155" i="6" s="1"/>
  <c r="AM154" i="6"/>
  <c r="BA153" i="6"/>
  <c r="AW153" i="6"/>
  <c r="AX153" i="6" s="1"/>
  <c r="AV153" i="6"/>
  <c r="AM153" i="6"/>
  <c r="AM152" i="6"/>
  <c r="AO152" i="6" s="1"/>
  <c r="AQ152" i="6" s="1"/>
  <c r="AM151" i="6"/>
  <c r="AM150" i="6"/>
  <c r="BA149" i="6"/>
  <c r="AW149" i="6"/>
  <c r="AX149" i="6" s="1"/>
  <c r="AM149" i="6"/>
  <c r="AM148" i="6"/>
  <c r="AM147" i="6"/>
  <c r="BP147" i="6" s="1"/>
  <c r="BA146" i="6"/>
  <c r="AX146" i="6"/>
  <c r="AW146" i="6"/>
  <c r="AV146" i="6"/>
  <c r="AS146" i="6"/>
  <c r="AP146" i="6"/>
  <c r="AM146" i="6"/>
  <c r="AM145" i="6"/>
  <c r="AS144" i="6"/>
  <c r="AP144" i="6"/>
  <c r="AR144" i="6" s="1"/>
  <c r="AO144" i="6"/>
  <c r="AQ144" i="6" s="1"/>
  <c r="AM144" i="6"/>
  <c r="BP144" i="6" s="1"/>
  <c r="AM143" i="6"/>
  <c r="BA142" i="6"/>
  <c r="AW142" i="6"/>
  <c r="AX142" i="6" s="1"/>
  <c r="AV142" i="6"/>
  <c r="AS142" i="6"/>
  <c r="AP142" i="6"/>
  <c r="AO142" i="6"/>
  <c r="AM142" i="6"/>
  <c r="AM141" i="6"/>
  <c r="AS141" i="6" s="1"/>
  <c r="AM140" i="6"/>
  <c r="AV139" i="6"/>
  <c r="AP139" i="6"/>
  <c r="AR139" i="6" s="1"/>
  <c r="AN139" i="6"/>
  <c r="AM139" i="6"/>
  <c r="AM138" i="6"/>
  <c r="AW138" i="6" s="1"/>
  <c r="AX138" i="6" s="1"/>
  <c r="AM137" i="6"/>
  <c r="AW137" i="6" s="1"/>
  <c r="AX137" i="6" s="1"/>
  <c r="BA136" i="6"/>
  <c r="AS136" i="6"/>
  <c r="AM136" i="6"/>
  <c r="AN135" i="6"/>
  <c r="AM135" i="6"/>
  <c r="BA134" i="6"/>
  <c r="AM134" i="6"/>
  <c r="BP134" i="6" s="1"/>
  <c r="AM133" i="6"/>
  <c r="AV133" i="6" s="1"/>
  <c r="AM132" i="6"/>
  <c r="AO132" i="6" s="1"/>
  <c r="AQ132" i="6" s="1"/>
  <c r="AM131" i="6"/>
  <c r="AV131" i="6" s="1"/>
  <c r="BA130" i="6"/>
  <c r="AW130" i="6"/>
  <c r="AX130" i="6" s="1"/>
  <c r="AO130" i="6"/>
  <c r="AM130" i="6"/>
  <c r="AM129" i="6"/>
  <c r="AM128" i="6"/>
  <c r="AM127" i="6"/>
  <c r="BA126" i="6"/>
  <c r="AX126" i="6"/>
  <c r="AW126" i="6"/>
  <c r="AV126" i="6"/>
  <c r="AS126" i="6"/>
  <c r="AM126" i="6"/>
  <c r="AM125" i="6"/>
  <c r="AM124" i="6"/>
  <c r="BA124" i="6" s="1"/>
  <c r="AM123" i="6"/>
  <c r="BA122" i="6"/>
  <c r="AW122" i="6"/>
  <c r="AX122" i="6" s="1"/>
  <c r="AV122" i="6"/>
  <c r="AS122" i="6"/>
  <c r="AR122" i="6"/>
  <c r="AP122" i="6"/>
  <c r="AM122" i="6"/>
  <c r="AM121" i="6"/>
  <c r="AM120" i="6"/>
  <c r="BP120" i="6" s="1"/>
  <c r="AM119" i="6"/>
  <c r="AO119" i="6" s="1"/>
  <c r="BA118" i="6"/>
  <c r="AW118" i="6"/>
  <c r="AX118" i="6" s="1"/>
  <c r="AV118" i="6"/>
  <c r="AM118" i="6"/>
  <c r="AM117" i="6"/>
  <c r="BA117" i="6" s="1"/>
  <c r="AM116" i="6"/>
  <c r="AM115" i="6"/>
  <c r="BA115" i="6" s="1"/>
  <c r="BA114" i="6"/>
  <c r="AW114" i="6"/>
  <c r="AX114" i="6" s="1"/>
  <c r="AV114" i="6"/>
  <c r="AS114" i="6"/>
  <c r="AP114" i="6"/>
  <c r="AO114" i="6"/>
  <c r="AQ114" i="6" s="1"/>
  <c r="AM114" i="6"/>
  <c r="AV113" i="6"/>
  <c r="AO113" i="6"/>
  <c r="AN113" i="6"/>
  <c r="AM113" i="6"/>
  <c r="AM112" i="6"/>
  <c r="AM111" i="6"/>
  <c r="BA110" i="6"/>
  <c r="AW110" i="6"/>
  <c r="AX110" i="6" s="1"/>
  <c r="AV110" i="6"/>
  <c r="AS110" i="6"/>
  <c r="AM110" i="6"/>
  <c r="AO109" i="6"/>
  <c r="AQ109" i="6" s="1"/>
  <c r="AM109" i="6"/>
  <c r="AM108" i="6"/>
  <c r="AS108" i="6" s="1"/>
  <c r="AM107" i="6"/>
  <c r="BA106" i="6"/>
  <c r="AW106" i="6"/>
  <c r="AX106" i="6" s="1"/>
  <c r="AV106" i="6"/>
  <c r="AM106" i="6"/>
  <c r="BP106" i="6" s="1"/>
  <c r="AM105" i="6"/>
  <c r="AM104" i="6"/>
  <c r="AM103" i="6"/>
  <c r="BP103" i="6" s="1"/>
  <c r="AM102" i="6"/>
  <c r="AW101" i="6"/>
  <c r="AX101" i="6" s="1"/>
  <c r="AV101" i="6"/>
  <c r="AS101" i="6"/>
  <c r="AM101" i="6"/>
  <c r="AM100" i="6"/>
  <c r="BA99" i="6"/>
  <c r="AW99" i="6"/>
  <c r="AX99" i="6" s="1"/>
  <c r="AV99" i="6"/>
  <c r="AS99" i="6"/>
  <c r="AM99" i="6"/>
  <c r="BP99" i="6" s="1"/>
  <c r="AM98" i="6"/>
  <c r="AM97" i="6"/>
  <c r="BP97" i="6" s="1"/>
  <c r="AM96" i="6"/>
  <c r="BA96" i="6" s="1"/>
  <c r="AM95" i="6"/>
  <c r="BP95" i="6" s="1"/>
  <c r="AW94" i="6"/>
  <c r="AX94" i="6" s="1"/>
  <c r="AV94" i="6"/>
  <c r="AM94" i="6"/>
  <c r="AM93" i="6"/>
  <c r="AM92" i="6"/>
  <c r="AM91" i="6"/>
  <c r="AM90" i="6"/>
  <c r="AW89" i="6"/>
  <c r="AX89" i="6" s="1"/>
  <c r="AM89" i="6"/>
  <c r="AM88" i="6"/>
  <c r="AM87" i="6"/>
  <c r="AW87" i="6" s="1"/>
  <c r="AX87" i="6" s="1"/>
  <c r="AM86" i="6"/>
  <c r="AM85" i="6"/>
  <c r="AM84" i="6"/>
  <c r="AM83" i="6"/>
  <c r="AV83" i="6" s="1"/>
  <c r="AW82" i="6"/>
  <c r="AX82" i="6" s="1"/>
  <c r="AV82" i="6"/>
  <c r="AM82" i="6"/>
  <c r="AM81" i="6"/>
  <c r="BP81" i="6" s="1"/>
  <c r="AM80" i="6"/>
  <c r="AM79" i="6"/>
  <c r="BP79" i="6" s="1"/>
  <c r="AM78" i="6"/>
  <c r="AN78" i="6" s="1"/>
  <c r="AM77" i="6"/>
  <c r="AM76" i="6"/>
  <c r="AW75" i="6"/>
  <c r="AX75" i="6" s="1"/>
  <c r="AV75" i="6"/>
  <c r="AM75" i="6"/>
  <c r="AM74" i="6"/>
  <c r="AN73" i="6"/>
  <c r="AM73" i="6"/>
  <c r="AN72" i="6"/>
  <c r="AM72" i="6"/>
  <c r="AM71" i="6"/>
  <c r="AP70" i="6"/>
  <c r="AR70" i="6" s="1"/>
  <c r="AO70" i="6"/>
  <c r="AM70" i="6"/>
  <c r="AM69" i="6"/>
  <c r="BA68" i="6"/>
  <c r="AN68" i="6"/>
  <c r="AM68" i="6"/>
  <c r="AM67" i="6"/>
  <c r="BP67" i="6" s="1"/>
  <c r="AM66" i="6"/>
  <c r="AS66" i="6" s="1"/>
  <c r="AM65" i="6"/>
  <c r="AM64" i="6"/>
  <c r="BA63" i="6"/>
  <c r="AW63" i="6"/>
  <c r="AX63" i="6" s="1"/>
  <c r="AV63" i="6"/>
  <c r="AS63" i="6"/>
  <c r="AP63" i="6"/>
  <c r="AR63" i="6" s="1"/>
  <c r="AM63" i="6"/>
  <c r="AM62" i="6"/>
  <c r="AM61" i="6"/>
  <c r="AM60" i="6"/>
  <c r="AM59" i="6"/>
  <c r="AP59" i="6" s="1"/>
  <c r="AR59" i="6" s="1"/>
  <c r="AM58" i="6"/>
  <c r="AP58" i="6" s="1"/>
  <c r="AM57" i="6"/>
  <c r="AM56" i="6"/>
  <c r="BA55" i="6"/>
  <c r="AV55" i="6"/>
  <c r="AN55" i="6"/>
  <c r="AM55" i="6"/>
  <c r="AM54" i="6"/>
  <c r="AM53" i="6"/>
  <c r="AW53" i="6" s="1"/>
  <c r="AX53" i="6" s="1"/>
  <c r="AM52" i="6"/>
  <c r="BP52" i="6" s="1"/>
  <c r="AN51" i="6"/>
  <c r="AM51" i="6"/>
  <c r="BA50" i="6"/>
  <c r="AX50" i="6"/>
  <c r="AW50" i="6"/>
  <c r="AV50" i="6"/>
  <c r="AS50" i="6"/>
  <c r="AP50" i="6"/>
  <c r="AM50" i="6"/>
  <c r="AV49" i="6"/>
  <c r="AM49" i="6"/>
  <c r="BP49" i="6" s="1"/>
  <c r="AN48" i="6"/>
  <c r="AM48" i="6"/>
  <c r="BP48" i="6" s="1"/>
  <c r="AM47" i="6"/>
  <c r="AV47" i="6" s="1"/>
  <c r="AM46" i="6"/>
  <c r="AX45" i="6"/>
  <c r="AW45" i="6"/>
  <c r="AM45" i="6"/>
  <c r="BA44" i="6"/>
  <c r="AP44" i="6"/>
  <c r="AR44" i="6" s="1"/>
  <c r="AO44" i="6"/>
  <c r="AQ44" i="6" s="1"/>
  <c r="AM44" i="6"/>
  <c r="AM43" i="6"/>
  <c r="BA43" i="6" s="1"/>
  <c r="AM42" i="6"/>
  <c r="AM41" i="6"/>
  <c r="AM40" i="6"/>
  <c r="BP40" i="6" s="1"/>
  <c r="AM39" i="6"/>
  <c r="AN39" i="6" s="1"/>
  <c r="BA38" i="6"/>
  <c r="AW38" i="6"/>
  <c r="AX38" i="6" s="1"/>
  <c r="AS38" i="6"/>
  <c r="AP38" i="6"/>
  <c r="AR38" i="6" s="1"/>
  <c r="AM38" i="6"/>
  <c r="AM37" i="6"/>
  <c r="AN36" i="6"/>
  <c r="AM36" i="6"/>
  <c r="AM35" i="6"/>
  <c r="BP35" i="6" s="1"/>
  <c r="AS34" i="6"/>
  <c r="AM34" i="6"/>
  <c r="AM33" i="6"/>
  <c r="AW33" i="6" s="1"/>
  <c r="AX33" i="6" s="1"/>
  <c r="AM32" i="6"/>
  <c r="AN32" i="6" s="1"/>
  <c r="AM31" i="6"/>
  <c r="AV30" i="6"/>
  <c r="AS30" i="6"/>
  <c r="AP30" i="6"/>
  <c r="AO30" i="6"/>
  <c r="AM30" i="6"/>
  <c r="AV29" i="6"/>
  <c r="AM29" i="6"/>
  <c r="BA29" i="6" s="1"/>
  <c r="AM28" i="6"/>
  <c r="AN28" i="6" s="1"/>
  <c r="AM27" i="6"/>
  <c r="BA26" i="6"/>
  <c r="AW26" i="6"/>
  <c r="AX26" i="6" s="1"/>
  <c r="AV26" i="6"/>
  <c r="AM26" i="6"/>
  <c r="AP26" i="6" s="1"/>
  <c r="AM25" i="6"/>
  <c r="AP24" i="6"/>
  <c r="AM24" i="6"/>
  <c r="F20" i="6"/>
  <c r="G28" i="6" s="1"/>
  <c r="DH23" i="6"/>
  <c r="EA22" i="6"/>
  <c r="L81" i="6"/>
  <c r="B81" i="6"/>
  <c r="AZ23" i="6"/>
  <c r="CO256" i="6"/>
  <c r="CO236" i="6"/>
  <c r="CO216" i="6"/>
  <c r="CO247" i="6"/>
  <c r="CO227" i="6"/>
  <c r="CO238" i="6"/>
  <c r="CO218" i="6"/>
  <c r="CO249" i="6"/>
  <c r="CO229" i="6"/>
  <c r="CO240" i="6"/>
  <c r="CO220" i="6"/>
  <c r="CO242" i="6"/>
  <c r="CO222" i="6"/>
  <c r="CO250" i="6"/>
  <c r="CO195" i="6"/>
  <c r="CO251" i="6"/>
  <c r="CO232" i="6"/>
  <c r="CO197" i="6"/>
  <c r="CO241" i="6"/>
  <c r="CO233" i="6"/>
  <c r="CO208" i="6"/>
  <c r="CO224" i="6"/>
  <c r="CO223" i="6"/>
  <c r="CO255" i="6"/>
  <c r="CO239" i="6"/>
  <c r="CO231" i="6"/>
  <c r="CO243" i="6"/>
  <c r="CO237" i="6"/>
  <c r="CO200" i="6"/>
  <c r="CO235" i="6"/>
  <c r="CO213" i="6"/>
  <c r="CO209" i="6"/>
  <c r="CO199" i="6"/>
  <c r="CO190" i="6"/>
  <c r="CO252" i="6"/>
  <c r="CO245" i="6"/>
  <c r="CO219" i="6"/>
  <c r="CO212" i="6"/>
  <c r="CO206" i="6"/>
  <c r="CO187" i="6"/>
  <c r="CO177" i="6"/>
  <c r="CO184" i="6"/>
  <c r="CO179" i="6"/>
  <c r="CO211" i="6"/>
  <c r="CO207" i="6"/>
  <c r="CO214" i="6"/>
  <c r="CO228" i="6"/>
  <c r="CO185" i="6"/>
  <c r="CO176" i="6"/>
  <c r="CO160" i="6"/>
  <c r="CO230" i="6"/>
  <c r="CO246" i="6"/>
  <c r="CO186" i="6"/>
  <c r="CO153" i="6"/>
  <c r="CO193" i="6"/>
  <c r="CO164" i="6"/>
  <c r="CO204" i="6"/>
  <c r="CO189" i="6"/>
  <c r="CO155" i="6"/>
  <c r="CO147" i="6"/>
  <c r="CO201" i="6"/>
  <c r="CO166" i="6"/>
  <c r="CO162" i="6"/>
  <c r="CO138" i="6"/>
  <c r="CO203" i="6"/>
  <c r="CO161" i="6"/>
  <c r="CO149" i="6"/>
  <c r="CO172" i="6"/>
  <c r="CO140" i="6"/>
  <c r="CO173" i="6"/>
  <c r="CO168" i="6"/>
  <c r="CO167" i="6"/>
  <c r="CO159" i="6"/>
  <c r="CO131" i="6"/>
  <c r="CO154" i="6"/>
  <c r="CO144" i="6"/>
  <c r="CO205" i="6"/>
  <c r="CO171" i="6"/>
  <c r="CO169" i="6"/>
  <c r="CO157" i="6"/>
  <c r="CO134" i="6"/>
  <c r="CO126" i="6"/>
  <c r="CO106" i="6"/>
  <c r="CO86" i="6"/>
  <c r="CO248" i="6"/>
  <c r="CO198" i="6"/>
  <c r="CO181" i="6"/>
  <c r="CO165" i="6"/>
  <c r="CO143" i="6"/>
  <c r="CO117" i="6"/>
  <c r="CO97" i="6"/>
  <c r="CO191" i="6"/>
  <c r="CO183" i="6"/>
  <c r="CO128" i="6"/>
  <c r="CO108" i="6"/>
  <c r="CO88" i="6"/>
  <c r="CO152" i="6"/>
  <c r="CO119" i="6"/>
  <c r="CO99" i="6"/>
  <c r="CO234" i="6"/>
  <c r="CO133" i="6"/>
  <c r="CO130" i="6"/>
  <c r="CO110" i="6"/>
  <c r="CO90" i="6"/>
  <c r="CO196" i="6"/>
  <c r="CO146" i="6"/>
  <c r="CO123" i="6"/>
  <c r="CO103" i="6"/>
  <c r="CO210" i="6"/>
  <c r="CO122" i="6"/>
  <c r="CO79" i="6"/>
  <c r="CO61" i="6"/>
  <c r="CO244" i="6"/>
  <c r="CO156" i="6"/>
  <c r="CO141" i="6"/>
  <c r="CO111" i="6"/>
  <c r="CO72" i="6"/>
  <c r="CO52" i="6"/>
  <c r="CO102" i="6"/>
  <c r="CO178" i="6"/>
  <c r="CO132" i="6"/>
  <c r="CO112" i="6"/>
  <c r="CO74" i="6"/>
  <c r="CO54" i="6"/>
  <c r="CO158" i="6"/>
  <c r="CO139" i="6"/>
  <c r="CO215" i="6"/>
  <c r="CO150" i="6"/>
  <c r="CO125" i="6"/>
  <c r="CO89" i="6"/>
  <c r="CO87" i="6"/>
  <c r="CO84" i="6"/>
  <c r="CO82" i="6"/>
  <c r="CO78" i="6"/>
  <c r="CO58" i="6"/>
  <c r="CO221" i="6"/>
  <c r="CO116" i="6"/>
  <c r="CO65" i="6"/>
  <c r="CO40" i="6"/>
  <c r="CO31" i="6"/>
  <c r="CO253" i="6"/>
  <c r="CO142" i="6"/>
  <c r="CO55" i="6"/>
  <c r="CO42" i="6"/>
  <c r="CO254" i="6"/>
  <c r="CO121" i="6"/>
  <c r="CO100" i="6"/>
  <c r="CO92" i="6"/>
  <c r="CO64" i="6"/>
  <c r="CO148" i="6"/>
  <c r="CO145" i="6"/>
  <c r="CO44" i="6"/>
  <c r="CO105" i="6"/>
  <c r="CO180" i="6"/>
  <c r="CO53" i="6"/>
  <c r="CO137" i="6"/>
  <c r="CO77" i="6"/>
  <c r="CO56" i="6"/>
  <c r="CO36" i="6"/>
  <c r="CO202" i="6"/>
  <c r="CO136" i="6"/>
  <c r="CO115" i="6"/>
  <c r="CO67" i="6"/>
  <c r="CO118" i="6"/>
  <c r="CO151" i="6"/>
  <c r="CO95" i="6"/>
  <c r="CO85" i="6"/>
  <c r="CO75" i="6"/>
  <c r="CO68" i="6"/>
  <c r="CO57" i="6"/>
  <c r="CO35" i="6"/>
  <c r="CO28" i="6"/>
  <c r="CO25" i="6"/>
  <c r="CO226" i="6"/>
  <c r="CO225" i="6"/>
  <c r="CO182" i="6"/>
  <c r="CO163" i="6"/>
  <c r="CO43" i="6"/>
  <c r="CO94" i="6"/>
  <c r="CO91" i="6"/>
  <c r="CO73" i="6"/>
  <c r="CO124" i="6"/>
  <c r="CO114" i="6"/>
  <c r="CO49" i="6"/>
  <c r="CO41" i="6"/>
  <c r="CO34" i="6"/>
  <c r="CO30" i="6"/>
  <c r="CO80" i="6"/>
  <c r="CO188" i="6"/>
  <c r="CO135" i="6"/>
  <c r="CO29" i="6"/>
  <c r="CO39" i="6"/>
  <c r="CO217" i="6"/>
  <c r="CO32" i="6"/>
  <c r="CO174" i="6"/>
  <c r="CO50" i="6"/>
  <c r="CO48" i="6"/>
  <c r="CO24" i="6"/>
  <c r="CO51" i="6"/>
  <c r="CO33" i="6"/>
  <c r="CO59" i="6"/>
  <c r="CO194" i="6"/>
  <c r="CO69" i="6"/>
  <c r="CO62" i="6"/>
  <c r="CO45" i="6"/>
  <c r="CO37" i="6"/>
  <c r="CO60" i="6"/>
  <c r="CO83" i="6"/>
  <c r="CO27" i="6"/>
  <c r="CO96" i="6"/>
  <c r="CO93" i="6"/>
  <c r="CO101" i="6"/>
  <c r="CO175" i="6"/>
  <c r="CO109" i="6"/>
  <c r="CO98" i="6"/>
  <c r="CO66" i="6"/>
  <c r="CO63" i="6"/>
  <c r="CO107" i="6"/>
  <c r="CO104" i="6"/>
  <c r="CO76" i="6"/>
  <c r="CO70" i="6"/>
  <c r="CO38" i="6"/>
  <c r="CO46" i="6"/>
  <c r="CO47" i="6"/>
  <c r="CO26" i="6"/>
  <c r="CO192" i="6"/>
  <c r="CO120" i="6"/>
  <c r="CO71" i="6"/>
  <c r="CO127" i="6"/>
  <c r="CO81" i="6"/>
  <c r="CO129" i="6"/>
  <c r="CO170" i="6"/>
  <c r="CO113" i="6"/>
  <c r="AZ256" i="6"/>
  <c r="AZ252" i="6"/>
  <c r="AZ248" i="6"/>
  <c r="AZ244" i="6"/>
  <c r="AZ240" i="6"/>
  <c r="AZ236" i="6"/>
  <c r="AZ232" i="6"/>
  <c r="AZ228" i="6"/>
  <c r="AZ224" i="6"/>
  <c r="AZ220" i="6"/>
  <c r="AZ216" i="6"/>
  <c r="AZ212" i="6"/>
  <c r="AZ208" i="6"/>
  <c r="AZ187" i="6"/>
  <c r="AZ184" i="6"/>
  <c r="AZ181" i="6"/>
  <c r="AZ254" i="6"/>
  <c r="AZ249" i="6"/>
  <c r="AZ234" i="6"/>
  <c r="AZ229" i="6"/>
  <c r="AZ214" i="6"/>
  <c r="AZ178" i="6"/>
  <c r="AZ148" i="6"/>
  <c r="AZ239" i="6"/>
  <c r="AZ219" i="6"/>
  <c r="AZ175" i="6"/>
  <c r="AZ172" i="6"/>
  <c r="AZ169" i="6"/>
  <c r="AZ162" i="6"/>
  <c r="AZ155" i="6"/>
  <c r="AZ209" i="6"/>
  <c r="AZ206" i="6"/>
  <c r="AZ203" i="6"/>
  <c r="AZ200" i="6"/>
  <c r="AZ197" i="6"/>
  <c r="AZ242" i="6"/>
  <c r="AZ237" i="6"/>
  <c r="AZ222" i="6"/>
  <c r="AZ217" i="6"/>
  <c r="AZ194" i="6"/>
  <c r="AZ255" i="6"/>
  <c r="AZ227" i="6"/>
  <c r="AZ213" i="6"/>
  <c r="AZ211" i="6"/>
  <c r="AZ173" i="6"/>
  <c r="AZ166" i="6"/>
  <c r="AZ161" i="6"/>
  <c r="AZ149" i="6"/>
  <c r="AZ138" i="6"/>
  <c r="AZ135" i="6"/>
  <c r="AZ132" i="6"/>
  <c r="AZ111" i="6"/>
  <c r="AZ101" i="6"/>
  <c r="AZ97" i="6"/>
  <c r="AZ93" i="6"/>
  <c r="AZ89" i="6"/>
  <c r="AZ85" i="6"/>
  <c r="AZ81" i="6"/>
  <c r="AZ77" i="6"/>
  <c r="AZ73" i="6"/>
  <c r="AZ69" i="6"/>
  <c r="AZ141" i="6"/>
  <c r="AZ251" i="6"/>
  <c r="AZ246" i="6"/>
  <c r="AZ215" i="6"/>
  <c r="AZ188" i="6"/>
  <c r="AZ159" i="6"/>
  <c r="AZ154" i="6"/>
  <c r="AZ121" i="6"/>
  <c r="AZ108" i="6"/>
  <c r="AZ105" i="6"/>
  <c r="AZ190" i="6"/>
  <c r="AZ180" i="6"/>
  <c r="AZ171" i="6"/>
  <c r="AZ133" i="6"/>
  <c r="AZ115" i="6"/>
  <c r="AZ102" i="6"/>
  <c r="AZ98" i="6"/>
  <c r="AZ94" i="6"/>
  <c r="AZ90" i="6"/>
  <c r="AZ86" i="6"/>
  <c r="AZ82" i="6"/>
  <c r="AZ78" i="6"/>
  <c r="AZ74" i="6"/>
  <c r="AZ210" i="6"/>
  <c r="AZ202" i="6"/>
  <c r="AZ196" i="6"/>
  <c r="AZ157" i="6"/>
  <c r="AZ247" i="6"/>
  <c r="AZ201" i="6"/>
  <c r="AZ174" i="6"/>
  <c r="AZ153" i="6"/>
  <c r="AZ145" i="6"/>
  <c r="AZ139" i="6"/>
  <c r="AZ118" i="6"/>
  <c r="AZ109" i="6"/>
  <c r="AZ70" i="6"/>
  <c r="AZ55" i="6"/>
  <c r="AZ191" i="6"/>
  <c r="AZ176" i="6"/>
  <c r="AZ143" i="6"/>
  <c r="AZ137" i="6"/>
  <c r="AZ100" i="6"/>
  <c r="AZ91" i="6"/>
  <c r="AZ84" i="6"/>
  <c r="AZ75" i="6"/>
  <c r="AZ52" i="6"/>
  <c r="AZ49" i="6"/>
  <c r="AZ46" i="6"/>
  <c r="AZ241" i="6"/>
  <c r="AZ164" i="6"/>
  <c r="AZ151" i="6"/>
  <c r="AZ131" i="6"/>
  <c r="AZ127" i="6"/>
  <c r="AZ43" i="6"/>
  <c r="AZ225" i="6"/>
  <c r="AZ186" i="6"/>
  <c r="AZ129" i="6"/>
  <c r="AZ125" i="6"/>
  <c r="AZ116" i="6"/>
  <c r="AZ40" i="6"/>
  <c r="AZ37" i="6"/>
  <c r="AZ34" i="6"/>
  <c r="AZ123" i="6"/>
  <c r="AZ243" i="6"/>
  <c r="AZ150" i="6"/>
  <c r="AZ142" i="6"/>
  <c r="AZ112" i="6"/>
  <c r="AZ71" i="6"/>
  <c r="AZ47" i="6"/>
  <c r="AZ128" i="6"/>
  <c r="AZ103" i="6"/>
  <c r="AZ64" i="6"/>
  <c r="AZ41" i="6"/>
  <c r="AZ36" i="6"/>
  <c r="AZ29" i="6"/>
  <c r="AZ24" i="6"/>
  <c r="AZ235" i="6"/>
  <c r="AZ231" i="6"/>
  <c r="AZ177" i="6"/>
  <c r="AZ130" i="6"/>
  <c r="AZ60" i="6"/>
  <c r="AZ56" i="6"/>
  <c r="AZ54" i="6"/>
  <c r="AZ50" i="6"/>
  <c r="AZ238" i="6"/>
  <c r="AZ32" i="6"/>
  <c r="AZ230" i="6"/>
  <c r="AZ83" i="6"/>
  <c r="AZ44" i="6"/>
  <c r="AZ195" i="6"/>
  <c r="AZ183" i="6"/>
  <c r="AZ79" i="6"/>
  <c r="AZ58" i="6"/>
  <c r="AZ170" i="6"/>
  <c r="AZ167" i="6"/>
  <c r="AZ114" i="6"/>
  <c r="AZ72" i="6"/>
  <c r="AZ140" i="6"/>
  <c r="AZ95" i="6"/>
  <c r="AZ88" i="6"/>
  <c r="AZ226" i="6"/>
  <c r="AZ223" i="6"/>
  <c r="AZ48" i="6"/>
  <c r="AZ39" i="6"/>
  <c r="AZ27" i="6"/>
  <c r="AZ25" i="6"/>
  <c r="AZ158" i="6"/>
  <c r="AZ152" i="6"/>
  <c r="AZ134" i="6"/>
  <c r="AZ63" i="6"/>
  <c r="AZ185" i="6"/>
  <c r="AZ182" i="6"/>
  <c r="AZ163" i="6"/>
  <c r="AZ42" i="6"/>
  <c r="AZ30" i="6"/>
  <c r="AZ160" i="6"/>
  <c r="AZ67" i="6"/>
  <c r="AZ59" i="6"/>
  <c r="AZ193" i="6"/>
  <c r="AZ189" i="6"/>
  <c r="AZ126" i="6"/>
  <c r="AZ120" i="6"/>
  <c r="AZ68" i="6"/>
  <c r="AZ45" i="6"/>
  <c r="AZ38" i="6"/>
  <c r="AZ80" i="6"/>
  <c r="AZ221" i="6"/>
  <c r="AZ147" i="6"/>
  <c r="AZ156" i="6"/>
  <c r="AZ165" i="6"/>
  <c r="AZ117" i="6"/>
  <c r="AZ31" i="6"/>
  <c r="AZ104" i="6"/>
  <c r="AZ218" i="6"/>
  <c r="AZ204" i="6"/>
  <c r="AZ26" i="6"/>
  <c r="AZ99" i="6"/>
  <c r="AZ113" i="6"/>
  <c r="AZ205" i="6"/>
  <c r="AZ57" i="6"/>
  <c r="AZ192" i="6"/>
  <c r="AZ119" i="6"/>
  <c r="AZ66" i="6"/>
  <c r="AZ253" i="6"/>
  <c r="AZ35" i="6"/>
  <c r="AZ144" i="6"/>
  <c r="AZ124" i="6"/>
  <c r="AZ245" i="6"/>
  <c r="AZ107" i="6"/>
  <c r="AZ76" i="6"/>
  <c r="AZ51" i="6"/>
  <c r="AZ146" i="6"/>
  <c r="AZ53" i="6"/>
  <c r="AZ199" i="6"/>
  <c r="AZ122" i="6"/>
  <c r="AZ207" i="6"/>
  <c r="AZ198" i="6"/>
  <c r="AZ62" i="6"/>
  <c r="AZ106" i="6"/>
  <c r="AZ168" i="6"/>
  <c r="AZ28" i="6"/>
  <c r="AZ179" i="6"/>
  <c r="AZ33" i="6"/>
  <c r="AZ250" i="6"/>
  <c r="AZ92" i="6"/>
  <c r="AZ110" i="6"/>
  <c r="AZ96" i="6"/>
  <c r="AZ87" i="6"/>
  <c r="AZ65" i="6"/>
  <c r="AZ233" i="6"/>
  <c r="AZ61" i="6"/>
  <c r="AZ136" i="6"/>
  <c r="DJ41" i="6" l="1"/>
  <c r="DK185" i="6"/>
  <c r="DK47" i="6"/>
  <c r="DK113" i="6"/>
  <c r="DJ191" i="6"/>
  <c r="L86" i="6"/>
  <c r="DJ185" i="6"/>
  <c r="AQ119" i="6"/>
  <c r="BP46" i="6"/>
  <c r="AW83" i="6"/>
  <c r="AX83" i="6" s="1"/>
  <c r="BA228" i="6"/>
  <c r="BP228" i="6"/>
  <c r="AW31" i="6"/>
  <c r="AX31" i="6" s="1"/>
  <c r="BP31" i="6"/>
  <c r="AS113" i="6"/>
  <c r="BP113" i="6"/>
  <c r="AW113" i="6"/>
  <c r="AX113" i="6" s="1"/>
  <c r="BA113" i="6"/>
  <c r="AP201" i="6"/>
  <c r="AR201" i="6" s="1"/>
  <c r="BP201" i="6"/>
  <c r="BA201" i="6"/>
  <c r="AW201" i="6"/>
  <c r="AX201" i="6" s="1"/>
  <c r="AP32" i="6"/>
  <c r="AR32" i="6" s="1"/>
  <c r="BP151" i="6"/>
  <c r="AN151" i="6"/>
  <c r="AP151" i="6"/>
  <c r="AS32" i="6"/>
  <c r="AS235" i="6"/>
  <c r="AP189" i="6"/>
  <c r="BP189" i="6"/>
  <c r="BA189" i="6"/>
  <c r="AV189" i="6"/>
  <c r="AW189" i="6"/>
  <c r="AX189" i="6" s="1"/>
  <c r="AS85" i="6"/>
  <c r="BP85" i="6"/>
  <c r="AQ197" i="6"/>
  <c r="AU220" i="6"/>
  <c r="CE220" i="6" s="1"/>
  <c r="AN228" i="6"/>
  <c r="AP27" i="6"/>
  <c r="AS57" i="6"/>
  <c r="BP57" i="6"/>
  <c r="AP77" i="6"/>
  <c r="BP77" i="6"/>
  <c r="AN108" i="6"/>
  <c r="BP140" i="6"/>
  <c r="AV179" i="6"/>
  <c r="BA179" i="6"/>
  <c r="AW179" i="6"/>
  <c r="AX179" i="6" s="1"/>
  <c r="BP179" i="6"/>
  <c r="AP179" i="6"/>
  <c r="AS189" i="6"/>
  <c r="AS228" i="6"/>
  <c r="BA235" i="6"/>
  <c r="AP254" i="6"/>
  <c r="BP254" i="6"/>
  <c r="BA254" i="6"/>
  <c r="AW254" i="6"/>
  <c r="AX254" i="6" s="1"/>
  <c r="AV254" i="6"/>
  <c r="AS65" i="6"/>
  <c r="AP132" i="6"/>
  <c r="BP132" i="6"/>
  <c r="BA160" i="6"/>
  <c r="BP160" i="6"/>
  <c r="AW47" i="6"/>
  <c r="AX47" i="6" s="1"/>
  <c r="BP227" i="6"/>
  <c r="AN27" i="6"/>
  <c r="AW27" i="6"/>
  <c r="AX27" i="6" s="1"/>
  <c r="AP35" i="6"/>
  <c r="AR35" i="6" s="1"/>
  <c r="AW40" i="6"/>
  <c r="AX40" i="6" s="1"/>
  <c r="AN141" i="6"/>
  <c r="AW228" i="6"/>
  <c r="AX228" i="6" s="1"/>
  <c r="BP235" i="6"/>
  <c r="AN189" i="6"/>
  <c r="AO155" i="6"/>
  <c r="AQ155" i="6" s="1"/>
  <c r="DJ29" i="6"/>
  <c r="AS83" i="6"/>
  <c r="AV160" i="6"/>
  <c r="AV78" i="6"/>
  <c r="BA78" i="6"/>
  <c r="AW78" i="6"/>
  <c r="AX78" i="6" s="1"/>
  <c r="BP78" i="6"/>
  <c r="AS132" i="6"/>
  <c r="AN115" i="6"/>
  <c r="AV35" i="6"/>
  <c r="AW70" i="6"/>
  <c r="AX70" i="6" s="1"/>
  <c r="BA101" i="6"/>
  <c r="BP101" i="6"/>
  <c r="AP115" i="6"/>
  <c r="BP135" i="6"/>
  <c r="AQ142" i="6"/>
  <c r="AP155" i="6"/>
  <c r="BP166" i="6"/>
  <c r="BP206" i="6"/>
  <c r="AP221" i="6"/>
  <c r="BP221" i="6"/>
  <c r="BA248" i="6"/>
  <c r="BP248" i="6"/>
  <c r="BP27" i="6"/>
  <c r="AS160" i="6"/>
  <c r="AP188" i="6"/>
  <c r="BP188" i="6"/>
  <c r="BP161" i="6"/>
  <c r="AO161" i="6"/>
  <c r="AW161" i="6"/>
  <c r="AX161" i="6" s="1"/>
  <c r="BP236" i="6"/>
  <c r="AO59" i="6"/>
  <c r="AQ59" i="6" s="1"/>
  <c r="AW59" i="6"/>
  <c r="AX59" i="6" s="1"/>
  <c r="BP59" i="6"/>
  <c r="BA59" i="6"/>
  <c r="AV59" i="6"/>
  <c r="AS59" i="6"/>
  <c r="AP78" i="6"/>
  <c r="AR78" i="6" s="1"/>
  <c r="AW35" i="6"/>
  <c r="AX35" i="6" s="1"/>
  <c r="AS78" i="6"/>
  <c r="BP91" i="6"/>
  <c r="AN127" i="6"/>
  <c r="BP127" i="6"/>
  <c r="CU135" i="6"/>
  <c r="AS155" i="6"/>
  <c r="AP166" i="6"/>
  <c r="AV182" i="6"/>
  <c r="AV207" i="6"/>
  <c r="BP207" i="6"/>
  <c r="BA207" i="6"/>
  <c r="BA221" i="6"/>
  <c r="AN248" i="6"/>
  <c r="AV32" i="6"/>
  <c r="BP32" i="6"/>
  <c r="AW32" i="6"/>
  <c r="AX32" i="6" s="1"/>
  <c r="BA32" i="6"/>
  <c r="AP196" i="6"/>
  <c r="AS119" i="6"/>
  <c r="AW119" i="6"/>
  <c r="AX119" i="6" s="1"/>
  <c r="BP119" i="6"/>
  <c r="BA119" i="6"/>
  <c r="AV119" i="6"/>
  <c r="AN119" i="6"/>
  <c r="AS40" i="6"/>
  <c r="AP119" i="6"/>
  <c r="AN59" i="6"/>
  <c r="AW92" i="6"/>
  <c r="AX92" i="6" s="1"/>
  <c r="BP92" i="6"/>
  <c r="AV115" i="6"/>
  <c r="BA128" i="6"/>
  <c r="AO135" i="6"/>
  <c r="AQ135" i="6" s="1"/>
  <c r="BP174" i="6"/>
  <c r="AP174" i="6"/>
  <c r="AO207" i="6"/>
  <c r="BP214" i="6"/>
  <c r="AS248" i="6"/>
  <c r="BP241" i="6"/>
  <c r="AO241" i="6"/>
  <c r="AN241" i="6"/>
  <c r="AO47" i="6"/>
  <c r="AQ47" i="6" s="1"/>
  <c r="BP47" i="6"/>
  <c r="BA47" i="6"/>
  <c r="AP123" i="6"/>
  <c r="AO65" i="6"/>
  <c r="AQ65" i="6" s="1"/>
  <c r="BP56" i="6"/>
  <c r="AN132" i="6"/>
  <c r="BP141" i="6"/>
  <c r="BP41" i="6"/>
  <c r="BP100" i="6"/>
  <c r="AW100" i="6"/>
  <c r="AX100" i="6" s="1"/>
  <c r="BA35" i="6"/>
  <c r="BP36" i="6"/>
  <c r="BA36" i="6"/>
  <c r="AO36" i="6"/>
  <c r="AP36" i="6"/>
  <c r="AR36" i="6" s="1"/>
  <c r="BP71" i="6"/>
  <c r="BP93" i="6"/>
  <c r="AW115" i="6"/>
  <c r="AX115" i="6" s="1"/>
  <c r="AS128" i="6"/>
  <c r="AP135" i="6"/>
  <c r="BP149" i="6"/>
  <c r="AV149" i="6"/>
  <c r="AS149" i="6"/>
  <c r="BA156" i="6"/>
  <c r="BP156" i="6"/>
  <c r="AP156" i="6"/>
  <c r="AW156" i="6"/>
  <c r="AX156" i="6" s="1"/>
  <c r="AV156" i="6"/>
  <c r="AN156" i="6"/>
  <c r="AS156" i="6"/>
  <c r="AO156" i="6"/>
  <c r="AW166" i="6"/>
  <c r="AX166" i="6" s="1"/>
  <c r="AP207" i="6"/>
  <c r="AR207" i="6" s="1"/>
  <c r="AN214" i="6"/>
  <c r="AV248" i="6"/>
  <c r="BP83" i="6"/>
  <c r="AO159" i="6"/>
  <c r="AQ159" i="6" s="1"/>
  <c r="BP159" i="6"/>
  <c r="AS131" i="6"/>
  <c r="BP131" i="6"/>
  <c r="BP64" i="6"/>
  <c r="BP226" i="6"/>
  <c r="BA83" i="6"/>
  <c r="BA131" i="6"/>
  <c r="BP107" i="6"/>
  <c r="AW235" i="6"/>
  <c r="AX235" i="6" s="1"/>
  <c r="BP108" i="6"/>
  <c r="AV108" i="6"/>
  <c r="AP108" i="6"/>
  <c r="AU108" i="6" s="1"/>
  <c r="CE108" i="6" s="1"/>
  <c r="AV228" i="6"/>
  <c r="AV28" i="6"/>
  <c r="BP28" i="6"/>
  <c r="BA28" i="6"/>
  <c r="AS28" i="6"/>
  <c r="AW28" i="6"/>
  <c r="AX28" i="6" s="1"/>
  <c r="AO78" i="6"/>
  <c r="AT78" i="6" s="1"/>
  <c r="BP155" i="6"/>
  <c r="AP237" i="6"/>
  <c r="BP237" i="6"/>
  <c r="CH36" i="6"/>
  <c r="BP51" i="6"/>
  <c r="AN71" i="6"/>
  <c r="AP93" i="6"/>
  <c r="BP136" i="6"/>
  <c r="AN149" i="6"/>
  <c r="AV167" i="6"/>
  <c r="BP167" i="6"/>
  <c r="AS207" i="6"/>
  <c r="AS214" i="6"/>
  <c r="AW248" i="6"/>
  <c r="AX248" i="6" s="1"/>
  <c r="BP196" i="6"/>
  <c r="BP150" i="6"/>
  <c r="BP39" i="6"/>
  <c r="AW131" i="6"/>
  <c r="AX131" i="6" s="1"/>
  <c r="AO196" i="6"/>
  <c r="AQ196" i="6" s="1"/>
  <c r="CU196" i="6" s="1"/>
  <c r="BP84" i="6"/>
  <c r="AP40" i="6"/>
  <c r="AR40" i="6" s="1"/>
  <c r="AW69" i="6"/>
  <c r="AX69" i="6" s="1"/>
  <c r="BP69" i="6"/>
  <c r="BP181" i="6"/>
  <c r="BA45" i="6"/>
  <c r="AS71" i="6"/>
  <c r="AP94" i="6"/>
  <c r="BP94" i="6"/>
  <c r="BA94" i="6"/>
  <c r="BP116" i="6"/>
  <c r="AO136" i="6"/>
  <c r="AQ136" i="6" s="1"/>
  <c r="AO149" i="6"/>
  <c r="AS167" i="6"/>
  <c r="AV195" i="6"/>
  <c r="BP195" i="6"/>
  <c r="BP200" i="6"/>
  <c r="AW207" i="6"/>
  <c r="AX207" i="6" s="1"/>
  <c r="BA64" i="6"/>
  <c r="AN76" i="6"/>
  <c r="BP76" i="6"/>
  <c r="BP58" i="6"/>
  <c r="AS115" i="6"/>
  <c r="BP115" i="6"/>
  <c r="AS35" i="6"/>
  <c r="AV45" i="6"/>
  <c r="BA51" i="6"/>
  <c r="BP72" i="6"/>
  <c r="AO72" i="6"/>
  <c r="AS94" i="6"/>
  <c r="BP112" i="6"/>
  <c r="AV116" i="6"/>
  <c r="AT130" i="6"/>
  <c r="CD130" i="6" s="1"/>
  <c r="AP136" i="6"/>
  <c r="AP149" i="6"/>
  <c r="AW167" i="6"/>
  <c r="AX167" i="6" s="1"/>
  <c r="AS195" i="6"/>
  <c r="AP200" i="6"/>
  <c r="AR200" i="6" s="1"/>
  <c r="AO63" i="6"/>
  <c r="AQ63" i="6" s="1"/>
  <c r="BP63" i="6"/>
  <c r="AO82" i="6"/>
  <c r="AQ82" i="6" s="1"/>
  <c r="AN173" i="6"/>
  <c r="BP173" i="6"/>
  <c r="CH212" i="6"/>
  <c r="CU212" i="6"/>
  <c r="DK107" i="6"/>
  <c r="BP244" i="6"/>
  <c r="AO42" i="6"/>
  <c r="AP53" i="6"/>
  <c r="AR53" i="6" s="1"/>
  <c r="BA73" i="6"/>
  <c r="BP73" i="6"/>
  <c r="AP86" i="6"/>
  <c r="AN109" i="6"/>
  <c r="BP109" i="6"/>
  <c r="AS109" i="6"/>
  <c r="AO117" i="6"/>
  <c r="AN130" i="6"/>
  <c r="BP130" i="6"/>
  <c r="AS169" i="6"/>
  <c r="BP169" i="6"/>
  <c r="AV183" i="6"/>
  <c r="BP183" i="6"/>
  <c r="AN197" i="6"/>
  <c r="AT197" i="6" s="1"/>
  <c r="CD197" i="6" s="1"/>
  <c r="BP216" i="6"/>
  <c r="BP223" i="6"/>
  <c r="AO244" i="6"/>
  <c r="BP250" i="6"/>
  <c r="AS53" i="6"/>
  <c r="BP162" i="6"/>
  <c r="BP74" i="6"/>
  <c r="BP124" i="6"/>
  <c r="AS124" i="6"/>
  <c r="AP42" i="6"/>
  <c r="BA125" i="6"/>
  <c r="BP125" i="6"/>
  <c r="BP24" i="6"/>
  <c r="AO37" i="6"/>
  <c r="AV53" i="6"/>
  <c r="BA66" i="6"/>
  <c r="AO73" i="6"/>
  <c r="AT73" i="6" s="1"/>
  <c r="AS87" i="6"/>
  <c r="AW96" i="6"/>
  <c r="AX96" i="6" s="1"/>
  <c r="AN105" i="6"/>
  <c r="BP105" i="6"/>
  <c r="AP109" i="6"/>
  <c r="AR109" i="6" s="1"/>
  <c r="AS125" i="6"/>
  <c r="AP130" i="6"/>
  <c r="AO134" i="6"/>
  <c r="AO138" i="6"/>
  <c r="AT138" i="6" s="1"/>
  <c r="CD138" i="6" s="1"/>
  <c r="AN152" i="6"/>
  <c r="AV163" i="6"/>
  <c r="BP163" i="6"/>
  <c r="BA163" i="6"/>
  <c r="AW163" i="6"/>
  <c r="AX163" i="6" s="1"/>
  <c r="AS163" i="6"/>
  <c r="AS183" i="6"/>
  <c r="AN190" i="6"/>
  <c r="BP190" i="6"/>
  <c r="BP210" i="6"/>
  <c r="AO216" i="6"/>
  <c r="AW223" i="6"/>
  <c r="AX223" i="6" s="1"/>
  <c r="AN245" i="6"/>
  <c r="BP245" i="6"/>
  <c r="BA245" i="6"/>
  <c r="AW245" i="6"/>
  <c r="AX245" i="6" s="1"/>
  <c r="AV245" i="6"/>
  <c r="AS250" i="6"/>
  <c r="CD36" i="6"/>
  <c r="BP104" i="6"/>
  <c r="AN24" i="6"/>
  <c r="AO29" i="6"/>
  <c r="AN33" i="6"/>
  <c r="AO38" i="6"/>
  <c r="AV44" i="6"/>
  <c r="BP44" i="6"/>
  <c r="AP49" i="6"/>
  <c r="AR49" i="6" s="1"/>
  <c r="AP73" i="6"/>
  <c r="AR73" i="6" s="1"/>
  <c r="BP80" i="6"/>
  <c r="AV87" i="6"/>
  <c r="AN106" i="6"/>
  <c r="AV109" i="6"/>
  <c r="AN118" i="6"/>
  <c r="AN120" i="6"/>
  <c r="AV125" i="6"/>
  <c r="AQ130" i="6"/>
  <c r="AP134" i="6"/>
  <c r="AP138" i="6"/>
  <c r="AN163" i="6"/>
  <c r="BP171" i="6"/>
  <c r="AW183" i="6"/>
  <c r="AX183" i="6" s="1"/>
  <c r="AS210" i="6"/>
  <c r="AW216" i="6"/>
  <c r="AX216" i="6" s="1"/>
  <c r="BA223" i="6"/>
  <c r="AO245" i="6"/>
  <c r="BP251" i="6"/>
  <c r="AN251" i="6"/>
  <c r="BP26" i="6"/>
  <c r="BP61" i="6"/>
  <c r="BP86" i="6"/>
  <c r="BA53" i="6"/>
  <c r="BP53" i="6"/>
  <c r="AO133" i="6"/>
  <c r="BP133" i="6"/>
  <c r="BP222" i="6"/>
  <c r="BP152" i="6"/>
  <c r="AO24" i="6"/>
  <c r="AS29" i="6"/>
  <c r="AN38" i="6"/>
  <c r="AN44" i="6"/>
  <c r="AS49" i="6"/>
  <c r="BP54" i="6"/>
  <c r="AS60" i="6"/>
  <c r="AS67" i="6"/>
  <c r="AS73" i="6"/>
  <c r="AN80" i="6"/>
  <c r="AO106" i="6"/>
  <c r="AW109" i="6"/>
  <c r="AX109" i="6" s="1"/>
  <c r="AO118" i="6"/>
  <c r="BP121" i="6"/>
  <c r="AW125" i="6"/>
  <c r="AX125" i="6" s="1"/>
  <c r="AS134" i="6"/>
  <c r="AS138" i="6"/>
  <c r="BA148" i="6"/>
  <c r="BP148" i="6"/>
  <c r="AP152" i="6"/>
  <c r="AR152" i="6" s="1"/>
  <c r="AO163" i="6"/>
  <c r="AP171" i="6"/>
  <c r="AS177" i="6"/>
  <c r="BP177" i="6"/>
  <c r="BA183" i="6"/>
  <c r="AV210" i="6"/>
  <c r="AN217" i="6"/>
  <c r="BP217" i="6"/>
  <c r="BA240" i="6"/>
  <c r="BP240" i="6"/>
  <c r="AP245" i="6"/>
  <c r="BP117" i="6"/>
  <c r="AS117" i="6"/>
  <c r="BP87" i="6"/>
  <c r="AW60" i="6"/>
  <c r="AX60" i="6" s="1"/>
  <c r="AV68" i="6"/>
  <c r="AV73" i="6"/>
  <c r="AO80" i="6"/>
  <c r="BA87" i="6"/>
  <c r="BP98" i="6"/>
  <c r="AP106" i="6"/>
  <c r="BA109" i="6"/>
  <c r="AP118" i="6"/>
  <c r="AR118" i="6" s="1"/>
  <c r="AO121" i="6"/>
  <c r="AS130" i="6"/>
  <c r="AV138" i="6"/>
  <c r="AN148" i="6"/>
  <c r="AS152" i="6"/>
  <c r="AP163" i="6"/>
  <c r="BA171" i="6"/>
  <c r="AO177" i="6"/>
  <c r="BP184" i="6"/>
  <c r="AW210" i="6"/>
  <c r="AX210" i="6" s="1"/>
  <c r="BP218" i="6"/>
  <c r="BA218" i="6"/>
  <c r="AN240" i="6"/>
  <c r="BP164" i="6"/>
  <c r="AO102" i="6"/>
  <c r="BP102" i="6"/>
  <c r="AN129" i="6"/>
  <c r="BP129" i="6"/>
  <c r="BA197" i="6"/>
  <c r="BP197" i="6"/>
  <c r="AW197" i="6"/>
  <c r="AX197" i="6" s="1"/>
  <c r="AV197" i="6"/>
  <c r="AP117" i="6"/>
  <c r="AO170" i="6"/>
  <c r="AQ170" i="6" s="1"/>
  <c r="BP170" i="6"/>
  <c r="AW170" i="6"/>
  <c r="AX170" i="6" s="1"/>
  <c r="AV170" i="6"/>
  <c r="AS170" i="6"/>
  <c r="AP170" i="6"/>
  <c r="AN170" i="6"/>
  <c r="AP244" i="6"/>
  <c r="BA24" i="6"/>
  <c r="AW73" i="6"/>
  <c r="AX73" i="6" s="1"/>
  <c r="AW80" i="6"/>
  <c r="AX80" i="6" s="1"/>
  <c r="BP88" i="6"/>
  <c r="AO98" i="6"/>
  <c r="AN110" i="6"/>
  <c r="BP110" i="6"/>
  <c r="AP121" i="6"/>
  <c r="AN126" i="6"/>
  <c r="BP126" i="6"/>
  <c r="BP143" i="6"/>
  <c r="AO148" i="6"/>
  <c r="AV152" i="6"/>
  <c r="BP172" i="6"/>
  <c r="AP177" i="6"/>
  <c r="AN184" i="6"/>
  <c r="BA210" i="6"/>
  <c r="AV218" i="6"/>
  <c r="AO240" i="6"/>
  <c r="AS245" i="6"/>
  <c r="AP253" i="6"/>
  <c r="AR253" i="6" s="1"/>
  <c r="BP253" i="6"/>
  <c r="BP37" i="6"/>
  <c r="BP199" i="6"/>
  <c r="BP137" i="6"/>
  <c r="BP96" i="6"/>
  <c r="AN138" i="6"/>
  <c r="BP138" i="6"/>
  <c r="AW29" i="6"/>
  <c r="AX29" i="6" s="1"/>
  <c r="AN34" i="6"/>
  <c r="AN50" i="6"/>
  <c r="BA80" i="6"/>
  <c r="AP89" i="6"/>
  <c r="BP89" i="6"/>
  <c r="AP98" i="6"/>
  <c r="AR98" i="6" s="1"/>
  <c r="AS106" i="6"/>
  <c r="AO110" i="6"/>
  <c r="AS118" i="6"/>
  <c r="AN122" i="6"/>
  <c r="BP122" i="6"/>
  <c r="AO126" i="6"/>
  <c r="AV134" i="6"/>
  <c r="BA138" i="6"/>
  <c r="AO143" i="6"/>
  <c r="AV148" i="6"/>
  <c r="AP153" i="6"/>
  <c r="AR153" i="6" s="1"/>
  <c r="BP153" i="6"/>
  <c r="BP165" i="6"/>
  <c r="BA177" i="6"/>
  <c r="BP185" i="6"/>
  <c r="BP205" i="6"/>
  <c r="BP211" i="6"/>
  <c r="AP240" i="6"/>
  <c r="AR240" i="6" s="1"/>
  <c r="AS253" i="6"/>
  <c r="BP42" i="6"/>
  <c r="BP168" i="6"/>
  <c r="AN134" i="6"/>
  <c r="AO25" i="6"/>
  <c r="BP25" i="6"/>
  <c r="AO34" i="6"/>
  <c r="AU38" i="6"/>
  <c r="CE38" i="6" s="1"/>
  <c r="AS44" i="6"/>
  <c r="AP55" i="6"/>
  <c r="AN61" i="6"/>
  <c r="AO68" i="6"/>
  <c r="AQ68" i="6" s="1"/>
  <c r="AN30" i="6"/>
  <c r="AP34" i="6"/>
  <c r="AV38" i="6"/>
  <c r="AW44" i="6"/>
  <c r="AX44" i="6" s="1"/>
  <c r="AO50" i="6"/>
  <c r="AS55" i="6"/>
  <c r="BA62" i="6"/>
  <c r="AP68" i="6"/>
  <c r="AR68" i="6" s="1"/>
  <c r="BP75" i="6"/>
  <c r="AV89" i="6"/>
  <c r="AP110" i="6"/>
  <c r="AR110" i="6" s="1"/>
  <c r="AO122" i="6"/>
  <c r="AP126" i="6"/>
  <c r="AR126" i="6" s="1"/>
  <c r="AV130" i="6"/>
  <c r="AW134" i="6"/>
  <c r="AX134" i="6" s="1"/>
  <c r="BP139" i="6"/>
  <c r="AP143" i="6"/>
  <c r="AW148" i="6"/>
  <c r="AX148" i="6" s="1"/>
  <c r="AS153" i="6"/>
  <c r="BP157" i="6"/>
  <c r="AW157" i="6"/>
  <c r="AX157" i="6" s="1"/>
  <c r="AO157" i="6"/>
  <c r="AN157" i="6"/>
  <c r="AS165" i="6"/>
  <c r="AW172" i="6"/>
  <c r="AX172" i="6" s="1"/>
  <c r="BP178" i="6"/>
  <c r="AO186" i="6"/>
  <c r="AQ186" i="6" s="1"/>
  <c r="BP186" i="6"/>
  <c r="BA186" i="6"/>
  <c r="AW186" i="6"/>
  <c r="AX186" i="6" s="1"/>
  <c r="AW205" i="6"/>
  <c r="AX205" i="6" s="1"/>
  <c r="BA212" i="6"/>
  <c r="BP212" i="6"/>
  <c r="AW212" i="6"/>
  <c r="AX212" i="6" s="1"/>
  <c r="AV212" i="6"/>
  <c r="BP234" i="6"/>
  <c r="AV253" i="6"/>
  <c r="BP62" i="6"/>
  <c r="CD78" i="6"/>
  <c r="BA192" i="6"/>
  <c r="BP192" i="6"/>
  <c r="BP224" i="6"/>
  <c r="BP229" i="6"/>
  <c r="BP238" i="6"/>
  <c r="AS192" i="6"/>
  <c r="BP208" i="6"/>
  <c r="AS224" i="6"/>
  <c r="BP230" i="6"/>
  <c r="AV238" i="6"/>
  <c r="BA252" i="6"/>
  <c r="BP252" i="6"/>
  <c r="AS175" i="6"/>
  <c r="BP175" i="6"/>
  <c r="BP187" i="6"/>
  <c r="AV192" i="6"/>
  <c r="AN202" i="6"/>
  <c r="BP202" i="6"/>
  <c r="AO208" i="6"/>
  <c r="AP213" i="6"/>
  <c r="AR213" i="6" s="1"/>
  <c r="AN219" i="6"/>
  <c r="BP219" i="6"/>
  <c r="AN225" i="6"/>
  <c r="BP225" i="6"/>
  <c r="BP231" i="6"/>
  <c r="AW238" i="6"/>
  <c r="AX238" i="6" s="1"/>
  <c r="BP242" i="6"/>
  <c r="AO252" i="6"/>
  <c r="AQ252" i="6" s="1"/>
  <c r="DJ47" i="6"/>
  <c r="BP145" i="6"/>
  <c r="AO154" i="6"/>
  <c r="BA176" i="6"/>
  <c r="BP176" i="6"/>
  <c r="AN187" i="6"/>
  <c r="AW192" i="6"/>
  <c r="AX192" i="6" s="1"/>
  <c r="AO198" i="6"/>
  <c r="BP198" i="6"/>
  <c r="BP203" i="6"/>
  <c r="AV208" i="6"/>
  <c r="AS213" i="6"/>
  <c r="BA220" i="6"/>
  <c r="BP220" i="6"/>
  <c r="AO225" i="6"/>
  <c r="AV242" i="6"/>
  <c r="AP252" i="6"/>
  <c r="AR252" i="6" s="1"/>
  <c r="AN114" i="6"/>
  <c r="BP114" i="6"/>
  <c r="AN142" i="6"/>
  <c r="AU142" i="6" s="1"/>
  <c r="CE142" i="6" s="1"/>
  <c r="BP142" i="6"/>
  <c r="AO146" i="6"/>
  <c r="AQ146" i="6" s="1"/>
  <c r="AP154" i="6"/>
  <c r="AN176" i="6"/>
  <c r="AO180" i="6"/>
  <c r="BP180" i="6"/>
  <c r="AO187" i="6"/>
  <c r="AN198" i="6"/>
  <c r="BA209" i="6"/>
  <c r="BP209" i="6"/>
  <c r="AV213" i="6"/>
  <c r="AN220" i="6"/>
  <c r="AP225" i="6"/>
  <c r="AP233" i="6"/>
  <c r="AR233" i="6" s="1"/>
  <c r="BP233" i="6"/>
  <c r="BA238" i="6"/>
  <c r="AW242" i="6"/>
  <c r="AX242" i="6" s="1"/>
  <c r="BP255" i="6"/>
  <c r="AU187" i="6"/>
  <c r="CE187" i="6" s="1"/>
  <c r="BP193" i="6"/>
  <c r="BP239" i="6"/>
  <c r="BP247" i="6"/>
  <c r="AS252" i="6"/>
  <c r="BP256" i="6"/>
  <c r="AV252" i="6"/>
  <c r="BP194" i="6"/>
  <c r="BA213" i="6"/>
  <c r="AV225" i="6"/>
  <c r="AP239" i="6"/>
  <c r="AR239" i="6" s="1"/>
  <c r="AS247" i="6"/>
  <c r="AW252" i="6"/>
  <c r="AX252" i="6" s="1"/>
  <c r="CD73" i="6"/>
  <c r="BP204" i="6"/>
  <c r="DK203" i="6"/>
  <c r="DK191" i="6"/>
  <c r="DJ113" i="6"/>
  <c r="DJ35" i="6"/>
  <c r="DK35" i="6"/>
  <c r="DK41" i="6"/>
  <c r="DK29" i="6"/>
  <c r="DJ107" i="6"/>
  <c r="DK125" i="6"/>
  <c r="DJ125" i="6"/>
  <c r="DK197" i="6"/>
  <c r="DJ197" i="6"/>
  <c r="DK119" i="6"/>
  <c r="DJ119" i="6"/>
  <c r="DJ203" i="6"/>
  <c r="AQ25" i="6"/>
  <c r="AR188" i="6"/>
  <c r="AR237" i="6"/>
  <c r="AR221" i="6"/>
  <c r="AQ37" i="6"/>
  <c r="AQ102" i="6"/>
  <c r="AP95" i="6"/>
  <c r="AO95" i="6"/>
  <c r="AN95" i="6"/>
  <c r="AV95" i="6"/>
  <c r="AS95" i="6"/>
  <c r="BA95" i="6"/>
  <c r="AW95" i="6"/>
  <c r="AX95" i="6" s="1"/>
  <c r="AQ121" i="6"/>
  <c r="AO194" i="6"/>
  <c r="BA194" i="6"/>
  <c r="AW194" i="6"/>
  <c r="AX194" i="6" s="1"/>
  <c r="AV194" i="6"/>
  <c r="AS194" i="6"/>
  <c r="AP194" i="6"/>
  <c r="AT80" i="6"/>
  <c r="CD80" i="6" s="1"/>
  <c r="AS69" i="6"/>
  <c r="AS107" i="6"/>
  <c r="AV107" i="6"/>
  <c r="AN107" i="6"/>
  <c r="BA107" i="6"/>
  <c r="AP107" i="6"/>
  <c r="AW107" i="6"/>
  <c r="AX107" i="6" s="1"/>
  <c r="AO107" i="6"/>
  <c r="AO175" i="6"/>
  <c r="AP202" i="6"/>
  <c r="AU59" i="6"/>
  <c r="CE59" i="6" s="1"/>
  <c r="AR171" i="6"/>
  <c r="AR142" i="6"/>
  <c r="BA97" i="6"/>
  <c r="AP97" i="6"/>
  <c r="AO97" i="6"/>
  <c r="AN97" i="6"/>
  <c r="AW97" i="6"/>
  <c r="AX97" i="6" s="1"/>
  <c r="AQ70" i="6"/>
  <c r="BA81" i="6"/>
  <c r="AP81" i="6"/>
  <c r="AO81" i="6"/>
  <c r="AN81" i="6"/>
  <c r="AW81" i="6"/>
  <c r="AX81" i="6" s="1"/>
  <c r="AS81" i="6"/>
  <c r="AP85" i="6"/>
  <c r="AP105" i="6"/>
  <c r="AS111" i="6"/>
  <c r="BA111" i="6"/>
  <c r="AW111" i="6"/>
  <c r="AX111" i="6" s="1"/>
  <c r="AV111" i="6"/>
  <c r="AN111" i="6"/>
  <c r="AO129" i="6"/>
  <c r="AU146" i="6"/>
  <c r="CE146" i="6" s="1"/>
  <c r="AT152" i="6"/>
  <c r="CD152" i="6" s="1"/>
  <c r="AQ176" i="6"/>
  <c r="BA185" i="6"/>
  <c r="AP185" i="6"/>
  <c r="AO185" i="6"/>
  <c r="AN188" i="6"/>
  <c r="AR26" i="6"/>
  <c r="AS42" i="6"/>
  <c r="BA42" i="6"/>
  <c r="AU44" i="6"/>
  <c r="CE44" i="6" s="1"/>
  <c r="AP67" i="6"/>
  <c r="AO67" i="6"/>
  <c r="AW67" i="6"/>
  <c r="AX67" i="6" s="1"/>
  <c r="AV67" i="6"/>
  <c r="AN67" i="6"/>
  <c r="BA67" i="6"/>
  <c r="AU73" i="6"/>
  <c r="CE73" i="6" s="1"/>
  <c r="AV81" i="6"/>
  <c r="AR89" i="6"/>
  <c r="AS97" i="6"/>
  <c r="AO111" i="6"/>
  <c r="AT114" i="6"/>
  <c r="CD114" i="6" s="1"/>
  <c r="AU149" i="6"/>
  <c r="CE149" i="6" s="1"/>
  <c r="AR149" i="6"/>
  <c r="AU152" i="6"/>
  <c r="CE152" i="6" s="1"/>
  <c r="AR176" i="6"/>
  <c r="AN185" i="6"/>
  <c r="AO188" i="6"/>
  <c r="BA208" i="6"/>
  <c r="AS208" i="6"/>
  <c r="AP208" i="6"/>
  <c r="AW208" i="6"/>
  <c r="AX208" i="6" s="1"/>
  <c r="AT212" i="6"/>
  <c r="CD212" i="6" s="1"/>
  <c r="BA34" i="6"/>
  <c r="AV34" i="6"/>
  <c r="AW34" i="6"/>
  <c r="AX34" i="6" s="1"/>
  <c r="AN42" i="6"/>
  <c r="AP71" i="6"/>
  <c r="AO71" i="6"/>
  <c r="BA71" i="6"/>
  <c r="AQ78" i="6"/>
  <c r="AR93" i="6"/>
  <c r="AP111" i="6"/>
  <c r="AS139" i="6"/>
  <c r="AW139" i="6"/>
  <c r="AX139" i="6" s="1"/>
  <c r="AO139" i="6"/>
  <c r="AS185" i="6"/>
  <c r="AU196" i="6"/>
  <c r="CE196" i="6" s="1"/>
  <c r="AR196" i="6"/>
  <c r="AN208" i="6"/>
  <c r="AU212" i="6"/>
  <c r="CE212" i="6" s="1"/>
  <c r="AR212" i="6"/>
  <c r="BA229" i="6"/>
  <c r="AW229" i="6"/>
  <c r="AX229" i="6" s="1"/>
  <c r="AV229" i="6"/>
  <c r="AO229" i="6"/>
  <c r="AS229" i="6"/>
  <c r="AP229" i="6"/>
  <c r="AN229" i="6"/>
  <c r="BA46" i="6"/>
  <c r="AS46" i="6"/>
  <c r="AW46" i="6"/>
  <c r="AX46" i="6" s="1"/>
  <c r="AV46" i="6"/>
  <c r="AQ157" i="6"/>
  <c r="AT157" i="6"/>
  <c r="CD157" i="6" s="1"/>
  <c r="AO76" i="6"/>
  <c r="AP46" i="6"/>
  <c r="AV52" i="6"/>
  <c r="BA52" i="6"/>
  <c r="AS52" i="6"/>
  <c r="AW52" i="6"/>
  <c r="AX52" i="6" s="1"/>
  <c r="AO52" i="6"/>
  <c r="AN52" i="6"/>
  <c r="AN175" i="6"/>
  <c r="AP145" i="6"/>
  <c r="AO145" i="6"/>
  <c r="AN145" i="6"/>
  <c r="AW145" i="6"/>
  <c r="AX145" i="6" s="1"/>
  <c r="AV145" i="6"/>
  <c r="AS145" i="6"/>
  <c r="AU163" i="6"/>
  <c r="CE163" i="6" s="1"/>
  <c r="AR163" i="6"/>
  <c r="AT50" i="6"/>
  <c r="CD50" i="6" s="1"/>
  <c r="AQ50" i="6"/>
  <c r="AV203" i="6"/>
  <c r="BA203" i="6"/>
  <c r="AP203" i="6"/>
  <c r="AO203" i="6"/>
  <c r="AW203" i="6"/>
  <c r="AX203" i="6" s="1"/>
  <c r="AS203" i="6"/>
  <c r="AN203" i="6"/>
  <c r="AU50" i="6"/>
  <c r="CE50" i="6" s="1"/>
  <c r="AR50" i="6"/>
  <c r="BA57" i="6"/>
  <c r="AP57" i="6"/>
  <c r="AO57" i="6"/>
  <c r="AO105" i="6"/>
  <c r="AO31" i="6"/>
  <c r="BA31" i="6"/>
  <c r="AV31" i="6"/>
  <c r="AP31" i="6"/>
  <c r="AS31" i="6"/>
  <c r="AN31" i="6"/>
  <c r="AW112" i="6"/>
  <c r="AX112" i="6" s="1"/>
  <c r="BA112" i="6"/>
  <c r="AV112" i="6"/>
  <c r="AS112" i="6"/>
  <c r="AT34" i="6"/>
  <c r="CD34" i="6" s="1"/>
  <c r="AQ34" i="6"/>
  <c r="AR42" i="6"/>
  <c r="AR94" i="6"/>
  <c r="AN112" i="6"/>
  <c r="AN169" i="6"/>
  <c r="AU34" i="6"/>
  <c r="CE34" i="6" s="1"/>
  <c r="AR34" i="6"/>
  <c r="AN37" i="6"/>
  <c r="AT37" i="6" s="1"/>
  <c r="CD37" i="6" s="1"/>
  <c r="AO39" i="6"/>
  <c r="AV39" i="6"/>
  <c r="AS39" i="6"/>
  <c r="BA39" i="6"/>
  <c r="AQ42" i="6"/>
  <c r="AV48" i="6"/>
  <c r="AS48" i="6"/>
  <c r="AP48" i="6"/>
  <c r="BA48" i="6"/>
  <c r="AO51" i="6"/>
  <c r="AS51" i="6"/>
  <c r="AP51" i="6"/>
  <c r="AW57" i="6"/>
  <c r="AX57" i="6" s="1"/>
  <c r="BA61" i="6"/>
  <c r="AW61" i="6"/>
  <c r="AX61" i="6" s="1"/>
  <c r="AV61" i="6"/>
  <c r="AP61" i="6"/>
  <c r="AV85" i="6"/>
  <c r="AP90" i="6"/>
  <c r="AO90" i="6"/>
  <c r="AN90" i="6"/>
  <c r="BA90" i="6"/>
  <c r="AW90" i="6"/>
  <c r="AX90" i="6" s="1"/>
  <c r="AV90" i="6"/>
  <c r="AQ98" i="6"/>
  <c r="AO112" i="6"/>
  <c r="AU139" i="6"/>
  <c r="CE139" i="6" s="1"/>
  <c r="AO169" i="6"/>
  <c r="AT173" i="6"/>
  <c r="CD173" i="6" s="1"/>
  <c r="AQ173" i="6"/>
  <c r="AW181" i="6"/>
  <c r="AX181" i="6" s="1"/>
  <c r="AP181" i="6"/>
  <c r="AO181" i="6"/>
  <c r="AV181" i="6"/>
  <c r="AS181" i="6"/>
  <c r="AV185" i="6"/>
  <c r="AU225" i="6"/>
  <c r="CE225" i="6" s="1"/>
  <c r="AR225" i="6"/>
  <c r="AO43" i="6"/>
  <c r="AW43" i="6"/>
  <c r="AX43" i="6" s="1"/>
  <c r="AV43" i="6"/>
  <c r="AS43" i="6"/>
  <c r="AP43" i="6"/>
  <c r="AN43" i="6"/>
  <c r="BA69" i="6"/>
  <c r="AP69" i="6"/>
  <c r="AO69" i="6"/>
  <c r="AW62" i="6"/>
  <c r="AX62" i="6" s="1"/>
  <c r="AS62" i="6"/>
  <c r="AV62" i="6"/>
  <c r="AP62" i="6"/>
  <c r="AO62" i="6"/>
  <c r="AN62" i="6"/>
  <c r="AT110" i="6"/>
  <c r="CD110" i="6" s="1"/>
  <c r="AQ110" i="6"/>
  <c r="AQ80" i="6"/>
  <c r="AR77" i="6"/>
  <c r="BA25" i="6"/>
  <c r="AW25" i="6"/>
  <c r="AX25" i="6" s="1"/>
  <c r="AV25" i="6"/>
  <c r="AS103" i="6"/>
  <c r="AP103" i="6"/>
  <c r="AO103" i="6"/>
  <c r="AN103" i="6"/>
  <c r="BA103" i="6"/>
  <c r="AW103" i="6"/>
  <c r="AX103" i="6" s="1"/>
  <c r="AV103" i="6"/>
  <c r="AT30" i="6"/>
  <c r="CD30" i="6" s="1"/>
  <c r="AN46" i="6"/>
  <c r="AV175" i="6"/>
  <c r="BA175" i="6"/>
  <c r="AW175" i="6"/>
  <c r="AX175" i="6" s="1"/>
  <c r="AP175" i="6"/>
  <c r="AQ148" i="6"/>
  <c r="AT148" i="6"/>
  <c r="CD148" i="6" s="1"/>
  <c r="AO85" i="6"/>
  <c r="BA164" i="6"/>
  <c r="AS164" i="6"/>
  <c r="AP164" i="6"/>
  <c r="AW164" i="6"/>
  <c r="AX164" i="6" s="1"/>
  <c r="AN164" i="6"/>
  <c r="AO164" i="6"/>
  <c r="AV164" i="6"/>
  <c r="AP74" i="6"/>
  <c r="AO74" i="6"/>
  <c r="AN74" i="6"/>
  <c r="AV74" i="6"/>
  <c r="BA74" i="6"/>
  <c r="AW74" i="6"/>
  <c r="AX74" i="6" s="1"/>
  <c r="AS74" i="6"/>
  <c r="AU32" i="6"/>
  <c r="CE32" i="6" s="1"/>
  <c r="AP37" i="6"/>
  <c r="AP39" i="6"/>
  <c r="AO48" i="6"/>
  <c r="AO61" i="6"/>
  <c r="BA65" i="6"/>
  <c r="AV65" i="6"/>
  <c r="AW65" i="6"/>
  <c r="AX65" i="6" s="1"/>
  <c r="AR86" i="6"/>
  <c r="AS90" i="6"/>
  <c r="AQ133" i="6"/>
  <c r="BA139" i="6"/>
  <c r="AV147" i="6"/>
  <c r="AS147" i="6"/>
  <c r="AW147" i="6"/>
  <c r="AX147" i="6" s="1"/>
  <c r="AN147" i="6"/>
  <c r="BA147" i="6"/>
  <c r="AS150" i="6"/>
  <c r="AP150" i="6"/>
  <c r="BA150" i="6"/>
  <c r="AW150" i="6"/>
  <c r="AX150" i="6" s="1"/>
  <c r="AO150" i="6"/>
  <c r="AQ209" i="6"/>
  <c r="AN221" i="6"/>
  <c r="AV76" i="6"/>
  <c r="AS76" i="6"/>
  <c r="AP76" i="6"/>
  <c r="BA76" i="6"/>
  <c r="AW76" i="6"/>
  <c r="AX76" i="6" s="1"/>
  <c r="AW104" i="6"/>
  <c r="AX104" i="6" s="1"/>
  <c r="AV104" i="6"/>
  <c r="AS104" i="6"/>
  <c r="AP104" i="6"/>
  <c r="AO104" i="6"/>
  <c r="AR166" i="6"/>
  <c r="AO190" i="6"/>
  <c r="AW190" i="6"/>
  <c r="AX190" i="6" s="1"/>
  <c r="AV190" i="6"/>
  <c r="AS190" i="6"/>
  <c r="AO46" i="6"/>
  <c r="AN69" i="6"/>
  <c r="AP190" i="6"/>
  <c r="AR155" i="6"/>
  <c r="AT44" i="6"/>
  <c r="CD44" i="6" s="1"/>
  <c r="AV56" i="6"/>
  <c r="BA56" i="6"/>
  <c r="AS56" i="6"/>
  <c r="AW56" i="6"/>
  <c r="AX56" i="6" s="1"/>
  <c r="AP56" i="6"/>
  <c r="AO56" i="6"/>
  <c r="AN56" i="6"/>
  <c r="AQ179" i="6"/>
  <c r="AV211" i="6"/>
  <c r="AW211" i="6"/>
  <c r="AX211" i="6" s="1"/>
  <c r="AS211" i="6"/>
  <c r="BA211" i="6"/>
  <c r="AP211" i="6"/>
  <c r="AO211" i="6"/>
  <c r="AQ73" i="6"/>
  <c r="BA188" i="6"/>
  <c r="AV188" i="6"/>
  <c r="AW188" i="6"/>
  <c r="AX188" i="6" s="1"/>
  <c r="AS188" i="6"/>
  <c r="BA169" i="6"/>
  <c r="AW169" i="6"/>
  <c r="AX169" i="6" s="1"/>
  <c r="AV169" i="6"/>
  <c r="AP169" i="6"/>
  <c r="AT109" i="6"/>
  <c r="CD109" i="6" s="1"/>
  <c r="AV102" i="6"/>
  <c r="AS102" i="6"/>
  <c r="AP102" i="6"/>
  <c r="AN102" i="6"/>
  <c r="BA102" i="6"/>
  <c r="AP112" i="6"/>
  <c r="AR123" i="6"/>
  <c r="AT132" i="6"/>
  <c r="CD132" i="6" s="1"/>
  <c r="BA237" i="6"/>
  <c r="AS237" i="6"/>
  <c r="AV237" i="6"/>
  <c r="AO237" i="6"/>
  <c r="AN237" i="6"/>
  <c r="AV42" i="6"/>
  <c r="AO27" i="6"/>
  <c r="AV27" i="6"/>
  <c r="BA27" i="6"/>
  <c r="AS27" i="6"/>
  <c r="AW39" i="6"/>
  <c r="AX39" i="6" s="1"/>
  <c r="AW42" i="6"/>
  <c r="AX42" i="6" s="1"/>
  <c r="AW48" i="6"/>
  <c r="AX48" i="6" s="1"/>
  <c r="AV51" i="6"/>
  <c r="AO55" i="6"/>
  <c r="AW55" i="6"/>
  <c r="AX55" i="6" s="1"/>
  <c r="AW58" i="6"/>
  <c r="AX58" i="6" s="1"/>
  <c r="AV58" i="6"/>
  <c r="BA58" i="6"/>
  <c r="AS58" i="6"/>
  <c r="AO58" i="6"/>
  <c r="AN58" i="6"/>
  <c r="AN65" i="6"/>
  <c r="AV71" i="6"/>
  <c r="AU109" i="6"/>
  <c r="CE109" i="6" s="1"/>
  <c r="AW120" i="6"/>
  <c r="AX120" i="6" s="1"/>
  <c r="AV120" i="6"/>
  <c r="AS120" i="6"/>
  <c r="AP120" i="6"/>
  <c r="AO120" i="6"/>
  <c r="BA120" i="6"/>
  <c r="AO147" i="6"/>
  <c r="AN150" i="6"/>
  <c r="BA166" i="6"/>
  <c r="AV166" i="6"/>
  <c r="BA181" i="6"/>
  <c r="AO221" i="6"/>
  <c r="AU240" i="6"/>
  <c r="CE240" i="6" s="1"/>
  <c r="AN25" i="6"/>
  <c r="AV92" i="6"/>
  <c r="AS92" i="6"/>
  <c r="AP92" i="6"/>
  <c r="BA92" i="6"/>
  <c r="AS127" i="6"/>
  <c r="BA127" i="6"/>
  <c r="AP127" i="6"/>
  <c r="AW127" i="6"/>
  <c r="AX127" i="6" s="1"/>
  <c r="AV127" i="6"/>
  <c r="AR178" i="6"/>
  <c r="AU30" i="6"/>
  <c r="CE30" i="6" s="1"/>
  <c r="AN104" i="6"/>
  <c r="AN194" i="6"/>
  <c r="AO206" i="6"/>
  <c r="BA206" i="6"/>
  <c r="AW206" i="6"/>
  <c r="AX206" i="6" s="1"/>
  <c r="AV206" i="6"/>
  <c r="AN206" i="6"/>
  <c r="AS206" i="6"/>
  <c r="AP206" i="6"/>
  <c r="AV219" i="6"/>
  <c r="AO219" i="6"/>
  <c r="BA219" i="6"/>
  <c r="AW219" i="6"/>
  <c r="AX219" i="6" s="1"/>
  <c r="AS219" i="6"/>
  <c r="AQ30" i="6"/>
  <c r="AO127" i="6"/>
  <c r="AP52" i="6"/>
  <c r="AP219" i="6"/>
  <c r="BA104" i="6"/>
  <c r="AS25" i="6"/>
  <c r="AV69" i="6"/>
  <c r="BA105" i="6"/>
  <c r="AW105" i="6"/>
  <c r="AX105" i="6" s="1"/>
  <c r="AV105" i="6"/>
  <c r="AS105" i="6"/>
  <c r="AR187" i="6"/>
  <c r="AN211" i="6"/>
  <c r="AV97" i="6"/>
  <c r="AQ208" i="6"/>
  <c r="AP230" i="6"/>
  <c r="AO230" i="6"/>
  <c r="AS230" i="6"/>
  <c r="AN230" i="6"/>
  <c r="BA230" i="6"/>
  <c r="AW230" i="6"/>
  <c r="AX230" i="6" s="1"/>
  <c r="AV230" i="6"/>
  <c r="AV57" i="6"/>
  <c r="AR136" i="6"/>
  <c r="AW185" i="6"/>
  <c r="AX185" i="6" s="1"/>
  <c r="AW51" i="6"/>
  <c r="AX51" i="6" s="1"/>
  <c r="AR58" i="6"/>
  <c r="AW71" i="6"/>
  <c r="AX71" i="6" s="1"/>
  <c r="AP147" i="6"/>
  <c r="AV150" i="6"/>
  <c r="AQ154" i="6"/>
  <c r="AN166" i="6"/>
  <c r="AO178" i="6"/>
  <c r="BA178" i="6"/>
  <c r="AW178" i="6"/>
  <c r="AX178" i="6" s="1"/>
  <c r="AO182" i="6"/>
  <c r="BA182" i="6"/>
  <c r="AW182" i="6"/>
  <c r="AX182" i="6" s="1"/>
  <c r="AS182" i="6"/>
  <c r="AP182" i="6"/>
  <c r="AN182" i="6"/>
  <c r="AW237" i="6"/>
  <c r="AX237" i="6" s="1"/>
  <c r="AN92" i="6"/>
  <c r="AO202" i="6"/>
  <c r="AW202" i="6"/>
  <c r="AX202" i="6" s="1"/>
  <c r="AV202" i="6"/>
  <c r="AS202" i="6"/>
  <c r="BA202" i="6"/>
  <c r="AP25" i="6"/>
  <c r="AO92" i="6"/>
  <c r="AR30" i="6"/>
  <c r="BA190" i="6"/>
  <c r="BA85" i="6"/>
  <c r="AW85" i="6"/>
  <c r="AX85" i="6" s="1"/>
  <c r="BA41" i="6"/>
  <c r="AN41" i="6"/>
  <c r="AS41" i="6"/>
  <c r="AW41" i="6"/>
  <c r="AX41" i="6" s="1"/>
  <c r="AV41" i="6"/>
  <c r="AP41" i="6"/>
  <c r="AN85" i="6"/>
  <c r="BA129" i="6"/>
  <c r="AW129" i="6"/>
  <c r="AX129" i="6" s="1"/>
  <c r="AV129" i="6"/>
  <c r="AS129" i="6"/>
  <c r="AP129" i="6"/>
  <c r="BA145" i="6"/>
  <c r="AO41" i="6"/>
  <c r="AU114" i="6"/>
  <c r="CE114" i="6" s="1"/>
  <c r="AR114" i="6"/>
  <c r="AN57" i="6"/>
  <c r="AQ180" i="6"/>
  <c r="BA37" i="6"/>
  <c r="AW37" i="6"/>
  <c r="AX37" i="6" s="1"/>
  <c r="AV37" i="6"/>
  <c r="AS54" i="6"/>
  <c r="AP54" i="6"/>
  <c r="BA54" i="6"/>
  <c r="AV54" i="6"/>
  <c r="AW54" i="6"/>
  <c r="AX54" i="6" s="1"/>
  <c r="AO54" i="6"/>
  <c r="AN54" i="6"/>
  <c r="AV221" i="6"/>
  <c r="AS221" i="6"/>
  <c r="AW30" i="6"/>
  <c r="AX30" i="6" s="1"/>
  <c r="BA30" i="6"/>
  <c r="AS37" i="6"/>
  <c r="AS61" i="6"/>
  <c r="AP65" i="6"/>
  <c r="AP79" i="6"/>
  <c r="AO79" i="6"/>
  <c r="AN79" i="6"/>
  <c r="AV79" i="6"/>
  <c r="AS79" i="6"/>
  <c r="BA79" i="6"/>
  <c r="AW79" i="6"/>
  <c r="AX79" i="6" s="1"/>
  <c r="AW102" i="6"/>
  <c r="AX102" i="6" s="1"/>
  <c r="AR154" i="6"/>
  <c r="AS157" i="6"/>
  <c r="AP157" i="6"/>
  <c r="BA157" i="6"/>
  <c r="AV157" i="6"/>
  <c r="AT161" i="6"/>
  <c r="CD161" i="6" s="1"/>
  <c r="AQ161" i="6"/>
  <c r="AO166" i="6"/>
  <c r="AN178" i="6"/>
  <c r="AW221" i="6"/>
  <c r="AX221" i="6" s="1"/>
  <c r="AV88" i="6"/>
  <c r="AS88" i="6"/>
  <c r="AP88" i="6"/>
  <c r="AO88" i="6"/>
  <c r="AN88" i="6"/>
  <c r="AW116" i="6"/>
  <c r="AX116" i="6" s="1"/>
  <c r="AP116" i="6"/>
  <c r="AO116" i="6"/>
  <c r="AN116" i="6"/>
  <c r="BA116" i="6"/>
  <c r="AS116" i="6"/>
  <c r="AU132" i="6"/>
  <c r="CE132" i="6" s="1"/>
  <c r="AR132" i="6"/>
  <c r="BA137" i="6"/>
  <c r="AS137" i="6"/>
  <c r="AN137" i="6"/>
  <c r="AO137" i="6"/>
  <c r="AW140" i="6"/>
  <c r="AX140" i="6" s="1"/>
  <c r="AV140" i="6"/>
  <c r="AS140" i="6"/>
  <c r="AN140" i="6"/>
  <c r="AU173" i="6"/>
  <c r="CE173" i="6" s="1"/>
  <c r="BA200" i="6"/>
  <c r="AV200" i="6"/>
  <c r="AW200" i="6"/>
  <c r="AX200" i="6" s="1"/>
  <c r="AR209" i="6"/>
  <c r="AP222" i="6"/>
  <c r="AO222" i="6"/>
  <c r="BA222" i="6"/>
  <c r="AS222" i="6"/>
  <c r="AV222" i="6"/>
  <c r="AN222" i="6"/>
  <c r="AQ244" i="6"/>
  <c r="AV86" i="6"/>
  <c r="AS86" i="6"/>
  <c r="AN86" i="6"/>
  <c r="AW88" i="6"/>
  <c r="AX88" i="6" s="1"/>
  <c r="BA93" i="6"/>
  <c r="AW93" i="6"/>
  <c r="AX93" i="6" s="1"/>
  <c r="AV93" i="6"/>
  <c r="AS93" i="6"/>
  <c r="AN93" i="6"/>
  <c r="BA98" i="6"/>
  <c r="AS98" i="6"/>
  <c r="AV100" i="6"/>
  <c r="AS100" i="6"/>
  <c r="AP100" i="6"/>
  <c r="BA100" i="6"/>
  <c r="AN100" i="6"/>
  <c r="BA121" i="6"/>
  <c r="AW121" i="6"/>
  <c r="AX121" i="6" s="1"/>
  <c r="AV121" i="6"/>
  <c r="AP137" i="6"/>
  <c r="AO140" i="6"/>
  <c r="AV161" i="6"/>
  <c r="AS161" i="6"/>
  <c r="BA161" i="6"/>
  <c r="AP161" i="6"/>
  <c r="AU170" i="6"/>
  <c r="CE170" i="6" s="1"/>
  <c r="AR170" i="6"/>
  <c r="AN200" i="6"/>
  <c r="AU244" i="6"/>
  <c r="CE244" i="6" s="1"/>
  <c r="AR244" i="6"/>
  <c r="AV24" i="6"/>
  <c r="AW24" i="6"/>
  <c r="AX24" i="6" s="1"/>
  <c r="AQ29" i="6"/>
  <c r="AV36" i="6"/>
  <c r="AW36" i="6"/>
  <c r="AX36" i="6" s="1"/>
  <c r="AS36" i="6"/>
  <c r="AV60" i="6"/>
  <c r="AP60" i="6"/>
  <c r="AO60" i="6"/>
  <c r="AN60" i="6"/>
  <c r="AN70" i="6"/>
  <c r="AV72" i="6"/>
  <c r="AS72" i="6"/>
  <c r="AW72" i="6"/>
  <c r="AX72" i="6" s="1"/>
  <c r="AP72" i="6"/>
  <c r="AO86" i="6"/>
  <c r="AO93" i="6"/>
  <c r="AN98" i="6"/>
  <c r="AO100" i="6"/>
  <c r="AN121" i="6"/>
  <c r="AV137" i="6"/>
  <c r="AP140" i="6"/>
  <c r="AN161" i="6"/>
  <c r="AR173" i="6"/>
  <c r="AO200" i="6"/>
  <c r="AT216" i="6"/>
  <c r="CD216" i="6" s="1"/>
  <c r="AQ216" i="6"/>
  <c r="CU216" i="6" s="1"/>
  <c r="AW222" i="6"/>
  <c r="AX222" i="6" s="1"/>
  <c r="AT72" i="6"/>
  <c r="CD72" i="6" s="1"/>
  <c r="AQ72" i="6"/>
  <c r="AP91" i="6"/>
  <c r="AO91" i="6"/>
  <c r="AN91" i="6"/>
  <c r="BA91" i="6"/>
  <c r="AS91" i="6"/>
  <c r="AN133" i="6"/>
  <c r="AN159" i="6"/>
  <c r="AS70" i="6"/>
  <c r="AO77" i="6"/>
  <c r="AN82" i="6"/>
  <c r="AW86" i="6"/>
  <c r="AX86" i="6" s="1"/>
  <c r="AV96" i="6"/>
  <c r="AS96" i="6"/>
  <c r="AP96" i="6"/>
  <c r="AN101" i="6"/>
  <c r="AR121" i="6"/>
  <c r="AO123" i="6"/>
  <c r="BA140" i="6"/>
  <c r="AR146" i="6"/>
  <c r="BA162" i="6"/>
  <c r="AW162" i="6"/>
  <c r="AX162" i="6" s="1"/>
  <c r="AV162" i="6"/>
  <c r="AS162" i="6"/>
  <c r="AP162" i="6"/>
  <c r="AT177" i="6"/>
  <c r="CD177" i="6" s="1"/>
  <c r="AQ177" i="6"/>
  <c r="AN180" i="6"/>
  <c r="AS200" i="6"/>
  <c r="AU204" i="6"/>
  <c r="CE204" i="6" s="1"/>
  <c r="AR204" i="6"/>
  <c r="AV231" i="6"/>
  <c r="AO231" i="6"/>
  <c r="AW231" i="6"/>
  <c r="AX231" i="6" s="1"/>
  <c r="AS231" i="6"/>
  <c r="AP231" i="6"/>
  <c r="BA231" i="6"/>
  <c r="AT36" i="6"/>
  <c r="AP66" i="6"/>
  <c r="AO66" i="6"/>
  <c r="AN66" i="6"/>
  <c r="BA133" i="6"/>
  <c r="AW133" i="6"/>
  <c r="AX133" i="6" s="1"/>
  <c r="AV159" i="6"/>
  <c r="BA159" i="6"/>
  <c r="AW159" i="6"/>
  <c r="AX159" i="6" s="1"/>
  <c r="AU24" i="6"/>
  <c r="CE24" i="6" s="1"/>
  <c r="BA217" i="6"/>
  <c r="AW217" i="6"/>
  <c r="AX217" i="6" s="1"/>
  <c r="AV217" i="6"/>
  <c r="AO217" i="6"/>
  <c r="AQ36" i="6"/>
  <c r="AV84" i="6"/>
  <c r="AS84" i="6"/>
  <c r="AP84" i="6"/>
  <c r="BA84" i="6"/>
  <c r="AN84" i="6"/>
  <c r="BA33" i="6"/>
  <c r="AV33" i="6"/>
  <c r="AS33" i="6"/>
  <c r="AU36" i="6"/>
  <c r="CE36" i="6" s="1"/>
  <c r="AQ38" i="6"/>
  <c r="AN45" i="6"/>
  <c r="AN47" i="6"/>
  <c r="AO84" i="6"/>
  <c r="AN89" i="6"/>
  <c r="AN94" i="6"/>
  <c r="AN96" i="6"/>
  <c r="AO101" i="6"/>
  <c r="AR117" i="6"/>
  <c r="AS121" i="6"/>
  <c r="AP133" i="6"/>
  <c r="AR135" i="6"/>
  <c r="AU135" i="6"/>
  <c r="CE135" i="6" s="1"/>
  <c r="AQ138" i="6"/>
  <c r="BA141" i="6"/>
  <c r="AV141" i="6"/>
  <c r="AW141" i="6"/>
  <c r="AX141" i="6" s="1"/>
  <c r="AP141" i="6"/>
  <c r="AQ143" i="6"/>
  <c r="AT143" i="6"/>
  <c r="CD143" i="6" s="1"/>
  <c r="AP159" i="6"/>
  <c r="AN162" i="6"/>
  <c r="AO174" i="6"/>
  <c r="AS174" i="6"/>
  <c r="AW174" i="6"/>
  <c r="AX174" i="6" s="1"/>
  <c r="AN174" i="6"/>
  <c r="AR177" i="6"/>
  <c r="AP217" i="6"/>
  <c r="AN231" i="6"/>
  <c r="AV255" i="6"/>
  <c r="AO255" i="6"/>
  <c r="AW255" i="6"/>
  <c r="AX255" i="6" s="1"/>
  <c r="BA255" i="6"/>
  <c r="AS255" i="6"/>
  <c r="AN255" i="6"/>
  <c r="AT68" i="6"/>
  <c r="CD68" i="6" s="1"/>
  <c r="AU68" i="6"/>
  <c r="CE68" i="6" s="1"/>
  <c r="BA82" i="6"/>
  <c r="AS82" i="6"/>
  <c r="BA88" i="6"/>
  <c r="AS123" i="6"/>
  <c r="AW123" i="6"/>
  <c r="AX123" i="6" s="1"/>
  <c r="AV123" i="6"/>
  <c r="AN123" i="6"/>
  <c r="AT241" i="6"/>
  <c r="CD241" i="6" s="1"/>
  <c r="AQ241" i="6"/>
  <c r="AR24" i="6"/>
  <c r="AS24" i="6"/>
  <c r="AV40" i="6"/>
  <c r="BA40" i="6"/>
  <c r="AO45" i="6"/>
  <c r="AP47" i="6"/>
  <c r="BA49" i="6"/>
  <c r="AW49" i="6"/>
  <c r="AX49" i="6" s="1"/>
  <c r="AS68" i="6"/>
  <c r="AU70" i="6"/>
  <c r="CE70" i="6" s="1"/>
  <c r="BA72" i="6"/>
  <c r="AP82" i="6"/>
  <c r="AO89" i="6"/>
  <c r="AO94" i="6"/>
  <c r="AO96" i="6"/>
  <c r="AV98" i="6"/>
  <c r="AP101" i="6"/>
  <c r="AR108" i="6"/>
  <c r="AQ117" i="6"/>
  <c r="AR138" i="6"/>
  <c r="AR143" i="6"/>
  <c r="AO162" i="6"/>
  <c r="AR174" i="6"/>
  <c r="BA224" i="6"/>
  <c r="AW224" i="6"/>
  <c r="AX224" i="6" s="1"/>
  <c r="AV224" i="6"/>
  <c r="AN224" i="6"/>
  <c r="AV227" i="6"/>
  <c r="AO227" i="6"/>
  <c r="BA227" i="6"/>
  <c r="AW227" i="6"/>
  <c r="AX227" i="6" s="1"/>
  <c r="AP227" i="6"/>
  <c r="AN227" i="6"/>
  <c r="AP255" i="6"/>
  <c r="AT24" i="6"/>
  <c r="CD24" i="6" s="1"/>
  <c r="AV64" i="6"/>
  <c r="AW64" i="6"/>
  <c r="AX64" i="6" s="1"/>
  <c r="AO64" i="6"/>
  <c r="BA180" i="6"/>
  <c r="AS180" i="6"/>
  <c r="AP180" i="6"/>
  <c r="AQ24" i="6"/>
  <c r="AP64" i="6"/>
  <c r="AO28" i="6"/>
  <c r="AO33" i="6"/>
  <c r="AN40" i="6"/>
  <c r="AP45" i="6"/>
  <c r="AN49" i="6"/>
  <c r="AN53" i="6"/>
  <c r="AS64" i="6"/>
  <c r="AV66" i="6"/>
  <c r="AW68" i="6"/>
  <c r="AX68" i="6" s="1"/>
  <c r="AV70" i="6"/>
  <c r="AP75" i="6"/>
  <c r="AO75" i="6"/>
  <c r="AN75" i="6"/>
  <c r="BA75" i="6"/>
  <c r="AS75" i="6"/>
  <c r="BA86" i="6"/>
  <c r="AV91" i="6"/>
  <c r="AW98" i="6"/>
  <c r="AX98" i="6" s="1"/>
  <c r="BA123" i="6"/>
  <c r="AS133" i="6"/>
  <c r="AO141" i="6"/>
  <c r="BA144" i="6"/>
  <c r="AW144" i="6"/>
  <c r="AX144" i="6" s="1"/>
  <c r="AV144" i="6"/>
  <c r="AV154" i="6"/>
  <c r="AS154" i="6"/>
  <c r="BA154" i="6"/>
  <c r="AW154" i="6"/>
  <c r="AX154" i="6" s="1"/>
  <c r="BA168" i="6"/>
  <c r="AV168" i="6"/>
  <c r="AS168" i="6"/>
  <c r="AW168" i="6"/>
  <c r="AX168" i="6" s="1"/>
  <c r="AO168" i="6"/>
  <c r="AN168" i="6"/>
  <c r="AV171" i="6"/>
  <c r="AS171" i="6"/>
  <c r="AW171" i="6"/>
  <c r="AX171" i="6" s="1"/>
  <c r="AO171" i="6"/>
  <c r="AV174" i="6"/>
  <c r="AS217" i="6"/>
  <c r="AO224" i="6"/>
  <c r="BA249" i="6"/>
  <c r="AW249" i="6"/>
  <c r="AX249" i="6" s="1"/>
  <c r="AV249" i="6"/>
  <c r="AO249" i="6"/>
  <c r="AP249" i="6"/>
  <c r="AN249" i="6"/>
  <c r="AO26" i="6"/>
  <c r="AN26" i="6"/>
  <c r="AN64" i="6"/>
  <c r="BA77" i="6"/>
  <c r="AW77" i="6"/>
  <c r="AX77" i="6" s="1"/>
  <c r="AV77" i="6"/>
  <c r="AS77" i="6"/>
  <c r="AN77" i="6"/>
  <c r="BA89" i="6"/>
  <c r="AS89" i="6"/>
  <c r="AS26" i="6"/>
  <c r="AP28" i="6"/>
  <c r="AP33" i="6"/>
  <c r="AO35" i="6"/>
  <c r="AN35" i="6"/>
  <c r="AO40" i="6"/>
  <c r="AS45" i="6"/>
  <c r="AS47" i="6"/>
  <c r="AO49" i="6"/>
  <c r="AO53" i="6"/>
  <c r="BA60" i="6"/>
  <c r="AW66" i="6"/>
  <c r="AX66" i="6" s="1"/>
  <c r="BA70" i="6"/>
  <c r="AV80" i="6"/>
  <c r="AS80" i="6"/>
  <c r="AP80" i="6"/>
  <c r="AW84" i="6"/>
  <c r="AX84" i="6" s="1"/>
  <c r="AP87" i="6"/>
  <c r="AO87" i="6"/>
  <c r="AN87" i="6"/>
  <c r="AW91" i="6"/>
  <c r="AX91" i="6" s="1"/>
  <c r="AQ113" i="6"/>
  <c r="CH113" i="6" s="1"/>
  <c r="AT113" i="6"/>
  <c r="CD113" i="6" s="1"/>
  <c r="AW124" i="6"/>
  <c r="AX124" i="6" s="1"/>
  <c r="AV124" i="6"/>
  <c r="AP124" i="6"/>
  <c r="AO124" i="6"/>
  <c r="AN124" i="6"/>
  <c r="AN144" i="6"/>
  <c r="AU151" i="6"/>
  <c r="CE151" i="6" s="1"/>
  <c r="AR151" i="6"/>
  <c r="AN154" i="6"/>
  <c r="AS159" i="6"/>
  <c r="AP168" i="6"/>
  <c r="AN171" i="6"/>
  <c r="BA174" i="6"/>
  <c r="AV180" i="6"/>
  <c r="BA184" i="6"/>
  <c r="AW184" i="6"/>
  <c r="AX184" i="6" s="1"/>
  <c r="AV184" i="6"/>
  <c r="AS184" i="6"/>
  <c r="AP184" i="6"/>
  <c r="AO184" i="6"/>
  <c r="AU201" i="6"/>
  <c r="CE201" i="6" s="1"/>
  <c r="AP224" i="6"/>
  <c r="AS227" i="6"/>
  <c r="BA232" i="6"/>
  <c r="AW232" i="6"/>
  <c r="AX232" i="6" s="1"/>
  <c r="AV232" i="6"/>
  <c r="AS232" i="6"/>
  <c r="AO232" i="6"/>
  <c r="AN232" i="6"/>
  <c r="AP232" i="6"/>
  <c r="AS249" i="6"/>
  <c r="AS135" i="6"/>
  <c r="BA135" i="6"/>
  <c r="AV191" i="6"/>
  <c r="BA191" i="6"/>
  <c r="AP191" i="6"/>
  <c r="AO191" i="6"/>
  <c r="AN191" i="6"/>
  <c r="BA196" i="6"/>
  <c r="AW196" i="6"/>
  <c r="AX196" i="6" s="1"/>
  <c r="AV196" i="6"/>
  <c r="AS196" i="6"/>
  <c r="AP214" i="6"/>
  <c r="AO214" i="6"/>
  <c r="BA214" i="6"/>
  <c r="AW214" i="6"/>
  <c r="AX214" i="6" s="1"/>
  <c r="AV214" i="6"/>
  <c r="AP250" i="6"/>
  <c r="AO250" i="6"/>
  <c r="BA250" i="6"/>
  <c r="AS143" i="6"/>
  <c r="AW143" i="6"/>
  <c r="AX143" i="6" s="1"/>
  <c r="AV143" i="6"/>
  <c r="AN143" i="6"/>
  <c r="AV151" i="6"/>
  <c r="AW151" i="6"/>
  <c r="AX151" i="6" s="1"/>
  <c r="AS151" i="6"/>
  <c r="AO151" i="6"/>
  <c r="AT196" i="6"/>
  <c r="CD196" i="6" s="1"/>
  <c r="AV241" i="6"/>
  <c r="AS241" i="6"/>
  <c r="AW241" i="6"/>
  <c r="AX241" i="6" s="1"/>
  <c r="AU247" i="6"/>
  <c r="CE247" i="6" s="1"/>
  <c r="AR247" i="6"/>
  <c r="AV135" i="6"/>
  <c r="BA172" i="6"/>
  <c r="AP172" i="6"/>
  <c r="AO172" i="6"/>
  <c r="AN172" i="6"/>
  <c r="AU179" i="6"/>
  <c r="CE179" i="6" s="1"/>
  <c r="AR179" i="6"/>
  <c r="AP241" i="6"/>
  <c r="AN29" i="6"/>
  <c r="AN63" i="6"/>
  <c r="AW108" i="6"/>
  <c r="AX108" i="6" s="1"/>
  <c r="BA108" i="6"/>
  <c r="AW135" i="6"/>
  <c r="AX135" i="6" s="1"/>
  <c r="AW158" i="6"/>
  <c r="AX158" i="6" s="1"/>
  <c r="AV158" i="6"/>
  <c r="AS158" i="6"/>
  <c r="AP158" i="6"/>
  <c r="AO158" i="6"/>
  <c r="AS212" i="6"/>
  <c r="AV215" i="6"/>
  <c r="AO215" i="6"/>
  <c r="BA215" i="6"/>
  <c r="AW215" i="6"/>
  <c r="AX215" i="6" s="1"/>
  <c r="AS215" i="6"/>
  <c r="BA236" i="6"/>
  <c r="AV236" i="6"/>
  <c r="AS236" i="6"/>
  <c r="AP236" i="6"/>
  <c r="AV250" i="6"/>
  <c r="AW117" i="6"/>
  <c r="AX117" i="6" s="1"/>
  <c r="AV117" i="6"/>
  <c r="AT126" i="6"/>
  <c r="CD126" i="6" s="1"/>
  <c r="AQ126" i="6"/>
  <c r="AW136" i="6"/>
  <c r="AX136" i="6" s="1"/>
  <c r="AV136" i="6"/>
  <c r="BA151" i="6"/>
  <c r="AW165" i="6"/>
  <c r="AX165" i="6" s="1"/>
  <c r="AV165" i="6"/>
  <c r="AP165" i="6"/>
  <c r="AO165" i="6"/>
  <c r="AN165" i="6"/>
  <c r="AS172" i="6"/>
  <c r="AT207" i="6"/>
  <c r="CD207" i="6" s="1"/>
  <c r="AQ207" i="6"/>
  <c r="AN215" i="6"/>
  <c r="AP226" i="6"/>
  <c r="AO226" i="6"/>
  <c r="AW226" i="6"/>
  <c r="AX226" i="6" s="1"/>
  <c r="AV226" i="6"/>
  <c r="AS226" i="6"/>
  <c r="AN236" i="6"/>
  <c r="BA241" i="6"/>
  <c r="AW250" i="6"/>
  <c r="AX250" i="6" s="1"/>
  <c r="AP29" i="6"/>
  <c r="AO32" i="6"/>
  <c r="AP83" i="6"/>
  <c r="AO83" i="6"/>
  <c r="AN83" i="6"/>
  <c r="AP99" i="6"/>
  <c r="AO99" i="6"/>
  <c r="AN99" i="6"/>
  <c r="AO108" i="6"/>
  <c r="AO115" i="6"/>
  <c r="AN117" i="6"/>
  <c r="AU126" i="6"/>
  <c r="CE126" i="6" s="1"/>
  <c r="AW132" i="6"/>
  <c r="AX132" i="6" s="1"/>
  <c r="AV132" i="6"/>
  <c r="BA132" i="6"/>
  <c r="AN136" i="6"/>
  <c r="AU136" i="6" s="1"/>
  <c r="CE136" i="6" s="1"/>
  <c r="BA143" i="6"/>
  <c r="BA152" i="6"/>
  <c r="AW152" i="6"/>
  <c r="AX152" i="6" s="1"/>
  <c r="AT156" i="6"/>
  <c r="CD156" i="6" s="1"/>
  <c r="AQ156" i="6"/>
  <c r="AU199" i="6"/>
  <c r="CE199" i="6" s="1"/>
  <c r="AR199" i="6"/>
  <c r="AP215" i="6"/>
  <c r="AN226" i="6"/>
  <c r="AO236" i="6"/>
  <c r="AT220" i="6"/>
  <c r="CD220" i="6" s="1"/>
  <c r="AP246" i="6"/>
  <c r="AO246" i="6"/>
  <c r="AW246" i="6"/>
  <c r="AX246" i="6" s="1"/>
  <c r="AV246" i="6"/>
  <c r="AS246" i="6"/>
  <c r="AN177" i="6"/>
  <c r="AN179" i="6"/>
  <c r="AT179" i="6" s="1"/>
  <c r="CD179" i="6" s="1"/>
  <c r="AN209" i="6"/>
  <c r="AU239" i="6"/>
  <c r="CE239" i="6" s="1"/>
  <c r="BA244" i="6"/>
  <c r="AW244" i="6"/>
  <c r="AX244" i="6" s="1"/>
  <c r="AV244" i="6"/>
  <c r="AN244" i="6"/>
  <c r="AN246" i="6"/>
  <c r="AV251" i="6"/>
  <c r="AO251" i="6"/>
  <c r="AW251" i="6"/>
  <c r="AX251" i="6" s="1"/>
  <c r="AS251" i="6"/>
  <c r="AP251" i="6"/>
  <c r="AP113" i="6"/>
  <c r="AW128" i="6"/>
  <c r="AX128" i="6" s="1"/>
  <c r="AV128" i="6"/>
  <c r="AP148" i="6"/>
  <c r="AW193" i="6"/>
  <c r="AX193" i="6" s="1"/>
  <c r="AV193" i="6"/>
  <c r="AS193" i="6"/>
  <c r="AP197" i="6"/>
  <c r="AV205" i="6"/>
  <c r="AS205" i="6"/>
  <c r="AV235" i="6"/>
  <c r="AO235" i="6"/>
  <c r="AP242" i="6"/>
  <c r="AO242" i="6"/>
  <c r="BA242" i="6"/>
  <c r="BA256" i="6"/>
  <c r="AW256" i="6"/>
  <c r="AX256" i="6" s="1"/>
  <c r="AV256" i="6"/>
  <c r="AS256" i="6"/>
  <c r="AN125" i="6"/>
  <c r="AN128" i="6"/>
  <c r="AN131" i="6"/>
  <c r="AV177" i="6"/>
  <c r="AV187" i="6"/>
  <c r="AW187" i="6"/>
  <c r="AX187" i="6" s="1"/>
  <c r="AS187" i="6"/>
  <c r="AN193" i="6"/>
  <c r="AV199" i="6"/>
  <c r="AW199" i="6"/>
  <c r="AX199" i="6" s="1"/>
  <c r="AS199" i="6"/>
  <c r="AN205" i="6"/>
  <c r="AN235" i="6"/>
  <c r="AN242" i="6"/>
  <c r="BA246" i="6"/>
  <c r="BA251" i="6"/>
  <c r="AN256" i="6"/>
  <c r="AO125" i="6"/>
  <c r="AO128" i="6"/>
  <c r="AO131" i="6"/>
  <c r="AV155" i="6"/>
  <c r="BA155" i="6"/>
  <c r="AW177" i="6"/>
  <c r="AX177" i="6" s="1"/>
  <c r="AS179" i="6"/>
  <c r="AO193" i="6"/>
  <c r="AO205" i="6"/>
  <c r="AS209" i="6"/>
  <c r="BA216" i="6"/>
  <c r="AV216" i="6"/>
  <c r="AS216" i="6"/>
  <c r="AP216" i="6"/>
  <c r="AP235" i="6"/>
  <c r="AS244" i="6"/>
  <c r="AV247" i="6"/>
  <c r="AO247" i="6"/>
  <c r="BA247" i="6"/>
  <c r="AO256" i="6"/>
  <c r="AP125" i="6"/>
  <c r="AP128" i="6"/>
  <c r="AP131" i="6"/>
  <c r="AS148" i="6"/>
  <c r="AN155" i="6"/>
  <c r="AP193" i="6"/>
  <c r="AS197" i="6"/>
  <c r="AT199" i="6"/>
  <c r="CD199" i="6" s="1"/>
  <c r="AQ199" i="6"/>
  <c r="AP205" i="6"/>
  <c r="AS242" i="6"/>
  <c r="AN247" i="6"/>
  <c r="AN252" i="6"/>
  <c r="AP256" i="6"/>
  <c r="AP234" i="6"/>
  <c r="AO234" i="6"/>
  <c r="AV239" i="6"/>
  <c r="AO239" i="6"/>
  <c r="AV234" i="6"/>
  <c r="AW239" i="6"/>
  <c r="AX239" i="6" s="1"/>
  <c r="AN213" i="6"/>
  <c r="AN233" i="6"/>
  <c r="AW234" i="6"/>
  <c r="AX234" i="6" s="1"/>
  <c r="AN253" i="6"/>
  <c r="AO183" i="6"/>
  <c r="AN186" i="6"/>
  <c r="AO189" i="6"/>
  <c r="AN192" i="6"/>
  <c r="AO213" i="6"/>
  <c r="AP218" i="6"/>
  <c r="AO218" i="6"/>
  <c r="AV223" i="6"/>
  <c r="AO223" i="6"/>
  <c r="AO233" i="6"/>
  <c r="AP238" i="6"/>
  <c r="AO238" i="6"/>
  <c r="AV243" i="6"/>
  <c r="AO243" i="6"/>
  <c r="AO253" i="6"/>
  <c r="AN153" i="6"/>
  <c r="AN160" i="6"/>
  <c r="AN167" i="6"/>
  <c r="AP183" i="6"/>
  <c r="AP186" i="6"/>
  <c r="AO192" i="6"/>
  <c r="AN195" i="6"/>
  <c r="AN201" i="6"/>
  <c r="AN218" i="6"/>
  <c r="AN223" i="6"/>
  <c r="AO228" i="6"/>
  <c r="AN238" i="6"/>
  <c r="AN243" i="6"/>
  <c r="AO248" i="6"/>
  <c r="AN146" i="6"/>
  <c r="AO153" i="6"/>
  <c r="AO160" i="6"/>
  <c r="AO167" i="6"/>
  <c r="AP192" i="6"/>
  <c r="AO195" i="6"/>
  <c r="AO201" i="6"/>
  <c r="AP210" i="6"/>
  <c r="AO210" i="6"/>
  <c r="AP223" i="6"/>
  <c r="AP228" i="6"/>
  <c r="BA239" i="6"/>
  <c r="AP243" i="6"/>
  <c r="AP248" i="6"/>
  <c r="AP160" i="6"/>
  <c r="AP167" i="6"/>
  <c r="AS186" i="6"/>
  <c r="AP195" i="6"/>
  <c r="AP198" i="6"/>
  <c r="AO204" i="6"/>
  <c r="AN207" i="6"/>
  <c r="AN210" i="6"/>
  <c r="AS218" i="6"/>
  <c r="BA234" i="6"/>
  <c r="AS238" i="6"/>
  <c r="AO254" i="6"/>
  <c r="AA22" i="6"/>
  <c r="P29" i="6"/>
  <c r="E28" i="6"/>
  <c r="DJ15" i="6"/>
  <c r="BN23" i="6"/>
  <c r="Q64" i="6" a="1"/>
  <c r="O15" i="6" a="1"/>
  <c r="O14" i="6" a="1"/>
  <c r="DH34" i="6" l="1"/>
  <c r="AT25" i="6"/>
  <c r="CD25" i="6" s="1"/>
  <c r="CU25" i="6"/>
  <c r="CH25" i="6"/>
  <c r="DH132" i="6"/>
  <c r="CU88" i="6"/>
  <c r="CH88" i="6"/>
  <c r="CU168" i="6"/>
  <c r="AT47" i="6"/>
  <c r="CD47" i="6" s="1"/>
  <c r="CU47" i="6"/>
  <c r="CH47" i="6"/>
  <c r="AQ134" i="6"/>
  <c r="AT134" i="6"/>
  <c r="CD134" i="6" s="1"/>
  <c r="AT98" i="6"/>
  <c r="CD98" i="6" s="1"/>
  <c r="CU98" i="6"/>
  <c r="CH98" i="6"/>
  <c r="CU141" i="6"/>
  <c r="CH141" i="6"/>
  <c r="AU200" i="6"/>
  <c r="CE200" i="6" s="1"/>
  <c r="AU171" i="6"/>
  <c r="CE171" i="6" s="1"/>
  <c r="CH155" i="6"/>
  <c r="CU155" i="6"/>
  <c r="AT155" i="6"/>
  <c r="CD155" i="6" s="1"/>
  <c r="AU155" i="6"/>
  <c r="CE155" i="6" s="1"/>
  <c r="AU93" i="6"/>
  <c r="CE93" i="6" s="1"/>
  <c r="DH36" i="6"/>
  <c r="AT186" i="6"/>
  <c r="CD186" i="6" s="1"/>
  <c r="CU186" i="6"/>
  <c r="CH186" i="6"/>
  <c r="AT159" i="6"/>
  <c r="CD159" i="6" s="1"/>
  <c r="CU159" i="6"/>
  <c r="CH159" i="6"/>
  <c r="AU123" i="6"/>
  <c r="CE123" i="6" s="1"/>
  <c r="CU211" i="6"/>
  <c r="CH211" i="6"/>
  <c r="AT102" i="6"/>
  <c r="CD102" i="6" s="1"/>
  <c r="CU102" i="6"/>
  <c r="CH102" i="6"/>
  <c r="AT133" i="6"/>
  <c r="CD133" i="6" s="1"/>
  <c r="CU133" i="6"/>
  <c r="CH133" i="6"/>
  <c r="AU98" i="6"/>
  <c r="CE98" i="6" s="1"/>
  <c r="CH169" i="6"/>
  <c r="CU175" i="6"/>
  <c r="CH175" i="6"/>
  <c r="AU253" i="6"/>
  <c r="CE253" i="6" s="1"/>
  <c r="AU213" i="6"/>
  <c r="CE213" i="6" s="1"/>
  <c r="CH112" i="6"/>
  <c r="CU112" i="6"/>
  <c r="AU42" i="6"/>
  <c r="CE42" i="6" s="1"/>
  <c r="CU42" i="6"/>
  <c r="CH42" i="6"/>
  <c r="AT42" i="6"/>
  <c r="CD42" i="6" s="1"/>
  <c r="CQ216" i="6"/>
  <c r="CH69" i="6"/>
  <c r="CU176" i="6"/>
  <c r="CH176" i="6"/>
  <c r="CH110" i="6"/>
  <c r="CU110" i="6"/>
  <c r="CH118" i="6"/>
  <c r="CU214" i="6"/>
  <c r="AU117" i="6"/>
  <c r="CE117" i="6" s="1"/>
  <c r="CU117" i="6"/>
  <c r="CH117" i="6"/>
  <c r="AT154" i="6"/>
  <c r="CD154" i="6" s="1"/>
  <c r="CU154" i="6"/>
  <c r="CH154" i="6"/>
  <c r="AU26" i="6"/>
  <c r="CE26" i="6" s="1"/>
  <c r="CU26" i="6"/>
  <c r="CH26" i="6"/>
  <c r="DH24" i="6"/>
  <c r="CU152" i="6"/>
  <c r="CH152" i="6"/>
  <c r="AU233" i="6"/>
  <c r="CE233" i="6" s="1"/>
  <c r="DH220" i="6"/>
  <c r="CU91" i="6"/>
  <c r="CH140" i="6"/>
  <c r="AT208" i="6"/>
  <c r="CD208" i="6" s="1"/>
  <c r="CU208" i="6"/>
  <c r="CH208" i="6"/>
  <c r="CU72" i="6"/>
  <c r="CH72" i="6"/>
  <c r="AT70" i="6"/>
  <c r="CD70" i="6" s="1"/>
  <c r="CU70" i="6"/>
  <c r="CH70" i="6"/>
  <c r="CU74" i="6"/>
  <c r="CH74" i="6"/>
  <c r="AU153" i="6"/>
  <c r="CE153" i="6" s="1"/>
  <c r="CH246" i="6"/>
  <c r="CH56" i="6"/>
  <c r="CU56" i="6"/>
  <c r="CH216" i="6"/>
  <c r="AQ245" i="6"/>
  <c r="AT245" i="6"/>
  <c r="CD245" i="6" s="1"/>
  <c r="AU53" i="6"/>
  <c r="CE53" i="6" s="1"/>
  <c r="CH137" i="6"/>
  <c r="DH109" i="6"/>
  <c r="AU245" i="6"/>
  <c r="CE245" i="6" s="1"/>
  <c r="AR245" i="6"/>
  <c r="CU130" i="6"/>
  <c r="CH130" i="6"/>
  <c r="CU83" i="6"/>
  <c r="CH83" i="6"/>
  <c r="CU242" i="6"/>
  <c r="AU35" i="6"/>
  <c r="CE35" i="6" s="1"/>
  <c r="AU49" i="6"/>
  <c r="CE49" i="6" s="1"/>
  <c r="AU178" i="6"/>
  <c r="CE178" i="6" s="1"/>
  <c r="AU110" i="6"/>
  <c r="CE110" i="6" s="1"/>
  <c r="AU40" i="6"/>
  <c r="CE40" i="6" s="1"/>
  <c r="AU166" i="6"/>
  <c r="CE166" i="6" s="1"/>
  <c r="AU176" i="6"/>
  <c r="CE176" i="6" s="1"/>
  <c r="DH30" i="6"/>
  <c r="AU252" i="6"/>
  <c r="CE252" i="6" s="1"/>
  <c r="CU252" i="6"/>
  <c r="CH252" i="6"/>
  <c r="DH196" i="6"/>
  <c r="CU113" i="6"/>
  <c r="CU54" i="6"/>
  <c r="CH54" i="6"/>
  <c r="AU188" i="6"/>
  <c r="CE188" i="6" s="1"/>
  <c r="CU138" i="6"/>
  <c r="CH138" i="6"/>
  <c r="CH78" i="6"/>
  <c r="CH191" i="6"/>
  <c r="CU36" i="6"/>
  <c r="AT106" i="6"/>
  <c r="CD106" i="6" s="1"/>
  <c r="AQ106" i="6"/>
  <c r="CU109" i="6"/>
  <c r="CH109" i="6"/>
  <c r="CU78" i="6"/>
  <c r="CH144" i="6"/>
  <c r="CU144" i="6"/>
  <c r="AT244" i="6"/>
  <c r="CD244" i="6" s="1"/>
  <c r="CU244" i="6"/>
  <c r="CH244" i="6"/>
  <c r="CU179" i="6"/>
  <c r="CH179" i="6"/>
  <c r="DH126" i="6"/>
  <c r="CH87" i="6"/>
  <c r="CU161" i="6"/>
  <c r="CH161" i="6"/>
  <c r="AU118" i="6"/>
  <c r="CE118" i="6" s="1"/>
  <c r="CU37" i="6"/>
  <c r="CH37" i="6"/>
  <c r="CU61" i="6"/>
  <c r="CH217" i="6"/>
  <c r="CU217" i="6"/>
  <c r="CH80" i="6"/>
  <c r="CU80" i="6"/>
  <c r="AU78" i="6"/>
  <c r="CE78" i="6" s="1"/>
  <c r="AT209" i="6"/>
  <c r="CD209" i="6" s="1"/>
  <c r="CH209" i="6"/>
  <c r="CU209" i="6"/>
  <c r="AU177" i="6"/>
  <c r="CE177" i="6" s="1"/>
  <c r="CH177" i="6"/>
  <c r="CU177" i="6"/>
  <c r="AU237" i="6"/>
  <c r="CE237" i="6" s="1"/>
  <c r="CU237" i="6"/>
  <c r="CH237" i="6"/>
  <c r="AT225" i="6"/>
  <c r="CD225" i="6" s="1"/>
  <c r="AQ225" i="6"/>
  <c r="AR55" i="6"/>
  <c r="AU55" i="6"/>
  <c r="CE55" i="6" s="1"/>
  <c r="AU86" i="6"/>
  <c r="CE86" i="6" s="1"/>
  <c r="CU147" i="6"/>
  <c r="CH147" i="6"/>
  <c r="AU207" i="6"/>
  <c r="CE207" i="6" s="1"/>
  <c r="CU207" i="6"/>
  <c r="CH207" i="6"/>
  <c r="CU199" i="6"/>
  <c r="CH199" i="6"/>
  <c r="CU63" i="6"/>
  <c r="CH63" i="6"/>
  <c r="AU77" i="6"/>
  <c r="CE77" i="6" s="1"/>
  <c r="AT82" i="6"/>
  <c r="CD82" i="6" s="1"/>
  <c r="CU82" i="6"/>
  <c r="CH82" i="6"/>
  <c r="AU209" i="6"/>
  <c r="CE209" i="6" s="1"/>
  <c r="AU154" i="6"/>
  <c r="CE154" i="6" s="1"/>
  <c r="DH114" i="6"/>
  <c r="CU97" i="6"/>
  <c r="CH97" i="6"/>
  <c r="AR115" i="6"/>
  <c r="AU115" i="6"/>
  <c r="CE115" i="6" s="1"/>
  <c r="AT146" i="6"/>
  <c r="CD146" i="6" s="1"/>
  <c r="CU146" i="6"/>
  <c r="CH146" i="6"/>
  <c r="DH199" i="6"/>
  <c r="AT136" i="6"/>
  <c r="CD136" i="6" s="1"/>
  <c r="CU136" i="6"/>
  <c r="CH136" i="6"/>
  <c r="CU29" i="6"/>
  <c r="CH29" i="6"/>
  <c r="AU143" i="6"/>
  <c r="CE143" i="6" s="1"/>
  <c r="CU143" i="6"/>
  <c r="CH143" i="6"/>
  <c r="AU174" i="6"/>
  <c r="CE174" i="6" s="1"/>
  <c r="AU94" i="6"/>
  <c r="CE94" i="6" s="1"/>
  <c r="CU94" i="6"/>
  <c r="AT180" i="6"/>
  <c r="CD180" i="6" s="1"/>
  <c r="CU180" i="6"/>
  <c r="CH180" i="6"/>
  <c r="AU121" i="6"/>
  <c r="CE121" i="6" s="1"/>
  <c r="CU121" i="6"/>
  <c r="CH121" i="6"/>
  <c r="AT252" i="6"/>
  <c r="CD252" i="6" s="1"/>
  <c r="AT65" i="6"/>
  <c r="CD65" i="6" s="1"/>
  <c r="CU65" i="6"/>
  <c r="CH65" i="6"/>
  <c r="AU221" i="6"/>
  <c r="CE221" i="6" s="1"/>
  <c r="AT29" i="6"/>
  <c r="CD29" i="6" s="1"/>
  <c r="AT176" i="6"/>
  <c r="CD176" i="6" s="1"/>
  <c r="CH198" i="6"/>
  <c r="AU89" i="6"/>
  <c r="CE89" i="6" s="1"/>
  <c r="CH41" i="6"/>
  <c r="AU58" i="6"/>
  <c r="CE58" i="6" s="1"/>
  <c r="CU73" i="6"/>
  <c r="CH73" i="6"/>
  <c r="CQ196" i="6"/>
  <c r="AT187" i="6"/>
  <c r="CD187" i="6" s="1"/>
  <c r="AQ187" i="6"/>
  <c r="CH219" i="6"/>
  <c r="AR119" i="6"/>
  <c r="AU119" i="6"/>
  <c r="CE119" i="6" s="1"/>
  <c r="CU30" i="6"/>
  <c r="CH30" i="6"/>
  <c r="AT240" i="6"/>
  <c r="CD240" i="6" s="1"/>
  <c r="AQ240" i="6"/>
  <c r="AQ118" i="6"/>
  <c r="AT118" i="6"/>
  <c r="CD118" i="6" s="1"/>
  <c r="CU251" i="6"/>
  <c r="CU71" i="6"/>
  <c r="CH71" i="6"/>
  <c r="CU132" i="6"/>
  <c r="CH132" i="6"/>
  <c r="CH68" i="6"/>
  <c r="CU106" i="6"/>
  <c r="CH106" i="6"/>
  <c r="CU119" i="6"/>
  <c r="CH119" i="6"/>
  <c r="CU202" i="6"/>
  <c r="CH202" i="6"/>
  <c r="AU122" i="6"/>
  <c r="CE122" i="6" s="1"/>
  <c r="AU130" i="6"/>
  <c r="CE130" i="6" s="1"/>
  <c r="AR130" i="6"/>
  <c r="AT122" i="6"/>
  <c r="CD122" i="6" s="1"/>
  <c r="AQ122" i="6"/>
  <c r="AT170" i="6"/>
  <c r="CD170" i="6" s="1"/>
  <c r="CU170" i="6"/>
  <c r="CH170" i="6"/>
  <c r="CH245" i="6"/>
  <c r="CU245" i="6"/>
  <c r="CQ135" i="6"/>
  <c r="CU142" i="6"/>
  <c r="CH142" i="6"/>
  <c r="CU68" i="6"/>
  <c r="CH135" i="6"/>
  <c r="CH148" i="6"/>
  <c r="CU148" i="6"/>
  <c r="CH105" i="6"/>
  <c r="CU197" i="6"/>
  <c r="CH197" i="6"/>
  <c r="CQ212" i="6"/>
  <c r="CH156" i="6"/>
  <c r="CU156" i="6"/>
  <c r="AT119" i="6"/>
  <c r="CD119" i="6" s="1"/>
  <c r="CU114" i="6"/>
  <c r="CH114" i="6"/>
  <c r="CU134" i="6"/>
  <c r="CH134" i="6"/>
  <c r="AT163" i="6"/>
  <c r="CD163" i="6" s="1"/>
  <c r="AQ163" i="6"/>
  <c r="CU44" i="6"/>
  <c r="CH44" i="6"/>
  <c r="AT38" i="6"/>
  <c r="CD38" i="6" s="1"/>
  <c r="AT149" i="6"/>
  <c r="CD149" i="6" s="1"/>
  <c r="AQ149" i="6"/>
  <c r="AT135" i="6"/>
  <c r="CD135" i="6" s="1"/>
  <c r="AR189" i="6"/>
  <c r="AU189" i="6"/>
  <c r="CE189" i="6" s="1"/>
  <c r="CU38" i="6"/>
  <c r="CH38" i="6"/>
  <c r="AU138" i="6"/>
  <c r="CE138" i="6" s="1"/>
  <c r="CU33" i="6"/>
  <c r="AQ198" i="6"/>
  <c r="AT198" i="6"/>
  <c r="CD198" i="6" s="1"/>
  <c r="AR134" i="6"/>
  <c r="AU134" i="6"/>
  <c r="CE134" i="6" s="1"/>
  <c r="AU156" i="6"/>
  <c r="CE156" i="6" s="1"/>
  <c r="AR156" i="6"/>
  <c r="CH126" i="6"/>
  <c r="CU126" i="6"/>
  <c r="CU24" i="6"/>
  <c r="CH24" i="6"/>
  <c r="AU254" i="6"/>
  <c r="CE254" i="6" s="1"/>
  <c r="AR254" i="6"/>
  <c r="AU27" i="6"/>
  <c r="CE27" i="6" s="1"/>
  <c r="AR27" i="6"/>
  <c r="CU220" i="6"/>
  <c r="CH220" i="6"/>
  <c r="CU187" i="6"/>
  <c r="CH187" i="6"/>
  <c r="CU157" i="6"/>
  <c r="CH157" i="6"/>
  <c r="CU50" i="6"/>
  <c r="CH50" i="6"/>
  <c r="DH73" i="6"/>
  <c r="CU34" i="6"/>
  <c r="CH34" i="6"/>
  <c r="AR106" i="6"/>
  <c r="AU106" i="6"/>
  <c r="CE106" i="6" s="1"/>
  <c r="CH173" i="6"/>
  <c r="CU173" i="6"/>
  <c r="CH241" i="6"/>
  <c r="CU241" i="6"/>
  <c r="AT142" i="6"/>
  <c r="CD142" i="6" s="1"/>
  <c r="CH196" i="6"/>
  <c r="CH225" i="6"/>
  <c r="CU225" i="6"/>
  <c r="CH149" i="6"/>
  <c r="AT59" i="6"/>
  <c r="CD59" i="6" s="1"/>
  <c r="CU59" i="6"/>
  <c r="CH59" i="6"/>
  <c r="CU248" i="6"/>
  <c r="AR210" i="6"/>
  <c r="AU210" i="6"/>
  <c r="CE210" i="6" s="1"/>
  <c r="AU125" i="6"/>
  <c r="CE125" i="6" s="1"/>
  <c r="AR125" i="6"/>
  <c r="AT128" i="6"/>
  <c r="CD128" i="6" s="1"/>
  <c r="AQ128" i="6"/>
  <c r="CH128" i="6" s="1"/>
  <c r="AT115" i="6"/>
  <c r="CD115" i="6" s="1"/>
  <c r="AQ115" i="6"/>
  <c r="AQ172" i="6"/>
  <c r="AT172" i="6"/>
  <c r="CD172" i="6" s="1"/>
  <c r="AQ250" i="6"/>
  <c r="AT250" i="6"/>
  <c r="CD250" i="6" s="1"/>
  <c r="AQ75" i="6"/>
  <c r="AT75" i="6"/>
  <c r="CD75" i="6" s="1"/>
  <c r="AT77" i="6"/>
  <c r="CD77" i="6" s="1"/>
  <c r="AQ77" i="6"/>
  <c r="AQ190" i="6"/>
  <c r="AT190" i="6"/>
  <c r="CD190" i="6" s="1"/>
  <c r="AQ181" i="6"/>
  <c r="AT181" i="6"/>
  <c r="CD181" i="6" s="1"/>
  <c r="AR185" i="6"/>
  <c r="AU185" i="6"/>
  <c r="CE185" i="6" s="1"/>
  <c r="AQ81" i="6"/>
  <c r="CU81" i="6" s="1"/>
  <c r="AT81" i="6"/>
  <c r="CD81" i="6" s="1"/>
  <c r="AU223" i="6"/>
  <c r="CE223" i="6" s="1"/>
  <c r="AR223" i="6"/>
  <c r="AQ57" i="6"/>
  <c r="AT57" i="6"/>
  <c r="CD57" i="6" s="1"/>
  <c r="AT125" i="6"/>
  <c r="CD125" i="6" s="1"/>
  <c r="AQ125" i="6"/>
  <c r="AT215" i="6"/>
  <c r="CD215" i="6" s="1"/>
  <c r="AQ215" i="6"/>
  <c r="AU192" i="6"/>
  <c r="CE192" i="6" s="1"/>
  <c r="AR192" i="6"/>
  <c r="AT243" i="6"/>
  <c r="CD243" i="6" s="1"/>
  <c r="AQ243" i="6"/>
  <c r="AT239" i="6"/>
  <c r="CD239" i="6" s="1"/>
  <c r="AQ239" i="6"/>
  <c r="AT247" i="6"/>
  <c r="CD247" i="6" s="1"/>
  <c r="AQ247" i="6"/>
  <c r="AQ99" i="6"/>
  <c r="AT99" i="6"/>
  <c r="CD99" i="6" s="1"/>
  <c r="AQ165" i="6"/>
  <c r="CU165" i="6" s="1"/>
  <c r="AT165" i="6"/>
  <c r="CD165" i="6" s="1"/>
  <c r="AU144" i="6"/>
  <c r="CE144" i="6" s="1"/>
  <c r="AT144" i="6"/>
  <c r="CD144" i="6" s="1"/>
  <c r="AQ49" i="6"/>
  <c r="AT49" i="6"/>
  <c r="CD49" i="6" s="1"/>
  <c r="AU227" i="6"/>
  <c r="CE227" i="6" s="1"/>
  <c r="AR227" i="6"/>
  <c r="AT96" i="6"/>
  <c r="CD96" i="6" s="1"/>
  <c r="AQ96" i="6"/>
  <c r="AR162" i="6"/>
  <c r="AU162" i="6"/>
  <c r="CE162" i="6" s="1"/>
  <c r="AT93" i="6"/>
  <c r="CD93" i="6" s="1"/>
  <c r="AQ93" i="6"/>
  <c r="AR54" i="6"/>
  <c r="AU54" i="6"/>
  <c r="CE54" i="6" s="1"/>
  <c r="AR182" i="6"/>
  <c r="AU182" i="6"/>
  <c r="CE182" i="6" s="1"/>
  <c r="AU120" i="6"/>
  <c r="CE120" i="6" s="1"/>
  <c r="AR120" i="6"/>
  <c r="AU169" i="6"/>
  <c r="CE169" i="6" s="1"/>
  <c r="AR169" i="6"/>
  <c r="AR56" i="6"/>
  <c r="AU56" i="6"/>
  <c r="CE56" i="6" s="1"/>
  <c r="AU104" i="6"/>
  <c r="CE104" i="6" s="1"/>
  <c r="AR104" i="6"/>
  <c r="AR51" i="6"/>
  <c r="AU51" i="6"/>
  <c r="CE51" i="6" s="1"/>
  <c r="AT52" i="6"/>
  <c r="CD52" i="6" s="1"/>
  <c r="AQ52" i="6"/>
  <c r="AT167" i="6"/>
  <c r="CD167" i="6" s="1"/>
  <c r="AQ167" i="6"/>
  <c r="AQ242" i="6"/>
  <c r="AT242" i="6"/>
  <c r="CD242" i="6" s="1"/>
  <c r="AR99" i="6"/>
  <c r="AU99" i="6"/>
  <c r="CE99" i="6" s="1"/>
  <c r="AR165" i="6"/>
  <c r="AU165" i="6"/>
  <c r="CE165" i="6" s="1"/>
  <c r="AQ94" i="6"/>
  <c r="AT94" i="6"/>
  <c r="CD94" i="6" s="1"/>
  <c r="AU159" i="6"/>
  <c r="CE159" i="6" s="1"/>
  <c r="AR159" i="6"/>
  <c r="AT86" i="6"/>
  <c r="CD86" i="6" s="1"/>
  <c r="AQ86" i="6"/>
  <c r="AU52" i="6"/>
  <c r="CE52" i="6" s="1"/>
  <c r="AR52" i="6"/>
  <c r="AU168" i="6"/>
  <c r="CE168" i="6" s="1"/>
  <c r="AR168" i="6"/>
  <c r="AQ202" i="6"/>
  <c r="AT202" i="6"/>
  <c r="CD202" i="6" s="1"/>
  <c r="AU61" i="6"/>
  <c r="CE61" i="6" s="1"/>
  <c r="AR61" i="6"/>
  <c r="AR232" i="6"/>
  <c r="AU232" i="6"/>
  <c r="CE232" i="6" s="1"/>
  <c r="AR150" i="6"/>
  <c r="AU150" i="6"/>
  <c r="CE150" i="6" s="1"/>
  <c r="AU95" i="6"/>
  <c r="CE95" i="6" s="1"/>
  <c r="AR95" i="6"/>
  <c r="AR172" i="6"/>
  <c r="AU172" i="6"/>
  <c r="CE172" i="6" s="1"/>
  <c r="AR75" i="6"/>
  <c r="AU75" i="6"/>
  <c r="CE75" i="6" s="1"/>
  <c r="AT195" i="6"/>
  <c r="CD195" i="6" s="1"/>
  <c r="AQ195" i="6"/>
  <c r="AU41" i="6"/>
  <c r="CE41" i="6" s="1"/>
  <c r="AR41" i="6"/>
  <c r="AU71" i="6"/>
  <c r="CE71" i="6" s="1"/>
  <c r="AR71" i="6"/>
  <c r="AU215" i="6"/>
  <c r="CE215" i="6" s="1"/>
  <c r="AR215" i="6"/>
  <c r="AU249" i="6"/>
  <c r="CE249" i="6" s="1"/>
  <c r="AR249" i="6"/>
  <c r="AQ249" i="6"/>
  <c r="CU249" i="6" s="1"/>
  <c r="AT249" i="6"/>
  <c r="CD249" i="6" s="1"/>
  <c r="AU88" i="6"/>
  <c r="CE88" i="6" s="1"/>
  <c r="AR88" i="6"/>
  <c r="AQ97" i="6"/>
  <c r="AT97" i="6"/>
  <c r="CD97" i="6" s="1"/>
  <c r="AU216" i="6"/>
  <c r="CE216" i="6" s="1"/>
  <c r="AR216" i="6"/>
  <c r="AU66" i="6"/>
  <c r="CE66" i="6" s="1"/>
  <c r="AR66" i="6"/>
  <c r="AU92" i="6"/>
  <c r="CE92" i="6" s="1"/>
  <c r="AR92" i="6"/>
  <c r="AT237" i="6"/>
  <c r="CD237" i="6" s="1"/>
  <c r="AQ237" i="6"/>
  <c r="AQ103" i="6"/>
  <c r="AT103" i="6"/>
  <c r="CD103" i="6" s="1"/>
  <c r="AR28" i="6"/>
  <c r="AU28" i="6"/>
  <c r="CE28" i="6" s="1"/>
  <c r="AQ178" i="6"/>
  <c r="AT178" i="6"/>
  <c r="CD178" i="6" s="1"/>
  <c r="AU76" i="6"/>
  <c r="CE76" i="6" s="1"/>
  <c r="AR76" i="6"/>
  <c r="AR103" i="6"/>
  <c r="AU103" i="6"/>
  <c r="CE103" i="6" s="1"/>
  <c r="AQ194" i="6"/>
  <c r="CH194" i="6" s="1"/>
  <c r="AT194" i="6"/>
  <c r="CD194" i="6" s="1"/>
  <c r="AR140" i="6"/>
  <c r="AU140" i="6"/>
  <c r="CE140" i="6" s="1"/>
  <c r="AQ95" i="6"/>
  <c r="AT95" i="6"/>
  <c r="CD95" i="6" s="1"/>
  <c r="AQ131" i="6"/>
  <c r="CH131" i="6" s="1"/>
  <c r="AT131" i="6"/>
  <c r="CD131" i="6" s="1"/>
  <c r="AT201" i="6"/>
  <c r="CD201" i="6" s="1"/>
  <c r="AQ201" i="6"/>
  <c r="AT232" i="6"/>
  <c r="CD232" i="6" s="1"/>
  <c r="AQ232" i="6"/>
  <c r="AQ253" i="6"/>
  <c r="AT253" i="6"/>
  <c r="CD253" i="6" s="1"/>
  <c r="AT104" i="6"/>
  <c r="CD104" i="6" s="1"/>
  <c r="AQ104" i="6"/>
  <c r="AT111" i="6"/>
  <c r="CD111" i="6" s="1"/>
  <c r="AQ111" i="6"/>
  <c r="AQ234" i="6"/>
  <c r="AT234" i="6"/>
  <c r="CD234" i="6" s="1"/>
  <c r="AQ127" i="6"/>
  <c r="AT127" i="6"/>
  <c r="CD127" i="6" s="1"/>
  <c r="AQ83" i="6"/>
  <c r="AT83" i="6"/>
  <c r="CD83" i="6" s="1"/>
  <c r="AT40" i="6"/>
  <c r="CD40" i="6" s="1"/>
  <c r="AQ40" i="6"/>
  <c r="CH40" i="6" s="1"/>
  <c r="AQ69" i="6"/>
  <c r="AT69" i="6"/>
  <c r="CD69" i="6" s="1"/>
  <c r="AQ182" i="6"/>
  <c r="AT182" i="6"/>
  <c r="CD182" i="6" s="1"/>
  <c r="AT204" i="6"/>
  <c r="CD204" i="6" s="1"/>
  <c r="AQ204" i="6"/>
  <c r="AQ35" i="6"/>
  <c r="AT35" i="6"/>
  <c r="CD35" i="6" s="1"/>
  <c r="AU79" i="6"/>
  <c r="CE79" i="6" s="1"/>
  <c r="AR79" i="6"/>
  <c r="AR230" i="6"/>
  <c r="AU230" i="6"/>
  <c r="CE230" i="6" s="1"/>
  <c r="AQ164" i="6"/>
  <c r="CH164" i="6" s="1"/>
  <c r="AT164" i="6"/>
  <c r="CD164" i="6" s="1"/>
  <c r="AT76" i="6"/>
  <c r="CD76" i="6" s="1"/>
  <c r="AQ76" i="6"/>
  <c r="AR195" i="6"/>
  <c r="AU195" i="6"/>
  <c r="CE195" i="6" s="1"/>
  <c r="AQ218" i="6"/>
  <c r="AT218" i="6"/>
  <c r="CD218" i="6" s="1"/>
  <c r="AR197" i="6"/>
  <c r="AU197" i="6"/>
  <c r="CE197" i="6" s="1"/>
  <c r="AU184" i="6"/>
  <c r="CE184" i="6" s="1"/>
  <c r="AR184" i="6"/>
  <c r="AT33" i="6"/>
  <c r="CD33" i="6" s="1"/>
  <c r="AQ33" i="6"/>
  <c r="AU65" i="6"/>
  <c r="CE65" i="6" s="1"/>
  <c r="AR65" i="6"/>
  <c r="AT219" i="6"/>
  <c r="CD219" i="6" s="1"/>
  <c r="AQ219" i="6"/>
  <c r="AU43" i="6"/>
  <c r="CE43" i="6" s="1"/>
  <c r="AR43" i="6"/>
  <c r="AT228" i="6"/>
  <c r="CD228" i="6" s="1"/>
  <c r="AQ228" i="6"/>
  <c r="AR218" i="6"/>
  <c r="AU218" i="6"/>
  <c r="CE218" i="6" s="1"/>
  <c r="AU205" i="6"/>
  <c r="CE205" i="6" s="1"/>
  <c r="AR205" i="6"/>
  <c r="AT151" i="6"/>
  <c r="CD151" i="6" s="1"/>
  <c r="AQ151" i="6"/>
  <c r="AT224" i="6"/>
  <c r="CD224" i="6" s="1"/>
  <c r="AQ224" i="6"/>
  <c r="AQ141" i="6"/>
  <c r="AT141" i="6"/>
  <c r="CD141" i="6" s="1"/>
  <c r="AT28" i="6"/>
  <c r="CD28" i="6" s="1"/>
  <c r="AQ28" i="6"/>
  <c r="AQ123" i="6"/>
  <c r="AT123" i="6"/>
  <c r="CD123" i="6" s="1"/>
  <c r="AT140" i="6"/>
  <c r="CD140" i="6" s="1"/>
  <c r="AQ140" i="6"/>
  <c r="AQ139" i="6"/>
  <c r="AT139" i="6"/>
  <c r="CD139" i="6" s="1"/>
  <c r="AU208" i="6"/>
  <c r="CE208" i="6" s="1"/>
  <c r="AR208" i="6"/>
  <c r="AQ67" i="6"/>
  <c r="AT67" i="6"/>
  <c r="CD67" i="6" s="1"/>
  <c r="AU39" i="6"/>
  <c r="CE39" i="6" s="1"/>
  <c r="AR39" i="6"/>
  <c r="AR107" i="6"/>
  <c r="AU107" i="6"/>
  <c r="CE107" i="6" s="1"/>
  <c r="AQ185" i="6"/>
  <c r="CH185" i="6" s="1"/>
  <c r="AT185" i="6"/>
  <c r="CD185" i="6" s="1"/>
  <c r="AT256" i="6"/>
  <c r="CD256" i="6" s="1"/>
  <c r="AQ256" i="6"/>
  <c r="CU256" i="6" s="1"/>
  <c r="AU101" i="6"/>
  <c r="CE101" i="6" s="1"/>
  <c r="AR101" i="6"/>
  <c r="AQ116" i="6"/>
  <c r="AT116" i="6"/>
  <c r="CD116" i="6" s="1"/>
  <c r="AQ174" i="6"/>
  <c r="AT174" i="6"/>
  <c r="CD174" i="6" s="1"/>
  <c r="AU116" i="6"/>
  <c r="CE116" i="6" s="1"/>
  <c r="AR116" i="6"/>
  <c r="AT56" i="6"/>
  <c r="CD56" i="6" s="1"/>
  <c r="AQ56" i="6"/>
  <c r="AR242" i="6"/>
  <c r="AU242" i="6"/>
  <c r="CE242" i="6" s="1"/>
  <c r="AQ51" i="6"/>
  <c r="AT51" i="6"/>
  <c r="CD51" i="6" s="1"/>
  <c r="AQ153" i="6"/>
  <c r="AT153" i="6"/>
  <c r="CD153" i="6" s="1"/>
  <c r="AU224" i="6"/>
  <c r="CE224" i="6" s="1"/>
  <c r="AR224" i="6"/>
  <c r="AU141" i="6"/>
  <c r="CE141" i="6" s="1"/>
  <c r="AR141" i="6"/>
  <c r="AQ112" i="6"/>
  <c r="AT112" i="6"/>
  <c r="CD112" i="6" s="1"/>
  <c r="AR203" i="6"/>
  <c r="AU203" i="6"/>
  <c r="CE203" i="6" s="1"/>
  <c r="AR46" i="6"/>
  <c r="AU46" i="6"/>
  <c r="CE46" i="6" s="1"/>
  <c r="AR164" i="6"/>
  <c r="AU164" i="6"/>
  <c r="CE164" i="6" s="1"/>
  <c r="AR128" i="6"/>
  <c r="AU128" i="6"/>
  <c r="CE128" i="6" s="1"/>
  <c r="AU102" i="6"/>
  <c r="CE102" i="6" s="1"/>
  <c r="AR102" i="6"/>
  <c r="AT229" i="6"/>
  <c r="CD229" i="6" s="1"/>
  <c r="AQ229" i="6"/>
  <c r="CH229" i="6" s="1"/>
  <c r="AT108" i="6"/>
  <c r="CD108" i="6" s="1"/>
  <c r="AQ108" i="6"/>
  <c r="AT62" i="6"/>
  <c r="CD62" i="6" s="1"/>
  <c r="AQ62" i="6"/>
  <c r="AQ53" i="6"/>
  <c r="AT53" i="6"/>
  <c r="CD53" i="6" s="1"/>
  <c r="AQ89" i="6"/>
  <c r="AT89" i="6"/>
  <c r="CD89" i="6" s="1"/>
  <c r="AR234" i="6"/>
  <c r="AU234" i="6"/>
  <c r="CE234" i="6" s="1"/>
  <c r="AQ27" i="6"/>
  <c r="AT27" i="6"/>
  <c r="CD27" i="6" s="1"/>
  <c r="AT203" i="6"/>
  <c r="CD203" i="6" s="1"/>
  <c r="AQ203" i="6"/>
  <c r="AT248" i="6"/>
  <c r="CD248" i="6" s="1"/>
  <c r="AQ248" i="6"/>
  <c r="AQ66" i="6"/>
  <c r="AT66" i="6"/>
  <c r="CD66" i="6" s="1"/>
  <c r="AR131" i="6"/>
  <c r="AU131" i="6"/>
  <c r="CE131" i="6" s="1"/>
  <c r="AQ101" i="6"/>
  <c r="CH101" i="6" s="1"/>
  <c r="AT101" i="6"/>
  <c r="CD101" i="6" s="1"/>
  <c r="AQ55" i="6"/>
  <c r="AT55" i="6"/>
  <c r="CD55" i="6" s="1"/>
  <c r="AT168" i="6"/>
  <c r="CD168" i="6" s="1"/>
  <c r="AQ168" i="6"/>
  <c r="AQ54" i="6"/>
  <c r="AT54" i="6"/>
  <c r="CD54" i="6" s="1"/>
  <c r="AU175" i="6"/>
  <c r="CE175" i="6" s="1"/>
  <c r="AR175" i="6"/>
  <c r="AQ26" i="6"/>
  <c r="AT26" i="6"/>
  <c r="CD26" i="6" s="1"/>
  <c r="AQ71" i="6"/>
  <c r="AT71" i="6"/>
  <c r="CD71" i="6" s="1"/>
  <c r="AT236" i="6"/>
  <c r="CD236" i="6" s="1"/>
  <c r="AQ236" i="6"/>
  <c r="AT84" i="6"/>
  <c r="CD84" i="6" s="1"/>
  <c r="AQ84" i="6"/>
  <c r="AU219" i="6"/>
  <c r="CE219" i="6" s="1"/>
  <c r="AR219" i="6"/>
  <c r="AQ238" i="6"/>
  <c r="CU238" i="6" s="1"/>
  <c r="AT238" i="6"/>
  <c r="CD238" i="6" s="1"/>
  <c r="AQ158" i="6"/>
  <c r="AT158" i="6"/>
  <c r="CD158" i="6" s="1"/>
  <c r="AU72" i="6"/>
  <c r="CE72" i="6" s="1"/>
  <c r="AR72" i="6"/>
  <c r="AT235" i="6"/>
  <c r="CD235" i="6" s="1"/>
  <c r="AQ235" i="6"/>
  <c r="AR124" i="6"/>
  <c r="AU124" i="6"/>
  <c r="CE124" i="6" s="1"/>
  <c r="AT223" i="6"/>
  <c r="CD223" i="6" s="1"/>
  <c r="AQ223" i="6"/>
  <c r="AQ79" i="6"/>
  <c r="AT79" i="6"/>
  <c r="CD79" i="6" s="1"/>
  <c r="AU97" i="6"/>
  <c r="CE97" i="6" s="1"/>
  <c r="AR97" i="6"/>
  <c r="AU33" i="6"/>
  <c r="CE33" i="6" s="1"/>
  <c r="AR33" i="6"/>
  <c r="AT191" i="6"/>
  <c r="CD191" i="6" s="1"/>
  <c r="AQ191" i="6"/>
  <c r="CU191" i="6" s="1"/>
  <c r="AT60" i="6"/>
  <c r="CD60" i="6" s="1"/>
  <c r="AQ60" i="6"/>
  <c r="CU60" i="6" s="1"/>
  <c r="AU206" i="6"/>
  <c r="CE206" i="6" s="1"/>
  <c r="AR206" i="6"/>
  <c r="AU190" i="6"/>
  <c r="CE190" i="6" s="1"/>
  <c r="AR190" i="6"/>
  <c r="AT121" i="6"/>
  <c r="CD121" i="6" s="1"/>
  <c r="AU191" i="6"/>
  <c r="CE191" i="6" s="1"/>
  <c r="AR191" i="6"/>
  <c r="AT45" i="6"/>
  <c r="CD45" i="6" s="1"/>
  <c r="AQ45" i="6"/>
  <c r="AT41" i="6"/>
  <c r="CD41" i="6" s="1"/>
  <c r="AQ41" i="6"/>
  <c r="AT211" i="6"/>
  <c r="CD211" i="6" s="1"/>
  <c r="AQ211" i="6"/>
  <c r="AQ189" i="6"/>
  <c r="AT189" i="6"/>
  <c r="CD189" i="6" s="1"/>
  <c r="AT193" i="6"/>
  <c r="CD193" i="6" s="1"/>
  <c r="AQ193" i="6"/>
  <c r="AR148" i="6"/>
  <c r="AU148" i="6"/>
  <c r="CE148" i="6" s="1"/>
  <c r="AR87" i="6"/>
  <c r="AU87" i="6"/>
  <c r="CE87" i="6" s="1"/>
  <c r="AT171" i="6"/>
  <c r="CD171" i="6" s="1"/>
  <c r="AQ171" i="6"/>
  <c r="AR180" i="6"/>
  <c r="AU180" i="6"/>
  <c r="CE180" i="6" s="1"/>
  <c r="AQ162" i="6"/>
  <c r="AT162" i="6"/>
  <c r="CD162" i="6" s="1"/>
  <c r="AR133" i="6"/>
  <c r="AU133" i="6"/>
  <c r="CE133" i="6" s="1"/>
  <c r="AT221" i="6"/>
  <c r="CD221" i="6" s="1"/>
  <c r="AQ221" i="6"/>
  <c r="AU211" i="6"/>
  <c r="CE211" i="6" s="1"/>
  <c r="AR211" i="6"/>
  <c r="AQ43" i="6"/>
  <c r="CU43" i="6" s="1"/>
  <c r="AT43" i="6"/>
  <c r="CD43" i="6" s="1"/>
  <c r="AQ90" i="6"/>
  <c r="CU90" i="6" s="1"/>
  <c r="AT90" i="6"/>
  <c r="CD90" i="6" s="1"/>
  <c r="AQ39" i="6"/>
  <c r="AT39" i="6"/>
  <c r="CD39" i="6" s="1"/>
  <c r="AT188" i="6"/>
  <c r="CD188" i="6" s="1"/>
  <c r="AQ188" i="6"/>
  <c r="AU105" i="6"/>
  <c r="CE105" i="6" s="1"/>
  <c r="AR105" i="6"/>
  <c r="AU202" i="6"/>
  <c r="CE202" i="6" s="1"/>
  <c r="AR202" i="6"/>
  <c r="AU251" i="6"/>
  <c r="CE251" i="6" s="1"/>
  <c r="AR251" i="6"/>
  <c r="AQ222" i="6"/>
  <c r="AT222" i="6"/>
  <c r="CD222" i="6" s="1"/>
  <c r="AQ206" i="6"/>
  <c r="AT206" i="6"/>
  <c r="CD206" i="6" s="1"/>
  <c r="AR37" i="6"/>
  <c r="AU37" i="6"/>
  <c r="CE37" i="6" s="1"/>
  <c r="AU255" i="6"/>
  <c r="CE255" i="6" s="1"/>
  <c r="AR255" i="6"/>
  <c r="AQ254" i="6"/>
  <c r="AT254" i="6"/>
  <c r="CD254" i="6" s="1"/>
  <c r="AU62" i="6"/>
  <c r="CE62" i="6" s="1"/>
  <c r="AR62" i="6"/>
  <c r="AQ124" i="6"/>
  <c r="AT124" i="6"/>
  <c r="CD124" i="6" s="1"/>
  <c r="AT88" i="6"/>
  <c r="CD88" i="6" s="1"/>
  <c r="AQ88" i="6"/>
  <c r="AR127" i="6"/>
  <c r="AU127" i="6"/>
  <c r="CE127" i="6" s="1"/>
  <c r="AT169" i="6"/>
  <c r="CD169" i="6" s="1"/>
  <c r="AQ169" i="6"/>
  <c r="AU235" i="6"/>
  <c r="CE235" i="6" s="1"/>
  <c r="AR235" i="6"/>
  <c r="AR158" i="6"/>
  <c r="AU158" i="6"/>
  <c r="CE158" i="6" s="1"/>
  <c r="AT227" i="6"/>
  <c r="CD227" i="6" s="1"/>
  <c r="AQ227" i="6"/>
  <c r="CU227" i="6" s="1"/>
  <c r="AQ74" i="6"/>
  <c r="AT74" i="6"/>
  <c r="CD74" i="6" s="1"/>
  <c r="AQ233" i="6"/>
  <c r="AT233" i="6"/>
  <c r="CD233" i="6" s="1"/>
  <c r="AR83" i="6"/>
  <c r="AU83" i="6"/>
  <c r="CE83" i="6" s="1"/>
  <c r="AQ91" i="6"/>
  <c r="AT91" i="6"/>
  <c r="CD91" i="6" s="1"/>
  <c r="AU48" i="6"/>
  <c r="CE48" i="6" s="1"/>
  <c r="AR48" i="6"/>
  <c r="AR45" i="6"/>
  <c r="AU45" i="6"/>
  <c r="CE45" i="6" s="1"/>
  <c r="AQ230" i="6"/>
  <c r="AT230" i="6"/>
  <c r="CD230" i="6" s="1"/>
  <c r="AU231" i="6"/>
  <c r="CE231" i="6" s="1"/>
  <c r="AR231" i="6"/>
  <c r="AT137" i="6"/>
  <c r="CD137" i="6" s="1"/>
  <c r="AQ137" i="6"/>
  <c r="CU137" i="6" s="1"/>
  <c r="AT92" i="6"/>
  <c r="CD92" i="6" s="1"/>
  <c r="AQ92" i="6"/>
  <c r="CH92" i="6" s="1"/>
  <c r="AT255" i="6"/>
  <c r="CD255" i="6" s="1"/>
  <c r="AQ255" i="6"/>
  <c r="AQ166" i="6"/>
  <c r="AT166" i="6"/>
  <c r="CD166" i="6" s="1"/>
  <c r="AU248" i="6"/>
  <c r="CE248" i="6" s="1"/>
  <c r="AR248" i="6"/>
  <c r="AU236" i="6"/>
  <c r="CE236" i="6" s="1"/>
  <c r="AR236" i="6"/>
  <c r="AT231" i="6"/>
  <c r="CD231" i="6" s="1"/>
  <c r="AQ231" i="6"/>
  <c r="AU96" i="6"/>
  <c r="CE96" i="6" s="1"/>
  <c r="AR96" i="6"/>
  <c r="AT200" i="6"/>
  <c r="CD200" i="6" s="1"/>
  <c r="AQ200" i="6"/>
  <c r="AU129" i="6"/>
  <c r="CE129" i="6" s="1"/>
  <c r="AR129" i="6"/>
  <c r="AU147" i="6"/>
  <c r="CE147" i="6" s="1"/>
  <c r="AR147" i="6"/>
  <c r="AQ61" i="6"/>
  <c r="CH61" i="6" s="1"/>
  <c r="AT61" i="6"/>
  <c r="CD61" i="6" s="1"/>
  <c r="AT85" i="6"/>
  <c r="CD85" i="6" s="1"/>
  <c r="AQ85" i="6"/>
  <c r="AR90" i="6"/>
  <c r="AU90" i="6"/>
  <c r="CE90" i="6" s="1"/>
  <c r="AR111" i="6"/>
  <c r="AU111" i="6"/>
  <c r="CE111" i="6" s="1"/>
  <c r="AT175" i="6"/>
  <c r="CD175" i="6" s="1"/>
  <c r="AQ175" i="6"/>
  <c r="AU246" i="6"/>
  <c r="CE246" i="6" s="1"/>
  <c r="AR246" i="6"/>
  <c r="AU100" i="6"/>
  <c r="CE100" i="6" s="1"/>
  <c r="AR100" i="6"/>
  <c r="AQ145" i="6"/>
  <c r="AT145" i="6"/>
  <c r="CD145" i="6" s="1"/>
  <c r="AR57" i="6"/>
  <c r="AU57" i="6"/>
  <c r="CE57" i="6" s="1"/>
  <c r="AU250" i="6"/>
  <c r="CE250" i="6" s="1"/>
  <c r="AR250" i="6"/>
  <c r="AU181" i="6"/>
  <c r="CE181" i="6" s="1"/>
  <c r="AR181" i="6"/>
  <c r="AU81" i="6"/>
  <c r="CE81" i="6" s="1"/>
  <c r="AR81" i="6"/>
  <c r="AR194" i="6"/>
  <c r="AU194" i="6"/>
  <c r="CE194" i="6" s="1"/>
  <c r="AU214" i="6"/>
  <c r="CE214" i="6" s="1"/>
  <c r="AR214" i="6"/>
  <c r="AR82" i="6"/>
  <c r="AU82" i="6"/>
  <c r="CE82" i="6" s="1"/>
  <c r="AR69" i="6"/>
  <c r="AU69" i="6"/>
  <c r="CE69" i="6" s="1"/>
  <c r="AT129" i="6"/>
  <c r="CD129" i="6" s="1"/>
  <c r="AQ129" i="6"/>
  <c r="CH129" i="6" s="1"/>
  <c r="AT32" i="6"/>
  <c r="CD32" i="6" s="1"/>
  <c r="AQ32" i="6"/>
  <c r="AU91" i="6"/>
  <c r="CE91" i="6" s="1"/>
  <c r="AR91" i="6"/>
  <c r="AU198" i="6"/>
  <c r="CE198" i="6" s="1"/>
  <c r="AR198" i="6"/>
  <c r="AU29" i="6"/>
  <c r="CE29" i="6" s="1"/>
  <c r="AR29" i="6"/>
  <c r="AQ213" i="6"/>
  <c r="AT213" i="6"/>
  <c r="CD213" i="6" s="1"/>
  <c r="AQ58" i="6"/>
  <c r="AT58" i="6"/>
  <c r="CD58" i="6" s="1"/>
  <c r="AT63" i="6"/>
  <c r="CD63" i="6" s="1"/>
  <c r="AU63" i="6"/>
  <c r="CE63" i="6" s="1"/>
  <c r="AQ87" i="6"/>
  <c r="AT87" i="6"/>
  <c r="CD87" i="6" s="1"/>
  <c r="AU25" i="6"/>
  <c r="CE25" i="6" s="1"/>
  <c r="AR25" i="6"/>
  <c r="AU243" i="6"/>
  <c r="CE243" i="6" s="1"/>
  <c r="AR243" i="6"/>
  <c r="AU193" i="6"/>
  <c r="CE193" i="6" s="1"/>
  <c r="AR193" i="6"/>
  <c r="AQ192" i="6"/>
  <c r="AT192" i="6"/>
  <c r="CD192" i="6" s="1"/>
  <c r="AT183" i="6"/>
  <c r="CD183" i="6" s="1"/>
  <c r="AQ183" i="6"/>
  <c r="AQ226" i="6"/>
  <c r="AT226" i="6"/>
  <c r="CD226" i="6" s="1"/>
  <c r="AU241" i="6"/>
  <c r="CE241" i="6" s="1"/>
  <c r="AR241" i="6"/>
  <c r="AU80" i="6"/>
  <c r="CE80" i="6" s="1"/>
  <c r="AR80" i="6"/>
  <c r="AU217" i="6"/>
  <c r="CE217" i="6" s="1"/>
  <c r="AR217" i="6"/>
  <c r="AU112" i="6"/>
  <c r="CE112" i="6" s="1"/>
  <c r="AR112" i="6"/>
  <c r="AT46" i="6"/>
  <c r="CD46" i="6" s="1"/>
  <c r="AQ46" i="6"/>
  <c r="CH46" i="6" s="1"/>
  <c r="AQ150" i="6"/>
  <c r="AT150" i="6"/>
  <c r="CD150" i="6" s="1"/>
  <c r="AT48" i="6"/>
  <c r="CD48" i="6" s="1"/>
  <c r="AQ48" i="6"/>
  <c r="AQ31" i="6"/>
  <c r="AT31" i="6"/>
  <c r="CD31" i="6" s="1"/>
  <c r="AU85" i="6"/>
  <c r="CE85" i="6" s="1"/>
  <c r="AR85" i="6"/>
  <c r="AT107" i="6"/>
  <c r="CD107" i="6" s="1"/>
  <c r="AQ107" i="6"/>
  <c r="AR183" i="6"/>
  <c r="AU183" i="6"/>
  <c r="CE183" i="6" s="1"/>
  <c r="AR157" i="6"/>
  <c r="AU157" i="6"/>
  <c r="CE157" i="6" s="1"/>
  <c r="AQ210" i="6"/>
  <c r="AT210" i="6"/>
  <c r="CD210" i="6" s="1"/>
  <c r="AU222" i="6"/>
  <c r="CE222" i="6" s="1"/>
  <c r="AR222" i="6"/>
  <c r="AT147" i="6"/>
  <c r="CD147" i="6" s="1"/>
  <c r="AQ147" i="6"/>
  <c r="AR145" i="6"/>
  <c r="AU145" i="6"/>
  <c r="CE145" i="6" s="1"/>
  <c r="AT251" i="6"/>
  <c r="CD251" i="6" s="1"/>
  <c r="AQ251" i="6"/>
  <c r="CH251" i="6" s="1"/>
  <c r="AT100" i="6"/>
  <c r="CD100" i="6" s="1"/>
  <c r="AQ100" i="6"/>
  <c r="AT120" i="6"/>
  <c r="CD120" i="6" s="1"/>
  <c r="AQ120" i="6"/>
  <c r="AQ160" i="6"/>
  <c r="AT160" i="6"/>
  <c r="CD160" i="6" s="1"/>
  <c r="AQ214" i="6"/>
  <c r="AT214" i="6"/>
  <c r="CD214" i="6" s="1"/>
  <c r="AR238" i="6"/>
  <c r="AU238" i="6"/>
  <c r="CE238" i="6" s="1"/>
  <c r="AU256" i="6"/>
  <c r="CE256" i="6" s="1"/>
  <c r="AR256" i="6"/>
  <c r="AU161" i="6"/>
  <c r="CE161" i="6" s="1"/>
  <c r="AR161" i="6"/>
  <c r="AR74" i="6"/>
  <c r="AU74" i="6"/>
  <c r="CE74" i="6" s="1"/>
  <c r="AT117" i="6"/>
  <c r="CD117" i="6" s="1"/>
  <c r="AT184" i="6"/>
  <c r="CD184" i="6" s="1"/>
  <c r="AQ184" i="6"/>
  <c r="AU167" i="6"/>
  <c r="CE167" i="6" s="1"/>
  <c r="AR167" i="6"/>
  <c r="AU64" i="6"/>
  <c r="CE64" i="6" s="1"/>
  <c r="AR64" i="6"/>
  <c r="AR47" i="6"/>
  <c r="AU47" i="6"/>
  <c r="CE47" i="6" s="1"/>
  <c r="AR137" i="6"/>
  <c r="AU137" i="6"/>
  <c r="CE137" i="6" s="1"/>
  <c r="AU67" i="6"/>
  <c r="CE67" i="6" s="1"/>
  <c r="AR67" i="6"/>
  <c r="AU160" i="6"/>
  <c r="CE160" i="6" s="1"/>
  <c r="AR160" i="6"/>
  <c r="AT205" i="6"/>
  <c r="CD205" i="6" s="1"/>
  <c r="AQ205" i="6"/>
  <c r="AU84" i="6"/>
  <c r="CE84" i="6" s="1"/>
  <c r="AR84" i="6"/>
  <c r="AU60" i="6"/>
  <c r="CE60" i="6" s="1"/>
  <c r="AR60" i="6"/>
  <c r="AR31" i="6"/>
  <c r="AU31" i="6"/>
  <c r="CE31" i="6" s="1"/>
  <c r="AU228" i="6"/>
  <c r="CE228" i="6" s="1"/>
  <c r="AR228" i="6"/>
  <c r="AR186" i="6"/>
  <c r="AU186" i="6"/>
  <c r="CE186" i="6" s="1"/>
  <c r="AR113" i="6"/>
  <c r="AU113" i="6"/>
  <c r="CE113" i="6" s="1"/>
  <c r="AQ246" i="6"/>
  <c r="AT246" i="6"/>
  <c r="CD246" i="6" s="1"/>
  <c r="AU226" i="6"/>
  <c r="CE226" i="6" s="1"/>
  <c r="AR226" i="6"/>
  <c r="AT64" i="6"/>
  <c r="CD64" i="6" s="1"/>
  <c r="AQ64" i="6"/>
  <c r="AT217" i="6"/>
  <c r="CD217" i="6" s="1"/>
  <c r="AQ217" i="6"/>
  <c r="AQ105" i="6"/>
  <c r="AT105" i="6"/>
  <c r="CD105" i="6" s="1"/>
  <c r="AU229" i="6"/>
  <c r="CE229" i="6" s="1"/>
  <c r="AR229" i="6"/>
  <c r="Q64" i="6"/>
  <c r="O15" i="6"/>
  <c r="O14" i="6"/>
  <c r="K11" i="6" s="1"/>
  <c r="C86" i="6"/>
  <c r="C85" i="6"/>
  <c r="C84" i="6"/>
  <c r="DH78" i="6" l="1"/>
  <c r="CY47" i="6"/>
  <c r="CZ47" i="6" s="1"/>
  <c r="CY126" i="6"/>
  <c r="CZ126" i="6" s="1"/>
  <c r="CY191" i="6"/>
  <c r="CZ191" i="6" s="1"/>
  <c r="CY186" i="6"/>
  <c r="CZ186" i="6" s="1"/>
  <c r="CY43" i="6"/>
  <c r="CZ43" i="6" s="1"/>
  <c r="CY187" i="6"/>
  <c r="CZ187" i="6" s="1"/>
  <c r="CL36" i="6"/>
  <c r="CM36" i="6" s="1"/>
  <c r="CY199" i="6"/>
  <c r="CZ199" i="6" s="1"/>
  <c r="CY109" i="6"/>
  <c r="CZ109" i="6" s="1"/>
  <c r="CY113" i="6"/>
  <c r="CZ113" i="6" s="1"/>
  <c r="DF113" i="6"/>
  <c r="CY114" i="6"/>
  <c r="CZ114" i="6" s="1"/>
  <c r="CY119" i="6"/>
  <c r="CZ119" i="6" s="1"/>
  <c r="CY30" i="6"/>
  <c r="CZ30" i="6" s="1"/>
  <c r="CY42" i="6"/>
  <c r="CZ42" i="6" s="1"/>
  <c r="CL113" i="6"/>
  <c r="CM113" i="6" s="1"/>
  <c r="CY197" i="6"/>
  <c r="CZ197" i="6" s="1"/>
  <c r="CY121" i="6"/>
  <c r="CZ121" i="6" s="1"/>
  <c r="CY29" i="6"/>
  <c r="CZ29" i="6" s="1"/>
  <c r="CY36" i="6"/>
  <c r="CZ36" i="6" s="1"/>
  <c r="DF36" i="6"/>
  <c r="CQ90" i="6"/>
  <c r="CQ60" i="6"/>
  <c r="CQ170" i="6"/>
  <c r="CQ175" i="6"/>
  <c r="CQ238" i="6"/>
  <c r="CQ165" i="6"/>
  <c r="CQ81" i="6"/>
  <c r="CU163" i="6"/>
  <c r="CH163" i="6"/>
  <c r="CQ148" i="6"/>
  <c r="DH177" i="6"/>
  <c r="CQ249" i="6"/>
  <c r="DH163" i="6"/>
  <c r="CH214" i="6"/>
  <c r="DH37" i="6"/>
  <c r="DH229" i="6"/>
  <c r="CU51" i="6"/>
  <c r="CH51" i="6"/>
  <c r="CU224" i="6"/>
  <c r="DH232" i="6"/>
  <c r="CU99" i="6"/>
  <c r="CH99" i="6"/>
  <c r="CQ33" i="6"/>
  <c r="CQ97" i="6"/>
  <c r="CH193" i="6"/>
  <c r="CU193" i="6"/>
  <c r="DH160" i="6"/>
  <c r="DH193" i="6"/>
  <c r="CH84" i="6"/>
  <c r="DH66" i="6"/>
  <c r="CU201" i="6"/>
  <c r="CH201" i="6"/>
  <c r="CH247" i="6"/>
  <c r="CU247" i="6"/>
  <c r="DH138" i="6"/>
  <c r="DH244" i="6"/>
  <c r="CQ137" i="6"/>
  <c r="CQ112" i="6"/>
  <c r="CQ47" i="6"/>
  <c r="CQ242" i="6"/>
  <c r="DH247" i="6"/>
  <c r="CQ126" i="6"/>
  <c r="CU66" i="6"/>
  <c r="CH66" i="6"/>
  <c r="CQ191" i="6"/>
  <c r="DH201" i="6"/>
  <c r="CU40" i="6"/>
  <c r="CU93" i="6"/>
  <c r="CH93" i="6"/>
  <c r="CU243" i="6"/>
  <c r="CH243" i="6"/>
  <c r="CU190" i="6"/>
  <c r="CH190" i="6"/>
  <c r="CQ186" i="6"/>
  <c r="DH211" i="6"/>
  <c r="CH231" i="6"/>
  <c r="CQ56" i="6"/>
  <c r="CH160" i="6"/>
  <c r="CU160" i="6"/>
  <c r="DH103" i="6"/>
  <c r="CU67" i="6"/>
  <c r="CH67" i="6"/>
  <c r="CU231" i="6"/>
  <c r="CQ152" i="6"/>
  <c r="CQ88" i="6"/>
  <c r="CU221" i="6"/>
  <c r="CH221" i="6"/>
  <c r="DH202" i="6"/>
  <c r="DH63" i="6"/>
  <c r="CU222" i="6"/>
  <c r="CH222" i="6"/>
  <c r="DH237" i="6"/>
  <c r="CQ180" i="6"/>
  <c r="CQ214" i="6"/>
  <c r="CQ43" i="6"/>
  <c r="CU151" i="6"/>
  <c r="CH151" i="6"/>
  <c r="CH224" i="6"/>
  <c r="CQ256" i="6"/>
  <c r="CQ227" i="6"/>
  <c r="DH181" i="6"/>
  <c r="CQ144" i="6"/>
  <c r="CU100" i="6"/>
  <c r="CH100" i="6"/>
  <c r="CU203" i="6"/>
  <c r="CH203" i="6"/>
  <c r="CQ141" i="6"/>
  <c r="CU107" i="6"/>
  <c r="CH107" i="6"/>
  <c r="DH84" i="6"/>
  <c r="CQ202" i="6"/>
  <c r="CQ71" i="6"/>
  <c r="DH102" i="6"/>
  <c r="DH189" i="6"/>
  <c r="CU182" i="6"/>
  <c r="CH182" i="6"/>
  <c r="DH79" i="6"/>
  <c r="CQ147" i="6"/>
  <c r="CQ217" i="6"/>
  <c r="CU84" i="6"/>
  <c r="DH87" i="6"/>
  <c r="CQ54" i="6"/>
  <c r="DH180" i="6"/>
  <c r="CQ136" i="6"/>
  <c r="CQ83" i="6"/>
  <c r="CQ211" i="6"/>
  <c r="DH231" i="6"/>
  <c r="DH151" i="6"/>
  <c r="DH69" i="6"/>
  <c r="CU239" i="6"/>
  <c r="CH239" i="6"/>
  <c r="CH181" i="6"/>
  <c r="CU181" i="6"/>
  <c r="CQ187" i="6"/>
  <c r="CU219" i="6"/>
  <c r="CH89" i="6"/>
  <c r="DH136" i="6"/>
  <c r="DK114" i="6"/>
  <c r="DJ114" i="6"/>
  <c r="CH86" i="6"/>
  <c r="CU87" i="6"/>
  <c r="DH130" i="6"/>
  <c r="CU194" i="6"/>
  <c r="CH165" i="6"/>
  <c r="CH150" i="6"/>
  <c r="CH256" i="6"/>
  <c r="CU140" i="6"/>
  <c r="CU118" i="6"/>
  <c r="CU169" i="6"/>
  <c r="DK36" i="6"/>
  <c r="DJ36" i="6"/>
  <c r="CH45" i="6"/>
  <c r="CQ63" i="6"/>
  <c r="CQ237" i="6"/>
  <c r="CQ74" i="6"/>
  <c r="CQ26" i="6"/>
  <c r="DH186" i="6"/>
  <c r="DH120" i="6"/>
  <c r="DH175" i="6"/>
  <c r="DH222" i="6"/>
  <c r="DH67" i="6"/>
  <c r="DH190" i="6"/>
  <c r="DH142" i="6"/>
  <c r="CQ38" i="6"/>
  <c r="CU89" i="6"/>
  <c r="DH148" i="6"/>
  <c r="CH94" i="6"/>
  <c r="DJ199" i="6"/>
  <c r="DK199" i="6"/>
  <c r="CU86" i="6"/>
  <c r="CQ78" i="6"/>
  <c r="CU255" i="6"/>
  <c r="CU150" i="6"/>
  <c r="CH91" i="6"/>
  <c r="CU131" i="6"/>
  <c r="CU45" i="6"/>
  <c r="CH168" i="6"/>
  <c r="CQ134" i="6"/>
  <c r="DH187" i="6"/>
  <c r="CQ209" i="6"/>
  <c r="CQ91" i="6"/>
  <c r="DH100" i="6"/>
  <c r="DH58" i="6"/>
  <c r="DH40" i="6"/>
  <c r="DH93" i="6"/>
  <c r="DH243" i="6"/>
  <c r="CQ241" i="6"/>
  <c r="CH115" i="6"/>
  <c r="DH241" i="6"/>
  <c r="CU192" i="6"/>
  <c r="CQ199" i="6"/>
  <c r="CH230" i="6"/>
  <c r="DK126" i="6"/>
  <c r="DJ126" i="6"/>
  <c r="CQ109" i="6"/>
  <c r="CQ113" i="6"/>
  <c r="CU49" i="6"/>
  <c r="CH255" i="6"/>
  <c r="CH206" i="6"/>
  <c r="CQ154" i="6"/>
  <c r="CU162" i="6"/>
  <c r="CQ94" i="6"/>
  <c r="DH31" i="6"/>
  <c r="DH105" i="6"/>
  <c r="DH169" i="6"/>
  <c r="DH162" i="6"/>
  <c r="DH27" i="6"/>
  <c r="DH174" i="6"/>
  <c r="CH248" i="6"/>
  <c r="CQ114" i="6"/>
  <c r="CU115" i="6"/>
  <c r="CQ119" i="6"/>
  <c r="DH118" i="6"/>
  <c r="CH189" i="6"/>
  <c r="CU230" i="6"/>
  <c r="CU229" i="6"/>
  <c r="CQ138" i="6"/>
  <c r="CU164" i="6"/>
  <c r="CH31" i="6"/>
  <c r="CQ130" i="6"/>
  <c r="CH53" i="6"/>
  <c r="CH178" i="6"/>
  <c r="CH153" i="6"/>
  <c r="CU206" i="6"/>
  <c r="DH154" i="6"/>
  <c r="CH213" i="6"/>
  <c r="CH123" i="6"/>
  <c r="CH162" i="6"/>
  <c r="DH25" i="6"/>
  <c r="DH139" i="6"/>
  <c r="DH76" i="6"/>
  <c r="DH198" i="6"/>
  <c r="CQ68" i="6"/>
  <c r="CH174" i="6"/>
  <c r="CH192" i="6"/>
  <c r="CU189" i="6"/>
  <c r="CH81" i="6"/>
  <c r="CU31" i="6"/>
  <c r="CH49" i="6"/>
  <c r="CU53" i="6"/>
  <c r="CU178" i="6"/>
  <c r="CU153" i="6"/>
  <c r="CQ70" i="6"/>
  <c r="CU232" i="6"/>
  <c r="CH227" i="6"/>
  <c r="CU213" i="6"/>
  <c r="CU123" i="6"/>
  <c r="CQ155" i="6"/>
  <c r="CU75" i="6"/>
  <c r="CQ25" i="6"/>
  <c r="CU139" i="6"/>
  <c r="CH139" i="6"/>
  <c r="DH228" i="6"/>
  <c r="DH127" i="6"/>
  <c r="DH195" i="6"/>
  <c r="DH52" i="6"/>
  <c r="DH75" i="6"/>
  <c r="CQ173" i="6"/>
  <c r="DH135" i="6"/>
  <c r="CU174" i="6"/>
  <c r="CH223" i="6"/>
  <c r="DH106" i="6"/>
  <c r="CH188" i="6"/>
  <c r="DH70" i="6"/>
  <c r="DH207" i="6"/>
  <c r="CH166" i="6"/>
  <c r="CH232" i="6"/>
  <c r="CQ176" i="6"/>
  <c r="CU228" i="6"/>
  <c r="CH75" i="6"/>
  <c r="CU46" i="6"/>
  <c r="CQ110" i="6"/>
  <c r="DH96" i="6"/>
  <c r="CQ59" i="6"/>
  <c r="CH108" i="6"/>
  <c r="CQ106" i="6"/>
  <c r="DH240" i="6"/>
  <c r="CH218" i="6"/>
  <c r="CU223" i="6"/>
  <c r="CH240" i="6"/>
  <c r="CQ179" i="6"/>
  <c r="CU188" i="6"/>
  <c r="DH156" i="6"/>
  <c r="CU185" i="6"/>
  <c r="CH60" i="6"/>
  <c r="CU129" i="6"/>
  <c r="CU166" i="6"/>
  <c r="CH228" i="6"/>
  <c r="DH223" i="6"/>
  <c r="CH48" i="6"/>
  <c r="CU48" i="6"/>
  <c r="DH48" i="6"/>
  <c r="DH85" i="6"/>
  <c r="DH150" i="6"/>
  <c r="DH61" i="6"/>
  <c r="DH91" i="6"/>
  <c r="DH88" i="6"/>
  <c r="DH54" i="6"/>
  <c r="DH112" i="6"/>
  <c r="DH234" i="6"/>
  <c r="DH250" i="6"/>
  <c r="CH120" i="6"/>
  <c r="CH127" i="6"/>
  <c r="CQ156" i="6"/>
  <c r="CQ142" i="6"/>
  <c r="CU108" i="6"/>
  <c r="CU218" i="6"/>
  <c r="CU240" i="6"/>
  <c r="CH116" i="6"/>
  <c r="CU92" i="6"/>
  <c r="CQ72" i="6"/>
  <c r="DH42" i="6"/>
  <c r="CH253" i="6"/>
  <c r="CH195" i="6"/>
  <c r="CH171" i="6"/>
  <c r="DH213" i="6"/>
  <c r="CU234" i="6"/>
  <c r="CH234" i="6"/>
  <c r="CH250" i="6"/>
  <c r="CU250" i="6"/>
  <c r="CU120" i="6"/>
  <c r="CU127" i="6"/>
  <c r="CQ73" i="6"/>
  <c r="CH210" i="6"/>
  <c r="CQ65" i="6"/>
  <c r="CQ82" i="6"/>
  <c r="CU116" i="6"/>
  <c r="CQ37" i="6"/>
  <c r="CH238" i="6"/>
  <c r="CU35" i="6"/>
  <c r="CQ208" i="6"/>
  <c r="CH79" i="6"/>
  <c r="CU253" i="6"/>
  <c r="CU195" i="6"/>
  <c r="CQ159" i="6"/>
  <c r="CU171" i="6"/>
  <c r="DH117" i="6"/>
  <c r="CH27" i="6"/>
  <c r="CQ30" i="6"/>
  <c r="CU210" i="6"/>
  <c r="CQ143" i="6"/>
  <c r="DH82" i="6"/>
  <c r="CH205" i="6"/>
  <c r="CH43" i="6"/>
  <c r="CH35" i="6"/>
  <c r="DH72" i="6"/>
  <c r="CH233" i="6"/>
  <c r="CU79" i="6"/>
  <c r="CQ117" i="6"/>
  <c r="DH159" i="6"/>
  <c r="CH64" i="6"/>
  <c r="CQ220" i="6"/>
  <c r="CQ251" i="6"/>
  <c r="DH226" i="6"/>
  <c r="DH64" i="6"/>
  <c r="DH39" i="6"/>
  <c r="DH168" i="6"/>
  <c r="DH123" i="6"/>
  <c r="DH111" i="6"/>
  <c r="DH97" i="6"/>
  <c r="CU149" i="6"/>
  <c r="CU27" i="6"/>
  <c r="CU58" i="6"/>
  <c r="DH252" i="6"/>
  <c r="CQ146" i="6"/>
  <c r="CU96" i="6"/>
  <c r="CU205" i="6"/>
  <c r="CH235" i="6"/>
  <c r="CH90" i="6"/>
  <c r="DH216" i="6"/>
  <c r="DK109" i="6"/>
  <c r="DJ109" i="6"/>
  <c r="CH184" i="6"/>
  <c r="DH208" i="6"/>
  <c r="CU233" i="6"/>
  <c r="CQ42" i="6"/>
  <c r="CU64" i="6"/>
  <c r="CQ248" i="6"/>
  <c r="CQ61" i="6"/>
  <c r="CU183" i="6"/>
  <c r="CH183" i="6"/>
  <c r="DH219" i="6"/>
  <c r="DH172" i="6"/>
  <c r="DH55" i="6"/>
  <c r="DH256" i="6"/>
  <c r="DH144" i="6"/>
  <c r="CU76" i="6"/>
  <c r="CQ207" i="6"/>
  <c r="DH225" i="6"/>
  <c r="CU236" i="6"/>
  <c r="CU235" i="6"/>
  <c r="CQ252" i="6"/>
  <c r="CH103" i="6"/>
  <c r="CH104" i="6"/>
  <c r="CU184" i="6"/>
  <c r="CH249" i="6"/>
  <c r="CU125" i="6"/>
  <c r="CQ133" i="6"/>
  <c r="CH172" i="6"/>
  <c r="CQ98" i="6"/>
  <c r="CQ168" i="6"/>
  <c r="DH184" i="6"/>
  <c r="DH217" i="6"/>
  <c r="DH166" i="6"/>
  <c r="DH124" i="6"/>
  <c r="DH235" i="6"/>
  <c r="DH192" i="6"/>
  <c r="DH255" i="6"/>
  <c r="CU39" i="6"/>
  <c r="CH39" i="6"/>
  <c r="CH32" i="6"/>
  <c r="CU32" i="6"/>
  <c r="DH90" i="6"/>
  <c r="CH158" i="6"/>
  <c r="CU158" i="6"/>
  <c r="CU55" i="6"/>
  <c r="CH55" i="6"/>
  <c r="CU28" i="6"/>
  <c r="CH28" i="6"/>
  <c r="DH94" i="6"/>
  <c r="DH115" i="6"/>
  <c r="CQ50" i="6"/>
  <c r="CQ197" i="6"/>
  <c r="CQ245" i="6"/>
  <c r="CH58" i="6"/>
  <c r="CH96" i="6"/>
  <c r="CU103" i="6"/>
  <c r="CU104" i="6"/>
  <c r="CU167" i="6"/>
  <c r="CH62" i="6"/>
  <c r="DH133" i="6"/>
  <c r="CU172" i="6"/>
  <c r="CH200" i="6"/>
  <c r="DH147" i="6"/>
  <c r="DH121" i="6"/>
  <c r="DH57" i="6"/>
  <c r="DH46" i="6"/>
  <c r="DH238" i="6"/>
  <c r="DH153" i="6"/>
  <c r="DH28" i="6"/>
  <c r="DH33" i="6"/>
  <c r="DH253" i="6"/>
  <c r="DH178" i="6"/>
  <c r="DH165" i="6"/>
  <c r="DH81" i="6"/>
  <c r="CH76" i="6"/>
  <c r="CQ24" i="6"/>
  <c r="CH122" i="6"/>
  <c r="CQ121" i="6"/>
  <c r="CH236" i="6"/>
  <c r="CQ80" i="6"/>
  <c r="CQ161" i="6"/>
  <c r="CH85" i="6"/>
  <c r="CH226" i="6"/>
  <c r="CU95" i="6"/>
  <c r="CU124" i="6"/>
  <c r="CH167" i="6"/>
  <c r="CH125" i="6"/>
  <c r="CU62" i="6"/>
  <c r="CH52" i="6"/>
  <c r="CH111" i="6"/>
  <c r="CU200" i="6"/>
  <c r="DH157" i="6"/>
  <c r="DH171" i="6"/>
  <c r="DH205" i="6"/>
  <c r="CU254" i="6"/>
  <c r="CH254" i="6"/>
  <c r="DH246" i="6"/>
  <c r="DH43" i="6"/>
  <c r="DH60" i="6"/>
  <c r="DH108" i="6"/>
  <c r="DH141" i="6"/>
  <c r="CH204" i="6"/>
  <c r="CU204" i="6"/>
  <c r="DH249" i="6"/>
  <c r="CQ225" i="6"/>
  <c r="CQ44" i="6"/>
  <c r="CU105" i="6"/>
  <c r="CU122" i="6"/>
  <c r="CQ132" i="6"/>
  <c r="CU41" i="6"/>
  <c r="CU198" i="6"/>
  <c r="CQ29" i="6"/>
  <c r="CH77" i="6"/>
  <c r="CU145" i="6"/>
  <c r="CQ177" i="6"/>
  <c r="CU85" i="6"/>
  <c r="CU101" i="6"/>
  <c r="CU226" i="6"/>
  <c r="CH95" i="6"/>
  <c r="CH124" i="6"/>
  <c r="CH57" i="6"/>
  <c r="CU52" i="6"/>
  <c r="CU111" i="6"/>
  <c r="CQ102" i="6"/>
  <c r="CU128" i="6"/>
  <c r="CU215" i="6"/>
  <c r="DH45" i="6"/>
  <c r="DH183" i="6"/>
  <c r="DH49" i="6"/>
  <c r="DH210" i="6"/>
  <c r="DH145" i="6"/>
  <c r="DH214" i="6"/>
  <c r="DH129" i="6"/>
  <c r="DH51" i="6"/>
  <c r="DH204" i="6"/>
  <c r="DH99" i="6"/>
  <c r="CQ34" i="6"/>
  <c r="CQ157" i="6"/>
  <c r="CH33" i="6"/>
  <c r="CU77" i="6"/>
  <c r="CH145" i="6"/>
  <c r="CQ244" i="6"/>
  <c r="CQ36" i="6"/>
  <c r="DJ30" i="6"/>
  <c r="DK30" i="6"/>
  <c r="CH242" i="6"/>
  <c r="CU246" i="6"/>
  <c r="CU57" i="6"/>
  <c r="CU69" i="6"/>
  <c r="CH215" i="6"/>
  <c r="B5" i="9"/>
  <c r="O100" i="6"/>
  <c r="O101" i="6"/>
  <c r="CY37" i="6" l="1"/>
  <c r="CZ37" i="6" s="1"/>
  <c r="DF37" i="6"/>
  <c r="CL30" i="6"/>
  <c r="CM30" i="6" s="1"/>
  <c r="DF30" i="6"/>
  <c r="CY35" i="6"/>
  <c r="CZ35" i="6" s="1"/>
  <c r="CL126" i="6"/>
  <c r="CM126" i="6" s="1"/>
  <c r="DF126" i="6"/>
  <c r="CY49" i="6"/>
  <c r="CZ49" i="6" s="1"/>
  <c r="CL47" i="6"/>
  <c r="CM47" i="6" s="1"/>
  <c r="DF47" i="6"/>
  <c r="CL198" i="6"/>
  <c r="CM198" i="6" s="1"/>
  <c r="CY108" i="6"/>
  <c r="CZ108" i="6" s="1"/>
  <c r="CY120" i="6"/>
  <c r="CZ120" i="6" s="1"/>
  <c r="CY107" i="6"/>
  <c r="CZ107" i="6" s="1"/>
  <c r="CY31" i="6"/>
  <c r="CZ31" i="6" s="1"/>
  <c r="CL191" i="6"/>
  <c r="CM191" i="6" s="1"/>
  <c r="DF191" i="6"/>
  <c r="CL121" i="6"/>
  <c r="CM121" i="6" s="1"/>
  <c r="DF121" i="6"/>
  <c r="CL37" i="6"/>
  <c r="CM37" i="6" s="1"/>
  <c r="CY193" i="6"/>
  <c r="CZ193" i="6" s="1"/>
  <c r="CL199" i="6"/>
  <c r="CM199" i="6" s="1"/>
  <c r="DF199" i="6"/>
  <c r="CL187" i="6"/>
  <c r="CM187" i="6" s="1"/>
  <c r="DF187" i="6"/>
  <c r="CL197" i="6"/>
  <c r="CM197" i="6" s="1"/>
  <c r="DF197" i="6"/>
  <c r="CL41" i="6"/>
  <c r="CM41" i="6" s="1"/>
  <c r="CL119" i="6"/>
  <c r="CM119" i="6" s="1"/>
  <c r="DF119" i="6"/>
  <c r="CL186" i="6"/>
  <c r="CM186" i="6" s="1"/>
  <c r="DF186" i="6"/>
  <c r="CY198" i="6"/>
  <c r="CZ198" i="6" s="1"/>
  <c r="DF198" i="6"/>
  <c r="CY48" i="6"/>
  <c r="CZ48" i="6" s="1"/>
  <c r="CY41" i="6"/>
  <c r="CZ41" i="6" s="1"/>
  <c r="DF41" i="6"/>
  <c r="CL29" i="6"/>
  <c r="CM29" i="6" s="1"/>
  <c r="DF29" i="6"/>
  <c r="CL42" i="6"/>
  <c r="CM42" i="6" s="1"/>
  <c r="DF42" i="6"/>
  <c r="CL185" i="6"/>
  <c r="CM185" i="6" s="1"/>
  <c r="CY115" i="6"/>
  <c r="CZ115" i="6" s="1"/>
  <c r="CL114" i="6"/>
  <c r="CM114" i="6" s="1"/>
  <c r="DF114" i="6"/>
  <c r="CY125" i="6"/>
  <c r="CZ125" i="6" s="1"/>
  <c r="CL109" i="6"/>
  <c r="CM109" i="6" s="1"/>
  <c r="DF109" i="6"/>
  <c r="CY205" i="6"/>
  <c r="CZ205" i="6" s="1"/>
  <c r="CY204" i="6"/>
  <c r="CZ204" i="6" s="1"/>
  <c r="CY185" i="6"/>
  <c r="CZ185" i="6" s="1"/>
  <c r="DF185" i="6"/>
  <c r="CY192" i="6"/>
  <c r="CZ192" i="6" s="1"/>
  <c r="CY203" i="6"/>
  <c r="CZ203" i="6" s="1"/>
  <c r="CY127" i="6"/>
  <c r="CZ127" i="6" s="1"/>
  <c r="CQ69" i="6"/>
  <c r="CQ28" i="6"/>
  <c r="CQ247" i="6"/>
  <c r="CQ195" i="6"/>
  <c r="CQ167" i="6"/>
  <c r="CQ226" i="6"/>
  <c r="CQ58" i="6"/>
  <c r="CQ35" i="6"/>
  <c r="CQ194" i="6"/>
  <c r="CQ190" i="6"/>
  <c r="CQ86" i="6"/>
  <c r="DJ108" i="6"/>
  <c r="DK108" i="6"/>
  <c r="CQ49" i="6"/>
  <c r="DK120" i="6"/>
  <c r="DJ120" i="6"/>
  <c r="CQ153" i="6"/>
  <c r="CQ230" i="6"/>
  <c r="CQ178" i="6"/>
  <c r="DK198" i="6"/>
  <c r="DJ198" i="6"/>
  <c r="CQ62" i="6"/>
  <c r="CQ53" i="6"/>
  <c r="CQ163" i="6"/>
  <c r="DK121" i="6"/>
  <c r="DJ121" i="6"/>
  <c r="CQ77" i="6"/>
  <c r="CQ100" i="6"/>
  <c r="CQ108" i="6"/>
  <c r="CQ92" i="6"/>
  <c r="DJ205" i="6"/>
  <c r="DK205" i="6"/>
  <c r="CQ39" i="6"/>
  <c r="CQ253" i="6"/>
  <c r="CQ120" i="6"/>
  <c r="CQ107" i="6"/>
  <c r="CQ243" i="6"/>
  <c r="CQ66" i="6"/>
  <c r="CQ99" i="6"/>
  <c r="CQ172" i="6"/>
  <c r="CQ31" i="6"/>
  <c r="CQ181" i="6"/>
  <c r="CQ151" i="6"/>
  <c r="CQ222" i="6"/>
  <c r="CQ231" i="6"/>
  <c r="DK204" i="6"/>
  <c r="DJ204" i="6"/>
  <c r="CQ145" i="6"/>
  <c r="CQ55" i="6"/>
  <c r="CQ235" i="6"/>
  <c r="CQ79" i="6"/>
  <c r="CQ166" i="6"/>
  <c r="CQ75" i="6"/>
  <c r="DK187" i="6"/>
  <c r="DJ187" i="6"/>
  <c r="CQ93" i="6"/>
  <c r="CQ193" i="6"/>
  <c r="DK43" i="6"/>
  <c r="DJ43" i="6"/>
  <c r="CQ250" i="6"/>
  <c r="CQ150" i="6"/>
  <c r="CQ89" i="6"/>
  <c r="CQ124" i="6"/>
  <c r="CQ158" i="6"/>
  <c r="CQ236" i="6"/>
  <c r="CQ240" i="6"/>
  <c r="CQ174" i="6"/>
  <c r="CQ255" i="6"/>
  <c r="CQ239" i="6"/>
  <c r="CQ40" i="6"/>
  <c r="CQ95" i="6"/>
  <c r="CQ104" i="6"/>
  <c r="DJ115" i="6"/>
  <c r="DK115" i="6"/>
  <c r="DK192" i="6"/>
  <c r="DJ192" i="6"/>
  <c r="DJ48" i="6"/>
  <c r="DK48" i="6"/>
  <c r="CQ46" i="6"/>
  <c r="CQ123" i="6"/>
  <c r="DK186" i="6"/>
  <c r="DJ186" i="6"/>
  <c r="CQ201" i="6"/>
  <c r="CQ224" i="6"/>
  <c r="CQ103" i="6"/>
  <c r="CQ64" i="6"/>
  <c r="CQ162" i="6"/>
  <c r="CQ57" i="6"/>
  <c r="CQ198" i="6"/>
  <c r="CQ27" i="6"/>
  <c r="DK42" i="6"/>
  <c r="DJ42" i="6"/>
  <c r="CQ48" i="6"/>
  <c r="CQ223" i="6"/>
  <c r="CQ213" i="6"/>
  <c r="CQ219" i="6"/>
  <c r="CQ215" i="6"/>
  <c r="CQ41" i="6"/>
  <c r="CQ228" i="6"/>
  <c r="CQ67" i="6"/>
  <c r="CQ128" i="6"/>
  <c r="CQ218" i="6"/>
  <c r="CQ129" i="6"/>
  <c r="CQ164" i="6"/>
  <c r="CQ115" i="6"/>
  <c r="CQ169" i="6"/>
  <c r="CQ51" i="6"/>
  <c r="CQ125" i="6"/>
  <c r="CQ76" i="6"/>
  <c r="DJ127" i="6"/>
  <c r="DK127" i="6"/>
  <c r="CQ232" i="6"/>
  <c r="DK31" i="6"/>
  <c r="DJ31" i="6"/>
  <c r="CQ45" i="6"/>
  <c r="CQ118" i="6"/>
  <c r="CQ87" i="6"/>
  <c r="CQ221" i="6"/>
  <c r="CQ111" i="6"/>
  <c r="CQ101" i="6"/>
  <c r="CQ205" i="6"/>
  <c r="CQ116" i="6"/>
  <c r="CQ234" i="6"/>
  <c r="CQ131" i="6"/>
  <c r="CQ246" i="6"/>
  <c r="DK49" i="6"/>
  <c r="DJ49" i="6"/>
  <c r="CQ52" i="6"/>
  <c r="CQ204" i="6"/>
  <c r="CQ32" i="6"/>
  <c r="CQ140" i="6"/>
  <c r="CQ85" i="6"/>
  <c r="CQ122" i="6"/>
  <c r="CQ254" i="6"/>
  <c r="CQ233" i="6"/>
  <c r="CQ96" i="6"/>
  <c r="CQ210" i="6"/>
  <c r="CQ171" i="6"/>
  <c r="CQ185" i="6"/>
  <c r="CQ84" i="6"/>
  <c r="CQ182" i="6"/>
  <c r="CQ160" i="6"/>
  <c r="CQ200" i="6"/>
  <c r="CQ184" i="6"/>
  <c r="CQ183" i="6"/>
  <c r="CQ149" i="6"/>
  <c r="CQ189" i="6"/>
  <c r="CQ206" i="6"/>
  <c r="CQ192" i="6"/>
  <c r="CQ203" i="6"/>
  <c r="CQ105" i="6"/>
  <c r="CQ127" i="6"/>
  <c r="CQ188" i="6"/>
  <c r="CQ139" i="6"/>
  <c r="CQ229" i="6"/>
  <c r="DK193" i="6"/>
  <c r="DJ193" i="6"/>
  <c r="DK37" i="6"/>
  <c r="DJ37" i="6"/>
  <c r="B6" i="12"/>
  <c r="C2" i="12" s="1"/>
  <c r="M103" i="6"/>
  <c r="K103" i="6"/>
  <c r="CL49" i="6" l="1"/>
  <c r="CM49" i="6" s="1"/>
  <c r="DF49" i="6"/>
  <c r="CL115" i="6"/>
  <c r="CM115" i="6" s="1"/>
  <c r="DF115" i="6"/>
  <c r="CL125" i="6"/>
  <c r="CM125" i="6" s="1"/>
  <c r="DF125" i="6"/>
  <c r="CL193" i="6"/>
  <c r="CM193" i="6" s="1"/>
  <c r="DF193" i="6"/>
  <c r="CL120" i="6"/>
  <c r="CM120" i="6" s="1"/>
  <c r="DF120" i="6"/>
  <c r="CL107" i="6"/>
  <c r="CM107" i="6" s="1"/>
  <c r="DF107" i="6"/>
  <c r="CL204" i="6"/>
  <c r="CM204" i="6" s="1"/>
  <c r="DF204" i="6"/>
  <c r="CL127" i="6"/>
  <c r="CM127" i="6" s="1"/>
  <c r="DF127" i="6"/>
  <c r="CL108" i="6"/>
  <c r="CM108" i="6" s="1"/>
  <c r="DF108" i="6"/>
  <c r="CL205" i="6"/>
  <c r="CM205" i="6" s="1"/>
  <c r="DF205" i="6"/>
  <c r="CL35" i="6"/>
  <c r="CM35" i="6" s="1"/>
  <c r="DF35" i="6"/>
  <c r="CL43" i="6"/>
  <c r="CM43" i="6" s="1"/>
  <c r="DF43" i="6"/>
  <c r="CL48" i="6"/>
  <c r="CM48" i="6" s="1"/>
  <c r="DF48" i="6"/>
  <c r="CL203" i="6"/>
  <c r="CM203" i="6" s="1"/>
  <c r="DF203" i="6"/>
  <c r="CL31" i="6"/>
  <c r="CM31" i="6" s="1"/>
  <c r="DF31" i="6"/>
  <c r="CL192" i="6"/>
  <c r="CM192" i="6" s="1"/>
  <c r="DF192" i="6"/>
  <c r="O4" i="11"/>
  <c r="K4" i="11" s="1"/>
  <c r="O3" i="11"/>
  <c r="O5" i="11" s="1"/>
  <c r="O7" i="11" s="1"/>
  <c r="O9" i="11" s="1"/>
  <c r="O11" i="11" s="1"/>
  <c r="O13" i="11" s="1"/>
  <c r="O15" i="11" s="1"/>
  <c r="O17" i="11" s="1"/>
  <c r="O19" i="11" s="1"/>
  <c r="O21" i="11" s="1"/>
  <c r="O23" i="11" s="1"/>
  <c r="O25" i="11" s="1"/>
  <c r="O27" i="11" s="1"/>
  <c r="O29" i="11" s="1"/>
  <c r="O31" i="11" s="1"/>
  <c r="O33" i="11" s="1"/>
  <c r="O35" i="11" s="1"/>
  <c r="O37" i="11" s="1"/>
  <c r="O39" i="11" s="1"/>
  <c r="O41" i="11" s="1"/>
  <c r="O43" i="11" s="1"/>
  <c r="O45" i="11" s="1"/>
  <c r="O47" i="11" s="1"/>
  <c r="O49" i="11" s="1"/>
  <c r="O51" i="11" s="1"/>
  <c r="O53" i="11" s="1"/>
  <c r="O55" i="11" s="1"/>
  <c r="O57" i="11" s="1"/>
  <c r="O59" i="11" s="1"/>
  <c r="N3" i="11"/>
  <c r="N4" i="11" s="1"/>
  <c r="N5" i="11" s="1"/>
  <c r="N6" i="11" s="1"/>
  <c r="N7" i="11" s="1"/>
  <c r="N8" i="11" s="1"/>
  <c r="N9" i="11" s="1"/>
  <c r="N10" i="11" s="1"/>
  <c r="N11" i="11" s="1"/>
  <c r="N12" i="11" s="1"/>
  <c r="N13" i="11" s="1"/>
  <c r="N14" i="11" s="1"/>
  <c r="N15" i="11" s="1"/>
  <c r="N16" i="11" s="1"/>
  <c r="N17" i="11" s="1"/>
  <c r="N18" i="11" s="1"/>
  <c r="N19" i="11" s="1"/>
  <c r="N20" i="11" s="1"/>
  <c r="N21" i="11" s="1"/>
  <c r="N22" i="11" s="1"/>
  <c r="N23" i="11" s="1"/>
  <c r="N24" i="11" s="1"/>
  <c r="N25" i="11" s="1"/>
  <c r="N26" i="11" s="1"/>
  <c r="N27" i="11" s="1"/>
  <c r="N28" i="11" s="1"/>
  <c r="N29" i="11" s="1"/>
  <c r="N30" i="11" s="1"/>
  <c r="N31" i="11" s="1"/>
  <c r="N32" i="11" s="1"/>
  <c r="N33" i="11" s="1"/>
  <c r="N34" i="11" s="1"/>
  <c r="N35" i="11" s="1"/>
  <c r="N36" i="11" s="1"/>
  <c r="N37" i="11" s="1"/>
  <c r="N38" i="11" s="1"/>
  <c r="N39" i="11" s="1"/>
  <c r="N40" i="11" s="1"/>
  <c r="N41" i="11" s="1"/>
  <c r="N42" i="11" s="1"/>
  <c r="N43" i="11" s="1"/>
  <c r="N44" i="11" s="1"/>
  <c r="N45" i="11" s="1"/>
  <c r="N46" i="11" s="1"/>
  <c r="N47" i="11" s="1"/>
  <c r="N48" i="11" s="1"/>
  <c r="N49" i="11" s="1"/>
  <c r="N50" i="11" s="1"/>
  <c r="N51" i="11" s="1"/>
  <c r="N52" i="11" s="1"/>
  <c r="N53" i="11" s="1"/>
  <c r="N54" i="11" s="1"/>
  <c r="N55" i="11" s="1"/>
  <c r="N56" i="11" s="1"/>
  <c r="N57" i="11" s="1"/>
  <c r="N58" i="11" s="1"/>
  <c r="N59" i="11" s="1"/>
  <c r="N60" i="11" s="1"/>
  <c r="N61" i="11" s="1"/>
  <c r="M3" i="11"/>
  <c r="M4" i="11" s="1"/>
  <c r="M5" i="11" s="1"/>
  <c r="M6" i="11" s="1"/>
  <c r="M7" i="11" s="1"/>
  <c r="M8" i="11" s="1"/>
  <c r="M9" i="11" s="1"/>
  <c r="M10" i="11" s="1"/>
  <c r="M11" i="11" s="1"/>
  <c r="M12" i="11" s="1"/>
  <c r="M13" i="11" s="1"/>
  <c r="M14" i="11" s="1"/>
  <c r="M15" i="11" s="1"/>
  <c r="M16" i="11" s="1"/>
  <c r="M17" i="11" s="1"/>
  <c r="M18" i="11" s="1"/>
  <c r="M19" i="11" s="1"/>
  <c r="M20" i="11" s="1"/>
  <c r="M21" i="11" s="1"/>
  <c r="M22" i="11" s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M49" i="11" s="1"/>
  <c r="M50" i="11" s="1"/>
  <c r="M51" i="11" s="1"/>
  <c r="M52" i="11" s="1"/>
  <c r="M53" i="11" s="1"/>
  <c r="M54" i="11" s="1"/>
  <c r="M55" i="11" s="1"/>
  <c r="M56" i="11" s="1"/>
  <c r="M57" i="11" s="1"/>
  <c r="M58" i="11" s="1"/>
  <c r="M59" i="11" s="1"/>
  <c r="M60" i="11" s="1"/>
  <c r="M61" i="11" s="1"/>
  <c r="L3" i="11"/>
  <c r="L4" i="11" s="1"/>
  <c r="L5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K3" i="11"/>
  <c r="J3" i="11"/>
  <c r="J4" i="11" s="1"/>
  <c r="J5" i="11" s="1"/>
  <c r="J6" i="11" s="1"/>
  <c r="J7" i="11" s="1"/>
  <c r="J8" i="11" s="1"/>
  <c r="J9" i="11" s="1"/>
  <c r="J10" i="11" s="1"/>
  <c r="J11" i="11" s="1"/>
  <c r="J12" i="11" s="1"/>
  <c r="J13" i="11" s="1"/>
  <c r="J14" i="11" s="1"/>
  <c r="J15" i="11" s="1"/>
  <c r="J16" i="11" s="1"/>
  <c r="J17" i="11" s="1"/>
  <c r="J18" i="11" s="1"/>
  <c r="J19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J36" i="11" s="1"/>
  <c r="J37" i="11" s="1"/>
  <c r="J38" i="11" s="1"/>
  <c r="J39" i="11" s="1"/>
  <c r="J40" i="11" s="1"/>
  <c r="J41" i="11" s="1"/>
  <c r="J42" i="11" s="1"/>
  <c r="J43" i="11" s="1"/>
  <c r="J44" i="11" s="1"/>
  <c r="J45" i="11" s="1"/>
  <c r="J46" i="11" s="1"/>
  <c r="J47" i="11" s="1"/>
  <c r="J48" i="11" s="1"/>
  <c r="J49" i="11" s="1"/>
  <c r="J50" i="11" s="1"/>
  <c r="J51" i="11" s="1"/>
  <c r="J52" i="11" s="1"/>
  <c r="J53" i="11" s="1"/>
  <c r="J54" i="11" s="1"/>
  <c r="J55" i="11" s="1"/>
  <c r="J56" i="11" s="1"/>
  <c r="J57" i="11" s="1"/>
  <c r="J58" i="11" s="1"/>
  <c r="J59" i="11" s="1"/>
  <c r="J60" i="11" s="1"/>
  <c r="J61" i="11" s="1"/>
  <c r="K5" i="11" l="1"/>
  <c r="K7" i="11" s="1"/>
  <c r="K9" i="11" s="1"/>
  <c r="K11" i="11" s="1"/>
  <c r="K13" i="11" s="1"/>
  <c r="K15" i="11" s="1"/>
  <c r="K17" i="11" s="1"/>
  <c r="K19" i="11" s="1"/>
  <c r="K21" i="11" s="1"/>
  <c r="K23" i="11" s="1"/>
  <c r="K25" i="11" s="1"/>
  <c r="K27" i="11" s="1"/>
  <c r="K29" i="11" s="1"/>
  <c r="K31" i="11" s="1"/>
  <c r="K33" i="11" s="1"/>
  <c r="K35" i="11" s="1"/>
  <c r="K37" i="11" s="1"/>
  <c r="K39" i="11" s="1"/>
  <c r="K41" i="11" s="1"/>
  <c r="K43" i="11" s="1"/>
  <c r="K45" i="11" s="1"/>
  <c r="K47" i="11" s="1"/>
  <c r="K49" i="11" s="1"/>
  <c r="K51" i="11" s="1"/>
  <c r="K53" i="11" s="1"/>
  <c r="K55" i="11" s="1"/>
  <c r="K57" i="11" s="1"/>
  <c r="K59" i="11" s="1"/>
  <c r="O6" i="11"/>
  <c r="O8" i="11" s="1"/>
  <c r="O10" i="11" s="1"/>
  <c r="O12" i="11" s="1"/>
  <c r="O14" i="11" s="1"/>
  <c r="O16" i="11" s="1"/>
  <c r="O18" i="11" s="1"/>
  <c r="O20" i="11" s="1"/>
  <c r="O22" i="11" s="1"/>
  <c r="O24" i="11" s="1"/>
  <c r="O26" i="11" s="1"/>
  <c r="O28" i="11" s="1"/>
  <c r="O30" i="11" s="1"/>
  <c r="O32" i="11" s="1"/>
  <c r="O34" i="11" s="1"/>
  <c r="O36" i="11" s="1"/>
  <c r="O38" i="11" s="1"/>
  <c r="O40" i="11" s="1"/>
  <c r="O42" i="11" s="1"/>
  <c r="O44" i="11" s="1"/>
  <c r="O46" i="11" s="1"/>
  <c r="O48" i="11" s="1"/>
  <c r="O50" i="11" s="1"/>
  <c r="O52" i="11" s="1"/>
  <c r="O54" i="11" s="1"/>
  <c r="O56" i="11" s="1"/>
  <c r="O58" i="11" s="1"/>
  <c r="O60" i="11" s="1"/>
  <c r="C28" i="6"/>
  <c r="DA4" i="9"/>
  <c r="DA5" i="9" s="1"/>
  <c r="DA6" i="9" s="1"/>
  <c r="DA7" i="9" s="1"/>
  <c r="DA8" i="9" s="1"/>
  <c r="DA9" i="9" s="1"/>
  <c r="DA10" i="9" s="1"/>
  <c r="DA11" i="9" s="1"/>
  <c r="DA12" i="9" s="1"/>
  <c r="DA13" i="9" s="1"/>
  <c r="DA14" i="9" s="1"/>
  <c r="DA15" i="9" s="1"/>
  <c r="DA16" i="9" s="1"/>
  <c r="DA17" i="9" s="1"/>
  <c r="DA18" i="9" s="1"/>
  <c r="DA19" i="9" s="1"/>
  <c r="DA20" i="9" s="1"/>
  <c r="DA21" i="9" s="1"/>
  <c r="DA22" i="9" s="1"/>
  <c r="DA23" i="9" s="1"/>
  <c r="DD2" i="9"/>
  <c r="DE2" i="9" s="1"/>
  <c r="DF2" i="9" s="1"/>
  <c r="DG2" i="9" s="1"/>
  <c r="DH2" i="9" s="1"/>
  <c r="DI2" i="9" s="1"/>
  <c r="DJ2" i="9" s="1"/>
  <c r="DK2" i="9" s="1"/>
  <c r="DL2" i="9" s="1"/>
  <c r="DM2" i="9" s="1"/>
  <c r="DN2" i="9" s="1"/>
  <c r="DO2" i="9" s="1"/>
  <c r="DP2" i="9" s="1"/>
  <c r="DQ2" i="9" s="1"/>
  <c r="DR2" i="9" s="1"/>
  <c r="DS2" i="9" s="1"/>
  <c r="DT2" i="9" s="1"/>
  <c r="DU2" i="9" s="1"/>
  <c r="DV2" i="9" s="1"/>
  <c r="DW2" i="9" s="1"/>
  <c r="DX2" i="9" s="1"/>
  <c r="DY2" i="9" s="1"/>
  <c r="B30" i="9"/>
  <c r="B29" i="9"/>
  <c r="B28" i="9"/>
  <c r="B27" i="9"/>
  <c r="B26" i="9"/>
  <c r="B25" i="9"/>
  <c r="B24" i="9"/>
  <c r="B23" i="9"/>
  <c r="B22" i="9"/>
  <c r="B21" i="9"/>
  <c r="CI19" i="9"/>
  <c r="CF19" i="9"/>
  <c r="CH19" i="9" s="1"/>
  <c r="B20" i="9"/>
  <c r="CI18" i="9"/>
  <c r="CF18" i="9"/>
  <c r="CG18" i="9" s="1"/>
  <c r="B19" i="9"/>
  <c r="CI17" i="9"/>
  <c r="CF17" i="9"/>
  <c r="CH17" i="9" s="1"/>
  <c r="B18" i="9"/>
  <c r="CI16" i="9"/>
  <c r="CF16" i="9"/>
  <c r="CH16" i="9" s="1"/>
  <c r="B17" i="9"/>
  <c r="CI15" i="9"/>
  <c r="CF15" i="9"/>
  <c r="CH15" i="9" s="1"/>
  <c r="BQ15" i="9"/>
  <c r="X15" i="9"/>
  <c r="B16" i="9"/>
  <c r="CF14" i="9"/>
  <c r="CH14" i="9" s="1"/>
  <c r="BQ14" i="9"/>
  <c r="X14" i="9"/>
  <c r="B15" i="9"/>
  <c r="CF13" i="9"/>
  <c r="CH13" i="9" s="1"/>
  <c r="BQ13" i="9"/>
  <c r="X13" i="9"/>
  <c r="B14" i="9"/>
  <c r="CF12" i="9"/>
  <c r="CH12" i="9" s="1"/>
  <c r="BQ12" i="9"/>
  <c r="X12" i="9"/>
  <c r="B13" i="9"/>
  <c r="CF11" i="9"/>
  <c r="CH11" i="9" s="1"/>
  <c r="BQ11" i="9"/>
  <c r="X11" i="9"/>
  <c r="B12" i="9"/>
  <c r="CF10" i="9"/>
  <c r="CH10" i="9" s="1"/>
  <c r="BQ10" i="9"/>
  <c r="X10" i="9"/>
  <c r="B11" i="9"/>
  <c r="CI9" i="9"/>
  <c r="CF9" i="9"/>
  <c r="CH9" i="9" s="1"/>
  <c r="BQ9" i="9"/>
  <c r="X9" i="9"/>
  <c r="B10" i="9"/>
  <c r="CI8" i="9"/>
  <c r="CF8" i="9"/>
  <c r="CH8" i="9" s="1"/>
  <c r="BQ8" i="9"/>
  <c r="X8" i="9"/>
  <c r="B9" i="9"/>
  <c r="CI7" i="9"/>
  <c r="CF7" i="9"/>
  <c r="CH7" i="9" s="1"/>
  <c r="BQ7" i="9"/>
  <c r="X7" i="9"/>
  <c r="B8" i="9"/>
  <c r="CI6" i="9"/>
  <c r="CF6" i="9"/>
  <c r="CH6" i="9" s="1"/>
  <c r="BQ6" i="9"/>
  <c r="X6" i="9"/>
  <c r="B7" i="9"/>
  <c r="CI5" i="9"/>
  <c r="CF5" i="9"/>
  <c r="CH5" i="9" s="1"/>
  <c r="B6" i="9"/>
  <c r="CI4" i="9"/>
  <c r="CF4" i="9"/>
  <c r="CH4" i="9" s="1"/>
  <c r="B4" i="9"/>
  <c r="B28" i="6" s="1"/>
  <c r="B3" i="9"/>
  <c r="AY130" i="6" l="1"/>
  <c r="AY220" i="6"/>
  <c r="AY198" i="6"/>
  <c r="AY75" i="6"/>
  <c r="AY172" i="6"/>
  <c r="AY225" i="6"/>
  <c r="AY50" i="6"/>
  <c r="AY218" i="6"/>
  <c r="AY209" i="6"/>
  <c r="AY106" i="6"/>
  <c r="AY240" i="6"/>
  <c r="AY142" i="6"/>
  <c r="AY153" i="6"/>
  <c r="AY119" i="6"/>
  <c r="AY114" i="6"/>
  <c r="AY63" i="6"/>
  <c r="AY197" i="6"/>
  <c r="AY94" i="6"/>
  <c r="AY176" i="6"/>
  <c r="AY45" i="6"/>
  <c r="AY192" i="6"/>
  <c r="AY126" i="6"/>
  <c r="AY146" i="6"/>
  <c r="AY29" i="6"/>
  <c r="AY204" i="6"/>
  <c r="AY73" i="6"/>
  <c r="AY82" i="6"/>
  <c r="AY212" i="6"/>
  <c r="AY26" i="6"/>
  <c r="AY118" i="6"/>
  <c r="AY160" i="6"/>
  <c r="AY201" i="6"/>
  <c r="AY238" i="6"/>
  <c r="AY101" i="6"/>
  <c r="AY122" i="6"/>
  <c r="AY149" i="6"/>
  <c r="AY110" i="6"/>
  <c r="AY131" i="6"/>
  <c r="AY233" i="6"/>
  <c r="AY173" i="6"/>
  <c r="AY99" i="6"/>
  <c r="AY253" i="6"/>
  <c r="AY150" i="6"/>
  <c r="AY248" i="6"/>
  <c r="AY163" i="6"/>
  <c r="AY69" i="6"/>
  <c r="AY52" i="6"/>
  <c r="AY158" i="6"/>
  <c r="AY116" i="6"/>
  <c r="AY49" i="6"/>
  <c r="AY217" i="6"/>
  <c r="AY62" i="6"/>
  <c r="AY34" i="6"/>
  <c r="AY100" i="6"/>
  <c r="AY243" i="6"/>
  <c r="AY53" i="6"/>
  <c r="AY213" i="6"/>
  <c r="AY178" i="6"/>
  <c r="AY86" i="6"/>
  <c r="AY67" i="6"/>
  <c r="AY246" i="6"/>
  <c r="AY183" i="6"/>
  <c r="AY166" i="6"/>
  <c r="AY89" i="6"/>
  <c r="AY227" i="6"/>
  <c r="AY60" i="6"/>
  <c r="AY107" i="6"/>
  <c r="AY193" i="6"/>
  <c r="AY179" i="6"/>
  <c r="AY199" i="6"/>
  <c r="AY219" i="6"/>
  <c r="AY255" i="6"/>
  <c r="AY143" i="6"/>
  <c r="AY129" i="6"/>
  <c r="AY208" i="6"/>
  <c r="AY136" i="6"/>
  <c r="AY138" i="6"/>
  <c r="AY223" i="6"/>
  <c r="AY25" i="6"/>
  <c r="AY123" i="6"/>
  <c r="AY162" i="6"/>
  <c r="AY121" i="6"/>
  <c r="AY46" i="6"/>
  <c r="AY54" i="6"/>
  <c r="AY59" i="6"/>
  <c r="AY170" i="6"/>
  <c r="AY159" i="6"/>
  <c r="AY91" i="6"/>
  <c r="AY185" i="6"/>
  <c r="AY195" i="6"/>
  <c r="AY181" i="6"/>
  <c r="AY245" i="6"/>
  <c r="AY205" i="6"/>
  <c r="AY207" i="6"/>
  <c r="AY41" i="6"/>
  <c r="AY84" i="6"/>
  <c r="AY85" i="6"/>
  <c r="AY125" i="6"/>
  <c r="AY165" i="6"/>
  <c r="AY167" i="6"/>
  <c r="AY133" i="6"/>
  <c r="AY30" i="6"/>
  <c r="AY148" i="6"/>
  <c r="AY113" i="6"/>
  <c r="AY230" i="6"/>
  <c r="AY226" i="6"/>
  <c r="AY61" i="6"/>
  <c r="AY187" i="6"/>
  <c r="AY77" i="6"/>
  <c r="AY97" i="6"/>
  <c r="AY196" i="6"/>
  <c r="AY92" i="6"/>
  <c r="AY156" i="6"/>
  <c r="AY247" i="6"/>
  <c r="AY108" i="6"/>
  <c r="AY104" i="6"/>
  <c r="AY120" i="6"/>
  <c r="AY56" i="6"/>
  <c r="AY134" i="6"/>
  <c r="AY242" i="6"/>
  <c r="AY200" i="6"/>
  <c r="AY98" i="6"/>
  <c r="AY27" i="6"/>
  <c r="AY152" i="6"/>
  <c r="AY251" i="6"/>
  <c r="AY43" i="6"/>
  <c r="AY145" i="6"/>
  <c r="AY35" i="6"/>
  <c r="AY252" i="6"/>
  <c r="AY239" i="6"/>
  <c r="AY203" i="6"/>
  <c r="AY234" i="6"/>
  <c r="AY79" i="6"/>
  <c r="AY80" i="6"/>
  <c r="AY33" i="6"/>
  <c r="AY211" i="6"/>
  <c r="AY135" i="6"/>
  <c r="AY232" i="6"/>
  <c r="AY180" i="6"/>
  <c r="AY140" i="6"/>
  <c r="AY210" i="6"/>
  <c r="AY215" i="6"/>
  <c r="AY250" i="6"/>
  <c r="AY76" i="6"/>
  <c r="AY231" i="6"/>
  <c r="AY96" i="6"/>
  <c r="AY191" i="6"/>
  <c r="AY177" i="6"/>
  <c r="AY168" i="6"/>
  <c r="AY127" i="6"/>
  <c r="AY254" i="6"/>
  <c r="AY58" i="6"/>
  <c r="AY90" i="6"/>
  <c r="AY31" i="6"/>
  <c r="AY169" i="6"/>
  <c r="AY151" i="6"/>
  <c r="AY221" i="6"/>
  <c r="AY112" i="6"/>
  <c r="AY38" i="6"/>
  <c r="AY161" i="6"/>
  <c r="AY214" i="6"/>
  <c r="AY55" i="6"/>
  <c r="AY190" i="6"/>
  <c r="AY244" i="6"/>
  <c r="AY189" i="6"/>
  <c r="AY44" i="6"/>
  <c r="AY115" i="6"/>
  <c r="AY24" i="6"/>
  <c r="AY74" i="6"/>
  <c r="AY202" i="6"/>
  <c r="AY37" i="6"/>
  <c r="AY87" i="6"/>
  <c r="AY157" i="6"/>
  <c r="AY36" i="6"/>
  <c r="AY206" i="6"/>
  <c r="AY124" i="6"/>
  <c r="AY78" i="6"/>
  <c r="AY48" i="6"/>
  <c r="AY81" i="6"/>
  <c r="AY222" i="6"/>
  <c r="AY105" i="6"/>
  <c r="AY95" i="6"/>
  <c r="AY32" i="6"/>
  <c r="AY164" i="6"/>
  <c r="AY102" i="6"/>
  <c r="AY47" i="6"/>
  <c r="AY224" i="6"/>
  <c r="AY175" i="6"/>
  <c r="AY147" i="6"/>
  <c r="AY28" i="6"/>
  <c r="AY237" i="6"/>
  <c r="AY241" i="6"/>
  <c r="AY174" i="6"/>
  <c r="AY139" i="6"/>
  <c r="AY68" i="6"/>
  <c r="AY216" i="6"/>
  <c r="AY111" i="6"/>
  <c r="AY93" i="6"/>
  <c r="AY155" i="6"/>
  <c r="AY137" i="6"/>
  <c r="AY83" i="6"/>
  <c r="AY236" i="6"/>
  <c r="AY249" i="6"/>
  <c r="AY144" i="6"/>
  <c r="AY66" i="6"/>
  <c r="AY141" i="6"/>
  <c r="AY51" i="6"/>
  <c r="AY39" i="6"/>
  <c r="AY42" i="6"/>
  <c r="AY40" i="6"/>
  <c r="AY109" i="6"/>
  <c r="AY186" i="6"/>
  <c r="AY117" i="6"/>
  <c r="AY103" i="6"/>
  <c r="AY194" i="6"/>
  <c r="AY64" i="6"/>
  <c r="AY184" i="6"/>
  <c r="AY235" i="6"/>
  <c r="AY229" i="6"/>
  <c r="AY182" i="6"/>
  <c r="AY256" i="6"/>
  <c r="AY132" i="6"/>
  <c r="AY70" i="6"/>
  <c r="AY154" i="6"/>
  <c r="AY188" i="6"/>
  <c r="AY128" i="6"/>
  <c r="AY65" i="6"/>
  <c r="AY88" i="6"/>
  <c r="AY171" i="6"/>
  <c r="AY71" i="6"/>
  <c r="AY72" i="6"/>
  <c r="AY57" i="6"/>
  <c r="AY228" i="6"/>
  <c r="CG7" i="9"/>
  <c r="K6" i="11"/>
  <c r="K8" i="11" s="1"/>
  <c r="K10" i="11" s="1"/>
  <c r="K12" i="11" s="1"/>
  <c r="K14" i="11" s="1"/>
  <c r="K16" i="11" s="1"/>
  <c r="K18" i="11" s="1"/>
  <c r="K20" i="11" s="1"/>
  <c r="K22" i="11" s="1"/>
  <c r="K24" i="11" s="1"/>
  <c r="K26" i="11" s="1"/>
  <c r="K28" i="11" s="1"/>
  <c r="K30" i="11" s="1"/>
  <c r="K32" i="11" s="1"/>
  <c r="K34" i="11" s="1"/>
  <c r="K36" i="11" s="1"/>
  <c r="K38" i="11" s="1"/>
  <c r="K40" i="11" s="1"/>
  <c r="K42" i="11" s="1"/>
  <c r="K44" i="11" s="1"/>
  <c r="K46" i="11" s="1"/>
  <c r="K48" i="11" s="1"/>
  <c r="K50" i="11" s="1"/>
  <c r="K52" i="11" s="1"/>
  <c r="K54" i="11" s="1"/>
  <c r="K56" i="11" s="1"/>
  <c r="K58" i="11" s="1"/>
  <c r="K60" i="11" s="1"/>
  <c r="CG6" i="9"/>
  <c r="CG15" i="9"/>
  <c r="CG9" i="9"/>
  <c r="CG5" i="9"/>
  <c r="CH18" i="9"/>
  <c r="CG4" i="9"/>
  <c r="CG16" i="9"/>
  <c r="CG8" i="9"/>
  <c r="CG19" i="9"/>
  <c r="CG17" i="9"/>
  <c r="BO130" i="6"/>
  <c r="BO197" i="6"/>
  <c r="BO238" i="6"/>
  <c r="BO116" i="6"/>
  <c r="BO227" i="6"/>
  <c r="BO162" i="6"/>
  <c r="BO85" i="6"/>
  <c r="BO156" i="6"/>
  <c r="BO252" i="6"/>
  <c r="BO231" i="6"/>
  <c r="BO214" i="6"/>
  <c r="BO78" i="6"/>
  <c r="BO174" i="6"/>
  <c r="BO42" i="6"/>
  <c r="BO188" i="6"/>
  <c r="BO124" i="6"/>
  <c r="BO220" i="6"/>
  <c r="BO94" i="6"/>
  <c r="BO101" i="6"/>
  <c r="BO49" i="6"/>
  <c r="BO60" i="6"/>
  <c r="BO121" i="6"/>
  <c r="BO125" i="6"/>
  <c r="BO247" i="6"/>
  <c r="BO239" i="6"/>
  <c r="BO96" i="6"/>
  <c r="BO55" i="6"/>
  <c r="BO48" i="6"/>
  <c r="BO139" i="6"/>
  <c r="BO40" i="6"/>
  <c r="BO128" i="6"/>
  <c r="BO123" i="6"/>
  <c r="BO198" i="6"/>
  <c r="BO176" i="6"/>
  <c r="BO122" i="6"/>
  <c r="BO217" i="6"/>
  <c r="BO107" i="6"/>
  <c r="BO46" i="6"/>
  <c r="BO165" i="6"/>
  <c r="BO108" i="6"/>
  <c r="BO203" i="6"/>
  <c r="BO191" i="6"/>
  <c r="BO190" i="6"/>
  <c r="BO81" i="6"/>
  <c r="BO68" i="6"/>
  <c r="BO109" i="6"/>
  <c r="BO65" i="6"/>
  <c r="BO76" i="6"/>
  <c r="BO75" i="6"/>
  <c r="BO45" i="6"/>
  <c r="BO149" i="6"/>
  <c r="BO62" i="6"/>
  <c r="BO193" i="6"/>
  <c r="BO54" i="6"/>
  <c r="BO167" i="6"/>
  <c r="BO104" i="6"/>
  <c r="BO234" i="6"/>
  <c r="BO177" i="6"/>
  <c r="BO244" i="6"/>
  <c r="BO222" i="6"/>
  <c r="BO216" i="6"/>
  <c r="BO186" i="6"/>
  <c r="BO88" i="6"/>
  <c r="BO89" i="6"/>
  <c r="BO172" i="6"/>
  <c r="BO192" i="6"/>
  <c r="BO110" i="6"/>
  <c r="BO34" i="6"/>
  <c r="BO179" i="6"/>
  <c r="BO59" i="6"/>
  <c r="BO133" i="6"/>
  <c r="BO120" i="6"/>
  <c r="BO79" i="6"/>
  <c r="BO168" i="6"/>
  <c r="BO189" i="6"/>
  <c r="BO105" i="6"/>
  <c r="BO111" i="6"/>
  <c r="BO117" i="6"/>
  <c r="BO171" i="6"/>
  <c r="BO35" i="6"/>
  <c r="BO225" i="6"/>
  <c r="BO126" i="6"/>
  <c r="BO131" i="6"/>
  <c r="BO100" i="6"/>
  <c r="BO199" i="6"/>
  <c r="BO170" i="6"/>
  <c r="BO30" i="6"/>
  <c r="BO56" i="6"/>
  <c r="BO80" i="6"/>
  <c r="BO127" i="6"/>
  <c r="BO44" i="6"/>
  <c r="BO95" i="6"/>
  <c r="BO93" i="6"/>
  <c r="BO103" i="6"/>
  <c r="BO71" i="6"/>
  <c r="BO63" i="6"/>
  <c r="BO50" i="6"/>
  <c r="BO146" i="6"/>
  <c r="BO233" i="6"/>
  <c r="BO243" i="6"/>
  <c r="BO219" i="6"/>
  <c r="BO159" i="6"/>
  <c r="BO148" i="6"/>
  <c r="BO134" i="6"/>
  <c r="BO33" i="6"/>
  <c r="BO254" i="6"/>
  <c r="BO115" i="6"/>
  <c r="BO32" i="6"/>
  <c r="BO155" i="6"/>
  <c r="BO194" i="6"/>
  <c r="BO72" i="6"/>
  <c r="BO218" i="6"/>
  <c r="BO29" i="6"/>
  <c r="BO173" i="6"/>
  <c r="BO53" i="6"/>
  <c r="BO255" i="6"/>
  <c r="BO91" i="6"/>
  <c r="BO113" i="6"/>
  <c r="BO242" i="6"/>
  <c r="BO211" i="6"/>
  <c r="BO58" i="6"/>
  <c r="BO24" i="6"/>
  <c r="BO164" i="6"/>
  <c r="BO137" i="6"/>
  <c r="BO64" i="6"/>
  <c r="BO57" i="6"/>
  <c r="BO154" i="6"/>
  <c r="BO209" i="6"/>
  <c r="BO204" i="6"/>
  <c r="BO99" i="6"/>
  <c r="BO213" i="6"/>
  <c r="BO143" i="6"/>
  <c r="BO185" i="6"/>
  <c r="BO230" i="6"/>
  <c r="BO200" i="6"/>
  <c r="BO135" i="6"/>
  <c r="BO90" i="6"/>
  <c r="BO74" i="6"/>
  <c r="BO102" i="6"/>
  <c r="BO83" i="6"/>
  <c r="BO184" i="6"/>
  <c r="BO228" i="6"/>
  <c r="BO201" i="6"/>
  <c r="BO106" i="6"/>
  <c r="BO73" i="6"/>
  <c r="BO253" i="6"/>
  <c r="BO178" i="6"/>
  <c r="BO129" i="6"/>
  <c r="BO195" i="6"/>
  <c r="BO226" i="6"/>
  <c r="BO98" i="6"/>
  <c r="BO232" i="6"/>
  <c r="BO31" i="6"/>
  <c r="BO202" i="6"/>
  <c r="BO47" i="6"/>
  <c r="BO236" i="6"/>
  <c r="BO235" i="6"/>
  <c r="BO158" i="6"/>
  <c r="BO240" i="6"/>
  <c r="BO82" i="6"/>
  <c r="BO150" i="6"/>
  <c r="BO86" i="6"/>
  <c r="BO208" i="6"/>
  <c r="BO181" i="6"/>
  <c r="BO61" i="6"/>
  <c r="BO27" i="6"/>
  <c r="BO180" i="6"/>
  <c r="BO169" i="6"/>
  <c r="BO37" i="6"/>
  <c r="BO224" i="6"/>
  <c r="BO249" i="6"/>
  <c r="BO229" i="6"/>
  <c r="BO241" i="6"/>
  <c r="BO142" i="6"/>
  <c r="BO212" i="6"/>
  <c r="BO248" i="6"/>
  <c r="BO67" i="6"/>
  <c r="BO136" i="6"/>
  <c r="BO245" i="6"/>
  <c r="BO187" i="6"/>
  <c r="BO152" i="6"/>
  <c r="BO140" i="6"/>
  <c r="BO151" i="6"/>
  <c r="BO87" i="6"/>
  <c r="BO175" i="6"/>
  <c r="BO144" i="6"/>
  <c r="BO182" i="6"/>
  <c r="BO84" i="6"/>
  <c r="BO153" i="6"/>
  <c r="BO26" i="6"/>
  <c r="BO163" i="6"/>
  <c r="BO246" i="6"/>
  <c r="BO138" i="6"/>
  <c r="BO205" i="6"/>
  <c r="BO77" i="6"/>
  <c r="BO251" i="6"/>
  <c r="BO210" i="6"/>
  <c r="BO221" i="6"/>
  <c r="BO157" i="6"/>
  <c r="BO147" i="6"/>
  <c r="BO66" i="6"/>
  <c r="BO256" i="6"/>
  <c r="BO92" i="6"/>
  <c r="BO119" i="6"/>
  <c r="BO118" i="6"/>
  <c r="BO69" i="6"/>
  <c r="BO183" i="6"/>
  <c r="BO223" i="6"/>
  <c r="BO207" i="6"/>
  <c r="BO97" i="6"/>
  <c r="BO43" i="6"/>
  <c r="BO215" i="6"/>
  <c r="BO112" i="6"/>
  <c r="BO36" i="6"/>
  <c r="BO28" i="6"/>
  <c r="BO141" i="6"/>
  <c r="BO132" i="6"/>
  <c r="BO161" i="6"/>
  <c r="BO114" i="6"/>
  <c r="BO160" i="6"/>
  <c r="BO52" i="6"/>
  <c r="BO166" i="6"/>
  <c r="BO25" i="6"/>
  <c r="BO41" i="6"/>
  <c r="BO196" i="6"/>
  <c r="BO145" i="6"/>
  <c r="BO250" i="6"/>
  <c r="BO38" i="6"/>
  <c r="BO206" i="6"/>
  <c r="BO237" i="6"/>
  <c r="BO51" i="6"/>
  <c r="BO70" i="6"/>
  <c r="BO39" i="6"/>
  <c r="L103" i="6" l="1"/>
  <c r="CO23" i="6"/>
  <c r="N118" i="6" l="1"/>
  <c r="N117" i="6"/>
  <c r="G118" i="6"/>
  <c r="G119" i="6" s="1"/>
  <c r="G117" i="6"/>
  <c r="G120" i="6" s="1"/>
  <c r="N121" i="6" l="1"/>
  <c r="G121" i="6"/>
  <c r="G123" i="6" s="1"/>
  <c r="N119" i="6"/>
  <c r="N122" i="6" s="1"/>
  <c r="F96" i="6" a="1"/>
  <c r="G122" i="6" l="1"/>
  <c r="N123" i="6"/>
  <c r="N125" i="6" s="1"/>
  <c r="F96" i="6"/>
  <c r="N124" i="6" l="1"/>
  <c r="BF14" i="6"/>
  <c r="BF15" i="6" l="1"/>
  <c r="AC15" i="6"/>
  <c r="EB15" i="6" s="1"/>
  <c r="AD17" i="6"/>
  <c r="EC17" i="6" s="1"/>
  <c r="AD16" i="6"/>
  <c r="EC16" i="6" s="1"/>
  <c r="Z11" i="6" l="1"/>
  <c r="L84" i="6" l="1"/>
  <c r="L28" i="6"/>
  <c r="N28" i="6"/>
  <c r="M28" i="6"/>
  <c r="M106" i="6" s="1"/>
  <c r="F46" i="6"/>
  <c r="L106" i="6"/>
  <c r="I28" i="6"/>
  <c r="H28" i="6"/>
  <c r="D28" i="6"/>
  <c r="J46" i="6" a="1"/>
  <c r="CP62" i="6"/>
  <c r="CP151" i="6"/>
  <c r="CP199" i="6"/>
  <c r="CP129" i="6"/>
  <c r="CP39" i="6"/>
  <c r="CP27" i="6"/>
  <c r="CP37" i="6"/>
  <c r="CP76" i="6"/>
  <c r="CP58" i="6"/>
  <c r="CP106" i="6"/>
  <c r="CP44" i="6"/>
  <c r="CP42" i="6"/>
  <c r="CP102" i="6"/>
  <c r="CP114" i="6"/>
  <c r="CP90" i="6"/>
  <c r="CP117" i="6"/>
  <c r="CP168" i="6"/>
  <c r="CP186" i="6"/>
  <c r="CP190" i="6"/>
  <c r="CP254" i="6"/>
  <c r="CP195" i="6"/>
  <c r="CP233" i="6"/>
  <c r="CP218" i="6"/>
  <c r="CP189" i="6"/>
  <c r="CP45" i="6"/>
  <c r="CP118" i="6"/>
  <c r="CP182" i="6"/>
  <c r="CP131" i="6"/>
  <c r="CP125" i="6"/>
  <c r="CP55" i="6"/>
  <c r="CP88" i="6"/>
  <c r="CP160" i="6"/>
  <c r="CP185" i="6"/>
  <c r="CP207" i="6"/>
  <c r="CP225" i="6"/>
  <c r="CP200" i="6"/>
  <c r="CP223" i="6"/>
  <c r="CP32" i="6"/>
  <c r="CP48" i="6"/>
  <c r="CP246" i="6"/>
  <c r="CP83" i="6"/>
  <c r="CP104" i="6"/>
  <c r="CP91" i="6"/>
  <c r="CP137" i="6"/>
  <c r="CP87" i="6"/>
  <c r="CP92" i="6"/>
  <c r="CP139" i="6"/>
  <c r="CP110" i="6"/>
  <c r="CP197" i="6"/>
  <c r="CP179" i="6"/>
  <c r="CP224" i="6"/>
  <c r="CP253" i="6"/>
  <c r="CP238" i="6"/>
  <c r="CP34" i="6"/>
  <c r="CP162" i="6"/>
  <c r="CP41" i="6"/>
  <c r="CP26" i="6"/>
  <c r="CP196" i="6"/>
  <c r="CP124" i="6"/>
  <c r="CP158" i="6"/>
  <c r="CP145" i="6"/>
  <c r="CP108" i="6"/>
  <c r="CP143" i="6"/>
  <c r="CP215" i="6"/>
  <c r="CP250" i="6"/>
  <c r="CP237" i="6"/>
  <c r="CP211" i="6"/>
  <c r="CP249" i="6"/>
  <c r="CP51" i="6"/>
  <c r="CP24" i="6"/>
  <c r="CP25" i="6"/>
  <c r="CP226" i="6"/>
  <c r="CP130" i="6"/>
  <c r="CP155" i="6"/>
  <c r="CP172" i="6"/>
  <c r="CP52" i="6"/>
  <c r="CP96" i="6"/>
  <c r="CP80" i="6"/>
  <c r="CP85" i="6"/>
  <c r="CP136" i="6"/>
  <c r="CP74" i="6"/>
  <c r="CP210" i="6"/>
  <c r="CP133" i="6"/>
  <c r="CP128" i="6"/>
  <c r="CP165" i="6"/>
  <c r="CP176" i="6"/>
  <c r="CP149" i="6"/>
  <c r="CP184" i="6"/>
  <c r="CP239" i="6"/>
  <c r="CP231" i="6"/>
  <c r="CP227" i="6"/>
  <c r="CP170" i="6"/>
  <c r="CP81" i="6"/>
  <c r="CP73" i="6"/>
  <c r="CP89" i="6"/>
  <c r="CP66" i="6"/>
  <c r="CP53" i="6"/>
  <c r="CP40" i="6"/>
  <c r="CP150" i="6"/>
  <c r="CP28" i="6"/>
  <c r="CP67" i="6"/>
  <c r="CP98" i="6"/>
  <c r="CP148" i="6"/>
  <c r="CP72" i="6"/>
  <c r="CP144" i="6"/>
  <c r="CP183" i="6"/>
  <c r="CP161" i="6"/>
  <c r="CP174" i="6"/>
  <c r="CP230" i="6"/>
  <c r="CP208" i="6"/>
  <c r="CP93" i="6"/>
  <c r="CP71" i="6"/>
  <c r="CP29" i="6"/>
  <c r="CP38" i="6"/>
  <c r="CP109" i="6"/>
  <c r="CP50" i="6"/>
  <c r="CP31" i="6"/>
  <c r="CP256" i="6"/>
  <c r="CP255" i="6"/>
  <c r="CP112" i="6"/>
  <c r="CP175" i="6"/>
  <c r="CP234" i="6"/>
  <c r="CP251" i="6"/>
  <c r="CP247" i="6"/>
  <c r="CP70" i="6"/>
  <c r="CP146" i="6"/>
  <c r="CP78" i="6"/>
  <c r="CP116" i="6"/>
  <c r="CP157" i="6"/>
  <c r="CP35" i="6"/>
  <c r="CP115" i="6"/>
  <c r="CP103" i="6"/>
  <c r="CP33" i="6"/>
  <c r="CP214" i="6"/>
  <c r="CP123" i="6"/>
  <c r="CP111" i="6"/>
  <c r="CP101" i="6"/>
  <c r="CP204" i="6"/>
  <c r="CP198" i="6"/>
  <c r="CP159" i="6"/>
  <c r="CP236" i="6"/>
  <c r="CP235" i="6"/>
  <c r="CP241" i="6"/>
  <c r="CP220" i="6"/>
  <c r="CP153" i="6"/>
  <c r="CP147" i="6"/>
  <c r="CP47" i="6"/>
  <c r="CP180" i="6"/>
  <c r="CP188" i="6"/>
  <c r="CP57" i="6"/>
  <c r="CP122" i="6"/>
  <c r="CP113" i="6"/>
  <c r="CP132" i="6"/>
  <c r="CP191" i="6"/>
  <c r="CP167" i="6"/>
  <c r="CP221" i="6"/>
  <c r="CP181" i="6"/>
  <c r="CP209" i="6"/>
  <c r="CP243" i="6"/>
  <c r="CP232" i="6"/>
  <c r="CP240" i="6"/>
  <c r="CP79" i="6"/>
  <c r="CP205" i="6"/>
  <c r="CP61" i="6"/>
  <c r="CP121" i="6"/>
  <c r="CP213" i="6"/>
  <c r="CP64" i="6"/>
  <c r="CP154" i="6"/>
  <c r="CP156" i="6"/>
  <c r="CP245" i="6"/>
  <c r="CP173" i="6"/>
  <c r="CP138" i="6"/>
  <c r="CP164" i="6"/>
  <c r="CP201" i="6"/>
  <c r="CP187" i="6"/>
  <c r="CP216" i="6"/>
  <c r="CP43" i="6"/>
  <c r="CP99" i="6"/>
  <c r="CP244" i="6"/>
  <c r="CP120" i="6"/>
  <c r="CP36" i="6"/>
  <c r="CP126" i="6"/>
  <c r="CP86" i="6"/>
  <c r="CP134" i="6"/>
  <c r="CP59" i="6"/>
  <c r="CP192" i="6"/>
  <c r="CP68" i="6"/>
  <c r="CP82" i="6"/>
  <c r="CP100" i="6"/>
  <c r="CP69" i="6"/>
  <c r="CP217" i="6"/>
  <c r="CP178" i="6"/>
  <c r="CP119" i="6"/>
  <c r="CP140" i="6"/>
  <c r="CP193" i="6"/>
  <c r="CP212" i="6"/>
  <c r="CP169" i="6"/>
  <c r="CP107" i="6"/>
  <c r="CP49" i="6"/>
  <c r="CP141" i="6"/>
  <c r="CP248" i="6"/>
  <c r="CP203" i="6"/>
  <c r="CP194" i="6"/>
  <c r="CP177" i="6"/>
  <c r="CP54" i="6"/>
  <c r="CP60" i="6"/>
  <c r="CP127" i="6"/>
  <c r="CP75" i="6"/>
  <c r="CP56" i="6"/>
  <c r="CP105" i="6"/>
  <c r="CP94" i="6"/>
  <c r="CP163" i="6"/>
  <c r="CP219" i="6"/>
  <c r="CP242" i="6"/>
  <c r="CP206" i="6"/>
  <c r="CP229" i="6"/>
  <c r="CP84" i="6"/>
  <c r="CP171" i="6"/>
  <c r="CP135" i="6"/>
  <c r="CP30" i="6"/>
  <c r="CP46" i="6"/>
  <c r="CP95" i="6"/>
  <c r="CP77" i="6"/>
  <c r="CP65" i="6"/>
  <c r="CP63" i="6"/>
  <c r="CP202" i="6"/>
  <c r="CP152" i="6"/>
  <c r="CP97" i="6"/>
  <c r="CP142" i="6"/>
  <c r="CP166" i="6"/>
  <c r="CP228" i="6"/>
  <c r="CP222" i="6"/>
  <c r="CP252" i="6"/>
  <c r="CP23" i="6"/>
  <c r="I96" i="6" a="1"/>
  <c r="DA244" i="6" l="1"/>
  <c r="DA224" i="6"/>
  <c r="DA211" i="6"/>
  <c r="DA205" i="6"/>
  <c r="DA194" i="6"/>
  <c r="DA183" i="6"/>
  <c r="DA177" i="6"/>
  <c r="DA164" i="6"/>
  <c r="DA151" i="6"/>
  <c r="DA145" i="6"/>
  <c r="DA121" i="6"/>
  <c r="DA116" i="6"/>
  <c r="DA105" i="6"/>
  <c r="DA56" i="6"/>
  <c r="DA50" i="6"/>
  <c r="DE40" i="6"/>
  <c r="DA26" i="6"/>
  <c r="DA256" i="6"/>
  <c r="DA249" i="6"/>
  <c r="DA237" i="6"/>
  <c r="DA217" i="6"/>
  <c r="DA157" i="6"/>
  <c r="DA138" i="6"/>
  <c r="DA126" i="6"/>
  <c r="DA86" i="6"/>
  <c r="DA80" i="6"/>
  <c r="DE73" i="6"/>
  <c r="DA62" i="6"/>
  <c r="DA40" i="6"/>
  <c r="DA35" i="6"/>
  <c r="DA243" i="6"/>
  <c r="DA230" i="6"/>
  <c r="DA223" i="6"/>
  <c r="DA210" i="6"/>
  <c r="DA199" i="6"/>
  <c r="DA188" i="6"/>
  <c r="DA170" i="6"/>
  <c r="DA163" i="6"/>
  <c r="DA150" i="6"/>
  <c r="DA144" i="6"/>
  <c r="DA131" i="6"/>
  <c r="DA110" i="6"/>
  <c r="DA98" i="6"/>
  <c r="DA92" i="6"/>
  <c r="DA73" i="6"/>
  <c r="DE67" i="6"/>
  <c r="DA55" i="6"/>
  <c r="DA30" i="6"/>
  <c r="DE25" i="6"/>
  <c r="DA255" i="6"/>
  <c r="DA216" i="6"/>
  <c r="DE204" i="6"/>
  <c r="DG204" i="6" s="1"/>
  <c r="DA193" i="6"/>
  <c r="DA182" i="6"/>
  <c r="DA176" i="6"/>
  <c r="DA156" i="6"/>
  <c r="DE120" i="6"/>
  <c r="DG120" i="6" s="1"/>
  <c r="DA115" i="6"/>
  <c r="DA104" i="6"/>
  <c r="DA85" i="6"/>
  <c r="DA79" i="6"/>
  <c r="DA67" i="6"/>
  <c r="DA61" i="6"/>
  <c r="BS55" i="6"/>
  <c r="BT55" i="6" s="1"/>
  <c r="DA44" i="6"/>
  <c r="DA39" i="6"/>
  <c r="DA34" i="6"/>
  <c r="DA25" i="6"/>
  <c r="DA236" i="6"/>
  <c r="DA229" i="6"/>
  <c r="DA222" i="6"/>
  <c r="DA204" i="6"/>
  <c r="DA169" i="6"/>
  <c r="DA162" i="6"/>
  <c r="DA137" i="6"/>
  <c r="DE130" i="6"/>
  <c r="DA120" i="6"/>
  <c r="DE97" i="6"/>
  <c r="DA91" i="6"/>
  <c r="DA72" i="6"/>
  <c r="DA49" i="6"/>
  <c r="DA248" i="6"/>
  <c r="DE209" i="6"/>
  <c r="DA198" i="6"/>
  <c r="DA187" i="6"/>
  <c r="DA175" i="6"/>
  <c r="DA149" i="6"/>
  <c r="DA143" i="6"/>
  <c r="DA130" i="6"/>
  <c r="DA125" i="6"/>
  <c r="DA109" i="6"/>
  <c r="DE103" i="6"/>
  <c r="DA97" i="6"/>
  <c r="DA84" i="6"/>
  <c r="DA78" i="6"/>
  <c r="DA66" i="6"/>
  <c r="DA60" i="6"/>
  <c r="DA24" i="6"/>
  <c r="DA200" i="6"/>
  <c r="DA254" i="6"/>
  <c r="DA242" i="6"/>
  <c r="DA235" i="6"/>
  <c r="DA228" i="6"/>
  <c r="DA215" i="6"/>
  <c r="DA209" i="6"/>
  <c r="DA192" i="6"/>
  <c r="DA181" i="6"/>
  <c r="DA168" i="6"/>
  <c r="DA155" i="6"/>
  <c r="DA136" i="6"/>
  <c r="DA114" i="6"/>
  <c r="DA103" i="6"/>
  <c r="DA90" i="6"/>
  <c r="DA54" i="6"/>
  <c r="DA43" i="6"/>
  <c r="DA38" i="6"/>
  <c r="DE33" i="6"/>
  <c r="DA247" i="6"/>
  <c r="DA221" i="6"/>
  <c r="DA174" i="6"/>
  <c r="DE161" i="6"/>
  <c r="DA148" i="6"/>
  <c r="DA142" i="6"/>
  <c r="DA129" i="6"/>
  <c r="DA124" i="6"/>
  <c r="DA96" i="6"/>
  <c r="DA71" i="6"/>
  <c r="DA48" i="6"/>
  <c r="DA33" i="6"/>
  <c r="DE29" i="6"/>
  <c r="DG29" i="6" s="1"/>
  <c r="DA218" i="6"/>
  <c r="DA253" i="6"/>
  <c r="DA241" i="6"/>
  <c r="DA234" i="6"/>
  <c r="DA214" i="6"/>
  <c r="DA208" i="6"/>
  <c r="DA203" i="6"/>
  <c r="DA186" i="6"/>
  <c r="DE180" i="6"/>
  <c r="DA161" i="6"/>
  <c r="DA154" i="6"/>
  <c r="DA135" i="6"/>
  <c r="DA119" i="6"/>
  <c r="DA108" i="6"/>
  <c r="DA102" i="6"/>
  <c r="DA83" i="6"/>
  <c r="DA77" i="6"/>
  <c r="DA29" i="6"/>
  <c r="BS139" i="6"/>
  <c r="BT139" i="6" s="1"/>
  <c r="DA68" i="6"/>
  <c r="DE246" i="6"/>
  <c r="DA227" i="6"/>
  <c r="DE220" i="6"/>
  <c r="DA197" i="6"/>
  <c r="DA180" i="6"/>
  <c r="DA167" i="6"/>
  <c r="DE147" i="6"/>
  <c r="DA141" i="6"/>
  <c r="DA123" i="6"/>
  <c r="DA70" i="6"/>
  <c r="DA65" i="6"/>
  <c r="DA59" i="6"/>
  <c r="DA53" i="6"/>
  <c r="DA252" i="6"/>
  <c r="DA246" i="6"/>
  <c r="DA240" i="6"/>
  <c r="DA220" i="6"/>
  <c r="DA213" i="6"/>
  <c r="DA207" i="6"/>
  <c r="DA202" i="6"/>
  <c r="DA191" i="6"/>
  <c r="DE173" i="6"/>
  <c r="DA160" i="6"/>
  <c r="DA147" i="6"/>
  <c r="DA128" i="6"/>
  <c r="DA118" i="6"/>
  <c r="DA113" i="6"/>
  <c r="DE95" i="6"/>
  <c r="DA89" i="6"/>
  <c r="DA82" i="6"/>
  <c r="DA76" i="6"/>
  <c r="DA42" i="6"/>
  <c r="DA37" i="6"/>
  <c r="DA233" i="6"/>
  <c r="DA226" i="6"/>
  <c r="DA196" i="6"/>
  <c r="DA173" i="6"/>
  <c r="DA166" i="6"/>
  <c r="DA153" i="6"/>
  <c r="DA134" i="6"/>
  <c r="DA101" i="6"/>
  <c r="DA95" i="6"/>
  <c r="DA58" i="6"/>
  <c r="DA52" i="6"/>
  <c r="DA47" i="6"/>
  <c r="DA32" i="6"/>
  <c r="DA28" i="6"/>
  <c r="DA231" i="6"/>
  <c r="DA219" i="6"/>
  <c r="DA201" i="6"/>
  <c r="DA185" i="6"/>
  <c r="DA179" i="6"/>
  <c r="DA159" i="6"/>
  <c r="DA140" i="6"/>
  <c r="DA112" i="6"/>
  <c r="DA107" i="6"/>
  <c r="DA88" i="6"/>
  <c r="DA75" i="6"/>
  <c r="DA69" i="6"/>
  <c r="DA64" i="6"/>
  <c r="DA250" i="6"/>
  <c r="DA93" i="6"/>
  <c r="DA251" i="6"/>
  <c r="DE245" i="6"/>
  <c r="DA239" i="6"/>
  <c r="DA232" i="6"/>
  <c r="DA225" i="6"/>
  <c r="DA206" i="6"/>
  <c r="DA195" i="6"/>
  <c r="DA190" i="6"/>
  <c r="DA172" i="6"/>
  <c r="DA165" i="6"/>
  <c r="DA146" i="6"/>
  <c r="DA133" i="6"/>
  <c r="DA122" i="6"/>
  <c r="DA117" i="6"/>
  <c r="DA100" i="6"/>
  <c r="DA94" i="6"/>
  <c r="DE81" i="6"/>
  <c r="DA57" i="6"/>
  <c r="DA51" i="6"/>
  <c r="DA46" i="6"/>
  <c r="DA36" i="6"/>
  <c r="DA27" i="6"/>
  <c r="DA158" i="6"/>
  <c r="DA99" i="6"/>
  <c r="DA74" i="6"/>
  <c r="DA45" i="6"/>
  <c r="DA245" i="6"/>
  <c r="DA212" i="6"/>
  <c r="DA184" i="6"/>
  <c r="DA178" i="6"/>
  <c r="DA152" i="6"/>
  <c r="DA139" i="6"/>
  <c r="DA127" i="6"/>
  <c r="DA111" i="6"/>
  <c r="DA106" i="6"/>
  <c r="DA87" i="6"/>
  <c r="DA81" i="6"/>
  <c r="DA63" i="6"/>
  <c r="DA41" i="6"/>
  <c r="DE31" i="6"/>
  <c r="DG31" i="6" s="1"/>
  <c r="DA238" i="6"/>
  <c r="DA189" i="6"/>
  <c r="DA171" i="6"/>
  <c r="DA132" i="6"/>
  <c r="DA31" i="6"/>
  <c r="DE42" i="6"/>
  <c r="DG42" i="6" s="1"/>
  <c r="BS48" i="6"/>
  <c r="BT48" i="6" s="1"/>
  <c r="BS32" i="6"/>
  <c r="BT32" i="6" s="1"/>
  <c r="DE236" i="6"/>
  <c r="BS135" i="6"/>
  <c r="BT135" i="6" s="1"/>
  <c r="DE128" i="6"/>
  <c r="DE159" i="6"/>
  <c r="BS36" i="6"/>
  <c r="BT36" i="6" s="1"/>
  <c r="DE196" i="6"/>
  <c r="DE200" i="6"/>
  <c r="DE63" i="6"/>
  <c r="DE190" i="6"/>
  <c r="DE88" i="6"/>
  <c r="DE138" i="6"/>
  <c r="DE75" i="6"/>
  <c r="DE255" i="6"/>
  <c r="BS68" i="6"/>
  <c r="BT68" i="6" s="1"/>
  <c r="DE74" i="6"/>
  <c r="DE46" i="6"/>
  <c r="DE201" i="6"/>
  <c r="DE254" i="6"/>
  <c r="DE47" i="6"/>
  <c r="DG47" i="6" s="1"/>
  <c r="DE156" i="6"/>
  <c r="DE51" i="6"/>
  <c r="DE45" i="6"/>
  <c r="DE72" i="6"/>
  <c r="DE210" i="6"/>
  <c r="DE240" i="6"/>
  <c r="DE211" i="6"/>
  <c r="DE234" i="6"/>
  <c r="DE242" i="6"/>
  <c r="DE232" i="6"/>
  <c r="DE194" i="6"/>
  <c r="DE166" i="6"/>
  <c r="DE217" i="6"/>
  <c r="DE90" i="6"/>
  <c r="DE86" i="6"/>
  <c r="DE140" i="6"/>
  <c r="DE65" i="6"/>
  <c r="DE59" i="6"/>
  <c r="DE150" i="6"/>
  <c r="BS51" i="6"/>
  <c r="BT51" i="6" s="1"/>
  <c r="DE38" i="6"/>
  <c r="DE215" i="6"/>
  <c r="DE98" i="6"/>
  <c r="DE218" i="6"/>
  <c r="BS216" i="6"/>
  <c r="BT216" i="6" s="1"/>
  <c r="DE208" i="6"/>
  <c r="DE237" i="6"/>
  <c r="DE35" i="6"/>
  <c r="DG35" i="6" s="1"/>
  <c r="DE221" i="6"/>
  <c r="DE174" i="6"/>
  <c r="DE123" i="6"/>
  <c r="DE36" i="6"/>
  <c r="DG36" i="6" s="1"/>
  <c r="DE82" i="6"/>
  <c r="DE216" i="6"/>
  <c r="DE202" i="6"/>
  <c r="DE193" i="6"/>
  <c r="DG193" i="6" s="1"/>
  <c r="DE203" i="6"/>
  <c r="DG203" i="6" s="1"/>
  <c r="DE34" i="6"/>
  <c r="DE27" i="6"/>
  <c r="DE160" i="6"/>
  <c r="DE85" i="6"/>
  <c r="DE179" i="6"/>
  <c r="DE70" i="6"/>
  <c r="DE182" i="6"/>
  <c r="DE131" i="6"/>
  <c r="DE112" i="6"/>
  <c r="DE223" i="6"/>
  <c r="DE54" i="6"/>
  <c r="DE148" i="6"/>
  <c r="DE105" i="6"/>
  <c r="DE170" i="6"/>
  <c r="DE110" i="6"/>
  <c r="DE49" i="6"/>
  <c r="DG49" i="6" s="1"/>
  <c r="DE230" i="6"/>
  <c r="DE145" i="6"/>
  <c r="DE189" i="6"/>
  <c r="DE44" i="6"/>
  <c r="DE191" i="6"/>
  <c r="DG191" i="6" s="1"/>
  <c r="DE114" i="6"/>
  <c r="DG114" i="6" s="1"/>
  <c r="DE71" i="6"/>
  <c r="DE64" i="6"/>
  <c r="DE39" i="6"/>
  <c r="DE125" i="6"/>
  <c r="DG125" i="6" s="1"/>
  <c r="DE171" i="6"/>
  <c r="DE53" i="6"/>
  <c r="DE117" i="6"/>
  <c r="DE144" i="6"/>
  <c r="DE26" i="6"/>
  <c r="DE178" i="6"/>
  <c r="BS204" i="6"/>
  <c r="BT204" i="6" s="1"/>
  <c r="DE235" i="6"/>
  <c r="DE228" i="6"/>
  <c r="DE132" i="6"/>
  <c r="DE101" i="6"/>
  <c r="DE248" i="6"/>
  <c r="DE56" i="6"/>
  <c r="DE28" i="6"/>
  <c r="DE136" i="6"/>
  <c r="DE94" i="6"/>
  <c r="DE109" i="6"/>
  <c r="DG109" i="6" s="1"/>
  <c r="DE213" i="6"/>
  <c r="DE50" i="6"/>
  <c r="DE111" i="6"/>
  <c r="DE151" i="6"/>
  <c r="DE207" i="6"/>
  <c r="DE119" i="6"/>
  <c r="DG119" i="6" s="1"/>
  <c r="DE214" i="6"/>
  <c r="DE76" i="6"/>
  <c r="DE250" i="6"/>
  <c r="DE24" i="6"/>
  <c r="DE253" i="6"/>
  <c r="DE153" i="6"/>
  <c r="DE66" i="6"/>
  <c r="DE158" i="6"/>
  <c r="DE239" i="6"/>
  <c r="DE60" i="6"/>
  <c r="DE141" i="6"/>
  <c r="DE93" i="6"/>
  <c r="DE226" i="6"/>
  <c r="DE116" i="6"/>
  <c r="BS212" i="6"/>
  <c r="BT212" i="6" s="1"/>
  <c r="DE80" i="6"/>
  <c r="DE133" i="6"/>
  <c r="DE87" i="6"/>
  <c r="DE102" i="6"/>
  <c r="DE126" i="6"/>
  <c r="DG126" i="6" s="1"/>
  <c r="DE89" i="6"/>
  <c r="DE99" i="6"/>
  <c r="DE186" i="6"/>
  <c r="DG186" i="6" s="1"/>
  <c r="DE192" i="6"/>
  <c r="DG192" i="6" s="1"/>
  <c r="DE219" i="6"/>
  <c r="DE187" i="6"/>
  <c r="DG187" i="6" s="1"/>
  <c r="DE164" i="6"/>
  <c r="DE154" i="6"/>
  <c r="BS28" i="6"/>
  <c r="BT28" i="6" s="1"/>
  <c r="BS72" i="6"/>
  <c r="BT72" i="6" s="1"/>
  <c r="DE135" i="6"/>
  <c r="DE167" i="6"/>
  <c r="DE84" i="6"/>
  <c r="DE58" i="6"/>
  <c r="DE48" i="6"/>
  <c r="DG48" i="6" s="1"/>
  <c r="DE37" i="6"/>
  <c r="DG37" i="6" s="1"/>
  <c r="DE222" i="6"/>
  <c r="BS199" i="6"/>
  <c r="BT199" i="6" s="1"/>
  <c r="DE139" i="6"/>
  <c r="DE252" i="6"/>
  <c r="DE247" i="6"/>
  <c r="BS196" i="6"/>
  <c r="BT196" i="6" s="1"/>
  <c r="DE199" i="6"/>
  <c r="DG199" i="6" s="1"/>
  <c r="BS39" i="6"/>
  <c r="BT39" i="6" s="1"/>
  <c r="DE227" i="6"/>
  <c r="DE78" i="6"/>
  <c r="DE188" i="6"/>
  <c r="DE241" i="6"/>
  <c r="DE155" i="6"/>
  <c r="BS158" i="6"/>
  <c r="BT158" i="6" s="1"/>
  <c r="BS234" i="6"/>
  <c r="BT234" i="6" s="1"/>
  <c r="DE79" i="6"/>
  <c r="DE177" i="6"/>
  <c r="BS183" i="6"/>
  <c r="BT183" i="6" s="1"/>
  <c r="DE165" i="6"/>
  <c r="DE243" i="6"/>
  <c r="DE113" i="6"/>
  <c r="DG113" i="6" s="1"/>
  <c r="DE57" i="6"/>
  <c r="DE41" i="6"/>
  <c r="DG41" i="6" s="1"/>
  <c r="DE106" i="6"/>
  <c r="BS73" i="6"/>
  <c r="BT73" i="6" s="1"/>
  <c r="DE143" i="6"/>
  <c r="DE137" i="6"/>
  <c r="DE168" i="6"/>
  <c r="DE224" i="6"/>
  <c r="DE142" i="6"/>
  <c r="DE233" i="6"/>
  <c r="DE256" i="6"/>
  <c r="DE197" i="6"/>
  <c r="DG197" i="6" s="1"/>
  <c r="DE61" i="6"/>
  <c r="DE30" i="6"/>
  <c r="DG30" i="6" s="1"/>
  <c r="DE91" i="6"/>
  <c r="DE107" i="6"/>
  <c r="DG107" i="6" s="1"/>
  <c r="DE115" i="6"/>
  <c r="DG115" i="6" s="1"/>
  <c r="DE244" i="6"/>
  <c r="DE163" i="6"/>
  <c r="DE129" i="6"/>
  <c r="DB109" i="6"/>
  <c r="DC109" i="6" s="1"/>
  <c r="DE175" i="6"/>
  <c r="DE225" i="6"/>
  <c r="BS78" i="6"/>
  <c r="BT78" i="6" s="1"/>
  <c r="BS254" i="6"/>
  <c r="BT254" i="6" s="1"/>
  <c r="DE92" i="6"/>
  <c r="DE100" i="6"/>
  <c r="DE149" i="6"/>
  <c r="DE69" i="6"/>
  <c r="DE169" i="6"/>
  <c r="DE162" i="6"/>
  <c r="DE104" i="6"/>
  <c r="DE251" i="6"/>
  <c r="DE152" i="6"/>
  <c r="DE68" i="6"/>
  <c r="DE185" i="6"/>
  <c r="DG185" i="6" s="1"/>
  <c r="DE229" i="6"/>
  <c r="DE231" i="6"/>
  <c r="DE198" i="6"/>
  <c r="DG198" i="6" s="1"/>
  <c r="DE176" i="6"/>
  <c r="DE55" i="6"/>
  <c r="DE249" i="6"/>
  <c r="BS181" i="6"/>
  <c r="BT181" i="6" s="1"/>
  <c r="DE77" i="6"/>
  <c r="DE127" i="6"/>
  <c r="DG127" i="6" s="1"/>
  <c r="DE83" i="6"/>
  <c r="DE108" i="6"/>
  <c r="DG108" i="6" s="1"/>
  <c r="DE52" i="6"/>
  <c r="DE195" i="6"/>
  <c r="DE124" i="6"/>
  <c r="DE43" i="6"/>
  <c r="DG43" i="6" s="1"/>
  <c r="DE118" i="6"/>
  <c r="BS250" i="6"/>
  <c r="BT250" i="6" s="1"/>
  <c r="DE121" i="6"/>
  <c r="DG121" i="6" s="1"/>
  <c r="DE184" i="6"/>
  <c r="DE96" i="6"/>
  <c r="DE205" i="6"/>
  <c r="DG205" i="6" s="1"/>
  <c r="DE134" i="6"/>
  <c r="DE62" i="6"/>
  <c r="DE157" i="6"/>
  <c r="DE212" i="6"/>
  <c r="DE146" i="6"/>
  <c r="BS239" i="6"/>
  <c r="BT239" i="6" s="1"/>
  <c r="DE206" i="6"/>
  <c r="DE32" i="6"/>
  <c r="BS113" i="6"/>
  <c r="BT113" i="6" s="1"/>
  <c r="DE181" i="6"/>
  <c r="DE183" i="6"/>
  <c r="DE172" i="6"/>
  <c r="DE122" i="6"/>
  <c r="DE238" i="6"/>
  <c r="CG24" i="6"/>
  <c r="CF143" i="6"/>
  <c r="BS25" i="6"/>
  <c r="BT25" i="6" s="1"/>
  <c r="CF138" i="6"/>
  <c r="BS162" i="6"/>
  <c r="BT162" i="6" s="1"/>
  <c r="BS133" i="6"/>
  <c r="BT133" i="6" s="1"/>
  <c r="BS213" i="6"/>
  <c r="BT213" i="6" s="1"/>
  <c r="BS118" i="6"/>
  <c r="BT118" i="6" s="1"/>
  <c r="BS26" i="6"/>
  <c r="BT26" i="6" s="1"/>
  <c r="BS226" i="6"/>
  <c r="BT226" i="6" s="1"/>
  <c r="BS100" i="6"/>
  <c r="BT100" i="6" s="1"/>
  <c r="BS231" i="6"/>
  <c r="BT231" i="6" s="1"/>
  <c r="BS80" i="6"/>
  <c r="BT80" i="6" s="1"/>
  <c r="BS221" i="6"/>
  <c r="BT221" i="6" s="1"/>
  <c r="BS170" i="6"/>
  <c r="BT170" i="6" s="1"/>
  <c r="BS148" i="6"/>
  <c r="BT148" i="6" s="1"/>
  <c r="BS190" i="6"/>
  <c r="BT190" i="6" s="1"/>
  <c r="CF110" i="6"/>
  <c r="CG152" i="6"/>
  <c r="CG247" i="6"/>
  <c r="CG187" i="6"/>
  <c r="BS168" i="6"/>
  <c r="BT168" i="6" s="1"/>
  <c r="BS45" i="6"/>
  <c r="BT45" i="6" s="1"/>
  <c r="BS215" i="6"/>
  <c r="BT215" i="6" s="1"/>
  <c r="BS195" i="6"/>
  <c r="BT195" i="6" s="1"/>
  <c r="BS203" i="6"/>
  <c r="BT203" i="6" s="1"/>
  <c r="BS233" i="6"/>
  <c r="BT233" i="6" s="1"/>
  <c r="BS70" i="6"/>
  <c r="BT70" i="6" s="1"/>
  <c r="BS49" i="6"/>
  <c r="BT49" i="6" s="1"/>
  <c r="BS191" i="6"/>
  <c r="BT191" i="6" s="1"/>
  <c r="BS161" i="6"/>
  <c r="BT161" i="6" s="1"/>
  <c r="BS240" i="6"/>
  <c r="BT240" i="6" s="1"/>
  <c r="BS94" i="6"/>
  <c r="BT94" i="6" s="1"/>
  <c r="CF148" i="6"/>
  <c r="BS58" i="6"/>
  <c r="BT58" i="6" s="1"/>
  <c r="CF78" i="6"/>
  <c r="BS173" i="6"/>
  <c r="BT173" i="6" s="1"/>
  <c r="CG136" i="6"/>
  <c r="CG59" i="6"/>
  <c r="CF113" i="6"/>
  <c r="CF44" i="6"/>
  <c r="BS172" i="6"/>
  <c r="BT172" i="6" s="1"/>
  <c r="BS159" i="6"/>
  <c r="BT159" i="6" s="1"/>
  <c r="BS214" i="6"/>
  <c r="BT214" i="6" s="1"/>
  <c r="CF24" i="6"/>
  <c r="CF220" i="6"/>
  <c r="BS67" i="6"/>
  <c r="BT67" i="6" s="1"/>
  <c r="BS150" i="6"/>
  <c r="BT150" i="6" s="1"/>
  <c r="DB36" i="6"/>
  <c r="DC36" i="6" s="1"/>
  <c r="BS116" i="6"/>
  <c r="BT116" i="6" s="1"/>
  <c r="BS189" i="6"/>
  <c r="BT189" i="6" s="1"/>
  <c r="CF114" i="6"/>
  <c r="BS132" i="6"/>
  <c r="BT132" i="6" s="1"/>
  <c r="BS245" i="6"/>
  <c r="BT245" i="6" s="1"/>
  <c r="BS134" i="6"/>
  <c r="BT134" i="6" s="1"/>
  <c r="BS220" i="6"/>
  <c r="BT220" i="6" s="1"/>
  <c r="BS59" i="6"/>
  <c r="BT59" i="6" s="1"/>
  <c r="CF80" i="6"/>
  <c r="CG170" i="6"/>
  <c r="CG32" i="6"/>
  <c r="CG38" i="6"/>
  <c r="CG50" i="6"/>
  <c r="CF132" i="6"/>
  <c r="BS64" i="6"/>
  <c r="BT64" i="6" s="1"/>
  <c r="BS69" i="6"/>
  <c r="BT69" i="6" s="1"/>
  <c r="BS125" i="6"/>
  <c r="BT125" i="6" s="1"/>
  <c r="CF72" i="6"/>
  <c r="BS130" i="6"/>
  <c r="BT130" i="6" s="1"/>
  <c r="BS63" i="6"/>
  <c r="BT63" i="6" s="1"/>
  <c r="BS180" i="6"/>
  <c r="BT180" i="6" s="1"/>
  <c r="BS122" i="6"/>
  <c r="BT122" i="6" s="1"/>
  <c r="BS105" i="6"/>
  <c r="BT105" i="6" s="1"/>
  <c r="BS248" i="6"/>
  <c r="BT248" i="6" s="1"/>
  <c r="CG146" i="6"/>
  <c r="CG135" i="6"/>
  <c r="CG163" i="6"/>
  <c r="CG139" i="6"/>
  <c r="CF212" i="6"/>
  <c r="BS141" i="6"/>
  <c r="BT141" i="6" s="1"/>
  <c r="BS228" i="6"/>
  <c r="BT228" i="6" s="1"/>
  <c r="BS123" i="6"/>
  <c r="BT123" i="6" s="1"/>
  <c r="BS160" i="6"/>
  <c r="BT160" i="6" s="1"/>
  <c r="BS62" i="6"/>
  <c r="BT62" i="6" s="1"/>
  <c r="CF207" i="6"/>
  <c r="BS60" i="6"/>
  <c r="BT60" i="6" s="1"/>
  <c r="BS53" i="6"/>
  <c r="BT53" i="6" s="1"/>
  <c r="BS222" i="6"/>
  <c r="BT222" i="6" s="1"/>
  <c r="BS185" i="6"/>
  <c r="BT185" i="6" s="1"/>
  <c r="CF30" i="6"/>
  <c r="BS54" i="6"/>
  <c r="BT54" i="6" s="1"/>
  <c r="BS85" i="6"/>
  <c r="BT85" i="6" s="1"/>
  <c r="DB30" i="6"/>
  <c r="BS205" i="6"/>
  <c r="BT205" i="6" s="1"/>
  <c r="BS86" i="6"/>
  <c r="BT86" i="6" s="1"/>
  <c r="BS136" i="6"/>
  <c r="BT136" i="6" s="1"/>
  <c r="BS197" i="6"/>
  <c r="BT197" i="6" s="1"/>
  <c r="BS151" i="6"/>
  <c r="BT151" i="6" s="1"/>
  <c r="BS241" i="6"/>
  <c r="BT241" i="6" s="1"/>
  <c r="CF179" i="6"/>
  <c r="CG73" i="6"/>
  <c r="BS47" i="6"/>
  <c r="BT47" i="6" s="1"/>
  <c r="BS200" i="6"/>
  <c r="BT200" i="6" s="1"/>
  <c r="BS169" i="6"/>
  <c r="BT169" i="6" s="1"/>
  <c r="BS112" i="6"/>
  <c r="BT112" i="6" s="1"/>
  <c r="BS74" i="6"/>
  <c r="BT74" i="6" s="1"/>
  <c r="BS178" i="6"/>
  <c r="BT178" i="6" s="1"/>
  <c r="BS255" i="6"/>
  <c r="BT255" i="6" s="1"/>
  <c r="BS83" i="6"/>
  <c r="BT83" i="6" s="1"/>
  <c r="BS81" i="6"/>
  <c r="BT81" i="6" s="1"/>
  <c r="BS182" i="6"/>
  <c r="BT182" i="6" s="1"/>
  <c r="BS244" i="6"/>
  <c r="BT244" i="6" s="1"/>
  <c r="BS247" i="6"/>
  <c r="BT247" i="6" s="1"/>
  <c r="BS230" i="6"/>
  <c r="BT230" i="6" s="1"/>
  <c r="BS198" i="6"/>
  <c r="BT198" i="6" s="1"/>
  <c r="BS30" i="6"/>
  <c r="BT30" i="6" s="1"/>
  <c r="BS38" i="6"/>
  <c r="BT38" i="6" s="1"/>
  <c r="CG179" i="6"/>
  <c r="CG201" i="6"/>
  <c r="CG126" i="6"/>
  <c r="CG114" i="6"/>
  <c r="CF152" i="6"/>
  <c r="BS93" i="6"/>
  <c r="BT93" i="6" s="1"/>
  <c r="BS211" i="6"/>
  <c r="BT211" i="6" s="1"/>
  <c r="BS66" i="6"/>
  <c r="BT66" i="6" s="1"/>
  <c r="BS79" i="6"/>
  <c r="BT79" i="6" s="1"/>
  <c r="BS91" i="6"/>
  <c r="BT91" i="6" s="1"/>
  <c r="BS256" i="6"/>
  <c r="BT256" i="6" s="1"/>
  <c r="BS194" i="6"/>
  <c r="BT194" i="6" s="1"/>
  <c r="BS84" i="6"/>
  <c r="BT84" i="6" s="1"/>
  <c r="BS107" i="6"/>
  <c r="BT107" i="6" s="1"/>
  <c r="BS235" i="6"/>
  <c r="BT235" i="6" s="1"/>
  <c r="BS97" i="6"/>
  <c r="BT97" i="6" s="1"/>
  <c r="BS99" i="6"/>
  <c r="BT99" i="6" s="1"/>
  <c r="BS44" i="6"/>
  <c r="BT44" i="6" s="1"/>
  <c r="CF73" i="6"/>
  <c r="CG244" i="6"/>
  <c r="CG151" i="6"/>
  <c r="DB126" i="6"/>
  <c r="DC126" i="6" s="1"/>
  <c r="CF173" i="6"/>
  <c r="CG239" i="6"/>
  <c r="CG68" i="6"/>
  <c r="BS88" i="6"/>
  <c r="BT88" i="6" s="1"/>
  <c r="CF36" i="6"/>
  <c r="BS117" i="6"/>
  <c r="BT117" i="6" s="1"/>
  <c r="BS166" i="6"/>
  <c r="BT166" i="6" s="1"/>
  <c r="BS95" i="6"/>
  <c r="BT95" i="6" s="1"/>
  <c r="BS103" i="6"/>
  <c r="BT103" i="6" s="1"/>
  <c r="BS238" i="6"/>
  <c r="BT238" i="6" s="1"/>
  <c r="BS147" i="6"/>
  <c r="BT147" i="6" s="1"/>
  <c r="BS77" i="6"/>
  <c r="BT77" i="6" s="1"/>
  <c r="BS142" i="6"/>
  <c r="BT142" i="6" s="1"/>
  <c r="BS187" i="6"/>
  <c r="BT187" i="6" s="1"/>
  <c r="CG34" i="6"/>
  <c r="BS171" i="6"/>
  <c r="BT171" i="6" s="1"/>
  <c r="BS52" i="6"/>
  <c r="BT52" i="6" s="1"/>
  <c r="BS176" i="6"/>
  <c r="BT176" i="6" s="1"/>
  <c r="BS232" i="6"/>
  <c r="BT232" i="6" s="1"/>
  <c r="BS206" i="6"/>
  <c r="BT206" i="6" s="1"/>
  <c r="BS184" i="6"/>
  <c r="BT184" i="6" s="1"/>
  <c r="BS56" i="6"/>
  <c r="BT56" i="6" s="1"/>
  <c r="BS137" i="6"/>
  <c r="BT137" i="6" s="1"/>
  <c r="BS43" i="6"/>
  <c r="BT43" i="6" s="1"/>
  <c r="BS90" i="6"/>
  <c r="BT90" i="6" s="1"/>
  <c r="BS37" i="6"/>
  <c r="BT37" i="6" s="1"/>
  <c r="BS209" i="6"/>
  <c r="BT209" i="6" s="1"/>
  <c r="BS96" i="6"/>
  <c r="BT96" i="6" s="1"/>
  <c r="BS29" i="6"/>
  <c r="BT29" i="6" s="1"/>
  <c r="BS210" i="6"/>
  <c r="BT210" i="6" s="1"/>
  <c r="BS108" i="6"/>
  <c r="BT108" i="6" s="1"/>
  <c r="BS33" i="6"/>
  <c r="BT33" i="6" s="1"/>
  <c r="BS126" i="6"/>
  <c r="BT126" i="6" s="1"/>
  <c r="BS157" i="6"/>
  <c r="BT157" i="6" s="1"/>
  <c r="CG225" i="6"/>
  <c r="CG36" i="6"/>
  <c r="CG44" i="6"/>
  <c r="CG212" i="6"/>
  <c r="CF157" i="6"/>
  <c r="BS175" i="6"/>
  <c r="BT175" i="6" s="1"/>
  <c r="BS140" i="6"/>
  <c r="BT140" i="6" s="1"/>
  <c r="BS124" i="6"/>
  <c r="BT124" i="6" s="1"/>
  <c r="BS129" i="6"/>
  <c r="BT129" i="6" s="1"/>
  <c r="BS104" i="6"/>
  <c r="BT104" i="6" s="1"/>
  <c r="BS242" i="6"/>
  <c r="BT242" i="6" s="1"/>
  <c r="BS40" i="6"/>
  <c r="BT40" i="6" s="1"/>
  <c r="BS229" i="6"/>
  <c r="BT229" i="6" s="1"/>
  <c r="BS121" i="6"/>
  <c r="BT121" i="6" s="1"/>
  <c r="BS201" i="6"/>
  <c r="BT201" i="6" s="1"/>
  <c r="BS106" i="6"/>
  <c r="BT106" i="6" s="1"/>
  <c r="BS115" i="6"/>
  <c r="BT115" i="6" s="1"/>
  <c r="BS156" i="6"/>
  <c r="BT156" i="6" s="1"/>
  <c r="BS163" i="6"/>
  <c r="BT163" i="6" s="1"/>
  <c r="BS34" i="6"/>
  <c r="BT34" i="6" s="1"/>
  <c r="CG204" i="6"/>
  <c r="CG132" i="6"/>
  <c r="CG149" i="6"/>
  <c r="BS186" i="6"/>
  <c r="BT186" i="6" s="1"/>
  <c r="BS102" i="6"/>
  <c r="BT102" i="6" s="1"/>
  <c r="BS111" i="6"/>
  <c r="BT111" i="6" s="1"/>
  <c r="BS57" i="6"/>
  <c r="BT57" i="6" s="1"/>
  <c r="BS249" i="6"/>
  <c r="BT249" i="6" s="1"/>
  <c r="DB42" i="6"/>
  <c r="DC42" i="6" s="1"/>
  <c r="BS101" i="6"/>
  <c r="BT101" i="6" s="1"/>
  <c r="BS252" i="6"/>
  <c r="BT252" i="6" s="1"/>
  <c r="BS179" i="6"/>
  <c r="BT179" i="6" s="1"/>
  <c r="BS193" i="6"/>
  <c r="BT193" i="6" s="1"/>
  <c r="BS237" i="6"/>
  <c r="BT237" i="6" s="1"/>
  <c r="BS207" i="6"/>
  <c r="BT207" i="6" s="1"/>
  <c r="BS143" i="6"/>
  <c r="BT143" i="6" s="1"/>
  <c r="CF241" i="6"/>
  <c r="BS251" i="6"/>
  <c r="BT251" i="6" s="1"/>
  <c r="BS225" i="6"/>
  <c r="BT225" i="6" s="1"/>
  <c r="CG109" i="6"/>
  <c r="DB121" i="6"/>
  <c r="DC121" i="6" s="1"/>
  <c r="CF197" i="6"/>
  <c r="BS153" i="6"/>
  <c r="BT153" i="6" s="1"/>
  <c r="CF109" i="6"/>
  <c r="BS31" i="6"/>
  <c r="BT31" i="6" s="1"/>
  <c r="CF216" i="6"/>
  <c r="BS188" i="6"/>
  <c r="BT188" i="6" s="1"/>
  <c r="BS109" i="6"/>
  <c r="BT109" i="6" s="1"/>
  <c r="CF126" i="6"/>
  <c r="BS61" i="6"/>
  <c r="BT61" i="6" s="1"/>
  <c r="BS145" i="6"/>
  <c r="BT145" i="6" s="1"/>
  <c r="BS219" i="6"/>
  <c r="BT219" i="6" s="1"/>
  <c r="BS24" i="6"/>
  <c r="BT24" i="6" s="1"/>
  <c r="DB114" i="6"/>
  <c r="DC114" i="6" s="1"/>
  <c r="CG220" i="6"/>
  <c r="CG30" i="6"/>
  <c r="CG108" i="6"/>
  <c r="CF34" i="6"/>
  <c r="BS155" i="6"/>
  <c r="BT155" i="6" s="1"/>
  <c r="BS42" i="6"/>
  <c r="BT42" i="6" s="1"/>
  <c r="BS110" i="6"/>
  <c r="BT110" i="6" s="1"/>
  <c r="BS154" i="6"/>
  <c r="BT154" i="6" s="1"/>
  <c r="BS165" i="6"/>
  <c r="BT165" i="6" s="1"/>
  <c r="BS92" i="6"/>
  <c r="BT92" i="6" s="1"/>
  <c r="CF156" i="6"/>
  <c r="BS82" i="6"/>
  <c r="BT82" i="6" s="1"/>
  <c r="BS146" i="6"/>
  <c r="BT146" i="6" s="1"/>
  <c r="BS89" i="6"/>
  <c r="BT89" i="6" s="1"/>
  <c r="BS119" i="6"/>
  <c r="BT119" i="6" s="1"/>
  <c r="BS27" i="6"/>
  <c r="BT27" i="6" s="1"/>
  <c r="BS76" i="6"/>
  <c r="BT76" i="6" s="1"/>
  <c r="BS98" i="6"/>
  <c r="BT98" i="6" s="1"/>
  <c r="BS128" i="6"/>
  <c r="BT128" i="6" s="1"/>
  <c r="BS35" i="6"/>
  <c r="BT35" i="6" s="1"/>
  <c r="CF130" i="6"/>
  <c r="CG142" i="6"/>
  <c r="CG240" i="6"/>
  <c r="BS46" i="6"/>
  <c r="BT46" i="6" s="1"/>
  <c r="CF177" i="6"/>
  <c r="CF37" i="6"/>
  <c r="BS253" i="6"/>
  <c r="BT253" i="6" s="1"/>
  <c r="BS152" i="6"/>
  <c r="BT152" i="6" s="1"/>
  <c r="BS246" i="6"/>
  <c r="BT246" i="6" s="1"/>
  <c r="BS138" i="6"/>
  <c r="BT138" i="6" s="1"/>
  <c r="BS87" i="6"/>
  <c r="BT87" i="6" s="1"/>
  <c r="BS217" i="6"/>
  <c r="BT217" i="6" s="1"/>
  <c r="BS223" i="6"/>
  <c r="BT223" i="6" s="1"/>
  <c r="BS192" i="6"/>
  <c r="BT192" i="6" s="1"/>
  <c r="BS174" i="6"/>
  <c r="BT174" i="6" s="1"/>
  <c r="BS65" i="6"/>
  <c r="BT65" i="6" s="1"/>
  <c r="DB119" i="6"/>
  <c r="DC119" i="6" s="1"/>
  <c r="BS50" i="6"/>
  <c r="BT50" i="6" s="1"/>
  <c r="BS120" i="6"/>
  <c r="BT120" i="6" s="1"/>
  <c r="BS149" i="6"/>
  <c r="BT149" i="6" s="1"/>
  <c r="CF161" i="6"/>
  <c r="CF50" i="6"/>
  <c r="CG173" i="6"/>
  <c r="CG199" i="6"/>
  <c r="CF68" i="6"/>
  <c r="BS75" i="6"/>
  <c r="BT75" i="6" s="1"/>
  <c r="BS131" i="6"/>
  <c r="BT131" i="6" s="1"/>
  <c r="DB199" i="6"/>
  <c r="DC199" i="6" s="1"/>
  <c r="BS236" i="6"/>
  <c r="BT236" i="6" s="1"/>
  <c r="BS202" i="6"/>
  <c r="BT202" i="6" s="1"/>
  <c r="BS41" i="6"/>
  <c r="BT41" i="6" s="1"/>
  <c r="BS167" i="6"/>
  <c r="BT167" i="6" s="1"/>
  <c r="CF196" i="6"/>
  <c r="BS144" i="6"/>
  <c r="BT144" i="6" s="1"/>
  <c r="BS218" i="6"/>
  <c r="BT218" i="6" s="1"/>
  <c r="CG70" i="6"/>
  <c r="CF199" i="6"/>
  <c r="BS114" i="6"/>
  <c r="BT114" i="6" s="1"/>
  <c r="BS243" i="6"/>
  <c r="BT243" i="6" s="1"/>
  <c r="CG196" i="6"/>
  <c r="BS71" i="6"/>
  <c r="BT71" i="6" s="1"/>
  <c r="BS224" i="6"/>
  <c r="BT224" i="6" s="1"/>
  <c r="BS208" i="6"/>
  <c r="BT208" i="6" s="1"/>
  <c r="BS127" i="6"/>
  <c r="BT127" i="6" s="1"/>
  <c r="BS164" i="6"/>
  <c r="BT164" i="6" s="1"/>
  <c r="BS227" i="6"/>
  <c r="BT227" i="6" s="1"/>
  <c r="BS177" i="6"/>
  <c r="BT177" i="6" s="1"/>
  <c r="CF89" i="6"/>
  <c r="CF41" i="6"/>
  <c r="CG45" i="6"/>
  <c r="CG129" i="6"/>
  <c r="DB205" i="6"/>
  <c r="DC205" i="6" s="1"/>
  <c r="CG214" i="6"/>
  <c r="CG188" i="6"/>
  <c r="CF242" i="6"/>
  <c r="CG230" i="6"/>
  <c r="CG83" i="6"/>
  <c r="CG67" i="6"/>
  <c r="CG243" i="6"/>
  <c r="CG130" i="6"/>
  <c r="CG150" i="6"/>
  <c r="CG101" i="6"/>
  <c r="CG250" i="6"/>
  <c r="CF230" i="6"/>
  <c r="CG110" i="6"/>
  <c r="CG58" i="6"/>
  <c r="CG138" i="6"/>
  <c r="CG180" i="6"/>
  <c r="CG66" i="6"/>
  <c r="CF140" i="6"/>
  <c r="DB41" i="6"/>
  <c r="DC41" i="6" s="1"/>
  <c r="CG235" i="6"/>
  <c r="CG246" i="6"/>
  <c r="CG153" i="6"/>
  <c r="DB187" i="6"/>
  <c r="DC187" i="6" s="1"/>
  <c r="CG172" i="6"/>
  <c r="CG211" i="6"/>
  <c r="CG161" i="6"/>
  <c r="CG91" i="6"/>
  <c r="CG118" i="6"/>
  <c r="CF86" i="6"/>
  <c r="CG205" i="6"/>
  <c r="CG231" i="6"/>
  <c r="CG62" i="6"/>
  <c r="CG55" i="6"/>
  <c r="CF232" i="6"/>
  <c r="CF66" i="6"/>
  <c r="CF67" i="6"/>
  <c r="CF243" i="6"/>
  <c r="DB31" i="6"/>
  <c r="DC31" i="6" s="1"/>
  <c r="CF198" i="6"/>
  <c r="CF250" i="6"/>
  <c r="CG165" i="6"/>
  <c r="CF170" i="6"/>
  <c r="CF188" i="6"/>
  <c r="CG33" i="6"/>
  <c r="CG97" i="6"/>
  <c r="CF98" i="6"/>
  <c r="CG143" i="6"/>
  <c r="CG120" i="6"/>
  <c r="CG148" i="6"/>
  <c r="CG217" i="6"/>
  <c r="CG90" i="6"/>
  <c r="CG93" i="6"/>
  <c r="CG223" i="6"/>
  <c r="DB197" i="6"/>
  <c r="DC197" i="6" s="1"/>
  <c r="CG72" i="6"/>
  <c r="CG105" i="6"/>
  <c r="CG49" i="6"/>
  <c r="CF244" i="6"/>
  <c r="CF202" i="6"/>
  <c r="CF231" i="6"/>
  <c r="CF120" i="6"/>
  <c r="CF127" i="6"/>
  <c r="CF85" i="6"/>
  <c r="CG245" i="6"/>
  <c r="CG157" i="6"/>
  <c r="CG82" i="6"/>
  <c r="CG76" i="6"/>
  <c r="CG219" i="6"/>
  <c r="DB37" i="6"/>
  <c r="DC37" i="6" s="1"/>
  <c r="CG74" i="6"/>
  <c r="CF146" i="6"/>
  <c r="CG144" i="6"/>
  <c r="CG124" i="6"/>
  <c r="CG81" i="6"/>
  <c r="CF233" i="6"/>
  <c r="CG137" i="6"/>
  <c r="CG156" i="6"/>
  <c r="DB35" i="6"/>
  <c r="CG175" i="6"/>
  <c r="CF158" i="6"/>
  <c r="CG241" i="6"/>
  <c r="CF245" i="6"/>
  <c r="DB193" i="6"/>
  <c r="DC193" i="6" s="1"/>
  <c r="CF139" i="6"/>
  <c r="CG158" i="6"/>
  <c r="CG84" i="6"/>
  <c r="CG104" i="6"/>
  <c r="CF56" i="6"/>
  <c r="CG87" i="6"/>
  <c r="CG48" i="6"/>
  <c r="CF107" i="6"/>
  <c r="CG207" i="6"/>
  <c r="CF125" i="6"/>
  <c r="CF71" i="6"/>
  <c r="CG251" i="6"/>
  <c r="CG256" i="6"/>
  <c r="CG122" i="6"/>
  <c r="CF194" i="6"/>
  <c r="CF203" i="6"/>
  <c r="CG128" i="6"/>
  <c r="CG63" i="6"/>
  <c r="CG233" i="6"/>
  <c r="CG37" i="6"/>
  <c r="DB198" i="6"/>
  <c r="DC198" i="6" s="1"/>
  <c r="CG248" i="6"/>
  <c r="CG254" i="6"/>
  <c r="CG107" i="6"/>
  <c r="CF101" i="6"/>
  <c r="CF206" i="6"/>
  <c r="DB192" i="6"/>
  <c r="DC192" i="6" s="1"/>
  <c r="CG42" i="6"/>
  <c r="CF77" i="6"/>
  <c r="DB108" i="6"/>
  <c r="CF92" i="6"/>
  <c r="CF221" i="6"/>
  <c r="CG117" i="6"/>
  <c r="CG249" i="6"/>
  <c r="CG102" i="6"/>
  <c r="CF218" i="6"/>
  <c r="CG69" i="6"/>
  <c r="CF63" i="6"/>
  <c r="CF181" i="6"/>
  <c r="CF175" i="6"/>
  <c r="CF169" i="6"/>
  <c r="CF76" i="6"/>
  <c r="CF54" i="6"/>
  <c r="CG221" i="6"/>
  <c r="CG41" i="6"/>
  <c r="CG43" i="6"/>
  <c r="CG154" i="6"/>
  <c r="CF53" i="6"/>
  <c r="CG29" i="6"/>
  <c r="CG171" i="6"/>
  <c r="CF224" i="6"/>
  <c r="CF26" i="6"/>
  <c r="CG181" i="6"/>
  <c r="CF47" i="6"/>
  <c r="CG134" i="6"/>
  <c r="CG103" i="6"/>
  <c r="CF227" i="6"/>
  <c r="CF100" i="6"/>
  <c r="CF195" i="6"/>
  <c r="CF135" i="6"/>
  <c r="CF106" i="6"/>
  <c r="CF59" i="6"/>
  <c r="CG203" i="6"/>
  <c r="CG116" i="6"/>
  <c r="CG194" i="6"/>
  <c r="CF134" i="6"/>
  <c r="CG115" i="6"/>
  <c r="CF95" i="6"/>
  <c r="CG190" i="6"/>
  <c r="CG208" i="6"/>
  <c r="CF137" i="6"/>
  <c r="CG228" i="6"/>
  <c r="CF176" i="6"/>
  <c r="CG218" i="6"/>
  <c r="CG92" i="6"/>
  <c r="CF254" i="6"/>
  <c r="CG177" i="6"/>
  <c r="CF160" i="6"/>
  <c r="DB107" i="6"/>
  <c r="CF102" i="6"/>
  <c r="CF190" i="6"/>
  <c r="CF70" i="6"/>
  <c r="CG209" i="6"/>
  <c r="CG234" i="6"/>
  <c r="CG166" i="6"/>
  <c r="CG227" i="6"/>
  <c r="CG216" i="6"/>
  <c r="CF200" i="6"/>
  <c r="CG113" i="6"/>
  <c r="CG40" i="6"/>
  <c r="CG88" i="6"/>
  <c r="CG141" i="6"/>
  <c r="CG184" i="6"/>
  <c r="CG238" i="6"/>
  <c r="CG86" i="6"/>
  <c r="CG232" i="6"/>
  <c r="CG215" i="6"/>
  <c r="CF191" i="6"/>
  <c r="CF229" i="6"/>
  <c r="CF58" i="6"/>
  <c r="CF31" i="6"/>
  <c r="CF162" i="6"/>
  <c r="CG60" i="6"/>
  <c r="CG46" i="6"/>
  <c r="CG164" i="6"/>
  <c r="CG155" i="6"/>
  <c r="CG192" i="6"/>
  <c r="CG168" i="6"/>
  <c r="CF164" i="6"/>
  <c r="CG191" i="6"/>
  <c r="CG160" i="6"/>
  <c r="DB113" i="6"/>
  <c r="DC113" i="6" s="1"/>
  <c r="CG52" i="6"/>
  <c r="CF116" i="6"/>
  <c r="CG79" i="6"/>
  <c r="CG133" i="6"/>
  <c r="CG80" i="6"/>
  <c r="CG78" i="6"/>
  <c r="CG159" i="6"/>
  <c r="CF201" i="6"/>
  <c r="CF211" i="6"/>
  <c r="CF151" i="6"/>
  <c r="CF222" i="6"/>
  <c r="CF52" i="6"/>
  <c r="CF150" i="6"/>
  <c r="CF112" i="6"/>
  <c r="CG167" i="6"/>
  <c r="CF182" i="6"/>
  <c r="CG242" i="6"/>
  <c r="CG26" i="6"/>
  <c r="CG106" i="6"/>
  <c r="CG99" i="6"/>
  <c r="CG75" i="6"/>
  <c r="CG131" i="6"/>
  <c r="CF251" i="6"/>
  <c r="CG145" i="6"/>
  <c r="CG182" i="6"/>
  <c r="CG140" i="6"/>
  <c r="CG206" i="6"/>
  <c r="CG25" i="6"/>
  <c r="CG53" i="6"/>
  <c r="CG51" i="6"/>
  <c r="CG162" i="6"/>
  <c r="CF185" i="6"/>
  <c r="CF103" i="6"/>
  <c r="CF84" i="6"/>
  <c r="CF189" i="6"/>
  <c r="CF136" i="6"/>
  <c r="DB120" i="6"/>
  <c r="CF128" i="6"/>
  <c r="CG253" i="6"/>
  <c r="CF149" i="6"/>
  <c r="CG125" i="6"/>
  <c r="CG169" i="6"/>
  <c r="CG39" i="6"/>
  <c r="CG85" i="6"/>
  <c r="CG121" i="6"/>
  <c r="CG95" i="6"/>
  <c r="CF32" i="6"/>
  <c r="CG98" i="6"/>
  <c r="CF29" i="6"/>
  <c r="CG185" i="6"/>
  <c r="CF237" i="6"/>
  <c r="DB203" i="6"/>
  <c r="DC203" i="6" s="1"/>
  <c r="CF187" i="6"/>
  <c r="DB127" i="6"/>
  <c r="DC127" i="6" s="1"/>
  <c r="CF223" i="6"/>
  <c r="CG183" i="6"/>
  <c r="CG213" i="6"/>
  <c r="CG56" i="6"/>
  <c r="CF155" i="6"/>
  <c r="CF119" i="6"/>
  <c r="CF122" i="6"/>
  <c r="DB49" i="6"/>
  <c r="DC49" i="6" s="1"/>
  <c r="CG65" i="6"/>
  <c r="CG127" i="6"/>
  <c r="CG193" i="6"/>
  <c r="CG237" i="6"/>
  <c r="CG77" i="6"/>
  <c r="CF248" i="6"/>
  <c r="CG123" i="6"/>
  <c r="DB47" i="6"/>
  <c r="DC47" i="6" s="1"/>
  <c r="DB115" i="6"/>
  <c r="DC115" i="6" s="1"/>
  <c r="CF69" i="6"/>
  <c r="CF142" i="6"/>
  <c r="CF40" i="6"/>
  <c r="CF27" i="6"/>
  <c r="CF61" i="6"/>
  <c r="CG255" i="6"/>
  <c r="CG174" i="6"/>
  <c r="CG94" i="6"/>
  <c r="CG112" i="6"/>
  <c r="CG178" i="6"/>
  <c r="CG89" i="6"/>
  <c r="CF215" i="6"/>
  <c r="CF83" i="6"/>
  <c r="CF236" i="6"/>
  <c r="CG198" i="6"/>
  <c r="CG252" i="6"/>
  <c r="CF209" i="6"/>
  <c r="CF167" i="6"/>
  <c r="CG224" i="6"/>
  <c r="CF74" i="6"/>
  <c r="CG31" i="6"/>
  <c r="CG189" i="6"/>
  <c r="CF104" i="6"/>
  <c r="CF163" i="6"/>
  <c r="CF193" i="6"/>
  <c r="CF180" i="6"/>
  <c r="CF186" i="6"/>
  <c r="CF105" i="6"/>
  <c r="CF25" i="6"/>
  <c r="CF75" i="6"/>
  <c r="CF240" i="6"/>
  <c r="DB48" i="6"/>
  <c r="CF234" i="6"/>
  <c r="CG71" i="6"/>
  <c r="CG64" i="6"/>
  <c r="CG35" i="6"/>
  <c r="CF65" i="6"/>
  <c r="CG210" i="6"/>
  <c r="CF131" i="6"/>
  <c r="CF62" i="6"/>
  <c r="CG111" i="6"/>
  <c r="CG229" i="6"/>
  <c r="CG200" i="6"/>
  <c r="CG54" i="6"/>
  <c r="CG197" i="6"/>
  <c r="CG202" i="6"/>
  <c r="CG47" i="6"/>
  <c r="CG57" i="6"/>
  <c r="CG119" i="6"/>
  <c r="CF239" i="6"/>
  <c r="CF87" i="6"/>
  <c r="CF118" i="6"/>
  <c r="CF154" i="6"/>
  <c r="CF91" i="6"/>
  <c r="CG61" i="6"/>
  <c r="CG236" i="6"/>
  <c r="CF82" i="6"/>
  <c r="CF159" i="6"/>
  <c r="CF226" i="6"/>
  <c r="CF111" i="6"/>
  <c r="CF28" i="6"/>
  <c r="CF205" i="6"/>
  <c r="CF43" i="6"/>
  <c r="CF145" i="6"/>
  <c r="CG195" i="6"/>
  <c r="CG176" i="6"/>
  <c r="CF174" i="6"/>
  <c r="CF48" i="6"/>
  <c r="CF225" i="6"/>
  <c r="CG147" i="6"/>
  <c r="CG27" i="6"/>
  <c r="CF79" i="6"/>
  <c r="CF93" i="6"/>
  <c r="CF235" i="6"/>
  <c r="CF33" i="6"/>
  <c r="CF45" i="6"/>
  <c r="CF51" i="6"/>
  <c r="CF124" i="6"/>
  <c r="CG100" i="6"/>
  <c r="CF97" i="6"/>
  <c r="CF57" i="6"/>
  <c r="CF60" i="6"/>
  <c r="CG226" i="6"/>
  <c r="CF247" i="6"/>
  <c r="CF64" i="6"/>
  <c r="CF219" i="6"/>
  <c r="CF253" i="6"/>
  <c r="CF214" i="6"/>
  <c r="CF123" i="6"/>
  <c r="CF121" i="6"/>
  <c r="DB191" i="6"/>
  <c r="DC191" i="6" s="1"/>
  <c r="DB29" i="6"/>
  <c r="DC29" i="6" s="1"/>
  <c r="CF96" i="6"/>
  <c r="CF46" i="6"/>
  <c r="CF183" i="6"/>
  <c r="CG222" i="6"/>
  <c r="CF38" i="6"/>
  <c r="CF39" i="6"/>
  <c r="CF172" i="6"/>
  <c r="CF192" i="6"/>
  <c r="CF178" i="6"/>
  <c r="CF108" i="6"/>
  <c r="CF204" i="6"/>
  <c r="CG28" i="6"/>
  <c r="CF88" i="6"/>
  <c r="CF252" i="6"/>
  <c r="CF144" i="6"/>
  <c r="CF184" i="6"/>
  <c r="CF90" i="6"/>
  <c r="CF141" i="6"/>
  <c r="CF49" i="6"/>
  <c r="DB185" i="6"/>
  <c r="DC185" i="6" s="1"/>
  <c r="CG96" i="6"/>
  <c r="CF255" i="6"/>
  <c r="CF133" i="6"/>
  <c r="CF165" i="6"/>
  <c r="CF246" i="6"/>
  <c r="CF129" i="6"/>
  <c r="CG186" i="6"/>
  <c r="CF228" i="6"/>
  <c r="CF213" i="6"/>
  <c r="CF238" i="6"/>
  <c r="CF171" i="6"/>
  <c r="DB204" i="6"/>
  <c r="DC204" i="6" s="1"/>
  <c r="DB186" i="6"/>
  <c r="DC186" i="6" s="1"/>
  <c r="CF168" i="6"/>
  <c r="CF55" i="6"/>
  <c r="CF217" i="6"/>
  <c r="CF94" i="6"/>
  <c r="CF81" i="6"/>
  <c r="CF99" i="6"/>
  <c r="CF210" i="6"/>
  <c r="DB43" i="6"/>
  <c r="DC43" i="6" s="1"/>
  <c r="CF35" i="6"/>
  <c r="DB125" i="6"/>
  <c r="DC125" i="6" s="1"/>
  <c r="CF166" i="6"/>
  <c r="CF147" i="6"/>
  <c r="CF153" i="6"/>
  <c r="CF249" i="6"/>
  <c r="CF256" i="6"/>
  <c r="CF115" i="6"/>
  <c r="CF42" i="6"/>
  <c r="CF117" i="6"/>
  <c r="CF208" i="6"/>
  <c r="L75" i="6"/>
  <c r="D82" i="6" s="1"/>
  <c r="L65" i="6"/>
  <c r="I96" i="6"/>
  <c r="J28" i="6"/>
  <c r="G58" i="6" s="1"/>
  <c r="L99" i="6" s="1"/>
  <c r="B131" i="6" s="1"/>
  <c r="G55" i="6"/>
  <c r="G56" i="6" s="1"/>
  <c r="L88" i="6" s="1"/>
  <c r="L55" i="6"/>
  <c r="L56" i="6" s="1"/>
  <c r="L57" i="6" s="1"/>
  <c r="J36" i="6"/>
  <c r="N103" i="6"/>
  <c r="K28" i="6"/>
  <c r="L85" i="6"/>
  <c r="D36" i="6"/>
  <c r="E36" i="6" s="1"/>
  <c r="G36" i="6"/>
  <c r="J46" i="6"/>
  <c r="DA23" i="6"/>
  <c r="L47" i="6"/>
  <c r="CI138" i="6"/>
  <c r="CN247" i="6"/>
  <c r="CI78" i="6"/>
  <c r="CI114" i="6"/>
  <c r="CI207" i="6"/>
  <c r="CN73" i="6"/>
  <c r="CN109" i="6"/>
  <c r="CN30" i="6"/>
  <c r="CN101" i="6"/>
  <c r="CN161" i="6"/>
  <c r="CI170" i="6"/>
  <c r="CI244" i="6"/>
  <c r="CN81" i="6"/>
  <c r="CN48" i="6"/>
  <c r="CN254" i="6"/>
  <c r="CI181" i="6"/>
  <c r="CN134" i="6"/>
  <c r="CI137" i="6"/>
  <c r="CN216" i="6"/>
  <c r="CN60" i="6"/>
  <c r="CN159" i="6"/>
  <c r="CN253" i="6"/>
  <c r="CI223" i="6"/>
  <c r="CN252" i="6"/>
  <c r="CN222" i="6"/>
  <c r="CI217" i="6"/>
  <c r="Q104" i="6"/>
  <c r="CN187" i="6"/>
  <c r="CN179" i="6"/>
  <c r="CN108" i="6"/>
  <c r="CN250" i="6"/>
  <c r="CN91" i="6"/>
  <c r="CI188" i="6"/>
  <c r="CI202" i="6"/>
  <c r="CI233" i="6"/>
  <c r="CI107" i="6"/>
  <c r="CN107" i="6"/>
  <c r="CI175" i="6"/>
  <c r="CN103" i="6"/>
  <c r="CN228" i="6"/>
  <c r="CI200" i="6"/>
  <c r="CN46" i="6"/>
  <c r="CI201" i="6"/>
  <c r="CN145" i="6"/>
  <c r="CI149" i="6"/>
  <c r="CN183" i="6"/>
  <c r="CI69" i="6"/>
  <c r="CI234" i="6"/>
  <c r="CN119" i="6"/>
  <c r="CN195" i="6"/>
  <c r="CI38" i="6"/>
  <c r="CI94" i="6"/>
  <c r="CN136" i="6"/>
  <c r="CN201" i="6"/>
  <c r="CI197" i="6"/>
  <c r="CI34" i="6"/>
  <c r="CI89" i="6"/>
  <c r="CI230" i="6"/>
  <c r="CN118" i="6"/>
  <c r="CN33" i="6"/>
  <c r="CI231" i="6"/>
  <c r="CN137" i="6"/>
  <c r="CN207" i="6"/>
  <c r="CI101" i="6"/>
  <c r="CI169" i="6"/>
  <c r="CI227" i="6"/>
  <c r="CI176" i="6"/>
  <c r="CN113" i="6"/>
  <c r="CN164" i="6"/>
  <c r="CI211" i="6"/>
  <c r="CN182" i="6"/>
  <c r="CN125" i="6"/>
  <c r="CN213" i="6"/>
  <c r="CI142" i="6"/>
  <c r="CI167" i="6"/>
  <c r="CN71" i="6"/>
  <c r="CI239" i="6"/>
  <c r="CN176" i="6"/>
  <c r="CI60" i="6"/>
  <c r="CI39" i="6"/>
  <c r="CI255" i="6"/>
  <c r="CI81" i="6"/>
  <c r="Q105" i="6"/>
  <c r="CN224" i="6"/>
  <c r="CI174" i="6"/>
  <c r="CI172" i="6"/>
  <c r="CI99" i="6"/>
  <c r="Q102" i="6" a="1"/>
  <c r="CN35" i="6"/>
  <c r="CI48" i="6"/>
  <c r="CI192" i="6"/>
  <c r="CI210" i="6"/>
  <c r="CI108" i="6"/>
  <c r="CN59" i="6"/>
  <c r="CN126" i="6"/>
  <c r="CI73" i="6"/>
  <c r="CI130" i="6"/>
  <c r="CI196" i="6"/>
  <c r="CI41" i="6"/>
  <c r="CN110" i="6"/>
  <c r="CI86" i="6"/>
  <c r="CN97" i="6"/>
  <c r="CI120" i="6"/>
  <c r="CN156" i="6"/>
  <c r="CI125" i="6"/>
  <c r="CI206" i="6"/>
  <c r="CI76" i="6"/>
  <c r="CI100" i="6"/>
  <c r="CN218" i="6"/>
  <c r="CN40" i="6"/>
  <c r="CN155" i="6"/>
  <c r="CI151" i="6"/>
  <c r="CN140" i="6"/>
  <c r="CN169" i="6"/>
  <c r="CN56" i="6"/>
  <c r="CI40" i="6"/>
  <c r="CN64" i="6"/>
  <c r="CI87" i="6"/>
  <c r="CN226" i="6"/>
  <c r="CI133" i="6"/>
  <c r="CI27" i="6"/>
  <c r="CI165" i="6"/>
  <c r="CI35" i="6"/>
  <c r="CI113" i="6"/>
  <c r="CN114" i="6"/>
  <c r="CN244" i="6"/>
  <c r="CI109" i="6"/>
  <c r="CN142" i="6"/>
  <c r="CN45" i="6"/>
  <c r="CN58" i="6"/>
  <c r="CN205" i="6"/>
  <c r="CI98" i="6"/>
  <c r="CI127" i="6"/>
  <c r="CI71" i="6"/>
  <c r="CI54" i="6"/>
  <c r="CI195" i="6"/>
  <c r="CN92" i="6"/>
  <c r="CN88" i="6"/>
  <c r="CN192" i="6"/>
  <c r="CI222" i="6"/>
  <c r="CN206" i="6"/>
  <c r="CN39" i="6"/>
  <c r="CI155" i="6"/>
  <c r="CI74" i="6"/>
  <c r="CI118" i="6"/>
  <c r="CI247" i="6"/>
  <c r="CI44" i="6"/>
  <c r="CI30" i="6"/>
  <c r="CI152" i="6"/>
  <c r="CN151" i="6"/>
  <c r="CN34" i="6"/>
  <c r="CN240" i="6"/>
  <c r="CN129" i="6"/>
  <c r="CN138" i="6"/>
  <c r="CN231" i="6"/>
  <c r="CN143" i="6"/>
  <c r="CI85" i="6"/>
  <c r="CN175" i="6"/>
  <c r="CN251" i="6"/>
  <c r="CN42" i="6"/>
  <c r="CN221" i="6"/>
  <c r="CI135" i="6"/>
  <c r="CI254" i="6"/>
  <c r="CN141" i="6"/>
  <c r="CN168" i="6"/>
  <c r="CI52" i="6"/>
  <c r="CN25" i="6"/>
  <c r="CN85" i="6"/>
  <c r="CI119" i="6"/>
  <c r="CI61" i="6"/>
  <c r="CN31" i="6"/>
  <c r="CI65" i="6"/>
  <c r="CI154" i="6"/>
  <c r="CI225" i="6"/>
  <c r="CI64" i="6"/>
  <c r="CI178" i="6"/>
  <c r="CI246" i="6"/>
  <c r="CI219" i="6"/>
  <c r="CI80" i="6"/>
  <c r="CN146" i="6"/>
  <c r="CI216" i="6"/>
  <c r="CN70" i="6"/>
  <c r="CN180" i="6"/>
  <c r="CN62" i="6"/>
  <c r="CN120" i="6"/>
  <c r="CN245" i="6"/>
  <c r="CI158" i="6"/>
  <c r="CN256" i="6"/>
  <c r="CI77" i="6"/>
  <c r="CN41" i="6"/>
  <c r="CI106" i="6"/>
  <c r="CN177" i="6"/>
  <c r="CN184" i="6"/>
  <c r="CI164" i="6"/>
  <c r="CI150" i="6"/>
  <c r="CN53" i="6"/>
  <c r="CN121" i="6"/>
  <c r="CI122" i="6"/>
  <c r="CN255" i="6"/>
  <c r="CN189" i="6"/>
  <c r="CN210" i="6"/>
  <c r="CI91" i="6"/>
  <c r="CN147" i="6"/>
  <c r="CI129" i="6"/>
  <c r="CN170" i="6"/>
  <c r="CN135" i="6"/>
  <c r="CI173" i="6"/>
  <c r="CI177" i="6"/>
  <c r="CI161" i="6"/>
  <c r="CI199" i="6"/>
  <c r="CN214" i="6"/>
  <c r="CN66" i="6"/>
  <c r="CN55" i="6"/>
  <c r="CN148" i="6"/>
  <c r="CN157" i="6"/>
  <c r="CN241" i="6"/>
  <c r="CN122" i="6"/>
  <c r="CN43" i="6"/>
  <c r="CI59" i="6"/>
  <c r="CI160" i="6"/>
  <c r="CN238" i="6"/>
  <c r="CN191" i="6"/>
  <c r="CI112" i="6"/>
  <c r="CN51" i="6"/>
  <c r="CN95" i="6"/>
  <c r="CN174" i="6"/>
  <c r="CI104" i="6"/>
  <c r="CI131" i="6"/>
  <c r="CN61" i="6"/>
  <c r="CN27" i="6"/>
  <c r="CI253" i="6"/>
  <c r="CI204" i="6"/>
  <c r="CN186" i="6"/>
  <c r="CN65" i="6"/>
  <c r="CI163" i="6"/>
  <c r="CN236" i="6"/>
  <c r="CI214" i="6"/>
  <c r="CN28" i="6"/>
  <c r="CI166" i="6"/>
  <c r="CI93" i="6"/>
  <c r="CI213" i="6"/>
  <c r="CI147" i="6"/>
  <c r="CI184" i="6"/>
  <c r="CI115" i="6"/>
  <c r="CI46" i="6"/>
  <c r="CN32" i="6"/>
  <c r="CN163" i="6"/>
  <c r="CN239" i="6"/>
  <c r="CI37" i="6"/>
  <c r="CI50" i="6"/>
  <c r="CN188" i="6"/>
  <c r="CI140" i="6"/>
  <c r="CI232" i="6"/>
  <c r="CN217" i="6"/>
  <c r="CN82" i="6"/>
  <c r="CI245" i="6"/>
  <c r="CI194" i="6"/>
  <c r="CI92" i="6"/>
  <c r="CN154" i="6"/>
  <c r="CN203" i="6"/>
  <c r="CN86" i="6"/>
  <c r="CN160" i="6"/>
  <c r="CN167" i="6"/>
  <c r="CN162" i="6"/>
  <c r="CI32" i="6"/>
  <c r="CN94" i="6"/>
  <c r="CI62" i="6"/>
  <c r="CI79" i="6"/>
  <c r="CI228" i="6"/>
  <c r="CI88" i="6"/>
  <c r="CI256" i="6"/>
  <c r="CI24" i="6"/>
  <c r="CN38" i="6"/>
  <c r="CN139" i="6"/>
  <c r="CN68" i="6"/>
  <c r="CN225" i="6"/>
  <c r="CI126" i="6"/>
  <c r="CI156" i="6"/>
  <c r="CN173" i="6"/>
  <c r="CI242" i="6"/>
  <c r="CI66" i="6"/>
  <c r="CN90" i="6"/>
  <c r="CN76" i="6"/>
  <c r="CI203" i="6"/>
  <c r="CI221" i="6"/>
  <c r="CI53" i="6"/>
  <c r="CN116" i="6"/>
  <c r="CI102" i="6"/>
  <c r="CN232" i="6"/>
  <c r="CI182" i="6"/>
  <c r="CI185" i="6"/>
  <c r="CN98" i="6"/>
  <c r="CN127" i="6"/>
  <c r="CN112" i="6"/>
  <c r="CI193" i="6"/>
  <c r="CN111" i="6"/>
  <c r="CI82" i="6"/>
  <c r="CI123" i="6"/>
  <c r="CI141" i="6"/>
  <c r="CI220" i="6"/>
  <c r="CN50" i="6"/>
  <c r="CI212" i="6"/>
  <c r="CN36" i="6"/>
  <c r="CN199" i="6"/>
  <c r="CN196" i="6"/>
  <c r="CN230" i="6"/>
  <c r="CN235" i="6"/>
  <c r="CI67" i="6"/>
  <c r="CN93" i="6"/>
  <c r="CN219" i="6"/>
  <c r="CI139" i="6"/>
  <c r="CN128" i="6"/>
  <c r="CN117" i="6"/>
  <c r="CN29" i="6"/>
  <c r="CN194" i="6"/>
  <c r="CI190" i="6"/>
  <c r="CN215" i="6"/>
  <c r="CN52" i="6"/>
  <c r="CN242" i="6"/>
  <c r="CI103" i="6"/>
  <c r="CI29" i="6"/>
  <c r="CN193" i="6"/>
  <c r="CN178" i="6"/>
  <c r="CI180" i="6"/>
  <c r="CN229" i="6"/>
  <c r="CI159" i="6"/>
  <c r="CI235" i="6"/>
  <c r="CI121" i="6"/>
  <c r="CI252" i="6"/>
  <c r="CI238" i="6"/>
  <c r="CI153" i="6"/>
  <c r="CI116" i="6"/>
  <c r="CN237" i="6"/>
  <c r="CI186" i="6"/>
  <c r="CI226" i="6"/>
  <c r="CI33" i="6"/>
  <c r="CI171" i="6"/>
  <c r="CN54" i="6"/>
  <c r="CI132" i="6"/>
  <c r="CI36" i="6"/>
  <c r="CN44" i="6"/>
  <c r="CI68" i="6"/>
  <c r="CN83" i="6"/>
  <c r="CN246" i="6"/>
  <c r="CI243" i="6"/>
  <c r="CN223" i="6"/>
  <c r="CN158" i="6"/>
  <c r="CN63" i="6"/>
  <c r="CN249" i="6"/>
  <c r="CN171" i="6"/>
  <c r="CI134" i="6"/>
  <c r="CI70" i="6"/>
  <c r="CI191" i="6"/>
  <c r="CN26" i="6"/>
  <c r="CI84" i="6"/>
  <c r="CN185" i="6"/>
  <c r="CN89" i="6"/>
  <c r="CN200" i="6"/>
  <c r="CI144" i="6"/>
  <c r="CI249" i="6"/>
  <c r="CI215" i="6"/>
  <c r="CI45" i="6"/>
  <c r="CN212" i="6"/>
  <c r="CN67" i="6"/>
  <c r="CN153" i="6"/>
  <c r="CN74" i="6"/>
  <c r="CN84" i="6"/>
  <c r="CN233" i="6"/>
  <c r="CN102" i="6"/>
  <c r="CI224" i="6"/>
  <c r="CN115" i="6"/>
  <c r="CN209" i="6"/>
  <c r="CI229" i="6"/>
  <c r="CN79" i="6"/>
  <c r="CN106" i="6"/>
  <c r="CI189" i="6"/>
  <c r="CI237" i="6"/>
  <c r="CN77" i="6"/>
  <c r="CI105" i="6"/>
  <c r="CI111" i="6"/>
  <c r="CN24" i="6"/>
  <c r="CI157" i="6"/>
  <c r="CN204" i="6"/>
  <c r="CI241" i="6"/>
  <c r="CN243" i="6"/>
  <c r="CI198" i="6"/>
  <c r="CN72" i="6"/>
  <c r="CI146" i="6"/>
  <c r="CN104" i="6"/>
  <c r="CN37" i="6"/>
  <c r="CI218" i="6"/>
  <c r="CI26" i="6"/>
  <c r="CI95" i="6"/>
  <c r="CN234" i="6"/>
  <c r="CI58" i="6"/>
  <c r="CN133" i="6"/>
  <c r="CN99" i="6"/>
  <c r="CI136" i="6"/>
  <c r="CI248" i="6"/>
  <c r="CI83" i="6"/>
  <c r="CI25" i="6"/>
  <c r="CN197" i="6"/>
  <c r="CI28" i="6"/>
  <c r="CI51" i="6"/>
  <c r="CI96" i="6"/>
  <c r="CI90" i="6"/>
  <c r="CI168" i="6"/>
  <c r="Q103" i="6"/>
  <c r="CI143" i="6"/>
  <c r="CI110" i="6"/>
  <c r="CI148" i="6"/>
  <c r="CN132" i="6"/>
  <c r="CN130" i="6"/>
  <c r="CN172" i="6"/>
  <c r="CI250" i="6"/>
  <c r="CN105" i="6"/>
  <c r="CN144" i="6"/>
  <c r="CI56" i="6"/>
  <c r="CN69" i="6"/>
  <c r="CN181" i="6"/>
  <c r="CN190" i="6"/>
  <c r="CN166" i="6"/>
  <c r="CI31" i="6"/>
  <c r="CN80" i="6"/>
  <c r="CN75" i="6"/>
  <c r="CI187" i="6"/>
  <c r="CN123" i="6"/>
  <c r="CI236" i="6"/>
  <c r="CI75" i="6"/>
  <c r="CN202" i="6"/>
  <c r="CI205" i="6"/>
  <c r="CI124" i="6"/>
  <c r="CI42" i="6"/>
  <c r="CN152" i="6"/>
  <c r="CI72" i="6"/>
  <c r="CI179" i="6"/>
  <c r="CN149" i="6"/>
  <c r="CN220" i="6"/>
  <c r="CN150" i="6"/>
  <c r="CN211" i="6"/>
  <c r="CN165" i="6"/>
  <c r="CN49" i="6"/>
  <c r="CN124" i="6"/>
  <c r="CN87" i="6"/>
  <c r="CN248" i="6"/>
  <c r="CI63" i="6"/>
  <c r="CI47" i="6"/>
  <c r="CN208" i="6"/>
  <c r="CN227" i="6"/>
  <c r="CI162" i="6"/>
  <c r="CN78" i="6"/>
  <c r="CN131" i="6"/>
  <c r="CI128" i="6"/>
  <c r="CN198" i="6"/>
  <c r="CI240" i="6"/>
  <c r="CN47" i="6"/>
  <c r="CI43" i="6"/>
  <c r="CN100" i="6"/>
  <c r="CI183" i="6"/>
  <c r="CI49" i="6"/>
  <c r="CI55" i="6"/>
  <c r="CI117" i="6"/>
  <c r="CI251" i="6"/>
  <c r="CN57" i="6"/>
  <c r="CI145" i="6"/>
  <c r="CI97" i="6"/>
  <c r="CI208" i="6"/>
  <c r="CI209" i="6"/>
  <c r="CI57" i="6"/>
  <c r="CN96" i="6"/>
  <c r="DC120" i="6" l="1"/>
  <c r="DC107" i="6"/>
  <c r="DC35" i="6"/>
  <c r="DC30" i="6"/>
  <c r="DC108" i="6"/>
  <c r="DC48" i="6"/>
  <c r="CT96" i="6"/>
  <c r="CJ57" i="6"/>
  <c r="CJ209" i="6"/>
  <c r="CJ208" i="6"/>
  <c r="CJ97" i="6"/>
  <c r="CJ145" i="6"/>
  <c r="CT57" i="6"/>
  <c r="CJ251" i="6"/>
  <c r="CJ117" i="6"/>
  <c r="CJ55" i="6"/>
  <c r="CJ49" i="6"/>
  <c r="CJ183" i="6"/>
  <c r="CT100" i="6"/>
  <c r="CJ43" i="6"/>
  <c r="CT47" i="6"/>
  <c r="CJ240" i="6"/>
  <c r="CT198" i="6"/>
  <c r="CJ128" i="6"/>
  <c r="CT131" i="6"/>
  <c r="CT78" i="6"/>
  <c r="CJ162" i="6"/>
  <c r="CT227" i="6"/>
  <c r="CT208" i="6"/>
  <c r="CJ47" i="6"/>
  <c r="CJ63" i="6"/>
  <c r="CT248" i="6"/>
  <c r="CT87" i="6"/>
  <c r="CT124" i="6"/>
  <c r="CT49" i="6"/>
  <c r="CT165" i="6"/>
  <c r="CT211" i="6"/>
  <c r="CT150" i="6"/>
  <c r="CT220" i="6"/>
  <c r="CT149" i="6"/>
  <c r="CJ179" i="6"/>
  <c r="CJ72" i="6"/>
  <c r="CT152" i="6"/>
  <c r="CJ42" i="6"/>
  <c r="CJ124" i="6"/>
  <c r="CJ205" i="6"/>
  <c r="CT202" i="6"/>
  <c r="CJ75" i="6"/>
  <c r="CJ236" i="6"/>
  <c r="CT123" i="6"/>
  <c r="CJ187" i="6"/>
  <c r="CT75" i="6"/>
  <c r="CT80" i="6"/>
  <c r="CJ31" i="6"/>
  <c r="CT166" i="6"/>
  <c r="CT190" i="6"/>
  <c r="CT181" i="6"/>
  <c r="CT69" i="6"/>
  <c r="CJ56" i="6"/>
  <c r="CT144" i="6"/>
  <c r="CT105" i="6"/>
  <c r="CJ250" i="6"/>
  <c r="CT172" i="6"/>
  <c r="CT130" i="6"/>
  <c r="CT132" i="6"/>
  <c r="CJ148" i="6"/>
  <c r="CJ110" i="6"/>
  <c r="CJ143" i="6"/>
  <c r="CJ168" i="6"/>
  <c r="CJ90" i="6"/>
  <c r="CJ96" i="6"/>
  <c r="CJ51" i="6"/>
  <c r="CJ28" i="6"/>
  <c r="CT197" i="6"/>
  <c r="CJ25" i="6"/>
  <c r="CJ83" i="6"/>
  <c r="CJ248" i="6"/>
  <c r="CJ136" i="6"/>
  <c r="CT99" i="6"/>
  <c r="CT133" i="6"/>
  <c r="CJ58" i="6"/>
  <c r="CT234" i="6"/>
  <c r="CJ95" i="6"/>
  <c r="CJ26" i="6"/>
  <c r="CJ218" i="6"/>
  <c r="CT37" i="6"/>
  <c r="CT104" i="6"/>
  <c r="CJ146" i="6"/>
  <c r="CT72" i="6"/>
  <c r="CJ198" i="6"/>
  <c r="CT243" i="6"/>
  <c r="CJ241" i="6"/>
  <c r="CT204" i="6"/>
  <c r="CJ157" i="6"/>
  <c r="CT24" i="6"/>
  <c r="CJ111" i="6"/>
  <c r="CJ105" i="6"/>
  <c r="CT77" i="6"/>
  <c r="CJ237" i="6"/>
  <c r="CJ189" i="6"/>
  <c r="CT106" i="6"/>
  <c r="CT79" i="6"/>
  <c r="CJ229" i="6"/>
  <c r="CT209" i="6"/>
  <c r="CT115" i="6"/>
  <c r="CJ224" i="6"/>
  <c r="CT102" i="6"/>
  <c r="CT233" i="6"/>
  <c r="CT84" i="6"/>
  <c r="CT74" i="6"/>
  <c r="CT153" i="6"/>
  <c r="CT67" i="6"/>
  <c r="CT212" i="6"/>
  <c r="CJ45" i="6"/>
  <c r="CJ215" i="6"/>
  <c r="CJ249" i="6"/>
  <c r="CJ144" i="6"/>
  <c r="CT200" i="6"/>
  <c r="CT89" i="6"/>
  <c r="CT185" i="6"/>
  <c r="CJ84" i="6"/>
  <c r="CT26" i="6"/>
  <c r="CJ191" i="6"/>
  <c r="CJ70" i="6"/>
  <c r="CJ134" i="6"/>
  <c r="CT171" i="6"/>
  <c r="CT249" i="6"/>
  <c r="CT63" i="6"/>
  <c r="CT158" i="6"/>
  <c r="CT223" i="6"/>
  <c r="CJ243" i="6"/>
  <c r="CT246" i="6"/>
  <c r="CT83" i="6"/>
  <c r="CJ68" i="6"/>
  <c r="CT44" i="6"/>
  <c r="CJ36" i="6"/>
  <c r="CJ132" i="6"/>
  <c r="CT54" i="6"/>
  <c r="CJ171" i="6"/>
  <c r="CJ33" i="6"/>
  <c r="CJ226" i="6"/>
  <c r="CJ186" i="6"/>
  <c r="CT237" i="6"/>
  <c r="CJ116" i="6"/>
  <c r="CJ153" i="6"/>
  <c r="CJ238" i="6"/>
  <c r="CJ252" i="6"/>
  <c r="CJ121" i="6"/>
  <c r="CJ235" i="6"/>
  <c r="CJ159" i="6"/>
  <c r="CT229" i="6"/>
  <c r="CJ180" i="6"/>
  <c r="CT178" i="6"/>
  <c r="CT193" i="6"/>
  <c r="CJ29" i="6"/>
  <c r="CJ103" i="6"/>
  <c r="CT242" i="6"/>
  <c r="CT52" i="6"/>
  <c r="CT215" i="6"/>
  <c r="CJ190" i="6"/>
  <c r="CT194" i="6"/>
  <c r="CT29" i="6"/>
  <c r="CT117" i="6"/>
  <c r="CT128" i="6"/>
  <c r="CJ139" i="6"/>
  <c r="CT219" i="6"/>
  <c r="CT93" i="6"/>
  <c r="CJ67" i="6"/>
  <c r="CT235" i="6"/>
  <c r="CT230" i="6"/>
  <c r="CT196" i="6"/>
  <c r="CT199" i="6"/>
  <c r="CT36" i="6"/>
  <c r="CJ212" i="6"/>
  <c r="CT50" i="6"/>
  <c r="CJ220" i="6"/>
  <c r="CJ141" i="6"/>
  <c r="CJ123" i="6"/>
  <c r="CJ82" i="6"/>
  <c r="CT111" i="6"/>
  <c r="CJ193" i="6"/>
  <c r="CT112" i="6"/>
  <c r="CT127" i="6"/>
  <c r="CT98" i="6"/>
  <c r="CJ185" i="6"/>
  <c r="CJ182" i="6"/>
  <c r="CT232" i="6"/>
  <c r="CJ102" i="6"/>
  <c r="CT116" i="6"/>
  <c r="CJ53" i="6"/>
  <c r="CJ221" i="6"/>
  <c r="CJ203" i="6"/>
  <c r="CT76" i="6"/>
  <c r="CT90" i="6"/>
  <c r="CJ66" i="6"/>
  <c r="CJ242" i="6"/>
  <c r="CT173" i="6"/>
  <c r="CJ156" i="6"/>
  <c r="CJ126" i="6"/>
  <c r="CT225" i="6"/>
  <c r="CT68" i="6"/>
  <c r="CT139" i="6"/>
  <c r="CT38" i="6"/>
  <c r="CJ24" i="6"/>
  <c r="CJ256" i="6"/>
  <c r="CJ88" i="6"/>
  <c r="CJ228" i="6"/>
  <c r="CJ79" i="6"/>
  <c r="CJ62" i="6"/>
  <c r="CT94" i="6"/>
  <c r="CJ32" i="6"/>
  <c r="CT162" i="6"/>
  <c r="CT167" i="6"/>
  <c r="CT160" i="6"/>
  <c r="CT86" i="6"/>
  <c r="CT203" i="6"/>
  <c r="CT154" i="6"/>
  <c r="CJ92" i="6"/>
  <c r="CJ194" i="6"/>
  <c r="CJ245" i="6"/>
  <c r="CT82" i="6"/>
  <c r="CT217" i="6"/>
  <c r="CJ232" i="6"/>
  <c r="CJ140" i="6"/>
  <c r="CT188" i="6"/>
  <c r="CJ50" i="6"/>
  <c r="CJ37" i="6"/>
  <c r="CT239" i="6"/>
  <c r="CT163" i="6"/>
  <c r="CT32" i="6"/>
  <c r="CJ46" i="6"/>
  <c r="CJ115" i="6"/>
  <c r="CJ184" i="6"/>
  <c r="CJ147" i="6"/>
  <c r="CJ213" i="6"/>
  <c r="CJ93" i="6"/>
  <c r="CJ166" i="6"/>
  <c r="CT28" i="6"/>
  <c r="CJ214" i="6"/>
  <c r="CT236" i="6"/>
  <c r="CJ163" i="6"/>
  <c r="CT65" i="6"/>
  <c r="CT186" i="6"/>
  <c r="CJ204" i="6"/>
  <c r="CJ253" i="6"/>
  <c r="CT27" i="6"/>
  <c r="CT61" i="6"/>
  <c r="CJ131" i="6"/>
  <c r="CJ104" i="6"/>
  <c r="CT174" i="6"/>
  <c r="CT95" i="6"/>
  <c r="CT51" i="6"/>
  <c r="CJ112" i="6"/>
  <c r="CT191" i="6"/>
  <c r="CT238" i="6"/>
  <c r="CJ160" i="6"/>
  <c r="CJ59" i="6"/>
  <c r="CT43" i="6"/>
  <c r="CT122" i="6"/>
  <c r="CT241" i="6"/>
  <c r="CT157" i="6"/>
  <c r="CT148" i="6"/>
  <c r="CT55" i="6"/>
  <c r="CT66" i="6"/>
  <c r="CT214" i="6"/>
  <c r="CJ199" i="6"/>
  <c r="CJ161" i="6"/>
  <c r="CJ177" i="6"/>
  <c r="CJ173" i="6"/>
  <c r="CT135" i="6"/>
  <c r="CT170" i="6"/>
  <c r="CJ129" i="6"/>
  <c r="CT147" i="6"/>
  <c r="CJ91" i="6"/>
  <c r="CT210" i="6"/>
  <c r="CT189" i="6"/>
  <c r="CT255" i="6"/>
  <c r="CJ122" i="6"/>
  <c r="CT121" i="6"/>
  <c r="CT53" i="6"/>
  <c r="CJ150" i="6"/>
  <c r="CJ164" i="6"/>
  <c r="CT184" i="6"/>
  <c r="CT177" i="6"/>
  <c r="CJ106" i="6"/>
  <c r="CT41" i="6"/>
  <c r="CJ77" i="6"/>
  <c r="CT256" i="6"/>
  <c r="CJ158" i="6"/>
  <c r="CT245" i="6"/>
  <c r="CT120" i="6"/>
  <c r="CT62" i="6"/>
  <c r="CT180" i="6"/>
  <c r="CT70" i="6"/>
  <c r="CJ216" i="6"/>
  <c r="CT146" i="6"/>
  <c r="CJ80" i="6"/>
  <c r="CJ219" i="6"/>
  <c r="CJ246" i="6"/>
  <c r="CJ178" i="6"/>
  <c r="CJ64" i="6"/>
  <c r="CJ225" i="6"/>
  <c r="CJ154" i="6"/>
  <c r="CJ65" i="6"/>
  <c r="CT31" i="6"/>
  <c r="CJ61" i="6"/>
  <c r="CJ119" i="6"/>
  <c r="CT85" i="6"/>
  <c r="CT25" i="6"/>
  <c r="CJ52" i="6"/>
  <c r="CT168" i="6"/>
  <c r="CT141" i="6"/>
  <c r="CJ254" i="6"/>
  <c r="CJ135" i="6"/>
  <c r="CT221" i="6"/>
  <c r="CT42" i="6"/>
  <c r="CT251" i="6"/>
  <c r="CT175" i="6"/>
  <c r="CJ85" i="6"/>
  <c r="CT143" i="6"/>
  <c r="CT231" i="6"/>
  <c r="CT138" i="6"/>
  <c r="CT129" i="6"/>
  <c r="CT240" i="6"/>
  <c r="CT34" i="6"/>
  <c r="CT151" i="6"/>
  <c r="CJ152" i="6"/>
  <c r="CJ30" i="6"/>
  <c r="CJ44" i="6"/>
  <c r="CJ247" i="6"/>
  <c r="CJ118" i="6"/>
  <c r="CJ74" i="6"/>
  <c r="CJ155" i="6"/>
  <c r="CT39" i="6"/>
  <c r="CT206" i="6"/>
  <c r="CJ222" i="6"/>
  <c r="CT192" i="6"/>
  <c r="CT88" i="6"/>
  <c r="CT92" i="6"/>
  <c r="CJ195" i="6"/>
  <c r="CJ54" i="6"/>
  <c r="CJ71" i="6"/>
  <c r="CJ127" i="6"/>
  <c r="CJ98" i="6"/>
  <c r="CT205" i="6"/>
  <c r="CT58" i="6"/>
  <c r="CT45" i="6"/>
  <c r="CT142" i="6"/>
  <c r="CJ109" i="6"/>
  <c r="CT244" i="6"/>
  <c r="CT114" i="6"/>
  <c r="CJ113" i="6"/>
  <c r="CJ35" i="6"/>
  <c r="CJ165" i="6"/>
  <c r="CJ27" i="6"/>
  <c r="CJ133" i="6"/>
  <c r="CT226" i="6"/>
  <c r="CJ87" i="6"/>
  <c r="CT64" i="6"/>
  <c r="CJ40" i="6"/>
  <c r="CT56" i="6"/>
  <c r="CT169" i="6"/>
  <c r="CT140" i="6"/>
  <c r="CJ151" i="6"/>
  <c r="CT155" i="6"/>
  <c r="CT40" i="6"/>
  <c r="CT218" i="6"/>
  <c r="CJ100" i="6"/>
  <c r="CJ76" i="6"/>
  <c r="CJ206" i="6"/>
  <c r="CJ125" i="6"/>
  <c r="CT156" i="6"/>
  <c r="CJ120" i="6"/>
  <c r="CT97" i="6"/>
  <c r="CJ86" i="6"/>
  <c r="CT110" i="6"/>
  <c r="CJ41" i="6"/>
  <c r="CJ196" i="6"/>
  <c r="CJ130" i="6"/>
  <c r="CJ73" i="6"/>
  <c r="CT126" i="6"/>
  <c r="CT59" i="6"/>
  <c r="CJ108" i="6"/>
  <c r="CJ210" i="6"/>
  <c r="CJ192" i="6"/>
  <c r="CJ48" i="6"/>
  <c r="CT35" i="6"/>
  <c r="CJ99" i="6"/>
  <c r="CJ172" i="6"/>
  <c r="CJ174" i="6"/>
  <c r="CT224" i="6"/>
  <c r="CJ81" i="6"/>
  <c r="CJ255" i="6"/>
  <c r="CJ39" i="6"/>
  <c r="CJ60" i="6"/>
  <c r="CT176" i="6"/>
  <c r="CJ239" i="6"/>
  <c r="CT71" i="6"/>
  <c r="CJ167" i="6"/>
  <c r="CJ142" i="6"/>
  <c r="CT213" i="6"/>
  <c r="CT125" i="6"/>
  <c r="CT182" i="6"/>
  <c r="CJ211" i="6"/>
  <c r="CT164" i="6"/>
  <c r="CT113" i="6"/>
  <c r="CJ176" i="6"/>
  <c r="CJ227" i="6"/>
  <c r="CJ169" i="6"/>
  <c r="CJ101" i="6"/>
  <c r="CT207" i="6"/>
  <c r="CT137" i="6"/>
  <c r="CJ231" i="6"/>
  <c r="CT33" i="6"/>
  <c r="CT118" i="6"/>
  <c r="CJ230" i="6"/>
  <c r="CJ89" i="6"/>
  <c r="CJ34" i="6"/>
  <c r="CJ197" i="6"/>
  <c r="CT201" i="6"/>
  <c r="CT136" i="6"/>
  <c r="CJ94" i="6"/>
  <c r="CJ38" i="6"/>
  <c r="CT195" i="6"/>
  <c r="CT119" i="6"/>
  <c r="CJ234" i="6"/>
  <c r="CJ69" i="6"/>
  <c r="CT183" i="6"/>
  <c r="CJ149" i="6"/>
  <c r="CT145" i="6"/>
  <c r="CJ201" i="6"/>
  <c r="CT46" i="6"/>
  <c r="CJ200" i="6"/>
  <c r="CT228" i="6"/>
  <c r="CT103" i="6"/>
  <c r="CJ175" i="6"/>
  <c r="CT107" i="6"/>
  <c r="CJ107" i="6"/>
  <c r="CJ233" i="6"/>
  <c r="CJ202" i="6"/>
  <c r="CJ188" i="6"/>
  <c r="CT91" i="6"/>
  <c r="CT250" i="6"/>
  <c r="CT108" i="6"/>
  <c r="CT179" i="6"/>
  <c r="CT187" i="6"/>
  <c r="CJ217" i="6"/>
  <c r="CT222" i="6"/>
  <c r="CT252" i="6"/>
  <c r="CJ223" i="6"/>
  <c r="CT253" i="6"/>
  <c r="CT159" i="6"/>
  <c r="CT60" i="6"/>
  <c r="CT216" i="6"/>
  <c r="CJ137" i="6"/>
  <c r="CT134" i="6"/>
  <c r="CJ181" i="6"/>
  <c r="CT254" i="6"/>
  <c r="CT48" i="6"/>
  <c r="CT81" i="6"/>
  <c r="CJ244" i="6"/>
  <c r="CJ170" i="6"/>
  <c r="CT161" i="6"/>
  <c r="CT101" i="6"/>
  <c r="CT30" i="6"/>
  <c r="CT109" i="6"/>
  <c r="CT73" i="6"/>
  <c r="CJ207" i="6"/>
  <c r="CJ114" i="6"/>
  <c r="CJ78" i="6"/>
  <c r="CT247" i="6"/>
  <c r="CJ138" i="6"/>
  <c r="CR96" i="6"/>
  <c r="DB96" i="6"/>
  <c r="DC96" i="6" s="1"/>
  <c r="DD57" i="6"/>
  <c r="DD209" i="6"/>
  <c r="DD208" i="6"/>
  <c r="DD97" i="6"/>
  <c r="DD145" i="6"/>
  <c r="DB57" i="6"/>
  <c r="DC57" i="6" s="1"/>
  <c r="CR57" i="6"/>
  <c r="DD251" i="6"/>
  <c r="DD117" i="6"/>
  <c r="DD55" i="6"/>
  <c r="DD49" i="6"/>
  <c r="DD183" i="6"/>
  <c r="CR100" i="6"/>
  <c r="DB100" i="6"/>
  <c r="DC100" i="6" s="1"/>
  <c r="DD43" i="6"/>
  <c r="CR47" i="6"/>
  <c r="DD240" i="6"/>
  <c r="CR198" i="6"/>
  <c r="DD128" i="6"/>
  <c r="DB131" i="6"/>
  <c r="DC131" i="6" s="1"/>
  <c r="CR131" i="6"/>
  <c r="DB78" i="6"/>
  <c r="DC78" i="6" s="1"/>
  <c r="CR78" i="6"/>
  <c r="DD162" i="6"/>
  <c r="CR227" i="6"/>
  <c r="DB227" i="6"/>
  <c r="DC227" i="6" s="1"/>
  <c r="CR208" i="6"/>
  <c r="DB208" i="6"/>
  <c r="DC208" i="6" s="1"/>
  <c r="DD47" i="6"/>
  <c r="DD63" i="6"/>
  <c r="DB248" i="6"/>
  <c r="DC248" i="6" s="1"/>
  <c r="CR248" i="6"/>
  <c r="DB87" i="6"/>
  <c r="DC87" i="6" s="1"/>
  <c r="CR87" i="6"/>
  <c r="CR124" i="6"/>
  <c r="DB124" i="6"/>
  <c r="DC124" i="6" s="1"/>
  <c r="CR49" i="6"/>
  <c r="DB165" i="6"/>
  <c r="DC165" i="6" s="1"/>
  <c r="CR165" i="6"/>
  <c r="CR211" i="6"/>
  <c r="DB211" i="6"/>
  <c r="DC211" i="6" s="1"/>
  <c r="DB150" i="6"/>
  <c r="DC150" i="6" s="1"/>
  <c r="CR150" i="6"/>
  <c r="BW164" i="6"/>
  <c r="BV164" i="6" a="1"/>
  <c r="BV164" i="6" s="1"/>
  <c r="BU164" i="6"/>
  <c r="BV236" i="6" a="1"/>
  <c r="BV236" i="6" s="1"/>
  <c r="BU236" i="6"/>
  <c r="BW236" i="6"/>
  <c r="BU223" i="6"/>
  <c r="BW223" i="6"/>
  <c r="BV223" i="6" a="1"/>
  <c r="BV223" i="6" s="1"/>
  <c r="BW76" i="6"/>
  <c r="BU76" i="6"/>
  <c r="BV76" i="6" a="1"/>
  <c r="BV76" i="6" s="1"/>
  <c r="DB220" i="6"/>
  <c r="DC220" i="6" s="1"/>
  <c r="CR220" i="6"/>
  <c r="BW225" i="6"/>
  <c r="BV225" i="6" a="1"/>
  <c r="BV225" i="6" s="1"/>
  <c r="BU225" i="6"/>
  <c r="CR149" i="6"/>
  <c r="DB149" i="6"/>
  <c r="DC149" i="6" s="1"/>
  <c r="BW140" i="6"/>
  <c r="BV140" i="6" a="1"/>
  <c r="BV140" i="6" s="1"/>
  <c r="BU140" i="6"/>
  <c r="BW90" i="6"/>
  <c r="BV90" i="6" a="1"/>
  <c r="BV90" i="6" s="1"/>
  <c r="BU90" i="6"/>
  <c r="BV103" i="6" a="1"/>
  <c r="BV103" i="6" s="1"/>
  <c r="BU103" i="6"/>
  <c r="BW103" i="6"/>
  <c r="BW235" i="6"/>
  <c r="BV235" i="6" a="1"/>
  <c r="BV235" i="6" s="1"/>
  <c r="BU235" i="6"/>
  <c r="BW30" i="6"/>
  <c r="BU30" i="6"/>
  <c r="BV30" i="6" a="1"/>
  <c r="BV30" i="6" s="1"/>
  <c r="DD179" i="6"/>
  <c r="BW62" i="6"/>
  <c r="BV62" i="6" a="1"/>
  <c r="BV62" i="6" s="1"/>
  <c r="BU62" i="6"/>
  <c r="DD72" i="6"/>
  <c r="BW189" i="6"/>
  <c r="BV189" i="6" a="1"/>
  <c r="BV189" i="6" s="1"/>
  <c r="BU189" i="6"/>
  <c r="BV58" i="6" a="1"/>
  <c r="BV58" i="6" s="1"/>
  <c r="BW58" i="6"/>
  <c r="BU58" i="6"/>
  <c r="CR152" i="6"/>
  <c r="DB152" i="6"/>
  <c r="DC152" i="6" s="1"/>
  <c r="BW25" i="6"/>
  <c r="BV25" i="6" a="1"/>
  <c r="BV25" i="6" s="1"/>
  <c r="BU25" i="6"/>
  <c r="BW234" i="6"/>
  <c r="BV234" i="6" a="1"/>
  <c r="BV234" i="6" s="1"/>
  <c r="BU234" i="6"/>
  <c r="BV216" i="6" a="1"/>
  <c r="BV216" i="6" s="1"/>
  <c r="BU216" i="6"/>
  <c r="BW216" i="6"/>
  <c r="BV55" i="6" a="1"/>
  <c r="BV55" i="6" s="1"/>
  <c r="BU55" i="6"/>
  <c r="BW55" i="6"/>
  <c r="DD42" i="6"/>
  <c r="DD124" i="6"/>
  <c r="DD205" i="6"/>
  <c r="DB202" i="6"/>
  <c r="DC202" i="6" s="1"/>
  <c r="CR202" i="6"/>
  <c r="DD75" i="6"/>
  <c r="DD236" i="6"/>
  <c r="DB123" i="6"/>
  <c r="DC123" i="6" s="1"/>
  <c r="CR123" i="6"/>
  <c r="DD187" i="6"/>
  <c r="DB75" i="6"/>
  <c r="DC75" i="6" s="1"/>
  <c r="CR75" i="6"/>
  <c r="DB80" i="6"/>
  <c r="DC80" i="6" s="1"/>
  <c r="CR80" i="6"/>
  <c r="DD31" i="6"/>
  <c r="DB166" i="6"/>
  <c r="DC166" i="6" s="1"/>
  <c r="CR166" i="6"/>
  <c r="DB190" i="6"/>
  <c r="DC190" i="6" s="1"/>
  <c r="CR190" i="6"/>
  <c r="DB181" i="6"/>
  <c r="DC181" i="6" s="1"/>
  <c r="CR181" i="6"/>
  <c r="CR69" i="6"/>
  <c r="DB69" i="6"/>
  <c r="DC69" i="6" s="1"/>
  <c r="DD56" i="6"/>
  <c r="DB144" i="6"/>
  <c r="DC144" i="6" s="1"/>
  <c r="CR144" i="6"/>
  <c r="DB105" i="6"/>
  <c r="DC105" i="6" s="1"/>
  <c r="CR105" i="6"/>
  <c r="DD250" i="6"/>
  <c r="CR172" i="6"/>
  <c r="DB172" i="6"/>
  <c r="DC172" i="6" s="1"/>
  <c r="DB130" i="6"/>
  <c r="DC130" i="6" s="1"/>
  <c r="CR130" i="6"/>
  <c r="BV127" i="6" a="1"/>
  <c r="BV127" i="6" s="1"/>
  <c r="BU127" i="6"/>
  <c r="BW127" i="6"/>
  <c r="BU217" i="6"/>
  <c r="BW217" i="6"/>
  <c r="BV217" i="6" a="1"/>
  <c r="BV217" i="6" s="1"/>
  <c r="BV27" i="6" a="1"/>
  <c r="BV27" i="6" s="1"/>
  <c r="BU27" i="6"/>
  <c r="BW27" i="6"/>
  <c r="BW251" i="6"/>
  <c r="BU251" i="6"/>
  <c r="BV251" i="6" a="1"/>
  <c r="BV251" i="6" s="1"/>
  <c r="CR132" i="6"/>
  <c r="DB132" i="6"/>
  <c r="DC132" i="6" s="1"/>
  <c r="BW175" i="6"/>
  <c r="BV175" i="6" a="1"/>
  <c r="BV175" i="6" s="1"/>
  <c r="BU175" i="6"/>
  <c r="BW43" i="6"/>
  <c r="BV43" i="6" a="1"/>
  <c r="BV43" i="6" s="1"/>
  <c r="BU43" i="6"/>
  <c r="BV95" i="6" a="1"/>
  <c r="BV95" i="6" s="1"/>
  <c r="BU95" i="6"/>
  <c r="BW95" i="6"/>
  <c r="BU107" i="6"/>
  <c r="BW107" i="6"/>
  <c r="BV107" i="6" a="1"/>
  <c r="BV107" i="6" s="1"/>
  <c r="BW198" i="6"/>
  <c r="BV198" i="6" a="1"/>
  <c r="BV198" i="6" s="1"/>
  <c r="BU198" i="6"/>
  <c r="BU241" i="6"/>
  <c r="BW241" i="6"/>
  <c r="BV241" i="6" a="1"/>
  <c r="BV241" i="6" s="1"/>
  <c r="BW160" i="6"/>
  <c r="BV160" i="6" a="1"/>
  <c r="BV160" i="6" s="1"/>
  <c r="BU160" i="6"/>
  <c r="BV125" i="6" a="1"/>
  <c r="BV125" i="6" s="1"/>
  <c r="BU125" i="6"/>
  <c r="BW125" i="6"/>
  <c r="BW116" i="6"/>
  <c r="BU116" i="6"/>
  <c r="BV116" i="6" a="1"/>
  <c r="BV116" i="6" s="1"/>
  <c r="DD148" i="6"/>
  <c r="DD110" i="6"/>
  <c r="DD143" i="6"/>
  <c r="BW254" i="6"/>
  <c r="BU254" i="6"/>
  <c r="BV254" i="6" a="1"/>
  <c r="BV254" i="6" s="1"/>
  <c r="BW158" i="6"/>
  <c r="BU158" i="6"/>
  <c r="BV158" i="6" a="1"/>
  <c r="BV158" i="6" s="1"/>
  <c r="DD168" i="6"/>
  <c r="DD90" i="6"/>
  <c r="DD96" i="6"/>
  <c r="DD51" i="6"/>
  <c r="DD28" i="6"/>
  <c r="CR197" i="6"/>
  <c r="DD25" i="6"/>
  <c r="DD83" i="6"/>
  <c r="DD248" i="6"/>
  <c r="DD136" i="6"/>
  <c r="DB99" i="6"/>
  <c r="DC99" i="6" s="1"/>
  <c r="CR99" i="6"/>
  <c r="DB133" i="6"/>
  <c r="DC133" i="6" s="1"/>
  <c r="CR133" i="6"/>
  <c r="DD58" i="6"/>
  <c r="CR234" i="6"/>
  <c r="DB234" i="6"/>
  <c r="DC234" i="6" s="1"/>
  <c r="DD95" i="6"/>
  <c r="DD26" i="6"/>
  <c r="DD218" i="6"/>
  <c r="CR37" i="6"/>
  <c r="DB104" i="6"/>
  <c r="DC104" i="6" s="1"/>
  <c r="CR104" i="6"/>
  <c r="DD146" i="6"/>
  <c r="DB72" i="6"/>
  <c r="DC72" i="6" s="1"/>
  <c r="CR72" i="6"/>
  <c r="DD198" i="6"/>
  <c r="DB243" i="6"/>
  <c r="DC243" i="6" s="1"/>
  <c r="CR243" i="6"/>
  <c r="BV208" i="6" a="1"/>
  <c r="BV208" i="6" s="1"/>
  <c r="BU208" i="6"/>
  <c r="BW208" i="6"/>
  <c r="BV131" i="6" a="1"/>
  <c r="BV131" i="6" s="1"/>
  <c r="BU131" i="6"/>
  <c r="BW131" i="6"/>
  <c r="BV87" i="6" a="1"/>
  <c r="BV87" i="6" s="1"/>
  <c r="BU87" i="6"/>
  <c r="BW87" i="6"/>
  <c r="BW119" i="6"/>
  <c r="BV119" i="6" a="1"/>
  <c r="BV119" i="6" s="1"/>
  <c r="BU119" i="6"/>
  <c r="BW24" i="6"/>
  <c r="BV24" i="6" a="1"/>
  <c r="BV24" i="6" s="1"/>
  <c r="BU24" i="6"/>
  <c r="DD241" i="6"/>
  <c r="CR204" i="6"/>
  <c r="DD157" i="6"/>
  <c r="BW137" i="6"/>
  <c r="BV137" i="6" a="1"/>
  <c r="BV137" i="6" s="1"/>
  <c r="BU137" i="6"/>
  <c r="BV166" i="6" a="1"/>
  <c r="BV166" i="6" s="1"/>
  <c r="BW166" i="6"/>
  <c r="BU166" i="6"/>
  <c r="BW84" i="6"/>
  <c r="BV84" i="6" a="1"/>
  <c r="BV84" i="6" s="1"/>
  <c r="BU84" i="6"/>
  <c r="BW230" i="6"/>
  <c r="BU230" i="6"/>
  <c r="BV230" i="6" a="1"/>
  <c r="BV230" i="6" s="1"/>
  <c r="BW151" i="6"/>
  <c r="BV151" i="6" a="1"/>
  <c r="BV151" i="6" s="1"/>
  <c r="BU151" i="6"/>
  <c r="BV123" i="6" a="1"/>
  <c r="BV123" i="6" s="1"/>
  <c r="BW123" i="6"/>
  <c r="BU123" i="6"/>
  <c r="BW69" i="6"/>
  <c r="BV69" i="6" a="1"/>
  <c r="BV69" i="6" s="1"/>
  <c r="BU69" i="6"/>
  <c r="BU94" i="6"/>
  <c r="BW94" i="6"/>
  <c r="BV94" i="6" a="1"/>
  <c r="BV94" i="6" s="1"/>
  <c r="BU190" i="6"/>
  <c r="BV190" i="6" a="1"/>
  <c r="BV190" i="6" s="1"/>
  <c r="BW190" i="6"/>
  <c r="DB24" i="6"/>
  <c r="DC24" i="6" s="1"/>
  <c r="CR24" i="6"/>
  <c r="BU78" i="6"/>
  <c r="BW78" i="6"/>
  <c r="BV78" i="6" a="1"/>
  <c r="BV78" i="6" s="1"/>
  <c r="DD111" i="6"/>
  <c r="DD105" i="6"/>
  <c r="CR77" i="6"/>
  <c r="DB77" i="6"/>
  <c r="DC77" i="6" s="1"/>
  <c r="DD237" i="6"/>
  <c r="DD189" i="6"/>
  <c r="DB106" i="6"/>
  <c r="DC106" i="6" s="1"/>
  <c r="CR106" i="6"/>
  <c r="DB79" i="6"/>
  <c r="DC79" i="6" s="1"/>
  <c r="CR79" i="6"/>
  <c r="DD229" i="6"/>
  <c r="DB209" i="6"/>
  <c r="DC209" i="6" s="1"/>
  <c r="CR209" i="6"/>
  <c r="CR115" i="6"/>
  <c r="DD224" i="6"/>
  <c r="CR102" i="6"/>
  <c r="DB102" i="6"/>
  <c r="DC102" i="6" s="1"/>
  <c r="DB233" i="6"/>
  <c r="DC233" i="6" s="1"/>
  <c r="CR233" i="6"/>
  <c r="CR84" i="6"/>
  <c r="DB84" i="6"/>
  <c r="DC84" i="6" s="1"/>
  <c r="CR74" i="6"/>
  <c r="DB74" i="6"/>
  <c r="DC74" i="6" s="1"/>
  <c r="DB153" i="6"/>
  <c r="DC153" i="6" s="1"/>
  <c r="CR153" i="6"/>
  <c r="DB67" i="6"/>
  <c r="DC67" i="6" s="1"/>
  <c r="CR67" i="6"/>
  <c r="BW224" i="6"/>
  <c r="BU224" i="6"/>
  <c r="BU75" i="6"/>
  <c r="BW75" i="6"/>
  <c r="BV75" i="6" a="1"/>
  <c r="BV75" i="6" s="1"/>
  <c r="BV138" i="6" a="1"/>
  <c r="BV138" i="6" s="1"/>
  <c r="BW138" i="6"/>
  <c r="BU138" i="6"/>
  <c r="BU89" i="6"/>
  <c r="BW89" i="6"/>
  <c r="BV89" i="6" a="1"/>
  <c r="BV89" i="6" s="1"/>
  <c r="BU219" i="6"/>
  <c r="BV219" i="6" a="1"/>
  <c r="BV219" i="6" s="1"/>
  <c r="BW219" i="6"/>
  <c r="BW143" i="6"/>
  <c r="BU143" i="6"/>
  <c r="BV143" i="6" a="1"/>
  <c r="BV143" i="6" s="1"/>
  <c r="BW34" i="6"/>
  <c r="BU34" i="6"/>
  <c r="BV34" i="6" a="1"/>
  <c r="BV34" i="6" s="1"/>
  <c r="CR212" i="6"/>
  <c r="DB212" i="6"/>
  <c r="DC212" i="6" s="1"/>
  <c r="BW56" i="6"/>
  <c r="BV56" i="6" a="1"/>
  <c r="BV56" i="6" s="1"/>
  <c r="BU56" i="6"/>
  <c r="BW117" i="6"/>
  <c r="BV117" i="6" a="1"/>
  <c r="BV117" i="6" s="1"/>
  <c r="BU117" i="6"/>
  <c r="BW194" i="6"/>
  <c r="BU194" i="6"/>
  <c r="BV194" i="6" a="1"/>
  <c r="BV194" i="6" s="1"/>
  <c r="BW247" i="6"/>
  <c r="BU247" i="6"/>
  <c r="BV247" i="6" a="1"/>
  <c r="BV247" i="6" s="1"/>
  <c r="BW197" i="6"/>
  <c r="BV197" i="6" a="1"/>
  <c r="BV197" i="6" s="1"/>
  <c r="BU197" i="6"/>
  <c r="BW228" i="6"/>
  <c r="BU228" i="6"/>
  <c r="BV228" i="6" a="1"/>
  <c r="BV228" i="6" s="1"/>
  <c r="BW64" i="6"/>
  <c r="BV64" i="6" a="1"/>
  <c r="BV64" i="6" s="1"/>
  <c r="BU64" i="6"/>
  <c r="BW150" i="6"/>
  <c r="BV150" i="6" a="1"/>
  <c r="BV150" i="6" s="1"/>
  <c r="BU150" i="6"/>
  <c r="BU240" i="6"/>
  <c r="BV240" i="6" a="1"/>
  <c r="BV240" i="6" s="1"/>
  <c r="BW240" i="6"/>
  <c r="BV148" i="6" a="1"/>
  <c r="BV148" i="6" s="1"/>
  <c r="BW148" i="6"/>
  <c r="BU148" i="6"/>
  <c r="BU204" i="6"/>
  <c r="BV204" i="6" a="1"/>
  <c r="BV204" i="6" s="1"/>
  <c r="BW204" i="6"/>
  <c r="DD45" i="6"/>
  <c r="DD215" i="6"/>
  <c r="DD249" i="6"/>
  <c r="DD144" i="6"/>
  <c r="DB200" i="6"/>
  <c r="DC200" i="6" s="1"/>
  <c r="CR200" i="6"/>
  <c r="DB89" i="6"/>
  <c r="DC89" i="6" s="1"/>
  <c r="CR89" i="6"/>
  <c r="CR185" i="6"/>
  <c r="DD84" i="6"/>
  <c r="CR26" i="6"/>
  <c r="DB26" i="6"/>
  <c r="DC26" i="6" s="1"/>
  <c r="DD191" i="6"/>
  <c r="DD70" i="6"/>
  <c r="DD134" i="6"/>
  <c r="DB171" i="6"/>
  <c r="DC171" i="6" s="1"/>
  <c r="CR171" i="6"/>
  <c r="CR249" i="6"/>
  <c r="DB249" i="6"/>
  <c r="DC249" i="6" s="1"/>
  <c r="DB63" i="6"/>
  <c r="DC63" i="6" s="1"/>
  <c r="CR63" i="6"/>
  <c r="CR158" i="6"/>
  <c r="DB158" i="6"/>
  <c r="DC158" i="6" s="1"/>
  <c r="DB223" i="6"/>
  <c r="DC223" i="6" s="1"/>
  <c r="CR223" i="6"/>
  <c r="DD243" i="6"/>
  <c r="CR246" i="6"/>
  <c r="DB246" i="6"/>
  <c r="DC246" i="6" s="1"/>
  <c r="DB83" i="6"/>
  <c r="DC83" i="6" s="1"/>
  <c r="CR83" i="6"/>
  <c r="BW71" i="6"/>
  <c r="BV71" i="6" a="1"/>
  <c r="BV71" i="6" s="1"/>
  <c r="BU71" i="6"/>
  <c r="DD68" i="6"/>
  <c r="BW246" i="6"/>
  <c r="BV246" i="6" a="1"/>
  <c r="BV246" i="6" s="1"/>
  <c r="BU246" i="6"/>
  <c r="BW146" i="6"/>
  <c r="BU146" i="6"/>
  <c r="BW145" i="6"/>
  <c r="BV145" i="6" a="1"/>
  <c r="BV145" i="6" s="1"/>
  <c r="BU145" i="6"/>
  <c r="BU207" i="6"/>
  <c r="BW207" i="6"/>
  <c r="BV207" i="6" a="1"/>
  <c r="BV207" i="6" s="1"/>
  <c r="BV163" i="6" a="1"/>
  <c r="BV163" i="6" s="1"/>
  <c r="BW163" i="6"/>
  <c r="BU163" i="6"/>
  <c r="DB44" i="6"/>
  <c r="DC44" i="6" s="1"/>
  <c r="CR44" i="6"/>
  <c r="BW184" i="6"/>
  <c r="BU184" i="6"/>
  <c r="BV184" i="6" a="1"/>
  <c r="BV184" i="6" s="1"/>
  <c r="DD36" i="6"/>
  <c r="BW256" i="6"/>
  <c r="BV256" i="6" a="1"/>
  <c r="BV256" i="6" s="1"/>
  <c r="BU256" i="6"/>
  <c r="BV244" i="6" a="1"/>
  <c r="BV244" i="6" s="1"/>
  <c r="BU244" i="6"/>
  <c r="BW244" i="6"/>
  <c r="BU136" i="6"/>
  <c r="BW136" i="6"/>
  <c r="BV136" i="6" a="1"/>
  <c r="BV136" i="6" s="1"/>
  <c r="BW141" i="6"/>
  <c r="BV141" i="6" a="1"/>
  <c r="BV141" i="6" s="1"/>
  <c r="BU141" i="6"/>
  <c r="DD132" i="6"/>
  <c r="BU67" i="6"/>
  <c r="BW67" i="6"/>
  <c r="BV67" i="6" a="1"/>
  <c r="BV67" i="6" s="1"/>
  <c r="BU161" i="6"/>
  <c r="BW161" i="6"/>
  <c r="BV161" i="6" a="1"/>
  <c r="BV161" i="6" s="1"/>
  <c r="BU170" i="6"/>
  <c r="BW170" i="6"/>
  <c r="BW212" i="6"/>
  <c r="BV212" i="6" a="1"/>
  <c r="BV212" i="6" s="1"/>
  <c r="BU212" i="6"/>
  <c r="CR54" i="6"/>
  <c r="DB54" i="6"/>
  <c r="DC54" i="6" s="1"/>
  <c r="DD171" i="6"/>
  <c r="DD33" i="6"/>
  <c r="DD226" i="6"/>
  <c r="DD186" i="6"/>
  <c r="CR237" i="6"/>
  <c r="DB237" i="6"/>
  <c r="DC237" i="6" s="1"/>
  <c r="DD116" i="6"/>
  <c r="DD153" i="6"/>
  <c r="DD238" i="6"/>
  <c r="DD252" i="6"/>
  <c r="DD121" i="6"/>
  <c r="DD235" i="6"/>
  <c r="DD159" i="6"/>
  <c r="CR229" i="6"/>
  <c r="DB229" i="6"/>
  <c r="DC229" i="6" s="1"/>
  <c r="DD180" i="6"/>
  <c r="DB178" i="6"/>
  <c r="DC178" i="6" s="1"/>
  <c r="CR178" i="6"/>
  <c r="CR193" i="6"/>
  <c r="DD29" i="6"/>
  <c r="DD103" i="6"/>
  <c r="CR242" i="6"/>
  <c r="DB242" i="6"/>
  <c r="DC242" i="6" s="1"/>
  <c r="DB52" i="6"/>
  <c r="DC52" i="6" s="1"/>
  <c r="CR52" i="6"/>
  <c r="CR215" i="6"/>
  <c r="DB215" i="6"/>
  <c r="DC215" i="6" s="1"/>
  <c r="DD190" i="6"/>
  <c r="CR194" i="6"/>
  <c r="DB194" i="6"/>
  <c r="DC194" i="6" s="1"/>
  <c r="CR29" i="6"/>
  <c r="DB117" i="6"/>
  <c r="DC117" i="6" s="1"/>
  <c r="CR117" i="6"/>
  <c r="CR128" i="6"/>
  <c r="DB128" i="6"/>
  <c r="DC128" i="6" s="1"/>
  <c r="DD139" i="6"/>
  <c r="DB219" i="6"/>
  <c r="DC219" i="6" s="1"/>
  <c r="CR219" i="6"/>
  <c r="CR93" i="6"/>
  <c r="DB93" i="6"/>
  <c r="DC93" i="6" s="1"/>
  <c r="DD67" i="6"/>
  <c r="DB235" i="6"/>
  <c r="DC235" i="6" s="1"/>
  <c r="CR235" i="6"/>
  <c r="DB230" i="6"/>
  <c r="DC230" i="6" s="1"/>
  <c r="CR230" i="6"/>
  <c r="DB196" i="6"/>
  <c r="DC196" i="6" s="1"/>
  <c r="CR196" i="6"/>
  <c r="CR199" i="6"/>
  <c r="BU152" i="6"/>
  <c r="BV152" i="6" a="1"/>
  <c r="BV152" i="6" s="1"/>
  <c r="BW152" i="6"/>
  <c r="BW82" i="6"/>
  <c r="BV82" i="6" a="1"/>
  <c r="BV82" i="6" s="1"/>
  <c r="BU82" i="6"/>
  <c r="BV61" i="6" a="1"/>
  <c r="BV61" i="6" s="1"/>
  <c r="BU61" i="6"/>
  <c r="BW61" i="6"/>
  <c r="BU237" i="6"/>
  <c r="BV237" i="6" a="1"/>
  <c r="BV237" i="6" s="1"/>
  <c r="BW237" i="6"/>
  <c r="BW156" i="6"/>
  <c r="BU156" i="6"/>
  <c r="BV156" i="6" a="1"/>
  <c r="BV156" i="6" s="1"/>
  <c r="CR36" i="6"/>
  <c r="BW206" i="6"/>
  <c r="BU206" i="6"/>
  <c r="BV206" i="6" a="1"/>
  <c r="BV206" i="6" s="1"/>
  <c r="BV88" i="6" a="1"/>
  <c r="BV88" i="6" s="1"/>
  <c r="BU88" i="6"/>
  <c r="BW88" i="6"/>
  <c r="BW91" i="6"/>
  <c r="BV91" i="6" a="1"/>
  <c r="BV91" i="6" s="1"/>
  <c r="BU91" i="6"/>
  <c r="BW182" i="6"/>
  <c r="BV182" i="6" a="1"/>
  <c r="BV182" i="6" s="1"/>
  <c r="BU182" i="6"/>
  <c r="BV86" i="6" a="1"/>
  <c r="BV86" i="6" s="1"/>
  <c r="BU86" i="6"/>
  <c r="BW86" i="6"/>
  <c r="DD212" i="6"/>
  <c r="CR50" i="6"/>
  <c r="DB50" i="6"/>
  <c r="DC50" i="6" s="1"/>
  <c r="DD220" i="6"/>
  <c r="BU191" i="6"/>
  <c r="BW191" i="6"/>
  <c r="BV191" i="6" a="1"/>
  <c r="BV191" i="6" s="1"/>
  <c r="BW221" i="6"/>
  <c r="BV221" i="6" a="1"/>
  <c r="BV221" i="6" s="1"/>
  <c r="BU221" i="6"/>
  <c r="BU250" i="6"/>
  <c r="BW250" i="6"/>
  <c r="BV250" i="6" a="1"/>
  <c r="BV250" i="6" s="1"/>
  <c r="BV72" i="6" a="1"/>
  <c r="BV72" i="6" s="1"/>
  <c r="BW72" i="6"/>
  <c r="BU72" i="6"/>
  <c r="BU51" i="6"/>
  <c r="BW51" i="6"/>
  <c r="BV51" i="6" a="1"/>
  <c r="BV51" i="6" s="1"/>
  <c r="DD141" i="6"/>
  <c r="DD123" i="6"/>
  <c r="DD82" i="6"/>
  <c r="CR111" i="6"/>
  <c r="DB111" i="6"/>
  <c r="DC111" i="6" s="1"/>
  <c r="DD193" i="6"/>
  <c r="CR112" i="6"/>
  <c r="DB112" i="6"/>
  <c r="DC112" i="6" s="1"/>
  <c r="CR127" i="6"/>
  <c r="DB98" i="6"/>
  <c r="DC98" i="6" s="1"/>
  <c r="CR98" i="6"/>
  <c r="DD185" i="6"/>
  <c r="DD182" i="6"/>
  <c r="DB232" i="6"/>
  <c r="DC232" i="6" s="1"/>
  <c r="CR232" i="6"/>
  <c r="DD102" i="6"/>
  <c r="DB116" i="6"/>
  <c r="DC116" i="6" s="1"/>
  <c r="CR116" i="6"/>
  <c r="DD53" i="6"/>
  <c r="DD221" i="6"/>
  <c r="DD203" i="6"/>
  <c r="DB76" i="6"/>
  <c r="DC76" i="6" s="1"/>
  <c r="CR76" i="6"/>
  <c r="CR90" i="6"/>
  <c r="DB90" i="6"/>
  <c r="DC90" i="6" s="1"/>
  <c r="DD66" i="6"/>
  <c r="DD242" i="6"/>
  <c r="BV243" i="6" a="1"/>
  <c r="BV243" i="6" s="1"/>
  <c r="BU243" i="6"/>
  <c r="BW243" i="6"/>
  <c r="CR173" i="6"/>
  <c r="DB173" i="6"/>
  <c r="DC173" i="6" s="1"/>
  <c r="BV253" i="6" a="1"/>
  <c r="BV253" i="6" s="1"/>
  <c r="BU253" i="6"/>
  <c r="BW253" i="6"/>
  <c r="DD156" i="6"/>
  <c r="DD126" i="6"/>
  <c r="BV193" i="6" a="1"/>
  <c r="BV193" i="6" s="1"/>
  <c r="BW193" i="6"/>
  <c r="BU193" i="6"/>
  <c r="BV115" i="6" a="1"/>
  <c r="BV115" i="6" s="1"/>
  <c r="BU115" i="6"/>
  <c r="BW115" i="6"/>
  <c r="CR225" i="6"/>
  <c r="DB225" i="6"/>
  <c r="DC225" i="6" s="1"/>
  <c r="BW232" i="6"/>
  <c r="BV232" i="6" a="1"/>
  <c r="BV232" i="6" s="1"/>
  <c r="BU232" i="6"/>
  <c r="DB68" i="6"/>
  <c r="DC68" i="6" s="1"/>
  <c r="CR68" i="6"/>
  <c r="BW79" i="6"/>
  <c r="BV79" i="6" a="1"/>
  <c r="BV79" i="6" s="1"/>
  <c r="BU79" i="6"/>
  <c r="BW81" i="6"/>
  <c r="BV81" i="6" a="1"/>
  <c r="BV81" i="6" s="1"/>
  <c r="BU81" i="6"/>
  <c r="BU205" i="6"/>
  <c r="BW205" i="6"/>
  <c r="BV205" i="6" a="1"/>
  <c r="BV205" i="6" s="1"/>
  <c r="CR139" i="6"/>
  <c r="DB139" i="6"/>
  <c r="DC139" i="6" s="1"/>
  <c r="CR38" i="6"/>
  <c r="DB38" i="6"/>
  <c r="DC38" i="6" s="1"/>
  <c r="DD24" i="6"/>
  <c r="BW49" i="6"/>
  <c r="BV49" i="6" a="1"/>
  <c r="BV49" i="6" s="1"/>
  <c r="BU49" i="6"/>
  <c r="BW80" i="6"/>
  <c r="BV80" i="6" a="1"/>
  <c r="BV80" i="6" s="1"/>
  <c r="BU80" i="6"/>
  <c r="BW73" i="6"/>
  <c r="BV73" i="6" a="1"/>
  <c r="BV73" i="6" s="1"/>
  <c r="BU73" i="6"/>
  <c r="BW28" i="6"/>
  <c r="BV28" i="6" a="1"/>
  <c r="BV28" i="6" s="1"/>
  <c r="BU28" i="6"/>
  <c r="DD256" i="6"/>
  <c r="DD88" i="6"/>
  <c r="DD228" i="6"/>
  <c r="DD79" i="6"/>
  <c r="DD62" i="6"/>
  <c r="DB94" i="6"/>
  <c r="DC94" i="6" s="1"/>
  <c r="CR94" i="6"/>
  <c r="DD32" i="6"/>
  <c r="DB162" i="6"/>
  <c r="DC162" i="6" s="1"/>
  <c r="CR162" i="6"/>
  <c r="DB167" i="6"/>
  <c r="DC167" i="6" s="1"/>
  <c r="CR167" i="6"/>
  <c r="DB160" i="6"/>
  <c r="DC160" i="6" s="1"/>
  <c r="CR160" i="6"/>
  <c r="DB86" i="6"/>
  <c r="DC86" i="6" s="1"/>
  <c r="CR86" i="6"/>
  <c r="CR203" i="6"/>
  <c r="DB154" i="6"/>
  <c r="DC154" i="6" s="1"/>
  <c r="CR154" i="6"/>
  <c r="DD92" i="6"/>
  <c r="DD194" i="6"/>
  <c r="DD245" i="6"/>
  <c r="DB82" i="6"/>
  <c r="DC82" i="6" s="1"/>
  <c r="CR82" i="6"/>
  <c r="DB217" i="6"/>
  <c r="DC217" i="6" s="1"/>
  <c r="CR217" i="6"/>
  <c r="DD232" i="6"/>
  <c r="DD140" i="6"/>
  <c r="DB188" i="6"/>
  <c r="DC188" i="6" s="1"/>
  <c r="CR188" i="6"/>
  <c r="BU114" i="6"/>
  <c r="BW114" i="6"/>
  <c r="BV114" i="6" a="1"/>
  <c r="BV114" i="6" s="1"/>
  <c r="DD50" i="6"/>
  <c r="DD37" i="6"/>
  <c r="BW92" i="6"/>
  <c r="BU92" i="6"/>
  <c r="BW109" i="6"/>
  <c r="BV109" i="6" a="1"/>
  <c r="BV109" i="6" s="1"/>
  <c r="BU109" i="6"/>
  <c r="BW179" i="6"/>
  <c r="BV179" i="6" a="1"/>
  <c r="BV179" i="6" s="1"/>
  <c r="BU179" i="6"/>
  <c r="BV106" i="6" a="1"/>
  <c r="BV106" i="6" s="1"/>
  <c r="BW106" i="6"/>
  <c r="BU106" i="6"/>
  <c r="BU157" i="6"/>
  <c r="BW157" i="6"/>
  <c r="BV157" i="6" a="1"/>
  <c r="BV157" i="6" s="1"/>
  <c r="BU176" i="6"/>
  <c r="BW176" i="6"/>
  <c r="BV176" i="6" a="1"/>
  <c r="BV176" i="6" s="1"/>
  <c r="CR239" i="6"/>
  <c r="DB239" i="6"/>
  <c r="DC239" i="6" s="1"/>
  <c r="BU66" i="6"/>
  <c r="BW66" i="6"/>
  <c r="BV66" i="6" a="1"/>
  <c r="BV66" i="6" s="1"/>
  <c r="BV83" i="6" a="1"/>
  <c r="BV83" i="6" s="1"/>
  <c r="BU83" i="6"/>
  <c r="BW83" i="6"/>
  <c r="CR163" i="6"/>
  <c r="DB163" i="6"/>
  <c r="DC163" i="6" s="1"/>
  <c r="CR32" i="6"/>
  <c r="DB32" i="6"/>
  <c r="DC32" i="6" s="1"/>
  <c r="BW214" i="6"/>
  <c r="BV214" i="6" a="1"/>
  <c r="BV214" i="6" s="1"/>
  <c r="BU214" i="6"/>
  <c r="BU70" i="6"/>
  <c r="BW70" i="6"/>
  <c r="BV70" i="6" a="1"/>
  <c r="BV70" i="6" s="1"/>
  <c r="BW231" i="6"/>
  <c r="BU231" i="6"/>
  <c r="BV231" i="6" a="1"/>
  <c r="BV231" i="6" s="1"/>
  <c r="BU39" i="6"/>
  <c r="BV39" i="6" a="1"/>
  <c r="BV39" i="6" s="1"/>
  <c r="BW39" i="6"/>
  <c r="BU36" i="6"/>
  <c r="BV36" i="6" a="1"/>
  <c r="BV36" i="6" s="1"/>
  <c r="BW36" i="6"/>
  <c r="DD46" i="6"/>
  <c r="DD115" i="6"/>
  <c r="DD184" i="6"/>
  <c r="DD147" i="6"/>
  <c r="DD213" i="6"/>
  <c r="DD93" i="6"/>
  <c r="DD166" i="6"/>
  <c r="DB28" i="6"/>
  <c r="DC28" i="6" s="1"/>
  <c r="CR28" i="6"/>
  <c r="DD214" i="6"/>
  <c r="CR236" i="6"/>
  <c r="DB236" i="6"/>
  <c r="DC236" i="6" s="1"/>
  <c r="DD163" i="6"/>
  <c r="DB65" i="6"/>
  <c r="DC65" i="6" s="1"/>
  <c r="CR65" i="6"/>
  <c r="CR186" i="6"/>
  <c r="DD204" i="6"/>
  <c r="DD253" i="6"/>
  <c r="DB27" i="6"/>
  <c r="DC27" i="6" s="1"/>
  <c r="CR27" i="6"/>
  <c r="CR61" i="6"/>
  <c r="DB61" i="6"/>
  <c r="DC61" i="6" s="1"/>
  <c r="DD131" i="6"/>
  <c r="DD104" i="6"/>
  <c r="CR174" i="6"/>
  <c r="DB174" i="6"/>
  <c r="DC174" i="6" s="1"/>
  <c r="DB95" i="6"/>
  <c r="DC95" i="6" s="1"/>
  <c r="CR95" i="6"/>
  <c r="DB51" i="6"/>
  <c r="DC51" i="6" s="1"/>
  <c r="CR51" i="6"/>
  <c r="DD112" i="6"/>
  <c r="CR191" i="6"/>
  <c r="CR238" i="6"/>
  <c r="DB238" i="6"/>
  <c r="DC238" i="6" s="1"/>
  <c r="DD160" i="6"/>
  <c r="DD59" i="6"/>
  <c r="CR43" i="6"/>
  <c r="DB122" i="6"/>
  <c r="DC122" i="6" s="1"/>
  <c r="CR122" i="6"/>
  <c r="DB241" i="6"/>
  <c r="DC241" i="6" s="1"/>
  <c r="CR241" i="6"/>
  <c r="DB157" i="6"/>
  <c r="DC157" i="6" s="1"/>
  <c r="CR157" i="6"/>
  <c r="DB148" i="6"/>
  <c r="DC148" i="6" s="1"/>
  <c r="CR148" i="6"/>
  <c r="CR55" i="6"/>
  <c r="DB55" i="6"/>
  <c r="DC55" i="6" s="1"/>
  <c r="CR66" i="6"/>
  <c r="DB66" i="6"/>
  <c r="DC66" i="6" s="1"/>
  <c r="DB214" i="6"/>
  <c r="DC214" i="6" s="1"/>
  <c r="CR214" i="6"/>
  <c r="DD199" i="6"/>
  <c r="DD161" i="6"/>
  <c r="DD177" i="6"/>
  <c r="BW165" i="6"/>
  <c r="BV165" i="6" a="1"/>
  <c r="BV165" i="6" s="1"/>
  <c r="BU165" i="6"/>
  <c r="BW188" i="6"/>
  <c r="BV188" i="6" a="1"/>
  <c r="BV188" i="6" s="1"/>
  <c r="BU188" i="6"/>
  <c r="BW252" i="6"/>
  <c r="BV252" i="6" a="1"/>
  <c r="BV252" i="6" s="1"/>
  <c r="BU252" i="6"/>
  <c r="BV201" i="6" a="1"/>
  <c r="BV201" i="6" s="1"/>
  <c r="BU201" i="6"/>
  <c r="BW201" i="6"/>
  <c r="BV126" i="6" a="1"/>
  <c r="BV126" i="6" s="1"/>
  <c r="BW126" i="6"/>
  <c r="BU126" i="6"/>
  <c r="BV52" i="6" a="1"/>
  <c r="BV52" i="6" s="1"/>
  <c r="BW52" i="6"/>
  <c r="BU52" i="6"/>
  <c r="DD173" i="6"/>
  <c r="BW211" i="6"/>
  <c r="BV211" i="6" a="1"/>
  <c r="BV211" i="6" s="1"/>
  <c r="BU211" i="6"/>
  <c r="BW255" i="6"/>
  <c r="BV255" i="6" a="1"/>
  <c r="BV255" i="6" s="1"/>
  <c r="BU255" i="6"/>
  <c r="BU85" i="6"/>
  <c r="BW85" i="6"/>
  <c r="BV85" i="6" a="1"/>
  <c r="BV85" i="6" s="1"/>
  <c r="CR135" i="6"/>
  <c r="DB135" i="6"/>
  <c r="DC135" i="6" s="1"/>
  <c r="CR170" i="6"/>
  <c r="DB170" i="6"/>
  <c r="DC170" i="6" s="1"/>
  <c r="BV159" i="6" a="1"/>
  <c r="BV159" i="6" s="1"/>
  <c r="BW159" i="6"/>
  <c r="BU159" i="6"/>
  <c r="BU233" i="6"/>
  <c r="BW233" i="6"/>
  <c r="BV233" i="6" a="1"/>
  <c r="BV233" i="6" s="1"/>
  <c r="BU100" i="6"/>
  <c r="BW100" i="6"/>
  <c r="BV100" i="6" a="1"/>
  <c r="BV100" i="6" s="1"/>
  <c r="BU113" i="6"/>
  <c r="BV113" i="6" a="1"/>
  <c r="BV113" i="6" s="1"/>
  <c r="BW113" i="6"/>
  <c r="DD129" i="6"/>
  <c r="DB147" i="6"/>
  <c r="DC147" i="6" s="1"/>
  <c r="CR147" i="6"/>
  <c r="DD91" i="6"/>
  <c r="DB210" i="6"/>
  <c r="DC210" i="6" s="1"/>
  <c r="CR210" i="6"/>
  <c r="DB189" i="6"/>
  <c r="DC189" i="6" s="1"/>
  <c r="CR189" i="6"/>
  <c r="DB255" i="6"/>
  <c r="DC255" i="6" s="1"/>
  <c r="CR255" i="6"/>
  <c r="DD122" i="6"/>
  <c r="CR121" i="6"/>
  <c r="DB53" i="6"/>
  <c r="DC53" i="6" s="1"/>
  <c r="CR53" i="6"/>
  <c r="DD150" i="6"/>
  <c r="DD164" i="6"/>
  <c r="DB184" i="6"/>
  <c r="DC184" i="6" s="1"/>
  <c r="CR184" i="6"/>
  <c r="DB177" i="6"/>
  <c r="DC177" i="6" s="1"/>
  <c r="CR177" i="6"/>
  <c r="DD106" i="6"/>
  <c r="CR41" i="6"/>
  <c r="DD77" i="6"/>
  <c r="CR256" i="6"/>
  <c r="DB256" i="6"/>
  <c r="DC256" i="6" s="1"/>
  <c r="DD158" i="6"/>
  <c r="DB245" i="6"/>
  <c r="DC245" i="6" s="1"/>
  <c r="CR245" i="6"/>
  <c r="CR120" i="6"/>
  <c r="CR62" i="6"/>
  <c r="DB62" i="6"/>
  <c r="DC62" i="6" s="1"/>
  <c r="DB180" i="6"/>
  <c r="DC180" i="6" s="1"/>
  <c r="CR180" i="6"/>
  <c r="CR70" i="6"/>
  <c r="DB70" i="6"/>
  <c r="DC70" i="6" s="1"/>
  <c r="BV149" i="6" a="1"/>
  <c r="BV149" i="6" s="1"/>
  <c r="BU149" i="6"/>
  <c r="BW149" i="6"/>
  <c r="BW46" i="6"/>
  <c r="BV46" i="6" a="1"/>
  <c r="BV46" i="6" s="1"/>
  <c r="BU46" i="6"/>
  <c r="BU154" i="6"/>
  <c r="BV154" i="6" a="1"/>
  <c r="BV154" i="6" s="1"/>
  <c r="BW154" i="6"/>
  <c r="DD216" i="6"/>
  <c r="BW101" i="6"/>
  <c r="BV101" i="6" a="1"/>
  <c r="BV101" i="6" s="1"/>
  <c r="BU101" i="6"/>
  <c r="BW121" i="6"/>
  <c r="BV121" i="6" a="1"/>
  <c r="BV121" i="6" s="1"/>
  <c r="BU121" i="6"/>
  <c r="BW33" i="6"/>
  <c r="BV33" i="6" a="1"/>
  <c r="BV33" i="6" s="1"/>
  <c r="BU33" i="6"/>
  <c r="BW171" i="6"/>
  <c r="BV171" i="6" a="1"/>
  <c r="BV171" i="6" s="1"/>
  <c r="BU171" i="6"/>
  <c r="BW93" i="6"/>
  <c r="BU93" i="6"/>
  <c r="BV93" i="6" a="1"/>
  <c r="BV93" i="6" s="1"/>
  <c r="BU178" i="6"/>
  <c r="BW178" i="6"/>
  <c r="BV178" i="6" a="1"/>
  <c r="BV178" i="6" s="1"/>
  <c r="BU54" i="6"/>
  <c r="BW54" i="6"/>
  <c r="BV54" i="6" a="1"/>
  <c r="BV54" i="6" s="1"/>
  <c r="CR146" i="6"/>
  <c r="DB146" i="6"/>
  <c r="DC146" i="6" s="1"/>
  <c r="DD80" i="6"/>
  <c r="BV172" i="6" a="1"/>
  <c r="BV172" i="6" s="1"/>
  <c r="BU172" i="6"/>
  <c r="BW172" i="6"/>
  <c r="BU203" i="6"/>
  <c r="BW203" i="6"/>
  <c r="BV203" i="6" a="1"/>
  <c r="BV203" i="6" s="1"/>
  <c r="BU226" i="6"/>
  <c r="BW226" i="6"/>
  <c r="BV226" i="6" a="1"/>
  <c r="BV226" i="6" s="1"/>
  <c r="BW196" i="6"/>
  <c r="BV196" i="6" a="1"/>
  <c r="BV196" i="6" s="1"/>
  <c r="BU196" i="6"/>
  <c r="DD219" i="6"/>
  <c r="DD246" i="6"/>
  <c r="DD178" i="6"/>
  <c r="DD64" i="6"/>
  <c r="DD225" i="6"/>
  <c r="DD154" i="6"/>
  <c r="DD65" i="6"/>
  <c r="CR31" i="6"/>
  <c r="DD61" i="6"/>
  <c r="DD119" i="6"/>
  <c r="CR85" i="6"/>
  <c r="DB85" i="6"/>
  <c r="DC85" i="6" s="1"/>
  <c r="CR25" i="6"/>
  <c r="DB25" i="6"/>
  <c r="DC25" i="6" s="1"/>
  <c r="DD52" i="6"/>
  <c r="DB168" i="6"/>
  <c r="DC168" i="6" s="1"/>
  <c r="CR168" i="6"/>
  <c r="DB141" i="6"/>
  <c r="DC141" i="6" s="1"/>
  <c r="CR141" i="6"/>
  <c r="DD254" i="6"/>
  <c r="DD135" i="6"/>
  <c r="CR221" i="6"/>
  <c r="DB221" i="6"/>
  <c r="DC221" i="6" s="1"/>
  <c r="CR42" i="6"/>
  <c r="CR251" i="6"/>
  <c r="DB251" i="6"/>
  <c r="DC251" i="6" s="1"/>
  <c r="DB175" i="6"/>
  <c r="DC175" i="6" s="1"/>
  <c r="CR175" i="6"/>
  <c r="DD85" i="6"/>
  <c r="DB143" i="6"/>
  <c r="DC143" i="6" s="1"/>
  <c r="CR143" i="6"/>
  <c r="DB231" i="6"/>
  <c r="DC231" i="6" s="1"/>
  <c r="CR231" i="6"/>
  <c r="DB138" i="6"/>
  <c r="DC138" i="6" s="1"/>
  <c r="CR138" i="6"/>
  <c r="CR129" i="6"/>
  <c r="DB129" i="6"/>
  <c r="DC129" i="6" s="1"/>
  <c r="BW218" i="6"/>
  <c r="BU218" i="6"/>
  <c r="BV218" i="6" a="1"/>
  <c r="BV218" i="6" s="1"/>
  <c r="BW120" i="6"/>
  <c r="BV120" i="6" a="1"/>
  <c r="BV120" i="6" s="1"/>
  <c r="BU120" i="6"/>
  <c r="CR240" i="6"/>
  <c r="DB240" i="6"/>
  <c r="DC240" i="6" s="1"/>
  <c r="BV110" i="6" a="1"/>
  <c r="BV110" i="6" s="1"/>
  <c r="BU110" i="6"/>
  <c r="BW110" i="6"/>
  <c r="BW31" i="6"/>
  <c r="BU31" i="6"/>
  <c r="BV31" i="6" a="1"/>
  <c r="BV31" i="6" s="1"/>
  <c r="BW229" i="6"/>
  <c r="BV229" i="6" a="1"/>
  <c r="BV229" i="6" s="1"/>
  <c r="BU229" i="6"/>
  <c r="BW108" i="6"/>
  <c r="BV108" i="6" a="1"/>
  <c r="BV108" i="6" s="1"/>
  <c r="BU108" i="6"/>
  <c r="DB34" i="6"/>
  <c r="DC34" i="6" s="1"/>
  <c r="CR34" i="6"/>
  <c r="CR151" i="6"/>
  <c r="DB151" i="6"/>
  <c r="DC151" i="6" s="1"/>
  <c r="DD152" i="6"/>
  <c r="BV74" i="6" a="1"/>
  <c r="BV74" i="6" s="1"/>
  <c r="BU74" i="6"/>
  <c r="BW74" i="6"/>
  <c r="DD30" i="6"/>
  <c r="BU248" i="6"/>
  <c r="BW248" i="6"/>
  <c r="BW59" i="6"/>
  <c r="BV59" i="6" a="1"/>
  <c r="BV59" i="6" s="1"/>
  <c r="BU59" i="6"/>
  <c r="DD44" i="6"/>
  <c r="BV195" i="6" a="1"/>
  <c r="BV195" i="6" s="1"/>
  <c r="BU195" i="6"/>
  <c r="BW195" i="6"/>
  <c r="BW26" i="6"/>
  <c r="BV26" i="6" a="1"/>
  <c r="BV26" i="6" s="1"/>
  <c r="BU26" i="6"/>
  <c r="BW135" i="6"/>
  <c r="BV135" i="6" a="1"/>
  <c r="BV135" i="6" s="1"/>
  <c r="BU135" i="6"/>
  <c r="DD247" i="6"/>
  <c r="DD118" i="6"/>
  <c r="DD74" i="6"/>
  <c r="DD155" i="6"/>
  <c r="CR39" i="6"/>
  <c r="DB39" i="6"/>
  <c r="DC39" i="6" s="1"/>
  <c r="DB206" i="6"/>
  <c r="DC206" i="6" s="1"/>
  <c r="CR206" i="6"/>
  <c r="DD222" i="6"/>
  <c r="CR192" i="6"/>
  <c r="DB88" i="6"/>
  <c r="DC88" i="6" s="1"/>
  <c r="CR88" i="6"/>
  <c r="CR92" i="6"/>
  <c r="DB92" i="6"/>
  <c r="DC92" i="6" s="1"/>
  <c r="DD195" i="6"/>
  <c r="DD54" i="6"/>
  <c r="DD71" i="6"/>
  <c r="DD127" i="6"/>
  <c r="DD98" i="6"/>
  <c r="CR205" i="6"/>
  <c r="DB58" i="6"/>
  <c r="DC58" i="6" s="1"/>
  <c r="CR58" i="6"/>
  <c r="DB45" i="6"/>
  <c r="DC45" i="6" s="1"/>
  <c r="CR45" i="6"/>
  <c r="BV144" i="6" a="1"/>
  <c r="BV144" i="6" s="1"/>
  <c r="BW144" i="6"/>
  <c r="BU144" i="6"/>
  <c r="BV50" i="6" a="1"/>
  <c r="BV50" i="6" s="1"/>
  <c r="BW50" i="6"/>
  <c r="BU50" i="6"/>
  <c r="DB142" i="6"/>
  <c r="DC142" i="6" s="1"/>
  <c r="CR142" i="6"/>
  <c r="BW42" i="6"/>
  <c r="BV42" i="6" a="1"/>
  <c r="BV42" i="6" s="1"/>
  <c r="BU42" i="6"/>
  <c r="DD109" i="6"/>
  <c r="BW249" i="6"/>
  <c r="BV249" i="6" a="1"/>
  <c r="BV249" i="6" s="1"/>
  <c r="BU249" i="6"/>
  <c r="BW40" i="6"/>
  <c r="BV40" i="6" a="1"/>
  <c r="BV40" i="6" s="1"/>
  <c r="BU40" i="6"/>
  <c r="BU210" i="6"/>
  <c r="BV210" i="6" a="1"/>
  <c r="BV210" i="6" s="1"/>
  <c r="BW210" i="6"/>
  <c r="BV187" i="6" a="1"/>
  <c r="BV187" i="6" s="1"/>
  <c r="BW187" i="6"/>
  <c r="BU187" i="6"/>
  <c r="DB244" i="6"/>
  <c r="DC244" i="6" s="1"/>
  <c r="CR244" i="6"/>
  <c r="CR114" i="6"/>
  <c r="BW112" i="6"/>
  <c r="BU112" i="6"/>
  <c r="BV112" i="6" a="1"/>
  <c r="BV112" i="6" s="1"/>
  <c r="BU185" i="6"/>
  <c r="BW185" i="6"/>
  <c r="BV185" i="6" a="1"/>
  <c r="BV185" i="6" s="1"/>
  <c r="BW105" i="6"/>
  <c r="BV105" i="6" a="1"/>
  <c r="BV105" i="6" s="1"/>
  <c r="BU105" i="6"/>
  <c r="BV220" i="6" a="1"/>
  <c r="BV220" i="6" s="1"/>
  <c r="BU220" i="6"/>
  <c r="BW220" i="6"/>
  <c r="DD113" i="6"/>
  <c r="BW215" i="6"/>
  <c r="BV215" i="6" a="1"/>
  <c r="BV215" i="6" s="1"/>
  <c r="BU215" i="6"/>
  <c r="BU118" i="6"/>
  <c r="BV118" i="6" a="1"/>
  <c r="BV118" i="6" s="1"/>
  <c r="BW118" i="6"/>
  <c r="BV239" i="6" a="1"/>
  <c r="BV239" i="6" s="1"/>
  <c r="BW239" i="6"/>
  <c r="BU239" i="6"/>
  <c r="BW139" i="6"/>
  <c r="BV139" i="6" a="1"/>
  <c r="BV139" i="6" s="1"/>
  <c r="BU139" i="6"/>
  <c r="DD35" i="6"/>
  <c r="DD165" i="6"/>
  <c r="DD27" i="6"/>
  <c r="DD133" i="6"/>
  <c r="DB226" i="6"/>
  <c r="DC226" i="6" s="1"/>
  <c r="CR226" i="6"/>
  <c r="DD87" i="6"/>
  <c r="DB64" i="6"/>
  <c r="DC64" i="6" s="1"/>
  <c r="CR64" i="6"/>
  <c r="DD40" i="6"/>
  <c r="DB56" i="6"/>
  <c r="DC56" i="6" s="1"/>
  <c r="CR56" i="6"/>
  <c r="DB169" i="6"/>
  <c r="DC169" i="6" s="1"/>
  <c r="CR169" i="6"/>
  <c r="CR140" i="6"/>
  <c r="DB140" i="6"/>
  <c r="DC140" i="6" s="1"/>
  <c r="DD151" i="6"/>
  <c r="DB155" i="6"/>
  <c r="DC155" i="6" s="1"/>
  <c r="CR155" i="6"/>
  <c r="CR40" i="6"/>
  <c r="DB40" i="6"/>
  <c r="DC40" i="6" s="1"/>
  <c r="DB218" i="6"/>
  <c r="DC218" i="6" s="1"/>
  <c r="CR218" i="6"/>
  <c r="DD100" i="6"/>
  <c r="DD76" i="6"/>
  <c r="DD206" i="6"/>
  <c r="DD125" i="6"/>
  <c r="CR156" i="6"/>
  <c r="DB156" i="6"/>
  <c r="DC156" i="6" s="1"/>
  <c r="DD120" i="6"/>
  <c r="CR97" i="6"/>
  <c r="DB97" i="6"/>
  <c r="DC97" i="6" s="1"/>
  <c r="DD86" i="6"/>
  <c r="DB110" i="6"/>
  <c r="DC110" i="6" s="1"/>
  <c r="CR110" i="6"/>
  <c r="DD41" i="6"/>
  <c r="DD196" i="6"/>
  <c r="DD130" i="6"/>
  <c r="BW155" i="6"/>
  <c r="BV155" i="6" a="1"/>
  <c r="BV155" i="6" s="1"/>
  <c r="BU155" i="6"/>
  <c r="BW153" i="6"/>
  <c r="BV153" i="6" a="1"/>
  <c r="BV153" i="6" s="1"/>
  <c r="BU153" i="6"/>
  <c r="BW57" i="6"/>
  <c r="BV57" i="6" a="1"/>
  <c r="BV57" i="6" s="1"/>
  <c r="BU57" i="6"/>
  <c r="BW242" i="6"/>
  <c r="BV242" i="6" a="1"/>
  <c r="BV242" i="6" s="1"/>
  <c r="BU242" i="6"/>
  <c r="BW29" i="6"/>
  <c r="BV29" i="6" a="1"/>
  <c r="BV29" i="6" s="1"/>
  <c r="BU29" i="6"/>
  <c r="BW142" i="6"/>
  <c r="BV142" i="6" a="1"/>
  <c r="BV142" i="6" s="1"/>
  <c r="BU142" i="6"/>
  <c r="DD73" i="6"/>
  <c r="CR126" i="6"/>
  <c r="BU169" i="6"/>
  <c r="BV169" i="6" a="1"/>
  <c r="BV169" i="6" s="1"/>
  <c r="BW169" i="6"/>
  <c r="BW222" i="6"/>
  <c r="BV222" i="6" a="1"/>
  <c r="BV222" i="6" s="1"/>
  <c r="BU222" i="6"/>
  <c r="BU122" i="6"/>
  <c r="BV122" i="6" a="1"/>
  <c r="BV122" i="6" s="1"/>
  <c r="BW122" i="6"/>
  <c r="BU134" i="6"/>
  <c r="BV134" i="6" a="1"/>
  <c r="BV134" i="6" s="1"/>
  <c r="BW134" i="6"/>
  <c r="DB59" i="6"/>
  <c r="DC59" i="6" s="1"/>
  <c r="CR59" i="6"/>
  <c r="BV45" i="6" a="1"/>
  <c r="BV45" i="6" s="1"/>
  <c r="BU45" i="6"/>
  <c r="BW45" i="6"/>
  <c r="BV213" i="6" a="1"/>
  <c r="BV213" i="6" s="1"/>
  <c r="BU213" i="6"/>
  <c r="BW213" i="6"/>
  <c r="BU32" i="6"/>
  <c r="BW32" i="6"/>
  <c r="BV32" i="6" a="1"/>
  <c r="BV32" i="6" s="1"/>
  <c r="DD108" i="6"/>
  <c r="DD210" i="6"/>
  <c r="DD192" i="6"/>
  <c r="DD48" i="6"/>
  <c r="CR35" i="6"/>
  <c r="DD99" i="6"/>
  <c r="DD172" i="6"/>
  <c r="DD174" i="6"/>
  <c r="DB224" i="6"/>
  <c r="DC224" i="6" s="1"/>
  <c r="CR224" i="6"/>
  <c r="DD81" i="6"/>
  <c r="DD255" i="6"/>
  <c r="DD39" i="6"/>
  <c r="DD60" i="6"/>
  <c r="DB176" i="6"/>
  <c r="DC176" i="6" s="1"/>
  <c r="CR176" i="6"/>
  <c r="DD239" i="6"/>
  <c r="CR71" i="6"/>
  <c r="DB71" i="6"/>
  <c r="DC71" i="6" s="1"/>
  <c r="DD167" i="6"/>
  <c r="DD142" i="6"/>
  <c r="DB213" i="6"/>
  <c r="DC213" i="6" s="1"/>
  <c r="CR213" i="6"/>
  <c r="CR125" i="6"/>
  <c r="CR182" i="6"/>
  <c r="DB182" i="6"/>
  <c r="DC182" i="6" s="1"/>
  <c r="DD211" i="6"/>
  <c r="CR164" i="6"/>
  <c r="DB164" i="6"/>
  <c r="DC164" i="6" s="1"/>
  <c r="CR113" i="6"/>
  <c r="DD176" i="6"/>
  <c r="DD227" i="6"/>
  <c r="DD169" i="6"/>
  <c r="DD101" i="6"/>
  <c r="DB207" i="6"/>
  <c r="DC207" i="6" s="1"/>
  <c r="CR207" i="6"/>
  <c r="CR137" i="6"/>
  <c r="DB137" i="6"/>
  <c r="DC137" i="6" s="1"/>
  <c r="DD231" i="6"/>
  <c r="CR33" i="6"/>
  <c r="DB33" i="6"/>
  <c r="DC33" i="6" s="1"/>
  <c r="DB118" i="6"/>
  <c r="DC118" i="6" s="1"/>
  <c r="CR118" i="6"/>
  <c r="DD230" i="6"/>
  <c r="DD89" i="6"/>
  <c r="BV167" i="6" a="1"/>
  <c r="BV167" i="6" s="1"/>
  <c r="BU167" i="6"/>
  <c r="BW167" i="6"/>
  <c r="BU65" i="6"/>
  <c r="BW65" i="6"/>
  <c r="BV65" i="6" a="1"/>
  <c r="BV65" i="6" s="1"/>
  <c r="BW35" i="6"/>
  <c r="BV35" i="6" a="1"/>
  <c r="BV35" i="6" s="1"/>
  <c r="BU35" i="6"/>
  <c r="DD34" i="6"/>
  <c r="DD197" i="6"/>
  <c r="BW111" i="6"/>
  <c r="BV111" i="6" a="1"/>
  <c r="BV111" i="6" s="1"/>
  <c r="BU111" i="6"/>
  <c r="BW104" i="6"/>
  <c r="BV104" i="6" a="1"/>
  <c r="BV104" i="6" s="1"/>
  <c r="BU104" i="6"/>
  <c r="BW96" i="6"/>
  <c r="BU96" i="6"/>
  <c r="BV96" i="6" a="1"/>
  <c r="BV96" i="6" s="1"/>
  <c r="BW77" i="6"/>
  <c r="BV77" i="6" a="1"/>
  <c r="BV77" i="6" s="1"/>
  <c r="BU77" i="6"/>
  <c r="BU44" i="6"/>
  <c r="BV44" i="6" a="1"/>
  <c r="BV44" i="6" s="1"/>
  <c r="BW44" i="6"/>
  <c r="CR201" i="6"/>
  <c r="DB201" i="6"/>
  <c r="DC201" i="6" s="1"/>
  <c r="BV200" i="6" a="1"/>
  <c r="BV200" i="6" s="1"/>
  <c r="BW200" i="6"/>
  <c r="BU200" i="6"/>
  <c r="BW53" i="6"/>
  <c r="BV53" i="6" a="1"/>
  <c r="BV53" i="6" s="1"/>
  <c r="BU53" i="6"/>
  <c r="BU180" i="6"/>
  <c r="BW180" i="6"/>
  <c r="BV180" i="6" a="1"/>
  <c r="BV180" i="6" s="1"/>
  <c r="BU245" i="6"/>
  <c r="BV245" i="6" a="1"/>
  <c r="BV245" i="6" s="1"/>
  <c r="BW245" i="6"/>
  <c r="CR136" i="6"/>
  <c r="DB136" i="6"/>
  <c r="DC136" i="6" s="1"/>
  <c r="BV168" i="6" a="1"/>
  <c r="BV168" i="6" s="1"/>
  <c r="BU168" i="6"/>
  <c r="BW168" i="6"/>
  <c r="BU133" i="6"/>
  <c r="BW133" i="6"/>
  <c r="BV133" i="6" a="1"/>
  <c r="BV133" i="6" s="1"/>
  <c r="BW183" i="6"/>
  <c r="BV183" i="6" a="1"/>
  <c r="BV183" i="6" s="1"/>
  <c r="BU183" i="6"/>
  <c r="BU199" i="6"/>
  <c r="BV199" i="6" a="1"/>
  <c r="BV199" i="6" s="1"/>
  <c r="BW199" i="6"/>
  <c r="BU48" i="6"/>
  <c r="BV48" i="6" a="1"/>
  <c r="BV48" i="6" s="1"/>
  <c r="BW48" i="6"/>
  <c r="DD94" i="6"/>
  <c r="DD38" i="6"/>
  <c r="DB195" i="6"/>
  <c r="DC195" i="6" s="1"/>
  <c r="CR195" i="6"/>
  <c r="CR119" i="6"/>
  <c r="DD234" i="6"/>
  <c r="DD69" i="6"/>
  <c r="DB183" i="6"/>
  <c r="DC183" i="6" s="1"/>
  <c r="CR183" i="6"/>
  <c r="DD149" i="6"/>
  <c r="CR145" i="6"/>
  <c r="DB145" i="6"/>
  <c r="DC145" i="6" s="1"/>
  <c r="DD201" i="6"/>
  <c r="CR46" i="6"/>
  <c r="DB46" i="6"/>
  <c r="DC46" i="6" s="1"/>
  <c r="DD200" i="6"/>
  <c r="CR228" i="6"/>
  <c r="DB228" i="6"/>
  <c r="DC228" i="6" s="1"/>
  <c r="DB103" i="6"/>
  <c r="DC103" i="6" s="1"/>
  <c r="CR103" i="6"/>
  <c r="DD175" i="6"/>
  <c r="CR107" i="6"/>
  <c r="DD107" i="6"/>
  <c r="DD233" i="6"/>
  <c r="DD202" i="6"/>
  <c r="DD188" i="6"/>
  <c r="DB91" i="6"/>
  <c r="DC91" i="6" s="1"/>
  <c r="CR91" i="6"/>
  <c r="DB250" i="6"/>
  <c r="DC250" i="6" s="1"/>
  <c r="CR250" i="6"/>
  <c r="BV177" i="6" a="1"/>
  <c r="BV177" i="6" s="1"/>
  <c r="BW177" i="6"/>
  <c r="BU177" i="6"/>
  <c r="BU41" i="6"/>
  <c r="BW41" i="6"/>
  <c r="BV41" i="6" a="1"/>
  <c r="BV41" i="6" s="1"/>
  <c r="BW174" i="6"/>
  <c r="BV174" i="6" a="1"/>
  <c r="BV174" i="6" s="1"/>
  <c r="BU174" i="6"/>
  <c r="BV128" i="6" a="1"/>
  <c r="BV128" i="6" s="1"/>
  <c r="BU128" i="6"/>
  <c r="BW128" i="6"/>
  <c r="CR108" i="6"/>
  <c r="BW102" i="6"/>
  <c r="BV102" i="6" a="1"/>
  <c r="BV102" i="6" s="1"/>
  <c r="BU102" i="6"/>
  <c r="BW129" i="6"/>
  <c r="BV129" i="6" a="1"/>
  <c r="BV129" i="6" s="1"/>
  <c r="BU129" i="6"/>
  <c r="BV209" i="6" a="1"/>
  <c r="BV209" i="6" s="1"/>
  <c r="BW209" i="6"/>
  <c r="BU209" i="6"/>
  <c r="BV147" i="6" a="1"/>
  <c r="BV147" i="6" s="1"/>
  <c r="BU147" i="6"/>
  <c r="BW147" i="6"/>
  <c r="BU99" i="6"/>
  <c r="BW99" i="6"/>
  <c r="BV99" i="6" a="1"/>
  <c r="BV99" i="6" s="1"/>
  <c r="DB179" i="6"/>
  <c r="DC179" i="6" s="1"/>
  <c r="CR179" i="6"/>
  <c r="BU47" i="6"/>
  <c r="BV47" i="6" a="1"/>
  <c r="BV47" i="6" s="1"/>
  <c r="BW47" i="6"/>
  <c r="BV60" i="6" a="1"/>
  <c r="BV60" i="6" s="1"/>
  <c r="BU60" i="6"/>
  <c r="BW60" i="6"/>
  <c r="BU63" i="6"/>
  <c r="BV63" i="6" a="1"/>
  <c r="BV63" i="6" s="1"/>
  <c r="BW63" i="6"/>
  <c r="BW132" i="6"/>
  <c r="BV132" i="6" a="1"/>
  <c r="BV132" i="6" s="1"/>
  <c r="BU132" i="6"/>
  <c r="BW173" i="6"/>
  <c r="BV173" i="6" a="1"/>
  <c r="BV173" i="6" s="1"/>
  <c r="BU173" i="6"/>
  <c r="CR187" i="6"/>
  <c r="BW162" i="6"/>
  <c r="BU162" i="6"/>
  <c r="BV162" i="6" a="1"/>
  <c r="BV162" i="6" s="1"/>
  <c r="BW68" i="6"/>
  <c r="BU68" i="6"/>
  <c r="DD217" i="6"/>
  <c r="DB222" i="6"/>
  <c r="DC222" i="6" s="1"/>
  <c r="CR222" i="6"/>
  <c r="DB252" i="6"/>
  <c r="DC252" i="6" s="1"/>
  <c r="CR252" i="6"/>
  <c r="DD223" i="6"/>
  <c r="DB253" i="6"/>
  <c r="DC253" i="6" s="1"/>
  <c r="CR253" i="6"/>
  <c r="DB159" i="6"/>
  <c r="DC159" i="6" s="1"/>
  <c r="CR159" i="6"/>
  <c r="CR60" i="6"/>
  <c r="DB60" i="6"/>
  <c r="DC60" i="6" s="1"/>
  <c r="DB216" i="6"/>
  <c r="DC216" i="6" s="1"/>
  <c r="CR216" i="6"/>
  <c r="DD137" i="6"/>
  <c r="CR134" i="6"/>
  <c r="DB134" i="6"/>
  <c r="DC134" i="6" s="1"/>
  <c r="DD181" i="6"/>
  <c r="CR254" i="6"/>
  <c r="DB254" i="6"/>
  <c r="DC254" i="6" s="1"/>
  <c r="CR48" i="6"/>
  <c r="CR81" i="6"/>
  <c r="DB81" i="6"/>
  <c r="DC81" i="6" s="1"/>
  <c r="DD244" i="6"/>
  <c r="DD170" i="6"/>
  <c r="DB161" i="6"/>
  <c r="DC161" i="6" s="1"/>
  <c r="CR161" i="6"/>
  <c r="DB101" i="6"/>
  <c r="DC101" i="6" s="1"/>
  <c r="CR101" i="6"/>
  <c r="BV227" i="6" a="1"/>
  <c r="BV227" i="6" s="1"/>
  <c r="BU227" i="6"/>
  <c r="BW227" i="6"/>
  <c r="BV202" i="6" a="1"/>
  <c r="BV202" i="6" s="1"/>
  <c r="BW202" i="6"/>
  <c r="BU202" i="6"/>
  <c r="BW192" i="6"/>
  <c r="BV192" i="6" a="1"/>
  <c r="BV192" i="6" s="1"/>
  <c r="BU192" i="6"/>
  <c r="BW98" i="6"/>
  <c r="BV98" i="6" a="1"/>
  <c r="BV98" i="6" s="1"/>
  <c r="BU98" i="6"/>
  <c r="CR30" i="6"/>
  <c r="CR109" i="6"/>
  <c r="BW186" i="6"/>
  <c r="BV186" i="6" a="1"/>
  <c r="BV186" i="6" s="1"/>
  <c r="BU186" i="6"/>
  <c r="BW124" i="6"/>
  <c r="BU124" i="6"/>
  <c r="BV124" i="6" a="1"/>
  <c r="BV124" i="6" s="1"/>
  <c r="BW37" i="6"/>
  <c r="BU37" i="6"/>
  <c r="BV37" i="6" a="1"/>
  <c r="BV37" i="6" s="1"/>
  <c r="BW238" i="6"/>
  <c r="BU238" i="6"/>
  <c r="BV238" i="6" a="1"/>
  <c r="BV238" i="6" s="1"/>
  <c r="BV97" i="6" a="1"/>
  <c r="BV97" i="6" s="1"/>
  <c r="BU97" i="6"/>
  <c r="BW97" i="6"/>
  <c r="BV38" i="6" a="1"/>
  <c r="BV38" i="6" s="1"/>
  <c r="BW38" i="6"/>
  <c r="BU38" i="6"/>
  <c r="DB73" i="6"/>
  <c r="DC73" i="6" s="1"/>
  <c r="CR73" i="6"/>
  <c r="DD207" i="6"/>
  <c r="BW130" i="6"/>
  <c r="BU130" i="6"/>
  <c r="BV130" i="6" a="1"/>
  <c r="BV130" i="6" s="1"/>
  <c r="DD114" i="6"/>
  <c r="DD78" i="6"/>
  <c r="CR247" i="6"/>
  <c r="DB247" i="6"/>
  <c r="DC247" i="6" s="1"/>
  <c r="DD138" i="6"/>
  <c r="BU181" i="6"/>
  <c r="BV181" i="6" a="1"/>
  <c r="BV181" i="6" s="1"/>
  <c r="BW181" i="6"/>
  <c r="G62" i="6"/>
  <c r="L72" i="6"/>
  <c r="C73" i="6" s="1"/>
  <c r="F99" i="6"/>
  <c r="C77" i="6"/>
  <c r="Q102" i="6"/>
  <c r="N106" i="6" s="1"/>
  <c r="N32" i="6" s="1"/>
  <c r="O51" i="6" s="1"/>
  <c r="H36" i="6"/>
  <c r="J68" i="6"/>
  <c r="L68" i="6" s="1"/>
  <c r="H67" i="6"/>
  <c r="B99" i="6"/>
  <c r="G99" i="6" s="1"/>
  <c r="G57" i="6"/>
  <c r="H37" i="6"/>
  <c r="B96" i="6"/>
  <c r="AM23" i="6"/>
  <c r="BA23" i="6" s="1"/>
  <c r="BF17" i="6"/>
  <c r="BV170" i="6" a="1"/>
  <c r="BV92" i="6" a="1"/>
  <c r="BV146" i="6" a="1"/>
  <c r="BV248" i="6" a="1"/>
  <c r="BV68" i="6" a="1"/>
  <c r="BV224" i="6" a="1"/>
  <c r="CK96" i="6"/>
  <c r="CK229" i="6"/>
  <c r="CK126" i="6"/>
  <c r="CK46" i="6"/>
  <c r="CK216" i="6"/>
  <c r="CK152" i="6"/>
  <c r="CK127" i="6"/>
  <c r="CK86" i="6"/>
  <c r="CK176" i="6"/>
  <c r="CK38" i="6"/>
  <c r="CK233" i="6"/>
  <c r="CK137" i="6"/>
  <c r="I58" i="6" a="1"/>
  <c r="CK57" i="6"/>
  <c r="CK128" i="6"/>
  <c r="CK51" i="6"/>
  <c r="CK146" i="6"/>
  <c r="CK36" i="6"/>
  <c r="CK180" i="6"/>
  <c r="CK67" i="6"/>
  <c r="CK115" i="6"/>
  <c r="CK131" i="6"/>
  <c r="CK30" i="6"/>
  <c r="CK98" i="6"/>
  <c r="CK40" i="6"/>
  <c r="CK81" i="6"/>
  <c r="CK227" i="6"/>
  <c r="CK202" i="6"/>
  <c r="CK138" i="6"/>
  <c r="CK209" i="6"/>
  <c r="CK179" i="6"/>
  <c r="CK28" i="6"/>
  <c r="CK84" i="6"/>
  <c r="CK132" i="6"/>
  <c r="CK185" i="6"/>
  <c r="CK184" i="6"/>
  <c r="CK104" i="6"/>
  <c r="CK150" i="6"/>
  <c r="CK80" i="6"/>
  <c r="CK254" i="6"/>
  <c r="CK44" i="6"/>
  <c r="CK41" i="6"/>
  <c r="CK255" i="6"/>
  <c r="CK169" i="6"/>
  <c r="CK188" i="6"/>
  <c r="CK181" i="6"/>
  <c r="L67" i="6" a="1"/>
  <c r="CK208" i="6"/>
  <c r="CK72" i="6"/>
  <c r="CK198" i="6"/>
  <c r="CK224" i="6"/>
  <c r="CK182" i="6"/>
  <c r="CK92" i="6"/>
  <c r="CK147" i="6"/>
  <c r="CK199" i="6"/>
  <c r="CK164" i="6"/>
  <c r="CK219" i="6"/>
  <c r="CK135" i="6"/>
  <c r="CK247" i="6"/>
  <c r="CK196" i="6"/>
  <c r="CK39" i="6"/>
  <c r="CK101" i="6"/>
  <c r="CK234" i="6"/>
  <c r="CK97" i="6"/>
  <c r="CK162" i="6"/>
  <c r="CK56" i="6"/>
  <c r="CK25" i="6"/>
  <c r="CK191" i="6"/>
  <c r="CK171" i="6"/>
  <c r="CK29" i="6"/>
  <c r="CK194" i="6"/>
  <c r="CK213" i="6"/>
  <c r="CK161" i="6"/>
  <c r="CK246" i="6"/>
  <c r="CK118" i="6"/>
  <c r="CK130" i="6"/>
  <c r="CK60" i="6"/>
  <c r="CK69" i="6"/>
  <c r="CK145" i="6"/>
  <c r="CK42" i="6"/>
  <c r="CK83" i="6"/>
  <c r="CK241" i="6"/>
  <c r="CK70" i="6"/>
  <c r="CK33" i="6"/>
  <c r="CK103" i="6"/>
  <c r="CK102" i="6"/>
  <c r="CK24" i="6"/>
  <c r="CK245" i="6"/>
  <c r="CK93" i="6"/>
  <c r="CK177" i="6"/>
  <c r="CK178" i="6"/>
  <c r="CK74" i="6"/>
  <c r="CK151" i="6"/>
  <c r="CK73" i="6"/>
  <c r="CK124" i="6"/>
  <c r="CK248" i="6"/>
  <c r="CK134" i="6"/>
  <c r="CK226" i="6"/>
  <c r="CK256" i="6"/>
  <c r="CK166" i="6"/>
  <c r="CK112" i="6"/>
  <c r="CK173" i="6"/>
  <c r="CK106" i="6"/>
  <c r="CK64" i="6"/>
  <c r="CK155" i="6"/>
  <c r="CK109" i="6"/>
  <c r="CK239" i="6"/>
  <c r="CK231" i="6"/>
  <c r="CK149" i="6"/>
  <c r="CK244" i="6"/>
  <c r="CK251" i="6"/>
  <c r="CK47" i="6"/>
  <c r="CK205" i="6"/>
  <c r="CK250" i="6"/>
  <c r="CK136" i="6"/>
  <c r="CK157" i="6"/>
  <c r="CK186" i="6"/>
  <c r="CK212" i="6"/>
  <c r="CK53" i="6"/>
  <c r="CK88" i="6"/>
  <c r="CK225" i="6"/>
  <c r="CK170" i="6"/>
  <c r="CK117" i="6"/>
  <c r="CK63" i="6"/>
  <c r="CK221" i="6"/>
  <c r="CK228" i="6"/>
  <c r="CK232" i="6"/>
  <c r="CK214" i="6"/>
  <c r="CK77" i="6"/>
  <c r="CK154" i="6"/>
  <c r="CK85" i="6"/>
  <c r="CK108" i="6"/>
  <c r="CK167" i="6"/>
  <c r="CK201" i="6"/>
  <c r="CK217" i="6"/>
  <c r="CK55" i="6"/>
  <c r="CK75" i="6"/>
  <c r="CK111" i="6"/>
  <c r="CK116" i="6"/>
  <c r="CK190" i="6"/>
  <c r="CK220" i="6"/>
  <c r="CK203" i="6"/>
  <c r="CK79" i="6"/>
  <c r="CK140" i="6"/>
  <c r="CK160" i="6"/>
  <c r="CK129" i="6"/>
  <c r="CK65" i="6"/>
  <c r="CK222" i="6"/>
  <c r="CK113" i="6"/>
  <c r="CK100" i="6"/>
  <c r="CK210" i="6"/>
  <c r="CK142" i="6"/>
  <c r="CK230" i="6"/>
  <c r="CK49" i="6"/>
  <c r="CK236" i="6"/>
  <c r="CK58" i="6"/>
  <c r="CK105" i="6"/>
  <c r="CK153" i="6"/>
  <c r="CK141" i="6"/>
  <c r="CK62" i="6"/>
  <c r="CK163" i="6"/>
  <c r="CK59" i="6"/>
  <c r="CK158" i="6"/>
  <c r="CK35" i="6"/>
  <c r="CK76" i="6"/>
  <c r="CK192" i="6"/>
  <c r="CK89" i="6"/>
  <c r="CK200" i="6"/>
  <c r="CK183" i="6"/>
  <c r="CK148" i="6"/>
  <c r="CK45" i="6"/>
  <c r="CK238" i="6"/>
  <c r="CK123" i="6"/>
  <c r="CK50" i="6"/>
  <c r="CK91" i="6"/>
  <c r="CK61" i="6"/>
  <c r="CK165" i="6"/>
  <c r="CK206" i="6"/>
  <c r="CK48" i="6"/>
  <c r="CK34" i="6"/>
  <c r="CK223" i="6"/>
  <c r="CK187" i="6"/>
  <c r="CK110" i="6"/>
  <c r="CK95" i="6"/>
  <c r="CK237" i="6"/>
  <c r="CK215" i="6"/>
  <c r="CK243" i="6"/>
  <c r="CK252" i="6"/>
  <c r="CK82" i="6"/>
  <c r="CK66" i="6"/>
  <c r="CK32" i="6"/>
  <c r="CK37" i="6"/>
  <c r="CK119" i="6"/>
  <c r="CK27" i="6"/>
  <c r="CK125" i="6"/>
  <c r="CK197" i="6"/>
  <c r="CK43" i="6"/>
  <c r="CK143" i="6"/>
  <c r="CK26" i="6"/>
  <c r="CK189" i="6"/>
  <c r="CK249" i="6"/>
  <c r="CK121" i="6"/>
  <c r="CK242" i="6"/>
  <c r="CK204" i="6"/>
  <c r="CK195" i="6"/>
  <c r="CK133" i="6"/>
  <c r="CK99" i="6"/>
  <c r="CK211" i="6"/>
  <c r="CK175" i="6"/>
  <c r="CK207" i="6"/>
  <c r="CK168" i="6"/>
  <c r="CK218" i="6"/>
  <c r="CK144" i="6"/>
  <c r="CK235" i="6"/>
  <c r="CK139" i="6"/>
  <c r="CK193" i="6"/>
  <c r="CK253" i="6"/>
  <c r="CK54" i="6"/>
  <c r="CK120" i="6"/>
  <c r="CK172" i="6"/>
  <c r="CK114" i="6"/>
  <c r="CK240" i="6"/>
  <c r="CK31" i="6"/>
  <c r="CK90" i="6"/>
  <c r="CK68" i="6"/>
  <c r="CK159" i="6"/>
  <c r="CK156" i="6"/>
  <c r="CK122" i="6"/>
  <c r="CK52" i="6"/>
  <c r="CK71" i="6"/>
  <c r="CK87" i="6"/>
  <c r="CK174" i="6"/>
  <c r="CK94" i="6"/>
  <c r="CK107" i="6"/>
  <c r="CK78" i="6"/>
  <c r="L62" i="6" a="1"/>
  <c r="BV224" i="6" l="1"/>
  <c r="BV68" i="6"/>
  <c r="BV248" i="6"/>
  <c r="BV146" i="6"/>
  <c r="BV92" i="6"/>
  <c r="BV170" i="6"/>
  <c r="CL78" i="6"/>
  <c r="CL94" i="6"/>
  <c r="CL174" i="6"/>
  <c r="CL87" i="6"/>
  <c r="CL71" i="6"/>
  <c r="CL52" i="6"/>
  <c r="CL122" i="6"/>
  <c r="CL156" i="6"/>
  <c r="CL159" i="6"/>
  <c r="CL68" i="6"/>
  <c r="CL90" i="6"/>
  <c r="CL240" i="6"/>
  <c r="CL172" i="6"/>
  <c r="CL54" i="6"/>
  <c r="CL253" i="6"/>
  <c r="CL139" i="6"/>
  <c r="CL235" i="6"/>
  <c r="CL144" i="6"/>
  <c r="CL218" i="6"/>
  <c r="CL168" i="6"/>
  <c r="CL207" i="6"/>
  <c r="CL175" i="6"/>
  <c r="CL211" i="6"/>
  <c r="CL99" i="6"/>
  <c r="CL133" i="6"/>
  <c r="CL195" i="6"/>
  <c r="CL242" i="6"/>
  <c r="CL249" i="6"/>
  <c r="CL189" i="6"/>
  <c r="CL26" i="6"/>
  <c r="CL143" i="6"/>
  <c r="CL27" i="6"/>
  <c r="CL32" i="6"/>
  <c r="CL66" i="6"/>
  <c r="CL82" i="6"/>
  <c r="CL252" i="6"/>
  <c r="CL243" i="6"/>
  <c r="CL215" i="6"/>
  <c r="CL237" i="6"/>
  <c r="CL95" i="6"/>
  <c r="CL110" i="6"/>
  <c r="CL223" i="6"/>
  <c r="CL34" i="6"/>
  <c r="CL206" i="6"/>
  <c r="CL165" i="6"/>
  <c r="CL61" i="6"/>
  <c r="CL91" i="6"/>
  <c r="CL50" i="6"/>
  <c r="CL123" i="6"/>
  <c r="CL238" i="6"/>
  <c r="CL45" i="6"/>
  <c r="CL148" i="6"/>
  <c r="CL183" i="6"/>
  <c r="CL200" i="6"/>
  <c r="CL89" i="6"/>
  <c r="CL76" i="6"/>
  <c r="CL158" i="6"/>
  <c r="CL59" i="6"/>
  <c r="CL163" i="6"/>
  <c r="CL62" i="6"/>
  <c r="CL141" i="6"/>
  <c r="CL153" i="6"/>
  <c r="CL105" i="6"/>
  <c r="CL58" i="6"/>
  <c r="CL236" i="6"/>
  <c r="CL230" i="6"/>
  <c r="CL142" i="6"/>
  <c r="CL210" i="6"/>
  <c r="CL100" i="6"/>
  <c r="CL222" i="6"/>
  <c r="CL65" i="6"/>
  <c r="CL129" i="6"/>
  <c r="CL160" i="6"/>
  <c r="CL140" i="6"/>
  <c r="CL79" i="6"/>
  <c r="CL220" i="6"/>
  <c r="CL190" i="6"/>
  <c r="CL116" i="6"/>
  <c r="CL111" i="6"/>
  <c r="CL75" i="6"/>
  <c r="CL55" i="6"/>
  <c r="CL217" i="6"/>
  <c r="CL201" i="6"/>
  <c r="CL167" i="6"/>
  <c r="CL85" i="6"/>
  <c r="CL154" i="6"/>
  <c r="CL77" i="6"/>
  <c r="CL214" i="6"/>
  <c r="CL232" i="6"/>
  <c r="CL228" i="6"/>
  <c r="CL221" i="6"/>
  <c r="CL63" i="6"/>
  <c r="CL117" i="6"/>
  <c r="CL170" i="6"/>
  <c r="CL225" i="6"/>
  <c r="CL88" i="6"/>
  <c r="CL53" i="6"/>
  <c r="CL212" i="6"/>
  <c r="CL157" i="6"/>
  <c r="CL136" i="6"/>
  <c r="CL250" i="6"/>
  <c r="CL251" i="6"/>
  <c r="CL244" i="6"/>
  <c r="CL149" i="6"/>
  <c r="CL231" i="6"/>
  <c r="CL239" i="6"/>
  <c r="CL155" i="6"/>
  <c r="CL64" i="6"/>
  <c r="CL106" i="6"/>
  <c r="CL173" i="6"/>
  <c r="CL112" i="6"/>
  <c r="CL166" i="6"/>
  <c r="CL256" i="6"/>
  <c r="CL226" i="6"/>
  <c r="CL134" i="6"/>
  <c r="CL248" i="6"/>
  <c r="CL124" i="6"/>
  <c r="CL73" i="6"/>
  <c r="CL151" i="6"/>
  <c r="CL74" i="6"/>
  <c r="CL178" i="6"/>
  <c r="CL177" i="6"/>
  <c r="CL93" i="6"/>
  <c r="CL245" i="6"/>
  <c r="CL24" i="6"/>
  <c r="CL102" i="6"/>
  <c r="CL103" i="6"/>
  <c r="CL33" i="6"/>
  <c r="CL70" i="6"/>
  <c r="CL241" i="6"/>
  <c r="CL83" i="6"/>
  <c r="CL145" i="6"/>
  <c r="CL69" i="6"/>
  <c r="CL60" i="6"/>
  <c r="CL130" i="6"/>
  <c r="CL118" i="6"/>
  <c r="CL246" i="6"/>
  <c r="CL161" i="6"/>
  <c r="CL213" i="6"/>
  <c r="CL194" i="6"/>
  <c r="CL171" i="6"/>
  <c r="CL25" i="6"/>
  <c r="CL56" i="6"/>
  <c r="CL162" i="6"/>
  <c r="CL97" i="6"/>
  <c r="CL234" i="6"/>
  <c r="CL101" i="6"/>
  <c r="CL39" i="6"/>
  <c r="CL196" i="6"/>
  <c r="CL247" i="6"/>
  <c r="CL135" i="6"/>
  <c r="CL219" i="6"/>
  <c r="CL164" i="6"/>
  <c r="CL147" i="6"/>
  <c r="CL92" i="6"/>
  <c r="CL182" i="6"/>
  <c r="CL224" i="6"/>
  <c r="CL72" i="6"/>
  <c r="CL208" i="6"/>
  <c r="CL181" i="6"/>
  <c r="CL188" i="6"/>
  <c r="CL169" i="6"/>
  <c r="CL255" i="6"/>
  <c r="CL44" i="6"/>
  <c r="CL254" i="6"/>
  <c r="CL80" i="6"/>
  <c r="CL150" i="6"/>
  <c r="CL104" i="6"/>
  <c r="CL184" i="6"/>
  <c r="CL132" i="6"/>
  <c r="CL84" i="6"/>
  <c r="CL28" i="6"/>
  <c r="CL179" i="6"/>
  <c r="CL209" i="6"/>
  <c r="CL138" i="6"/>
  <c r="CL202" i="6"/>
  <c r="CL227" i="6"/>
  <c r="CL81" i="6"/>
  <c r="CL40" i="6"/>
  <c r="CL98" i="6"/>
  <c r="CL131" i="6"/>
  <c r="CL67" i="6"/>
  <c r="CL180" i="6"/>
  <c r="CL146" i="6"/>
  <c r="CL51" i="6"/>
  <c r="CL128" i="6"/>
  <c r="CL57" i="6"/>
  <c r="CL137" i="6"/>
  <c r="CL233" i="6"/>
  <c r="CL38" i="6"/>
  <c r="CL176" i="6"/>
  <c r="CL86" i="6"/>
  <c r="CL152" i="6"/>
  <c r="CL216" i="6"/>
  <c r="CL46" i="6"/>
  <c r="CL229" i="6"/>
  <c r="CL96" i="6"/>
  <c r="CS216" i="6"/>
  <c r="CS60" i="6"/>
  <c r="CS183" i="6"/>
  <c r="CS88" i="6"/>
  <c r="CS238" i="6"/>
  <c r="CS203" i="6"/>
  <c r="CS196" i="6"/>
  <c r="CS29" i="6"/>
  <c r="CS54" i="6"/>
  <c r="CS171" i="6"/>
  <c r="CS84" i="6"/>
  <c r="CS69" i="6"/>
  <c r="BQ78" i="6"/>
  <c r="BR78" i="6" s="1"/>
  <c r="BQ107" i="6"/>
  <c r="BR107" i="6" s="1"/>
  <c r="BQ94" i="6"/>
  <c r="BR94" i="6" s="1"/>
  <c r="BQ174" i="6"/>
  <c r="BR174" i="6" s="1"/>
  <c r="BQ87" i="6"/>
  <c r="BR87" i="6" s="1"/>
  <c r="BQ71" i="6"/>
  <c r="BR71" i="6" s="1"/>
  <c r="BQ52" i="6"/>
  <c r="BR52" i="6" s="1"/>
  <c r="BQ122" i="6"/>
  <c r="BR122" i="6" s="1"/>
  <c r="BQ156" i="6"/>
  <c r="BR156" i="6" s="1"/>
  <c r="BQ159" i="6"/>
  <c r="BR159" i="6" s="1"/>
  <c r="BQ68" i="6"/>
  <c r="BR68" i="6" s="1"/>
  <c r="BQ90" i="6"/>
  <c r="BR90" i="6" s="1"/>
  <c r="BQ31" i="6"/>
  <c r="BR31" i="6" s="1"/>
  <c r="BQ240" i="6"/>
  <c r="BR240" i="6" s="1"/>
  <c r="CS247" i="6"/>
  <c r="CS81" i="6"/>
  <c r="CS113" i="6"/>
  <c r="CS97" i="6"/>
  <c r="CS140" i="6"/>
  <c r="CS25" i="6"/>
  <c r="CS62" i="6"/>
  <c r="CS53" i="6"/>
  <c r="CS66" i="6"/>
  <c r="CS191" i="6"/>
  <c r="CS186" i="6"/>
  <c r="CS32" i="6"/>
  <c r="CS86" i="6"/>
  <c r="CS139" i="6"/>
  <c r="CS225" i="6"/>
  <c r="CS229" i="6"/>
  <c r="CS233" i="6"/>
  <c r="CS77" i="6"/>
  <c r="CS181" i="6"/>
  <c r="CS202" i="6"/>
  <c r="CS150" i="6"/>
  <c r="CS208" i="6"/>
  <c r="BQ114" i="6"/>
  <c r="BR114" i="6" s="1"/>
  <c r="BQ172" i="6"/>
  <c r="BR172" i="6" s="1"/>
  <c r="BQ120" i="6"/>
  <c r="BR120" i="6" s="1"/>
  <c r="BQ54" i="6"/>
  <c r="BR54" i="6" s="1"/>
  <c r="BQ253" i="6"/>
  <c r="BR253" i="6" s="1"/>
  <c r="BQ193" i="6"/>
  <c r="BR193" i="6" s="1"/>
  <c r="BQ139" i="6"/>
  <c r="BR139" i="6" s="1"/>
  <c r="BQ235" i="6"/>
  <c r="BR235" i="6" s="1"/>
  <c r="BQ144" i="6"/>
  <c r="BR144" i="6" s="1"/>
  <c r="BQ218" i="6"/>
  <c r="BR218" i="6" s="1"/>
  <c r="BQ168" i="6"/>
  <c r="BR168" i="6" s="1"/>
  <c r="CS169" i="6"/>
  <c r="CS192" i="6"/>
  <c r="CS151" i="6"/>
  <c r="CS240" i="6"/>
  <c r="CS175" i="6"/>
  <c r="CS120" i="6"/>
  <c r="CS65" i="6"/>
  <c r="CS98" i="6"/>
  <c r="CS230" i="6"/>
  <c r="CS194" i="6"/>
  <c r="BQ207" i="6"/>
  <c r="BR207" i="6" s="1"/>
  <c r="BQ175" i="6"/>
  <c r="BR175" i="6" s="1"/>
  <c r="BQ211" i="6"/>
  <c r="BR211" i="6" s="1"/>
  <c r="BQ99" i="6"/>
  <c r="BR99" i="6" s="1"/>
  <c r="BQ133" i="6"/>
  <c r="BR133" i="6" s="1"/>
  <c r="BQ195" i="6"/>
  <c r="BR195" i="6" s="1"/>
  <c r="BQ204" i="6"/>
  <c r="BR204" i="6" s="1"/>
  <c r="BQ242" i="6"/>
  <c r="BR242" i="6" s="1"/>
  <c r="BQ121" i="6"/>
  <c r="BR121" i="6" s="1"/>
  <c r="BQ249" i="6"/>
  <c r="BR249" i="6" s="1"/>
  <c r="BQ189" i="6"/>
  <c r="BR189" i="6" s="1"/>
  <c r="BQ26" i="6"/>
  <c r="BR26" i="6" s="1"/>
  <c r="BQ143" i="6"/>
  <c r="BR143" i="6" s="1"/>
  <c r="BQ43" i="6"/>
  <c r="BR43" i="6" s="1"/>
  <c r="CS252" i="6"/>
  <c r="CS107" i="6"/>
  <c r="CS164" i="6"/>
  <c r="CS34" i="6"/>
  <c r="CS85" i="6"/>
  <c r="CS245" i="6"/>
  <c r="CS121" i="6"/>
  <c r="CS55" i="6"/>
  <c r="CS51" i="6"/>
  <c r="CS163" i="6"/>
  <c r="CS188" i="6"/>
  <c r="CS160" i="6"/>
  <c r="CS83" i="6"/>
  <c r="CS212" i="6"/>
  <c r="CS234" i="6"/>
  <c r="CS190" i="6"/>
  <c r="CS152" i="6"/>
  <c r="CS220" i="6"/>
  <c r="CS227" i="6"/>
  <c r="BQ197" i="6"/>
  <c r="BR197" i="6" s="1"/>
  <c r="BQ125" i="6"/>
  <c r="BR125" i="6" s="1"/>
  <c r="BQ27" i="6"/>
  <c r="BR27" i="6" s="1"/>
  <c r="BQ119" i="6"/>
  <c r="BR119" i="6" s="1"/>
  <c r="BQ37" i="6"/>
  <c r="BR37" i="6" s="1"/>
  <c r="BQ32" i="6"/>
  <c r="BR32" i="6" s="1"/>
  <c r="BQ66" i="6"/>
  <c r="BR66" i="6" s="1"/>
  <c r="BQ82" i="6"/>
  <c r="BR82" i="6" s="1"/>
  <c r="BQ252" i="6"/>
  <c r="BR252" i="6" s="1"/>
  <c r="BQ243" i="6"/>
  <c r="BR243" i="6" s="1"/>
  <c r="BQ215" i="6"/>
  <c r="BR215" i="6" s="1"/>
  <c r="BQ237" i="6"/>
  <c r="BR237" i="6" s="1"/>
  <c r="BQ95" i="6"/>
  <c r="BR95" i="6" s="1"/>
  <c r="BQ110" i="6"/>
  <c r="BR110" i="6" s="1"/>
  <c r="BQ187" i="6"/>
  <c r="BR187" i="6" s="1"/>
  <c r="CS118" i="6"/>
  <c r="CS56" i="6"/>
  <c r="CS45" i="6"/>
  <c r="CS206" i="6"/>
  <c r="CS148" i="6"/>
  <c r="CS127" i="6"/>
  <c r="CS235" i="6"/>
  <c r="CS102" i="6"/>
  <c r="CS211" i="6"/>
  <c r="BQ223" i="6"/>
  <c r="BR223" i="6" s="1"/>
  <c r="BQ34" i="6"/>
  <c r="BR34" i="6" s="1"/>
  <c r="BQ48" i="6"/>
  <c r="BR48" i="6" s="1"/>
  <c r="BQ206" i="6"/>
  <c r="BR206" i="6" s="1"/>
  <c r="BQ165" i="6"/>
  <c r="BR165" i="6" s="1"/>
  <c r="BQ61" i="6"/>
  <c r="BR61" i="6" s="1"/>
  <c r="BQ91" i="6"/>
  <c r="BR91" i="6" s="1"/>
  <c r="BQ50" i="6"/>
  <c r="BR50" i="6" s="1"/>
  <c r="BQ123" i="6"/>
  <c r="BR123" i="6" s="1"/>
  <c r="BQ238" i="6"/>
  <c r="BR238" i="6" s="1"/>
  <c r="BQ45" i="6"/>
  <c r="BR45" i="6" s="1"/>
  <c r="BQ148" i="6"/>
  <c r="BR148" i="6" s="1"/>
  <c r="BQ183" i="6"/>
  <c r="BR183" i="6" s="1"/>
  <c r="CS222" i="6"/>
  <c r="CS119" i="6"/>
  <c r="CS156" i="6"/>
  <c r="CS103" i="6"/>
  <c r="CS195" i="6"/>
  <c r="CS224" i="6"/>
  <c r="CS251" i="6"/>
  <c r="CS255" i="6"/>
  <c r="CS95" i="6"/>
  <c r="CS167" i="6"/>
  <c r="CS90" i="6"/>
  <c r="CS215" i="6"/>
  <c r="CS204" i="6"/>
  <c r="CS133" i="6"/>
  <c r="CS130" i="6"/>
  <c r="CS166" i="6"/>
  <c r="CS165" i="6"/>
  <c r="CS78" i="6"/>
  <c r="CS57" i="6"/>
  <c r="BQ200" i="6"/>
  <c r="BR200" i="6" s="1"/>
  <c r="BQ89" i="6"/>
  <c r="BR89" i="6" s="1"/>
  <c r="BQ192" i="6"/>
  <c r="BR192" i="6" s="1"/>
  <c r="BQ76" i="6"/>
  <c r="BR76" i="6" s="1"/>
  <c r="BQ35" i="6"/>
  <c r="BR35" i="6" s="1"/>
  <c r="BQ158" i="6"/>
  <c r="BR158" i="6" s="1"/>
  <c r="BQ59" i="6"/>
  <c r="BR59" i="6" s="1"/>
  <c r="BQ163" i="6"/>
  <c r="BR163" i="6" s="1"/>
  <c r="BQ62" i="6"/>
  <c r="BR62" i="6" s="1"/>
  <c r="BQ141" i="6"/>
  <c r="BR141" i="6" s="1"/>
  <c r="BQ153" i="6"/>
  <c r="BR153" i="6" s="1"/>
  <c r="BQ105" i="6"/>
  <c r="BR105" i="6" s="1"/>
  <c r="BQ58" i="6"/>
  <c r="BR58" i="6" s="1"/>
  <c r="BQ236" i="6"/>
  <c r="BR236" i="6" s="1"/>
  <c r="BQ49" i="6"/>
  <c r="BR49" i="6" s="1"/>
  <c r="CS182" i="6"/>
  <c r="CS126" i="6"/>
  <c r="CS58" i="6"/>
  <c r="CS42" i="6"/>
  <c r="CS31" i="6"/>
  <c r="CS157" i="6"/>
  <c r="CS236" i="6"/>
  <c r="CS76" i="6"/>
  <c r="CS112" i="6"/>
  <c r="CS52" i="6"/>
  <c r="CS246" i="6"/>
  <c r="CS26" i="6"/>
  <c r="CS115" i="6"/>
  <c r="CS243" i="6"/>
  <c r="BQ230" i="6"/>
  <c r="BR230" i="6" s="1"/>
  <c r="BQ142" i="6"/>
  <c r="BR142" i="6" s="1"/>
  <c r="BQ210" i="6"/>
  <c r="BR210" i="6" s="1"/>
  <c r="BQ100" i="6"/>
  <c r="BR100" i="6" s="1"/>
  <c r="BQ113" i="6"/>
  <c r="BR113" i="6" s="1"/>
  <c r="BQ222" i="6"/>
  <c r="BR222" i="6" s="1"/>
  <c r="BQ65" i="6"/>
  <c r="BR65" i="6" s="1"/>
  <c r="BQ129" i="6"/>
  <c r="BR129" i="6" s="1"/>
  <c r="BQ160" i="6"/>
  <c r="BR160" i="6" s="1"/>
  <c r="BQ140" i="6"/>
  <c r="BR140" i="6" s="1"/>
  <c r="BQ79" i="6"/>
  <c r="BR79" i="6" s="1"/>
  <c r="BQ203" i="6"/>
  <c r="BR203" i="6" s="1"/>
  <c r="BQ220" i="6"/>
  <c r="BR220" i="6" s="1"/>
  <c r="BQ190" i="6"/>
  <c r="BR190" i="6" s="1"/>
  <c r="BQ116" i="6"/>
  <c r="BR116" i="6" s="1"/>
  <c r="BQ111" i="6"/>
  <c r="BR111" i="6" s="1"/>
  <c r="BQ75" i="6"/>
  <c r="BR75" i="6" s="1"/>
  <c r="BQ55" i="6"/>
  <c r="BR55" i="6" s="1"/>
  <c r="CS254" i="6"/>
  <c r="CS134" i="6"/>
  <c r="CS201" i="6"/>
  <c r="CS33" i="6"/>
  <c r="CS125" i="6"/>
  <c r="CS64" i="6"/>
  <c r="CS39" i="6"/>
  <c r="CS256" i="6"/>
  <c r="CS189" i="6"/>
  <c r="CS217" i="6"/>
  <c r="CS162" i="6"/>
  <c r="CS209" i="6"/>
  <c r="CS24" i="6"/>
  <c r="CS99" i="6"/>
  <c r="CS49" i="6"/>
  <c r="CS131" i="6"/>
  <c r="BQ217" i="6"/>
  <c r="BR217" i="6" s="1"/>
  <c r="BQ201" i="6"/>
  <c r="BR201" i="6" s="1"/>
  <c r="BQ167" i="6"/>
  <c r="BR167" i="6" s="1"/>
  <c r="BQ108" i="6"/>
  <c r="BR108" i="6" s="1"/>
  <c r="BQ85" i="6"/>
  <c r="BR85" i="6" s="1"/>
  <c r="BQ154" i="6"/>
  <c r="BR154" i="6" s="1"/>
  <c r="BQ77" i="6"/>
  <c r="BR77" i="6" s="1"/>
  <c r="BQ214" i="6"/>
  <c r="BR214" i="6" s="1"/>
  <c r="BQ232" i="6"/>
  <c r="BR232" i="6" s="1"/>
  <c r="BQ228" i="6"/>
  <c r="BR228" i="6" s="1"/>
  <c r="BQ221" i="6"/>
  <c r="BR221" i="6" s="1"/>
  <c r="BQ63" i="6"/>
  <c r="BR63" i="6" s="1"/>
  <c r="BQ117" i="6"/>
  <c r="BR117" i="6" s="1"/>
  <c r="CS48" i="6"/>
  <c r="CS73" i="6"/>
  <c r="CS228" i="6"/>
  <c r="CS213" i="6"/>
  <c r="CS59" i="6"/>
  <c r="CS205" i="6"/>
  <c r="CS221" i="6"/>
  <c r="CS241" i="6"/>
  <c r="CS174" i="6"/>
  <c r="CS28" i="6"/>
  <c r="CS93" i="6"/>
  <c r="CS223" i="6"/>
  <c r="CS185" i="6"/>
  <c r="CS132" i="6"/>
  <c r="CS172" i="6"/>
  <c r="CS80" i="6"/>
  <c r="BQ170" i="6"/>
  <c r="BR170" i="6" s="1"/>
  <c r="BQ225" i="6"/>
  <c r="BR225" i="6" s="1"/>
  <c r="BQ88" i="6"/>
  <c r="BR88" i="6" s="1"/>
  <c r="BQ53" i="6"/>
  <c r="BR53" i="6" s="1"/>
  <c r="BQ212" i="6"/>
  <c r="BR212" i="6" s="1"/>
  <c r="BY212" i="6" s="1"/>
  <c r="BQ186" i="6"/>
  <c r="BR186" i="6" s="1"/>
  <c r="BQ157" i="6"/>
  <c r="BR157" i="6" s="1"/>
  <c r="BQ136" i="6"/>
  <c r="BR136" i="6" s="1"/>
  <c r="BQ250" i="6"/>
  <c r="BR250" i="6" s="1"/>
  <c r="BQ205" i="6"/>
  <c r="BR205" i="6" s="1"/>
  <c r="BQ47" i="6"/>
  <c r="BR47" i="6" s="1"/>
  <c r="BQ251" i="6"/>
  <c r="BR251" i="6" s="1"/>
  <c r="CS136" i="6"/>
  <c r="CS218" i="6"/>
  <c r="CS114" i="6"/>
  <c r="CS41" i="6"/>
  <c r="CS210" i="6"/>
  <c r="CS82" i="6"/>
  <c r="CS111" i="6"/>
  <c r="CS219" i="6"/>
  <c r="CS242" i="6"/>
  <c r="CS89" i="6"/>
  <c r="CS67" i="6"/>
  <c r="CS72" i="6"/>
  <c r="CS124" i="6"/>
  <c r="BQ244" i="6"/>
  <c r="BR244" i="6" s="1"/>
  <c r="BQ149" i="6"/>
  <c r="BR149" i="6" s="1"/>
  <c r="BQ231" i="6"/>
  <c r="BR231" i="6" s="1"/>
  <c r="BQ239" i="6"/>
  <c r="BR239" i="6" s="1"/>
  <c r="BQ109" i="6"/>
  <c r="BR109" i="6" s="1"/>
  <c r="BQ155" i="6"/>
  <c r="BR155" i="6" s="1"/>
  <c r="BQ64" i="6"/>
  <c r="BR64" i="6" s="1"/>
  <c r="BQ106" i="6"/>
  <c r="BR106" i="6" s="1"/>
  <c r="BQ173" i="6"/>
  <c r="BR173" i="6" s="1"/>
  <c r="BQ112" i="6"/>
  <c r="BR112" i="6" s="1"/>
  <c r="BQ166" i="6"/>
  <c r="BR166" i="6" s="1"/>
  <c r="BQ256" i="6"/>
  <c r="BR256" i="6" s="1"/>
  <c r="BQ226" i="6"/>
  <c r="BR226" i="6" s="1"/>
  <c r="BQ134" i="6"/>
  <c r="BR134" i="6" s="1"/>
  <c r="BQ248" i="6"/>
  <c r="BR248" i="6" s="1"/>
  <c r="BQ124" i="6"/>
  <c r="BR124" i="6" s="1"/>
  <c r="CS101" i="6"/>
  <c r="CS137" i="6"/>
  <c r="CS35" i="6"/>
  <c r="CS226" i="6"/>
  <c r="CS244" i="6"/>
  <c r="CS129" i="6"/>
  <c r="CS122" i="6"/>
  <c r="CS94" i="6"/>
  <c r="CS237" i="6"/>
  <c r="CS79" i="6"/>
  <c r="CS105" i="6"/>
  <c r="CS75" i="6"/>
  <c r="CS87" i="6"/>
  <c r="CS198" i="6"/>
  <c r="BQ73" i="6"/>
  <c r="BR73" i="6" s="1"/>
  <c r="BQ151" i="6"/>
  <c r="BR151" i="6" s="1"/>
  <c r="BQ74" i="6"/>
  <c r="BR74" i="6" s="1"/>
  <c r="BQ178" i="6"/>
  <c r="BR178" i="6" s="1"/>
  <c r="BQ177" i="6"/>
  <c r="BR177" i="6" s="1"/>
  <c r="BQ93" i="6"/>
  <c r="BR93" i="6" s="1"/>
  <c r="BQ245" i="6"/>
  <c r="BR245" i="6" s="1"/>
  <c r="BQ24" i="6"/>
  <c r="BR24" i="6" s="1"/>
  <c r="BQ102" i="6"/>
  <c r="BR102" i="6" s="1"/>
  <c r="BQ103" i="6"/>
  <c r="BR103" i="6" s="1"/>
  <c r="BQ33" i="6"/>
  <c r="BR33" i="6" s="1"/>
  <c r="BQ70" i="6"/>
  <c r="BR70" i="6" s="1"/>
  <c r="BQ241" i="6"/>
  <c r="BR241" i="6" s="1"/>
  <c r="BQ83" i="6"/>
  <c r="BR83" i="6" s="1"/>
  <c r="BQ42" i="6"/>
  <c r="BR42" i="6" s="1"/>
  <c r="BQ145" i="6"/>
  <c r="BR145" i="6" s="1"/>
  <c r="CS250" i="6"/>
  <c r="CS46" i="6"/>
  <c r="CS207" i="6"/>
  <c r="CS138" i="6"/>
  <c r="CS141" i="6"/>
  <c r="CS177" i="6"/>
  <c r="CS239" i="6"/>
  <c r="CS68" i="6"/>
  <c r="CS116" i="6"/>
  <c r="CS158" i="6"/>
  <c r="CS200" i="6"/>
  <c r="CS153" i="6"/>
  <c r="BQ69" i="6"/>
  <c r="BR69" i="6" s="1"/>
  <c r="BQ60" i="6"/>
  <c r="BR60" i="6" s="1"/>
  <c r="BQ130" i="6"/>
  <c r="BR130" i="6" s="1"/>
  <c r="BQ118" i="6"/>
  <c r="BR118" i="6" s="1"/>
  <c r="BQ246" i="6"/>
  <c r="BR246" i="6" s="1"/>
  <c r="BQ161" i="6"/>
  <c r="BR161" i="6" s="1"/>
  <c r="BQ213" i="6"/>
  <c r="BR213" i="6" s="1"/>
  <c r="BQ194" i="6"/>
  <c r="BR194" i="6" s="1"/>
  <c r="BQ29" i="6"/>
  <c r="BR29" i="6" s="1"/>
  <c r="BQ171" i="6"/>
  <c r="BR171" i="6" s="1"/>
  <c r="BQ191" i="6"/>
  <c r="BR191" i="6" s="1"/>
  <c r="BQ25" i="6"/>
  <c r="BR25" i="6" s="1"/>
  <c r="BQ56" i="6"/>
  <c r="BR56" i="6" s="1"/>
  <c r="BQ162" i="6"/>
  <c r="BR162" i="6" s="1"/>
  <c r="BQ97" i="6"/>
  <c r="BR97" i="6" s="1"/>
  <c r="CS161" i="6"/>
  <c r="CS40" i="6"/>
  <c r="CS142" i="6"/>
  <c r="CS146" i="6"/>
  <c r="CS147" i="6"/>
  <c r="CS170" i="6"/>
  <c r="CS43" i="6"/>
  <c r="CS61" i="6"/>
  <c r="CS193" i="6"/>
  <c r="CS63" i="6"/>
  <c r="CS106" i="6"/>
  <c r="CS104" i="6"/>
  <c r="CS144" i="6"/>
  <c r="CS248" i="6"/>
  <c r="CS47" i="6"/>
  <c r="BQ234" i="6"/>
  <c r="BR234" i="6" s="1"/>
  <c r="BQ101" i="6"/>
  <c r="BR101" i="6" s="1"/>
  <c r="BQ39" i="6"/>
  <c r="BR39" i="6" s="1"/>
  <c r="BQ196" i="6"/>
  <c r="BR196" i="6" s="1"/>
  <c r="BQ247" i="6"/>
  <c r="BR247" i="6" s="1"/>
  <c r="BQ135" i="6"/>
  <c r="BR135" i="6" s="1"/>
  <c r="BQ219" i="6"/>
  <c r="BR219" i="6" s="1"/>
  <c r="BQ164" i="6"/>
  <c r="BR164" i="6" s="1"/>
  <c r="BQ199" i="6"/>
  <c r="BR199" i="6" s="1"/>
  <c r="BQ147" i="6"/>
  <c r="BR147" i="6" s="1"/>
  <c r="BQ92" i="6"/>
  <c r="BR92" i="6" s="1"/>
  <c r="BQ182" i="6"/>
  <c r="BR182" i="6" s="1"/>
  <c r="BQ224" i="6"/>
  <c r="BR224" i="6" s="1"/>
  <c r="BQ198" i="6"/>
  <c r="BR198" i="6" s="1"/>
  <c r="BQ72" i="6"/>
  <c r="BR72" i="6" s="1"/>
  <c r="BQ208" i="6"/>
  <c r="BR208" i="6" s="1"/>
  <c r="CS179" i="6"/>
  <c r="CS71" i="6"/>
  <c r="CS110" i="6"/>
  <c r="CS155" i="6"/>
  <c r="CS231" i="6"/>
  <c r="CS168" i="6"/>
  <c r="CS70" i="6"/>
  <c r="CS184" i="6"/>
  <c r="CS27" i="6"/>
  <c r="CS128" i="6"/>
  <c r="CS178" i="6"/>
  <c r="CS197" i="6"/>
  <c r="CS123" i="6"/>
  <c r="CS96" i="6"/>
  <c r="BQ181" i="6"/>
  <c r="BR181" i="6" s="1"/>
  <c r="BQ188" i="6"/>
  <c r="BR188" i="6" s="1"/>
  <c r="BQ169" i="6"/>
  <c r="BR169" i="6" s="1"/>
  <c r="BQ255" i="6"/>
  <c r="BR255" i="6" s="1"/>
  <c r="BQ41" i="6"/>
  <c r="BR41" i="6" s="1"/>
  <c r="BQ44" i="6"/>
  <c r="BR44" i="6" s="1"/>
  <c r="BQ254" i="6"/>
  <c r="BR254" i="6" s="1"/>
  <c r="BQ80" i="6"/>
  <c r="BR80" i="6" s="1"/>
  <c r="BQ150" i="6"/>
  <c r="BR150" i="6" s="1"/>
  <c r="BQ104" i="6"/>
  <c r="BR104" i="6" s="1"/>
  <c r="BQ184" i="6"/>
  <c r="BR184" i="6" s="1"/>
  <c r="BQ185" i="6"/>
  <c r="BR185" i="6" s="1"/>
  <c r="BQ132" i="6"/>
  <c r="BR132" i="6" s="1"/>
  <c r="BQ84" i="6"/>
  <c r="BR84" i="6" s="1"/>
  <c r="BQ28" i="6"/>
  <c r="BR28" i="6" s="1"/>
  <c r="BQ179" i="6"/>
  <c r="BR179" i="6" s="1"/>
  <c r="BQ209" i="6"/>
  <c r="BR209" i="6" s="1"/>
  <c r="CS30" i="6"/>
  <c r="CS187" i="6"/>
  <c r="CS91" i="6"/>
  <c r="CS108" i="6"/>
  <c r="CS145" i="6"/>
  <c r="CS180" i="6"/>
  <c r="CS135" i="6"/>
  <c r="CS214" i="6"/>
  <c r="CS154" i="6"/>
  <c r="CS173" i="6"/>
  <c r="CS232" i="6"/>
  <c r="CS50" i="6"/>
  <c r="CS117" i="6"/>
  <c r="CS44" i="6"/>
  <c r="CS74" i="6"/>
  <c r="CS37" i="6"/>
  <c r="BQ138" i="6"/>
  <c r="BR138" i="6" s="1"/>
  <c r="BQ202" i="6"/>
  <c r="BR202" i="6" s="1"/>
  <c r="BQ227" i="6"/>
  <c r="BR227" i="6" s="1"/>
  <c r="BQ81" i="6"/>
  <c r="BR81" i="6" s="1"/>
  <c r="BQ40" i="6"/>
  <c r="BR40" i="6" s="1"/>
  <c r="BQ98" i="6"/>
  <c r="BR98" i="6" s="1"/>
  <c r="BQ30" i="6"/>
  <c r="BR30" i="6" s="1"/>
  <c r="BQ131" i="6"/>
  <c r="BR131" i="6" s="1"/>
  <c r="BQ115" i="6"/>
  <c r="BR115" i="6" s="1"/>
  <c r="BQ67" i="6"/>
  <c r="BR67" i="6" s="1"/>
  <c r="BQ180" i="6"/>
  <c r="BR180" i="6" s="1"/>
  <c r="BQ36" i="6"/>
  <c r="BR36" i="6" s="1"/>
  <c r="BQ146" i="6"/>
  <c r="BR146" i="6" s="1"/>
  <c r="BQ51" i="6"/>
  <c r="BR51" i="6" s="1"/>
  <c r="BQ128" i="6"/>
  <c r="BR128" i="6" s="1"/>
  <c r="BQ57" i="6"/>
  <c r="BR57" i="6" s="1"/>
  <c r="CS109" i="6"/>
  <c r="CS159" i="6"/>
  <c r="CS253" i="6"/>
  <c r="CS176" i="6"/>
  <c r="CS92" i="6"/>
  <c r="CS143" i="6"/>
  <c r="CS38" i="6"/>
  <c r="CS36" i="6"/>
  <c r="CS199" i="6"/>
  <c r="CS249" i="6"/>
  <c r="CS149" i="6"/>
  <c r="CS100" i="6"/>
  <c r="BQ137" i="6"/>
  <c r="BR137" i="6" s="1"/>
  <c r="BQ233" i="6"/>
  <c r="BR233" i="6" s="1"/>
  <c r="BQ38" i="6"/>
  <c r="BR38" i="6" s="1"/>
  <c r="BQ176" i="6"/>
  <c r="BR176" i="6" s="1"/>
  <c r="BQ86" i="6"/>
  <c r="BR86" i="6" s="1"/>
  <c r="BQ127" i="6"/>
  <c r="BR127" i="6" s="1"/>
  <c r="BQ152" i="6"/>
  <c r="BR152" i="6" s="1"/>
  <c r="BQ216" i="6"/>
  <c r="BR216" i="6" s="1"/>
  <c r="BQ46" i="6"/>
  <c r="BR46" i="6" s="1"/>
  <c r="BQ126" i="6"/>
  <c r="BR126" i="6" s="1"/>
  <c r="BQ229" i="6"/>
  <c r="BR229" i="6" s="1"/>
  <c r="BQ96" i="6"/>
  <c r="BR96" i="6" s="1"/>
  <c r="DE23" i="6"/>
  <c r="O50" i="6"/>
  <c r="O49" i="6"/>
  <c r="O48" i="6"/>
  <c r="L67" i="6"/>
  <c r="L69" i="6" s="1"/>
  <c r="L62" i="6"/>
  <c r="J67" i="6"/>
  <c r="C99" i="6"/>
  <c r="I58" i="6"/>
  <c r="L58" i="6" s="1"/>
  <c r="M36" i="6" s="1"/>
  <c r="AV23" i="6"/>
  <c r="AW23" i="6"/>
  <c r="AX23" i="6" s="1"/>
  <c r="AN23" i="6"/>
  <c r="BP23" i="6"/>
  <c r="D96" i="6"/>
  <c r="AP23" i="6"/>
  <c r="AS23" i="6"/>
  <c r="AO23" i="6"/>
  <c r="BF16" i="6"/>
  <c r="CX69" i="6"/>
  <c r="CX81" i="6"/>
  <c r="CX233" i="6"/>
  <c r="CX121" i="6"/>
  <c r="CX148" i="6"/>
  <c r="CX130" i="6"/>
  <c r="CX115" i="6"/>
  <c r="CX24" i="6"/>
  <c r="CX80" i="6"/>
  <c r="CX41" i="6"/>
  <c r="CX122" i="6"/>
  <c r="CX116" i="6"/>
  <c r="CX248" i="6"/>
  <c r="CX37" i="6"/>
  <c r="CX158" i="6"/>
  <c r="CX30" i="6"/>
  <c r="CX109" i="6"/>
  <c r="CX200" i="6"/>
  <c r="CX179" i="6"/>
  <c r="CX253" i="6"/>
  <c r="CX110" i="6"/>
  <c r="CX113" i="6"/>
  <c r="CX77" i="6"/>
  <c r="CX169" i="6"/>
  <c r="CX55" i="6"/>
  <c r="CX127" i="6"/>
  <c r="CX166" i="6"/>
  <c r="CX243" i="6"/>
  <c r="CX99" i="6"/>
  <c r="CX48" i="6"/>
  <c r="CX210" i="6"/>
  <c r="CX94" i="6"/>
  <c r="CX47" i="6"/>
  <c r="CX97" i="6"/>
  <c r="CX181" i="6"/>
  <c r="CX192" i="6"/>
  <c r="CX51" i="6"/>
  <c r="CX235" i="6"/>
  <c r="CX222" i="6"/>
  <c r="CX165" i="6"/>
  <c r="CX49" i="6"/>
  <c r="CX73" i="6"/>
  <c r="CX82" i="6"/>
  <c r="CX237" i="6"/>
  <c r="CX187" i="6"/>
  <c r="CX92" i="6"/>
  <c r="CX140" i="6"/>
  <c r="CX202" i="6"/>
  <c r="CX151" i="6"/>
  <c r="CX163" i="6"/>
  <c r="CX102" i="6"/>
  <c r="CX119" i="6"/>
  <c r="CX78" i="6"/>
  <c r="CX131" i="6"/>
  <c r="CX228" i="6"/>
  <c r="CX111" i="6"/>
  <c r="CX79" i="6"/>
  <c r="CX153" i="6"/>
  <c r="CX161" i="6"/>
  <c r="CX71" i="6"/>
  <c r="CX25" i="6"/>
  <c r="CX150" i="6"/>
  <c r="CX240" i="6"/>
  <c r="CX188" i="6"/>
  <c r="CX211" i="6"/>
  <c r="CX156" i="6"/>
  <c r="CX57" i="6"/>
  <c r="CX182" i="6"/>
  <c r="CX254" i="6"/>
  <c r="CX213" i="6"/>
  <c r="CX219" i="6"/>
  <c r="CX105" i="6"/>
  <c r="CX40" i="6"/>
  <c r="CX108" i="6"/>
  <c r="CX231" i="6"/>
  <c r="CX216" i="6"/>
  <c r="CX62" i="6"/>
  <c r="CX208" i="6"/>
  <c r="CX175" i="6"/>
  <c r="CX160" i="6"/>
  <c r="CX103" i="6"/>
  <c r="CX126" i="6"/>
  <c r="CX134" i="6"/>
  <c r="CX59" i="6"/>
  <c r="CX242" i="6"/>
  <c r="CX75" i="6"/>
  <c r="CX142" i="6"/>
  <c r="CX60" i="6"/>
  <c r="CX53" i="6"/>
  <c r="CX120" i="6"/>
  <c r="CX83" i="6"/>
  <c r="CX195" i="6"/>
  <c r="CX58" i="6"/>
  <c r="CX201" i="6"/>
  <c r="CX205" i="6"/>
  <c r="CX89" i="6"/>
  <c r="CX87" i="6"/>
  <c r="CX146" i="6"/>
  <c r="CX180" i="6"/>
  <c r="CX183" i="6"/>
  <c r="CX66" i="6"/>
  <c r="CX65" i="6"/>
  <c r="CX212" i="6"/>
  <c r="CX224" i="6"/>
  <c r="CX42" i="6"/>
  <c r="CX33" i="6"/>
  <c r="CX221" i="6"/>
  <c r="CX67" i="6"/>
  <c r="CX198" i="6"/>
  <c r="CX147" i="6"/>
  <c r="CX168" i="6"/>
  <c r="CX135" i="6"/>
  <c r="CX38" i="6"/>
  <c r="CX72" i="6"/>
  <c r="CX214" i="6"/>
  <c r="CX36" i="6"/>
  <c r="CX178" i="6"/>
  <c r="CX50" i="6"/>
  <c r="CX197" i="6"/>
  <c r="CX44" i="6"/>
  <c r="CX88" i="6"/>
  <c r="CX191" i="6"/>
  <c r="CX98" i="6"/>
  <c r="CX234" i="6"/>
  <c r="CX251" i="6"/>
  <c r="CX31" i="6"/>
  <c r="CX125" i="6"/>
  <c r="CX241" i="6"/>
  <c r="CX250" i="6"/>
  <c r="CX170" i="6"/>
  <c r="CX70" i="6"/>
  <c r="CX238" i="6"/>
  <c r="CX186" i="6"/>
  <c r="CX230" i="6"/>
  <c r="CX190" i="6"/>
  <c r="CX255" i="6"/>
  <c r="CX157" i="6"/>
  <c r="CX64" i="6"/>
  <c r="CX174" i="6"/>
  <c r="CX124" i="6"/>
  <c r="CX46" i="6"/>
  <c r="CX43" i="6"/>
  <c r="CX184" i="6"/>
  <c r="CX154" i="6"/>
  <c r="CX199" i="6"/>
  <c r="CX203" i="6"/>
  <c r="CX32" i="6"/>
  <c r="CX194" i="6"/>
  <c r="CX252" i="6"/>
  <c r="CX152" i="6"/>
  <c r="CX95" i="6"/>
  <c r="CX236" i="6"/>
  <c r="CX39" i="6"/>
  <c r="CX28" i="6"/>
  <c r="CX101" i="6"/>
  <c r="CX207" i="6"/>
  <c r="CX61" i="6"/>
  <c r="CX27" i="6"/>
  <c r="CX173" i="6"/>
  <c r="CX249" i="6"/>
  <c r="CX193" i="6"/>
  <c r="CX117" i="6"/>
  <c r="CX123" i="6"/>
  <c r="CX196" i="6"/>
  <c r="CX86" i="6"/>
  <c r="CX107" i="6"/>
  <c r="CX220" i="6"/>
  <c r="CX167" i="6"/>
  <c r="CX76" i="6"/>
  <c r="CX256" i="6"/>
  <c r="CX93" i="6"/>
  <c r="CX137" i="6"/>
  <c r="CX138" i="6"/>
  <c r="CX128" i="6"/>
  <c r="CX232" i="6"/>
  <c r="CX149" i="6"/>
  <c r="CX29" i="6"/>
  <c r="CX139" i="6"/>
  <c r="CX164" i="6"/>
  <c r="CX227" i="6"/>
  <c r="CX118" i="6"/>
  <c r="CX90" i="6"/>
  <c r="CX112" i="6"/>
  <c r="CX189" i="6"/>
  <c r="CX223" i="6"/>
  <c r="CX35" i="6"/>
  <c r="CX141" i="6"/>
  <c r="CX63" i="6"/>
  <c r="CX100" i="6"/>
  <c r="CX54" i="6"/>
  <c r="CX225" i="6"/>
  <c r="CX34" i="6"/>
  <c r="CX56" i="6"/>
  <c r="CX215" i="6"/>
  <c r="CX52" i="6"/>
  <c r="CX217" i="6"/>
  <c r="CX185" i="6"/>
  <c r="CX136" i="6"/>
  <c r="CX226" i="6"/>
  <c r="CX177" i="6"/>
  <c r="CX106" i="6"/>
  <c r="CX171" i="6"/>
  <c r="CX229" i="6"/>
  <c r="CX85" i="6"/>
  <c r="CX45" i="6"/>
  <c r="CX204" i="6"/>
  <c r="CX246" i="6"/>
  <c r="CX162" i="6"/>
  <c r="CX132" i="6"/>
  <c r="CX218" i="6"/>
  <c r="CX244" i="6"/>
  <c r="CX239" i="6"/>
  <c r="CX104" i="6"/>
  <c r="CX84" i="6"/>
  <c r="CX247" i="6"/>
  <c r="CX245" i="6"/>
  <c r="CX206" i="6"/>
  <c r="CX133" i="6"/>
  <c r="CX26" i="6"/>
  <c r="CX209" i="6"/>
  <c r="CX172" i="6"/>
  <c r="CX114" i="6"/>
  <c r="CX129" i="6"/>
  <c r="CX68" i="6"/>
  <c r="CX144" i="6"/>
  <c r="CX96" i="6"/>
  <c r="CX74" i="6"/>
  <c r="CX159" i="6"/>
  <c r="CX91" i="6"/>
  <c r="CX176" i="6"/>
  <c r="CX155" i="6"/>
  <c r="CX145" i="6"/>
  <c r="CX143" i="6"/>
  <c r="DF143" i="6" l="1"/>
  <c r="DG143" i="6" s="1"/>
  <c r="CY143" i="6"/>
  <c r="CZ143" i="6" s="1"/>
  <c r="CY145" i="6"/>
  <c r="CZ145" i="6" s="1"/>
  <c r="DF145" i="6"/>
  <c r="DG145" i="6" s="1"/>
  <c r="DF155" i="6"/>
  <c r="DG155" i="6" s="1"/>
  <c r="CY155" i="6"/>
  <c r="CZ155" i="6" s="1"/>
  <c r="DF176" i="6"/>
  <c r="DG176" i="6" s="1"/>
  <c r="CY176" i="6"/>
  <c r="CZ176" i="6" s="1"/>
  <c r="CY91" i="6"/>
  <c r="CZ91" i="6" s="1"/>
  <c r="DF91" i="6"/>
  <c r="DG91" i="6" s="1"/>
  <c r="CY159" i="6"/>
  <c r="CZ159" i="6" s="1"/>
  <c r="DF159" i="6"/>
  <c r="DG159" i="6" s="1"/>
  <c r="DF74" i="6"/>
  <c r="DG74" i="6" s="1"/>
  <c r="CY74" i="6"/>
  <c r="CZ74" i="6" s="1"/>
  <c r="CY96" i="6"/>
  <c r="CZ96" i="6" s="1"/>
  <c r="DF96" i="6"/>
  <c r="DG96" i="6" s="1"/>
  <c r="CY144" i="6"/>
  <c r="CZ144" i="6" s="1"/>
  <c r="DF144" i="6"/>
  <c r="DG144" i="6" s="1"/>
  <c r="CY68" i="6"/>
  <c r="CZ68" i="6" s="1"/>
  <c r="DF68" i="6"/>
  <c r="DG68" i="6" s="1"/>
  <c r="CY129" i="6"/>
  <c r="CZ129" i="6" s="1"/>
  <c r="DF129" i="6"/>
  <c r="DG129" i="6" s="1"/>
  <c r="DF172" i="6"/>
  <c r="DG172" i="6" s="1"/>
  <c r="CY172" i="6"/>
  <c r="CZ172" i="6" s="1"/>
  <c r="DF209" i="6"/>
  <c r="DG209" i="6" s="1"/>
  <c r="CY209" i="6"/>
  <c r="CZ209" i="6" s="1"/>
  <c r="DF26" i="6"/>
  <c r="DG26" i="6" s="1"/>
  <c r="CY26" i="6"/>
  <c r="CZ26" i="6" s="1"/>
  <c r="DF133" i="6"/>
  <c r="DG133" i="6" s="1"/>
  <c r="CY133" i="6"/>
  <c r="CZ133" i="6" s="1"/>
  <c r="DF206" i="6"/>
  <c r="DG206" i="6" s="1"/>
  <c r="CY206" i="6"/>
  <c r="CZ206" i="6" s="1"/>
  <c r="CY245" i="6"/>
  <c r="CZ245" i="6" s="1"/>
  <c r="DF245" i="6"/>
  <c r="DG245" i="6" s="1"/>
  <c r="DF247" i="6"/>
  <c r="DG247" i="6" s="1"/>
  <c r="CY247" i="6"/>
  <c r="CZ247" i="6" s="1"/>
  <c r="DF84" i="6"/>
  <c r="DG84" i="6" s="1"/>
  <c r="CY84" i="6"/>
  <c r="CZ84" i="6" s="1"/>
  <c r="CY104" i="6"/>
  <c r="CZ104" i="6" s="1"/>
  <c r="DF104" i="6"/>
  <c r="DG104" i="6" s="1"/>
  <c r="DF239" i="6"/>
  <c r="DG239" i="6" s="1"/>
  <c r="CY239" i="6"/>
  <c r="CZ239" i="6" s="1"/>
  <c r="DF244" i="6"/>
  <c r="DG244" i="6" s="1"/>
  <c r="CY244" i="6"/>
  <c r="CZ244" i="6" s="1"/>
  <c r="CY218" i="6"/>
  <c r="CZ218" i="6" s="1"/>
  <c r="DF218" i="6"/>
  <c r="DG218" i="6" s="1"/>
  <c r="DF132" i="6"/>
  <c r="DG132" i="6" s="1"/>
  <c r="CY132" i="6"/>
  <c r="CZ132" i="6" s="1"/>
  <c r="DF162" i="6"/>
  <c r="DG162" i="6" s="1"/>
  <c r="CY162" i="6"/>
  <c r="CZ162" i="6" s="1"/>
  <c r="DF246" i="6"/>
  <c r="DG246" i="6" s="1"/>
  <c r="CY246" i="6"/>
  <c r="CZ246" i="6" s="1"/>
  <c r="DF45" i="6"/>
  <c r="DG45" i="6" s="1"/>
  <c r="CY45" i="6"/>
  <c r="CZ45" i="6" s="1"/>
  <c r="DF85" i="6"/>
  <c r="DG85" i="6" s="1"/>
  <c r="CY85" i="6"/>
  <c r="CZ85" i="6" s="1"/>
  <c r="DF229" i="6"/>
  <c r="DG229" i="6" s="1"/>
  <c r="CY229" i="6"/>
  <c r="CZ229" i="6" s="1"/>
  <c r="DF171" i="6"/>
  <c r="DG171" i="6" s="1"/>
  <c r="CY171" i="6"/>
  <c r="CZ171" i="6" s="1"/>
  <c r="DF106" i="6"/>
  <c r="DG106" i="6" s="1"/>
  <c r="CY106" i="6"/>
  <c r="CZ106" i="6" s="1"/>
  <c r="CY177" i="6"/>
  <c r="CZ177" i="6" s="1"/>
  <c r="DF177" i="6"/>
  <c r="DG177" i="6" s="1"/>
  <c r="DF226" i="6"/>
  <c r="DG226" i="6" s="1"/>
  <c r="CY226" i="6"/>
  <c r="CZ226" i="6" s="1"/>
  <c r="CY136" i="6"/>
  <c r="CZ136" i="6" s="1"/>
  <c r="DF136" i="6"/>
  <c r="DG136" i="6" s="1"/>
  <c r="DF217" i="6"/>
  <c r="DG217" i="6" s="1"/>
  <c r="CY217" i="6"/>
  <c r="CZ217" i="6" s="1"/>
  <c r="DF52" i="6"/>
  <c r="DG52" i="6" s="1"/>
  <c r="CY52" i="6"/>
  <c r="CZ52" i="6" s="1"/>
  <c r="DF215" i="6"/>
  <c r="DG215" i="6" s="1"/>
  <c r="CY215" i="6"/>
  <c r="CZ215" i="6" s="1"/>
  <c r="CY56" i="6"/>
  <c r="CZ56" i="6" s="1"/>
  <c r="DF56" i="6"/>
  <c r="DG56" i="6" s="1"/>
  <c r="DF34" i="6"/>
  <c r="DG34" i="6" s="1"/>
  <c r="CY34" i="6"/>
  <c r="CZ34" i="6" s="1"/>
  <c r="DF225" i="6"/>
  <c r="DG225" i="6" s="1"/>
  <c r="CY225" i="6"/>
  <c r="CZ225" i="6" s="1"/>
  <c r="CY54" i="6"/>
  <c r="CZ54" i="6" s="1"/>
  <c r="DF54" i="6"/>
  <c r="DG54" i="6" s="1"/>
  <c r="DF100" i="6"/>
  <c r="DG100" i="6" s="1"/>
  <c r="CY100" i="6"/>
  <c r="CZ100" i="6" s="1"/>
  <c r="CY63" i="6"/>
  <c r="CZ63" i="6" s="1"/>
  <c r="DF63" i="6"/>
  <c r="DG63" i="6" s="1"/>
  <c r="CY141" i="6"/>
  <c r="CZ141" i="6" s="1"/>
  <c r="DF141" i="6"/>
  <c r="DG141" i="6" s="1"/>
  <c r="DF223" i="6"/>
  <c r="DG223" i="6" s="1"/>
  <c r="CY223" i="6"/>
  <c r="CZ223" i="6" s="1"/>
  <c r="DF189" i="6"/>
  <c r="DG189" i="6" s="1"/>
  <c r="CY189" i="6"/>
  <c r="CZ189" i="6" s="1"/>
  <c r="CY112" i="6"/>
  <c r="CZ112" i="6" s="1"/>
  <c r="DF112" i="6"/>
  <c r="DG112" i="6" s="1"/>
  <c r="CY90" i="6"/>
  <c r="CZ90" i="6" s="1"/>
  <c r="DF90" i="6"/>
  <c r="DG90" i="6" s="1"/>
  <c r="CY118" i="6"/>
  <c r="CZ118" i="6" s="1"/>
  <c r="DF118" i="6"/>
  <c r="DG118" i="6" s="1"/>
  <c r="CY227" i="6"/>
  <c r="CZ227" i="6" s="1"/>
  <c r="DF227" i="6"/>
  <c r="DG227" i="6" s="1"/>
  <c r="DF164" i="6"/>
  <c r="DG164" i="6" s="1"/>
  <c r="CY164" i="6"/>
  <c r="CZ164" i="6" s="1"/>
  <c r="CY139" i="6"/>
  <c r="CZ139" i="6" s="1"/>
  <c r="DF139" i="6"/>
  <c r="DG139" i="6" s="1"/>
  <c r="CY149" i="6"/>
  <c r="CZ149" i="6" s="1"/>
  <c r="DF149" i="6"/>
  <c r="DG149" i="6" s="1"/>
  <c r="DF232" i="6"/>
  <c r="DG232" i="6" s="1"/>
  <c r="CY232" i="6"/>
  <c r="CZ232" i="6" s="1"/>
  <c r="DF128" i="6"/>
  <c r="DG128" i="6" s="1"/>
  <c r="CY128" i="6"/>
  <c r="CZ128" i="6" s="1"/>
  <c r="CY138" i="6"/>
  <c r="CZ138" i="6" s="1"/>
  <c r="DF138" i="6"/>
  <c r="DG138" i="6" s="1"/>
  <c r="CY137" i="6"/>
  <c r="CZ137" i="6" s="1"/>
  <c r="DF137" i="6"/>
  <c r="DG137" i="6" s="1"/>
  <c r="DF93" i="6"/>
  <c r="DG93" i="6" s="1"/>
  <c r="CY93" i="6"/>
  <c r="CZ93" i="6" s="1"/>
  <c r="CY256" i="6"/>
  <c r="CZ256" i="6" s="1"/>
  <c r="DF256" i="6"/>
  <c r="DG256" i="6" s="1"/>
  <c r="CY76" i="6"/>
  <c r="CZ76" i="6" s="1"/>
  <c r="DF76" i="6"/>
  <c r="DG76" i="6" s="1"/>
  <c r="CY167" i="6"/>
  <c r="CZ167" i="6" s="1"/>
  <c r="DF167" i="6"/>
  <c r="DG167" i="6" s="1"/>
  <c r="DF220" i="6"/>
  <c r="DG220" i="6" s="1"/>
  <c r="CY220" i="6"/>
  <c r="CZ220" i="6" s="1"/>
  <c r="CY86" i="6"/>
  <c r="CZ86" i="6" s="1"/>
  <c r="DF86" i="6"/>
  <c r="DG86" i="6" s="1"/>
  <c r="CY196" i="6"/>
  <c r="CZ196" i="6" s="1"/>
  <c r="DF196" i="6"/>
  <c r="DG196" i="6" s="1"/>
  <c r="DF123" i="6"/>
  <c r="DG123" i="6" s="1"/>
  <c r="CY123" i="6"/>
  <c r="CZ123" i="6" s="1"/>
  <c r="DF117" i="6"/>
  <c r="DG117" i="6" s="1"/>
  <c r="CY117" i="6"/>
  <c r="CZ117" i="6" s="1"/>
  <c r="CY249" i="6"/>
  <c r="CZ249" i="6" s="1"/>
  <c r="DF249" i="6"/>
  <c r="DG249" i="6" s="1"/>
  <c r="DF173" i="6"/>
  <c r="DG173" i="6" s="1"/>
  <c r="CY173" i="6"/>
  <c r="CZ173" i="6" s="1"/>
  <c r="DF27" i="6"/>
  <c r="DG27" i="6" s="1"/>
  <c r="CY27" i="6"/>
  <c r="CZ27" i="6" s="1"/>
  <c r="CY61" i="6"/>
  <c r="CZ61" i="6" s="1"/>
  <c r="DF61" i="6"/>
  <c r="DG61" i="6" s="1"/>
  <c r="DF207" i="6"/>
  <c r="DG207" i="6" s="1"/>
  <c r="CY207" i="6"/>
  <c r="CZ207" i="6" s="1"/>
  <c r="DF101" i="6"/>
  <c r="DG101" i="6" s="1"/>
  <c r="CY101" i="6"/>
  <c r="CZ101" i="6" s="1"/>
  <c r="CY28" i="6"/>
  <c r="CZ28" i="6" s="1"/>
  <c r="DF28" i="6"/>
  <c r="DG28" i="6" s="1"/>
  <c r="DF39" i="6"/>
  <c r="DG39" i="6" s="1"/>
  <c r="CY39" i="6"/>
  <c r="CZ39" i="6" s="1"/>
  <c r="DF236" i="6"/>
  <c r="DG236" i="6" s="1"/>
  <c r="CY236" i="6"/>
  <c r="CZ236" i="6" s="1"/>
  <c r="DF95" i="6"/>
  <c r="DG95" i="6" s="1"/>
  <c r="CY95" i="6"/>
  <c r="CZ95" i="6" s="1"/>
  <c r="CY152" i="6"/>
  <c r="CZ152" i="6" s="1"/>
  <c r="DF152" i="6"/>
  <c r="DG152" i="6" s="1"/>
  <c r="DF252" i="6"/>
  <c r="DG252" i="6" s="1"/>
  <c r="CY252" i="6"/>
  <c r="CZ252" i="6" s="1"/>
  <c r="CY194" i="6"/>
  <c r="CZ194" i="6" s="1"/>
  <c r="DF194" i="6"/>
  <c r="DG194" i="6" s="1"/>
  <c r="CY32" i="6"/>
  <c r="CZ32" i="6" s="1"/>
  <c r="DF32" i="6"/>
  <c r="DG32" i="6" s="1"/>
  <c r="CY154" i="6"/>
  <c r="CZ154" i="6" s="1"/>
  <c r="DF154" i="6"/>
  <c r="DG154" i="6" s="1"/>
  <c r="DF184" i="6"/>
  <c r="DG184" i="6" s="1"/>
  <c r="CY184" i="6"/>
  <c r="CZ184" i="6" s="1"/>
  <c r="CY46" i="6"/>
  <c r="CZ46" i="6" s="1"/>
  <c r="DF46" i="6"/>
  <c r="DG46" i="6" s="1"/>
  <c r="DF124" i="6"/>
  <c r="DG124" i="6" s="1"/>
  <c r="CY124" i="6"/>
  <c r="CZ124" i="6" s="1"/>
  <c r="DF174" i="6"/>
  <c r="DG174" i="6" s="1"/>
  <c r="CY174" i="6"/>
  <c r="CZ174" i="6" s="1"/>
  <c r="DF64" i="6"/>
  <c r="DG64" i="6" s="1"/>
  <c r="CY64" i="6"/>
  <c r="CZ64" i="6" s="1"/>
  <c r="DF157" i="6"/>
  <c r="DG157" i="6" s="1"/>
  <c r="CY157" i="6"/>
  <c r="CZ157" i="6" s="1"/>
  <c r="DF255" i="6"/>
  <c r="DG255" i="6" s="1"/>
  <c r="CY255" i="6"/>
  <c r="CZ255" i="6" s="1"/>
  <c r="CY190" i="6"/>
  <c r="CZ190" i="6" s="1"/>
  <c r="DF190" i="6"/>
  <c r="DG190" i="6" s="1"/>
  <c r="CY230" i="6"/>
  <c r="CZ230" i="6" s="1"/>
  <c r="DF230" i="6"/>
  <c r="DG230" i="6" s="1"/>
  <c r="CY238" i="6"/>
  <c r="CZ238" i="6" s="1"/>
  <c r="DF238" i="6"/>
  <c r="DG238" i="6" s="1"/>
  <c r="CY70" i="6"/>
  <c r="CZ70" i="6" s="1"/>
  <c r="DF70" i="6"/>
  <c r="DG70" i="6" s="1"/>
  <c r="CY170" i="6"/>
  <c r="CZ170" i="6" s="1"/>
  <c r="DF170" i="6"/>
  <c r="DG170" i="6" s="1"/>
  <c r="CY250" i="6"/>
  <c r="CZ250" i="6" s="1"/>
  <c r="DF250" i="6"/>
  <c r="DG250" i="6" s="1"/>
  <c r="DF241" i="6"/>
  <c r="DG241" i="6" s="1"/>
  <c r="CY241" i="6"/>
  <c r="CZ241" i="6" s="1"/>
  <c r="CY251" i="6"/>
  <c r="CZ251" i="6" s="1"/>
  <c r="DF251" i="6"/>
  <c r="DG251" i="6" s="1"/>
  <c r="CY234" i="6"/>
  <c r="CZ234" i="6" s="1"/>
  <c r="DF234" i="6"/>
  <c r="DG234" i="6" s="1"/>
  <c r="DF98" i="6"/>
  <c r="DG98" i="6" s="1"/>
  <c r="CY98" i="6"/>
  <c r="CZ98" i="6" s="1"/>
  <c r="CY88" i="6"/>
  <c r="CZ88" i="6" s="1"/>
  <c r="DF88" i="6"/>
  <c r="DG88" i="6" s="1"/>
  <c r="CY44" i="6"/>
  <c r="CZ44" i="6" s="1"/>
  <c r="DF44" i="6"/>
  <c r="DG44" i="6" s="1"/>
  <c r="CY50" i="6"/>
  <c r="CZ50" i="6" s="1"/>
  <c r="DF50" i="6"/>
  <c r="DG50" i="6" s="1"/>
  <c r="CY178" i="6"/>
  <c r="CZ178" i="6" s="1"/>
  <c r="DF178" i="6"/>
  <c r="DG178" i="6" s="1"/>
  <c r="CY214" i="6"/>
  <c r="CZ214" i="6" s="1"/>
  <c r="DF214" i="6"/>
  <c r="DG214" i="6" s="1"/>
  <c r="DF72" i="6"/>
  <c r="DG72" i="6" s="1"/>
  <c r="CY72" i="6"/>
  <c r="CZ72" i="6" s="1"/>
  <c r="CY38" i="6"/>
  <c r="CZ38" i="6" s="1"/>
  <c r="DF38" i="6"/>
  <c r="DG38" i="6" s="1"/>
  <c r="CY135" i="6"/>
  <c r="CZ135" i="6" s="1"/>
  <c r="DF135" i="6"/>
  <c r="DG135" i="6" s="1"/>
  <c r="CY168" i="6"/>
  <c r="CZ168" i="6" s="1"/>
  <c r="DF168" i="6"/>
  <c r="DG168" i="6" s="1"/>
  <c r="CY147" i="6"/>
  <c r="CZ147" i="6" s="1"/>
  <c r="DF147" i="6"/>
  <c r="DG147" i="6" s="1"/>
  <c r="DF67" i="6"/>
  <c r="DG67" i="6" s="1"/>
  <c r="CY67" i="6"/>
  <c r="CZ67" i="6" s="1"/>
  <c r="CY221" i="6"/>
  <c r="CZ221" i="6" s="1"/>
  <c r="DF221" i="6"/>
  <c r="DG221" i="6" s="1"/>
  <c r="DF33" i="6"/>
  <c r="DG33" i="6" s="1"/>
  <c r="CY33" i="6"/>
  <c r="CZ33" i="6" s="1"/>
  <c r="DF224" i="6"/>
  <c r="DG224" i="6" s="1"/>
  <c r="CY224" i="6"/>
  <c r="CZ224" i="6" s="1"/>
  <c r="DF212" i="6"/>
  <c r="DG212" i="6" s="1"/>
  <c r="CY212" i="6"/>
  <c r="CZ212" i="6" s="1"/>
  <c r="DF65" i="6"/>
  <c r="DG65" i="6" s="1"/>
  <c r="CY65" i="6"/>
  <c r="CZ65" i="6" s="1"/>
  <c r="DF66" i="6"/>
  <c r="DG66" i="6" s="1"/>
  <c r="CY66" i="6"/>
  <c r="CZ66" i="6" s="1"/>
  <c r="CY183" i="6"/>
  <c r="CZ183" i="6" s="1"/>
  <c r="DF183" i="6"/>
  <c r="DG183" i="6" s="1"/>
  <c r="CY180" i="6"/>
  <c r="CZ180" i="6" s="1"/>
  <c r="DF180" i="6"/>
  <c r="DG180" i="6" s="1"/>
  <c r="DF146" i="6"/>
  <c r="DG146" i="6" s="1"/>
  <c r="CY146" i="6"/>
  <c r="CZ146" i="6" s="1"/>
  <c r="CY87" i="6"/>
  <c r="CZ87" i="6" s="1"/>
  <c r="DF87" i="6"/>
  <c r="DG87" i="6" s="1"/>
  <c r="CY89" i="6"/>
  <c r="CZ89" i="6" s="1"/>
  <c r="DF89" i="6"/>
  <c r="DG89" i="6" s="1"/>
  <c r="DF201" i="6"/>
  <c r="DG201" i="6" s="1"/>
  <c r="CY201" i="6"/>
  <c r="CZ201" i="6" s="1"/>
  <c r="CY58" i="6"/>
  <c r="CZ58" i="6" s="1"/>
  <c r="DF58" i="6"/>
  <c r="DG58" i="6" s="1"/>
  <c r="DF195" i="6"/>
  <c r="DG195" i="6" s="1"/>
  <c r="CY195" i="6"/>
  <c r="CZ195" i="6" s="1"/>
  <c r="CY83" i="6"/>
  <c r="CZ83" i="6" s="1"/>
  <c r="DF83" i="6"/>
  <c r="DG83" i="6" s="1"/>
  <c r="CY53" i="6"/>
  <c r="CZ53" i="6" s="1"/>
  <c r="DF53" i="6"/>
  <c r="DG53" i="6" s="1"/>
  <c r="CY60" i="6"/>
  <c r="CZ60" i="6" s="1"/>
  <c r="DF60" i="6"/>
  <c r="DG60" i="6" s="1"/>
  <c r="CY142" i="6"/>
  <c r="CZ142" i="6" s="1"/>
  <c r="DF142" i="6"/>
  <c r="DG142" i="6" s="1"/>
  <c r="DF75" i="6"/>
  <c r="DG75" i="6" s="1"/>
  <c r="CY75" i="6"/>
  <c r="CZ75" i="6" s="1"/>
  <c r="DF242" i="6"/>
  <c r="DG242" i="6" s="1"/>
  <c r="CY242" i="6"/>
  <c r="CZ242" i="6" s="1"/>
  <c r="CY59" i="6"/>
  <c r="CZ59" i="6" s="1"/>
  <c r="DF59" i="6"/>
  <c r="DG59" i="6" s="1"/>
  <c r="CY134" i="6"/>
  <c r="CZ134" i="6" s="1"/>
  <c r="DF134" i="6"/>
  <c r="DG134" i="6" s="1"/>
  <c r="CY103" i="6"/>
  <c r="CZ103" i="6" s="1"/>
  <c r="DF103" i="6"/>
  <c r="DG103" i="6" s="1"/>
  <c r="CY160" i="6"/>
  <c r="CZ160" i="6" s="1"/>
  <c r="DF160" i="6"/>
  <c r="DG160" i="6" s="1"/>
  <c r="CY175" i="6"/>
  <c r="CZ175" i="6" s="1"/>
  <c r="DF175" i="6"/>
  <c r="DG175" i="6" s="1"/>
  <c r="DF208" i="6"/>
  <c r="DG208" i="6" s="1"/>
  <c r="CY208" i="6"/>
  <c r="CZ208" i="6" s="1"/>
  <c r="DF62" i="6"/>
  <c r="DG62" i="6" s="1"/>
  <c r="CY62" i="6"/>
  <c r="CZ62" i="6" s="1"/>
  <c r="CY216" i="6"/>
  <c r="CZ216" i="6" s="1"/>
  <c r="DF216" i="6"/>
  <c r="DG216" i="6" s="1"/>
  <c r="DF231" i="6"/>
  <c r="DG231" i="6" s="1"/>
  <c r="CY231" i="6"/>
  <c r="CZ231" i="6" s="1"/>
  <c r="DF40" i="6"/>
  <c r="DG40" i="6" s="1"/>
  <c r="CY40" i="6"/>
  <c r="CZ40" i="6" s="1"/>
  <c r="DF105" i="6"/>
  <c r="DG105" i="6" s="1"/>
  <c r="CY105" i="6"/>
  <c r="CZ105" i="6" s="1"/>
  <c r="CY219" i="6"/>
  <c r="CZ219" i="6" s="1"/>
  <c r="DF219" i="6"/>
  <c r="DG219" i="6" s="1"/>
  <c r="CY213" i="6"/>
  <c r="CZ213" i="6" s="1"/>
  <c r="DF213" i="6"/>
  <c r="DG213" i="6" s="1"/>
  <c r="DF254" i="6"/>
  <c r="DG254" i="6" s="1"/>
  <c r="CY254" i="6"/>
  <c r="CZ254" i="6" s="1"/>
  <c r="CY182" i="6"/>
  <c r="CZ182" i="6" s="1"/>
  <c r="DF182" i="6"/>
  <c r="DG182" i="6" s="1"/>
  <c r="DF57" i="6"/>
  <c r="DG57" i="6" s="1"/>
  <c r="CY57" i="6"/>
  <c r="CZ57" i="6" s="1"/>
  <c r="CY156" i="6"/>
  <c r="CZ156" i="6" s="1"/>
  <c r="DF156" i="6"/>
  <c r="DG156" i="6" s="1"/>
  <c r="CY211" i="6"/>
  <c r="CZ211" i="6" s="1"/>
  <c r="DF211" i="6"/>
  <c r="DG211" i="6" s="1"/>
  <c r="DF188" i="6"/>
  <c r="DG188" i="6" s="1"/>
  <c r="CY188" i="6"/>
  <c r="CZ188" i="6" s="1"/>
  <c r="DF240" i="6"/>
  <c r="DG240" i="6" s="1"/>
  <c r="CY240" i="6"/>
  <c r="CZ240" i="6" s="1"/>
  <c r="DF150" i="6"/>
  <c r="DG150" i="6" s="1"/>
  <c r="CY150" i="6"/>
  <c r="CZ150" i="6" s="1"/>
  <c r="CY25" i="6"/>
  <c r="CZ25" i="6" s="1"/>
  <c r="DF25" i="6"/>
  <c r="DG25" i="6" s="1"/>
  <c r="CY71" i="6"/>
  <c r="CZ71" i="6" s="1"/>
  <c r="DF71" i="6"/>
  <c r="DG71" i="6" s="1"/>
  <c r="DF161" i="6"/>
  <c r="DG161" i="6" s="1"/>
  <c r="CY161" i="6"/>
  <c r="CZ161" i="6" s="1"/>
  <c r="CY153" i="6"/>
  <c r="CZ153" i="6" s="1"/>
  <c r="DF153" i="6"/>
  <c r="DG153" i="6" s="1"/>
  <c r="DF79" i="6"/>
  <c r="DG79" i="6" s="1"/>
  <c r="CY79" i="6"/>
  <c r="CZ79" i="6" s="1"/>
  <c r="CY111" i="6"/>
  <c r="CZ111" i="6" s="1"/>
  <c r="DF111" i="6"/>
  <c r="DG111" i="6" s="1"/>
  <c r="CY228" i="6"/>
  <c r="CZ228" i="6" s="1"/>
  <c r="DF228" i="6"/>
  <c r="DG228" i="6" s="1"/>
  <c r="DF131" i="6"/>
  <c r="DG131" i="6" s="1"/>
  <c r="CY131" i="6"/>
  <c r="CZ131" i="6" s="1"/>
  <c r="CY78" i="6"/>
  <c r="CZ78" i="6" s="1"/>
  <c r="DF78" i="6"/>
  <c r="DG78" i="6" s="1"/>
  <c r="CY102" i="6"/>
  <c r="CZ102" i="6" s="1"/>
  <c r="DF102" i="6"/>
  <c r="DG102" i="6" s="1"/>
  <c r="DF163" i="6"/>
  <c r="DG163" i="6" s="1"/>
  <c r="CY163" i="6"/>
  <c r="CZ163" i="6" s="1"/>
  <c r="DF151" i="6"/>
  <c r="DG151" i="6" s="1"/>
  <c r="CY151" i="6"/>
  <c r="CZ151" i="6" s="1"/>
  <c r="CY202" i="6"/>
  <c r="CZ202" i="6" s="1"/>
  <c r="DF202" i="6"/>
  <c r="DG202" i="6" s="1"/>
  <c r="CY140" i="6"/>
  <c r="CZ140" i="6" s="1"/>
  <c r="DF140" i="6"/>
  <c r="DG140" i="6" s="1"/>
  <c r="CY92" i="6"/>
  <c r="CZ92" i="6" s="1"/>
  <c r="DF92" i="6"/>
  <c r="DG92" i="6" s="1"/>
  <c r="DF237" i="6"/>
  <c r="DG237" i="6" s="1"/>
  <c r="CY237" i="6"/>
  <c r="CZ237" i="6" s="1"/>
  <c r="CY82" i="6"/>
  <c r="CZ82" i="6" s="1"/>
  <c r="DF82" i="6"/>
  <c r="DG82" i="6" s="1"/>
  <c r="CY73" i="6"/>
  <c r="CZ73" i="6" s="1"/>
  <c r="DF73" i="6"/>
  <c r="DG73" i="6" s="1"/>
  <c r="CY165" i="6"/>
  <c r="CZ165" i="6" s="1"/>
  <c r="DF165" i="6"/>
  <c r="DG165" i="6" s="1"/>
  <c r="DF222" i="6"/>
  <c r="DG222" i="6" s="1"/>
  <c r="CY222" i="6"/>
  <c r="CZ222" i="6" s="1"/>
  <c r="CY235" i="6"/>
  <c r="CZ235" i="6" s="1"/>
  <c r="DF235" i="6"/>
  <c r="DG235" i="6" s="1"/>
  <c r="CY51" i="6"/>
  <c r="CZ51" i="6" s="1"/>
  <c r="DF51" i="6"/>
  <c r="DG51" i="6" s="1"/>
  <c r="DF181" i="6"/>
  <c r="DG181" i="6" s="1"/>
  <c r="CY181" i="6"/>
  <c r="CZ181" i="6" s="1"/>
  <c r="CY97" i="6"/>
  <c r="CZ97" i="6" s="1"/>
  <c r="DF97" i="6"/>
  <c r="DG97" i="6" s="1"/>
  <c r="CY94" i="6"/>
  <c r="CZ94" i="6" s="1"/>
  <c r="DF94" i="6"/>
  <c r="DG94" i="6" s="1"/>
  <c r="CY210" i="6"/>
  <c r="CZ210" i="6" s="1"/>
  <c r="DF210" i="6"/>
  <c r="DG210" i="6" s="1"/>
  <c r="DF99" i="6"/>
  <c r="DG99" i="6" s="1"/>
  <c r="CY99" i="6"/>
  <c r="CZ99" i="6" s="1"/>
  <c r="DF243" i="6"/>
  <c r="DG243" i="6" s="1"/>
  <c r="CY243" i="6"/>
  <c r="CZ243" i="6" s="1"/>
  <c r="DF166" i="6"/>
  <c r="DG166" i="6" s="1"/>
  <c r="CY166" i="6"/>
  <c r="CZ166" i="6" s="1"/>
  <c r="DF55" i="6"/>
  <c r="DG55" i="6" s="1"/>
  <c r="CY55" i="6"/>
  <c r="CZ55" i="6" s="1"/>
  <c r="CY169" i="6"/>
  <c r="CZ169" i="6" s="1"/>
  <c r="DF169" i="6"/>
  <c r="DG169" i="6" s="1"/>
  <c r="DF77" i="6"/>
  <c r="DG77" i="6" s="1"/>
  <c r="CY77" i="6"/>
  <c r="CZ77" i="6" s="1"/>
  <c r="CY110" i="6"/>
  <c r="CZ110" i="6" s="1"/>
  <c r="DF110" i="6"/>
  <c r="DG110" i="6" s="1"/>
  <c r="DF253" i="6"/>
  <c r="DG253" i="6" s="1"/>
  <c r="CY253" i="6"/>
  <c r="CZ253" i="6" s="1"/>
  <c r="CY179" i="6"/>
  <c r="CZ179" i="6" s="1"/>
  <c r="DF179" i="6"/>
  <c r="DG179" i="6" s="1"/>
  <c r="DF200" i="6"/>
  <c r="DG200" i="6" s="1"/>
  <c r="CY200" i="6"/>
  <c r="CZ200" i="6" s="1"/>
  <c r="DF158" i="6"/>
  <c r="DG158" i="6" s="1"/>
  <c r="CY158" i="6"/>
  <c r="CZ158" i="6" s="1"/>
  <c r="DF248" i="6"/>
  <c r="DG248" i="6" s="1"/>
  <c r="CY248" i="6"/>
  <c r="CZ248" i="6" s="1"/>
  <c r="DF116" i="6"/>
  <c r="DG116" i="6" s="1"/>
  <c r="CY116" i="6"/>
  <c r="CZ116" i="6" s="1"/>
  <c r="CY122" i="6"/>
  <c r="CZ122" i="6" s="1"/>
  <c r="DF122" i="6"/>
  <c r="DG122" i="6" s="1"/>
  <c r="CY80" i="6"/>
  <c r="CZ80" i="6" s="1"/>
  <c r="DF80" i="6"/>
  <c r="DG80" i="6" s="1"/>
  <c r="CY24" i="6"/>
  <c r="CZ24" i="6" s="1"/>
  <c r="DF24" i="6"/>
  <c r="DG24" i="6" s="1"/>
  <c r="CY130" i="6"/>
  <c r="CZ130" i="6" s="1"/>
  <c r="DF130" i="6"/>
  <c r="DG130" i="6" s="1"/>
  <c r="CY148" i="6"/>
  <c r="CZ148" i="6" s="1"/>
  <c r="DF148" i="6"/>
  <c r="DG148" i="6" s="1"/>
  <c r="DF233" i="6"/>
  <c r="DG233" i="6" s="1"/>
  <c r="CY233" i="6"/>
  <c r="CZ233" i="6" s="1"/>
  <c r="CY81" i="6"/>
  <c r="CZ81" i="6" s="1"/>
  <c r="DF81" i="6"/>
  <c r="DG81" i="6" s="1"/>
  <c r="DF69" i="6"/>
  <c r="DG69" i="6" s="1"/>
  <c r="CY69" i="6"/>
  <c r="CZ69" i="6" s="1"/>
  <c r="CA126" i="6"/>
  <c r="BZ126" i="6"/>
  <c r="BY126" i="6"/>
  <c r="BX126" i="6"/>
  <c r="BZ152" i="6"/>
  <c r="CA152" i="6"/>
  <c r="BX152" i="6"/>
  <c r="BY152" i="6"/>
  <c r="CA234" i="6"/>
  <c r="BY234" i="6"/>
  <c r="BX234" i="6"/>
  <c r="BZ234" i="6"/>
  <c r="BY188" i="6"/>
  <c r="BZ188" i="6"/>
  <c r="BX188" i="6"/>
  <c r="CA188" i="6"/>
  <c r="BZ162" i="6"/>
  <c r="CA162" i="6"/>
  <c r="BY162" i="6"/>
  <c r="BX162" i="6"/>
  <c r="CA38" i="6"/>
  <c r="BZ38" i="6"/>
  <c r="BY38" i="6"/>
  <c r="BX38" i="6"/>
  <c r="BY128" i="6"/>
  <c r="BZ128" i="6"/>
  <c r="CA128" i="6"/>
  <c r="BX128" i="6"/>
  <c r="BY179" i="6"/>
  <c r="BX179" i="6"/>
  <c r="BZ179" i="6"/>
  <c r="CA179" i="6"/>
  <c r="BZ198" i="6"/>
  <c r="CA198" i="6"/>
  <c r="BY198" i="6"/>
  <c r="BX198" i="6"/>
  <c r="BX25" i="6"/>
  <c r="BY25" i="6"/>
  <c r="BZ25" i="6"/>
  <c r="CA25" i="6"/>
  <c r="CA24" i="6"/>
  <c r="BX24" i="6"/>
  <c r="BY24" i="6"/>
  <c r="BZ24" i="6"/>
  <c r="BY155" i="6"/>
  <c r="CA155" i="6"/>
  <c r="BX155" i="6"/>
  <c r="BZ155" i="6"/>
  <c r="CA63" i="6"/>
  <c r="BY63" i="6"/>
  <c r="BX63" i="6"/>
  <c r="BZ63" i="6"/>
  <c r="BX190" i="6"/>
  <c r="BZ190" i="6"/>
  <c r="CA190" i="6"/>
  <c r="BY190" i="6"/>
  <c r="CA153" i="6"/>
  <c r="BY153" i="6"/>
  <c r="BZ153" i="6"/>
  <c r="BX153" i="6"/>
  <c r="BZ45" i="6"/>
  <c r="BY45" i="6"/>
  <c r="CA45" i="6"/>
  <c r="BX45" i="6"/>
  <c r="CA27" i="6"/>
  <c r="BX27" i="6"/>
  <c r="BY27" i="6"/>
  <c r="BZ27" i="6"/>
  <c r="CA99" i="6"/>
  <c r="BY99" i="6"/>
  <c r="BZ99" i="6"/>
  <c r="BX99" i="6"/>
  <c r="BZ218" i="6"/>
  <c r="BY218" i="6"/>
  <c r="CA218" i="6"/>
  <c r="BX218" i="6"/>
  <c r="BX212" i="6"/>
  <c r="CM86" i="6"/>
  <c r="DI86" i="6"/>
  <c r="CM202" i="6"/>
  <c r="DI202" i="6"/>
  <c r="CM181" i="6"/>
  <c r="DI181" i="6"/>
  <c r="CM162" i="6"/>
  <c r="DI162" i="6"/>
  <c r="CM33" i="6"/>
  <c r="DI33" i="6"/>
  <c r="CM166" i="6"/>
  <c r="DI166" i="6"/>
  <c r="CM88" i="6"/>
  <c r="DI88" i="6"/>
  <c r="CM75" i="6"/>
  <c r="DI75" i="6"/>
  <c r="CM58" i="6"/>
  <c r="DI58" i="6"/>
  <c r="CM50" i="6"/>
  <c r="DI50" i="6"/>
  <c r="CM27" i="6"/>
  <c r="DI27" i="6"/>
  <c r="CM139" i="6"/>
  <c r="DI139" i="6"/>
  <c r="BX224" i="6"/>
  <c r="BY224" i="6"/>
  <c r="CA224" i="6"/>
  <c r="BZ224" i="6"/>
  <c r="BX191" i="6"/>
  <c r="BZ191" i="6"/>
  <c r="BY191" i="6"/>
  <c r="CA191" i="6"/>
  <c r="CA245" i="6"/>
  <c r="BZ245" i="6"/>
  <c r="BY245" i="6"/>
  <c r="BX245" i="6"/>
  <c r="CA109" i="6"/>
  <c r="BZ109" i="6"/>
  <c r="BY109" i="6"/>
  <c r="BX109" i="6"/>
  <c r="CA221" i="6"/>
  <c r="BX221" i="6"/>
  <c r="BZ221" i="6"/>
  <c r="BY221" i="6"/>
  <c r="BY220" i="6"/>
  <c r="BZ220" i="6"/>
  <c r="CA220" i="6"/>
  <c r="BX220" i="6"/>
  <c r="CA141" i="6"/>
  <c r="BZ141" i="6"/>
  <c r="BX141" i="6"/>
  <c r="BY141" i="6"/>
  <c r="CA238" i="6"/>
  <c r="BZ238" i="6"/>
  <c r="BY238" i="6"/>
  <c r="BX238" i="6"/>
  <c r="CA125" i="6"/>
  <c r="BZ125" i="6"/>
  <c r="BY125" i="6"/>
  <c r="BX125" i="6"/>
  <c r="CA211" i="6"/>
  <c r="BX211" i="6"/>
  <c r="BY211" i="6"/>
  <c r="BZ211" i="6"/>
  <c r="CA144" i="6"/>
  <c r="BY144" i="6"/>
  <c r="BX144" i="6"/>
  <c r="BZ144" i="6"/>
  <c r="BY240" i="6"/>
  <c r="BX240" i="6"/>
  <c r="CA240" i="6"/>
  <c r="BZ240" i="6"/>
  <c r="CM176" i="6"/>
  <c r="DI176" i="6"/>
  <c r="CM138" i="6"/>
  <c r="DI138" i="6"/>
  <c r="CM208" i="6"/>
  <c r="DI208" i="6"/>
  <c r="CM56" i="6"/>
  <c r="DI56" i="6"/>
  <c r="CM103" i="6"/>
  <c r="DI103" i="6"/>
  <c r="CM112" i="6"/>
  <c r="DI112" i="6"/>
  <c r="CM225" i="6"/>
  <c r="DI225" i="6"/>
  <c r="CM111" i="6"/>
  <c r="DI111" i="6"/>
  <c r="DI105" i="6"/>
  <c r="CM105" i="6"/>
  <c r="CM91" i="6"/>
  <c r="DI91" i="6"/>
  <c r="CM143" i="6"/>
  <c r="DI143" i="6"/>
  <c r="CM253" i="6"/>
  <c r="DI253" i="6"/>
  <c r="BY84" i="6"/>
  <c r="BX84" i="6"/>
  <c r="CA84" i="6"/>
  <c r="BZ84" i="6"/>
  <c r="BY171" i="6"/>
  <c r="CA171" i="6"/>
  <c r="BZ171" i="6"/>
  <c r="BX171" i="6"/>
  <c r="BX93" i="6"/>
  <c r="CA93" i="6"/>
  <c r="BZ93" i="6"/>
  <c r="BY93" i="6"/>
  <c r="BY239" i="6"/>
  <c r="BZ239" i="6"/>
  <c r="CA239" i="6"/>
  <c r="BX239" i="6"/>
  <c r="BZ228" i="6"/>
  <c r="BY228" i="6"/>
  <c r="BX228" i="6"/>
  <c r="CA228" i="6"/>
  <c r="BX203" i="6"/>
  <c r="CA203" i="6"/>
  <c r="BZ203" i="6"/>
  <c r="BY203" i="6"/>
  <c r="BX62" i="6"/>
  <c r="CA62" i="6"/>
  <c r="BZ62" i="6"/>
  <c r="BY62" i="6"/>
  <c r="CA123" i="6"/>
  <c r="BZ123" i="6"/>
  <c r="BY123" i="6"/>
  <c r="BX123" i="6"/>
  <c r="CA197" i="6"/>
  <c r="BZ197" i="6"/>
  <c r="BX197" i="6"/>
  <c r="BY197" i="6"/>
  <c r="BX175" i="6"/>
  <c r="BZ175" i="6"/>
  <c r="CA175" i="6"/>
  <c r="BY175" i="6"/>
  <c r="CA235" i="6"/>
  <c r="BX235" i="6"/>
  <c r="BY235" i="6"/>
  <c r="BZ235" i="6"/>
  <c r="BY31" i="6"/>
  <c r="BX31" i="6"/>
  <c r="CA31" i="6"/>
  <c r="BZ31" i="6"/>
  <c r="CM38" i="6"/>
  <c r="DI38" i="6"/>
  <c r="CM209" i="6"/>
  <c r="DI209" i="6"/>
  <c r="CM72" i="6"/>
  <c r="DI72" i="6"/>
  <c r="CM25" i="6"/>
  <c r="DI25" i="6"/>
  <c r="CM102" i="6"/>
  <c r="DI102" i="6"/>
  <c r="CM173" i="6"/>
  <c r="DI173" i="6"/>
  <c r="CM170" i="6"/>
  <c r="DI170" i="6"/>
  <c r="CM116" i="6"/>
  <c r="DI116" i="6"/>
  <c r="CM153" i="6"/>
  <c r="DI153" i="6"/>
  <c r="CM61" i="6"/>
  <c r="DI61" i="6"/>
  <c r="CM26" i="6"/>
  <c r="DI26" i="6"/>
  <c r="CM54" i="6"/>
  <c r="DI54" i="6"/>
  <c r="BZ28" i="6"/>
  <c r="CA28" i="6"/>
  <c r="BY28" i="6"/>
  <c r="BX28" i="6"/>
  <c r="CA92" i="6"/>
  <c r="BZ92" i="6"/>
  <c r="BY92" i="6"/>
  <c r="BX92" i="6"/>
  <c r="BX29" i="6"/>
  <c r="BZ29" i="6"/>
  <c r="BY29" i="6"/>
  <c r="CA29" i="6"/>
  <c r="BX177" i="6"/>
  <c r="BY177" i="6"/>
  <c r="BZ177" i="6"/>
  <c r="CA177" i="6"/>
  <c r="BY231" i="6"/>
  <c r="BX231" i="6"/>
  <c r="BZ231" i="6"/>
  <c r="CA231" i="6"/>
  <c r="CA251" i="6"/>
  <c r="BZ251" i="6"/>
  <c r="BY251" i="6"/>
  <c r="BX251" i="6"/>
  <c r="BX232" i="6"/>
  <c r="BZ232" i="6"/>
  <c r="CA232" i="6"/>
  <c r="BY232" i="6"/>
  <c r="BX79" i="6"/>
  <c r="CA79" i="6"/>
  <c r="BZ79" i="6"/>
  <c r="BY79" i="6"/>
  <c r="BZ163" i="6"/>
  <c r="BX163" i="6"/>
  <c r="BY163" i="6"/>
  <c r="CA163" i="6"/>
  <c r="BX50" i="6"/>
  <c r="BY50" i="6"/>
  <c r="CA50" i="6"/>
  <c r="BZ50" i="6"/>
  <c r="BZ207" i="6"/>
  <c r="CA207" i="6"/>
  <c r="BX207" i="6"/>
  <c r="BY207" i="6"/>
  <c r="BX139" i="6"/>
  <c r="BZ139" i="6"/>
  <c r="CA139" i="6"/>
  <c r="BY139" i="6"/>
  <c r="BY90" i="6"/>
  <c r="BX90" i="6"/>
  <c r="CA90" i="6"/>
  <c r="BZ90" i="6"/>
  <c r="DI233" i="6"/>
  <c r="CM233" i="6"/>
  <c r="CM179" i="6"/>
  <c r="DI179" i="6"/>
  <c r="CM224" i="6"/>
  <c r="DI224" i="6"/>
  <c r="CM171" i="6"/>
  <c r="DI171" i="6"/>
  <c r="CM24" i="6"/>
  <c r="DI24" i="6"/>
  <c r="CM106" i="6"/>
  <c r="DI106" i="6"/>
  <c r="CM117" i="6"/>
  <c r="DI117" i="6"/>
  <c r="CM190" i="6"/>
  <c r="DI190" i="6"/>
  <c r="CM141" i="6"/>
  <c r="DI141" i="6"/>
  <c r="CM165" i="6"/>
  <c r="DI165" i="6"/>
  <c r="CM189" i="6"/>
  <c r="DI189" i="6"/>
  <c r="CM172" i="6"/>
  <c r="DI172" i="6"/>
  <c r="BZ182" i="6"/>
  <c r="BY182" i="6"/>
  <c r="BX182" i="6"/>
  <c r="CA182" i="6"/>
  <c r="BZ194" i="6"/>
  <c r="BY194" i="6"/>
  <c r="CA194" i="6"/>
  <c r="BX194" i="6"/>
  <c r="BY47" i="6"/>
  <c r="CA47" i="6"/>
  <c r="BZ47" i="6"/>
  <c r="BX47" i="6"/>
  <c r="BY140" i="6"/>
  <c r="BX140" i="6"/>
  <c r="CA140" i="6"/>
  <c r="BZ140" i="6"/>
  <c r="CA59" i="6"/>
  <c r="BZ59" i="6"/>
  <c r="BX59" i="6"/>
  <c r="BY59" i="6"/>
  <c r="CA91" i="6"/>
  <c r="BZ91" i="6"/>
  <c r="BY91" i="6"/>
  <c r="BX91" i="6"/>
  <c r="BY187" i="6"/>
  <c r="CA187" i="6"/>
  <c r="BZ187" i="6"/>
  <c r="BX187" i="6"/>
  <c r="BZ193" i="6"/>
  <c r="CA193" i="6"/>
  <c r="BY193" i="6"/>
  <c r="BX193" i="6"/>
  <c r="BY68" i="6"/>
  <c r="CA68" i="6"/>
  <c r="BZ68" i="6"/>
  <c r="BX68" i="6"/>
  <c r="DI137" i="6"/>
  <c r="CM137" i="6"/>
  <c r="DI28" i="6"/>
  <c r="CM28" i="6"/>
  <c r="CM182" i="6"/>
  <c r="DI182" i="6"/>
  <c r="CM194" i="6"/>
  <c r="DI194" i="6"/>
  <c r="CM245" i="6"/>
  <c r="DI245" i="6"/>
  <c r="CM64" i="6"/>
  <c r="DI64" i="6"/>
  <c r="CM63" i="6"/>
  <c r="DI63" i="6"/>
  <c r="CM220" i="6"/>
  <c r="DI220" i="6"/>
  <c r="CM62" i="6"/>
  <c r="DI62" i="6"/>
  <c r="CM206" i="6"/>
  <c r="DI206" i="6"/>
  <c r="DI249" i="6"/>
  <c r="CM249" i="6"/>
  <c r="DI240" i="6"/>
  <c r="CM240" i="6"/>
  <c r="CA233" i="6"/>
  <c r="BX233" i="6"/>
  <c r="BY233" i="6"/>
  <c r="BZ233" i="6"/>
  <c r="CA180" i="6"/>
  <c r="BX180" i="6"/>
  <c r="BY180" i="6"/>
  <c r="BZ180" i="6"/>
  <c r="BZ185" i="6"/>
  <c r="CA185" i="6"/>
  <c r="BX185" i="6"/>
  <c r="BY185" i="6"/>
  <c r="BZ147" i="6"/>
  <c r="BY147" i="6"/>
  <c r="BX147" i="6"/>
  <c r="CA147" i="6"/>
  <c r="BX178" i="6"/>
  <c r="BZ178" i="6"/>
  <c r="CA178" i="6"/>
  <c r="BY178" i="6"/>
  <c r="BX149" i="6"/>
  <c r="BZ149" i="6"/>
  <c r="BY149" i="6"/>
  <c r="CA149" i="6"/>
  <c r="BX214" i="6"/>
  <c r="BY214" i="6"/>
  <c r="CA214" i="6"/>
  <c r="BZ214" i="6"/>
  <c r="BY67" i="6"/>
  <c r="CA67" i="6"/>
  <c r="BZ67" i="6"/>
  <c r="BX67" i="6"/>
  <c r="BZ184" i="6"/>
  <c r="BY184" i="6"/>
  <c r="BX184" i="6"/>
  <c r="CA184" i="6"/>
  <c r="BZ199" i="6"/>
  <c r="BY199" i="6"/>
  <c r="BX199" i="6"/>
  <c r="CA199" i="6"/>
  <c r="CA213" i="6"/>
  <c r="BY213" i="6"/>
  <c r="BX213" i="6"/>
  <c r="BZ213" i="6"/>
  <c r="BX74" i="6"/>
  <c r="BY74" i="6"/>
  <c r="BZ74" i="6"/>
  <c r="CA74" i="6"/>
  <c r="CA244" i="6"/>
  <c r="BX244" i="6"/>
  <c r="BZ244" i="6"/>
  <c r="BY244" i="6"/>
  <c r="BY205" i="6"/>
  <c r="CA205" i="6"/>
  <c r="BZ205" i="6"/>
  <c r="BX205" i="6"/>
  <c r="BY77" i="6"/>
  <c r="BX77" i="6"/>
  <c r="CA77" i="6"/>
  <c r="BZ77" i="6"/>
  <c r="CA160" i="6"/>
  <c r="BX160" i="6"/>
  <c r="BY160" i="6"/>
  <c r="BZ160" i="6"/>
  <c r="CA158" i="6"/>
  <c r="BZ158" i="6"/>
  <c r="BX158" i="6"/>
  <c r="BY158" i="6"/>
  <c r="BX61" i="6"/>
  <c r="BY61" i="6"/>
  <c r="CA61" i="6"/>
  <c r="BZ61" i="6"/>
  <c r="CA110" i="6"/>
  <c r="BY110" i="6"/>
  <c r="BX110" i="6"/>
  <c r="BZ110" i="6"/>
  <c r="CA253" i="6"/>
  <c r="BZ253" i="6"/>
  <c r="BY253" i="6"/>
  <c r="BX253" i="6"/>
  <c r="CA159" i="6"/>
  <c r="BY159" i="6"/>
  <c r="BZ159" i="6"/>
  <c r="BX159" i="6"/>
  <c r="CM57" i="6"/>
  <c r="DI57" i="6"/>
  <c r="CM84" i="6"/>
  <c r="DI84" i="6"/>
  <c r="CM92" i="6"/>
  <c r="DI92" i="6"/>
  <c r="CM213" i="6"/>
  <c r="DI213" i="6"/>
  <c r="CM93" i="6"/>
  <c r="DI93" i="6"/>
  <c r="CM155" i="6"/>
  <c r="DI155" i="6"/>
  <c r="CM221" i="6"/>
  <c r="DI221" i="6"/>
  <c r="CM79" i="6"/>
  <c r="DI79" i="6"/>
  <c r="DI163" i="6"/>
  <c r="CM163" i="6"/>
  <c r="CM34" i="6"/>
  <c r="DI34" i="6"/>
  <c r="CM242" i="6"/>
  <c r="DI242" i="6"/>
  <c r="CM90" i="6"/>
  <c r="DI90" i="6"/>
  <c r="BX132" i="6"/>
  <c r="CA132" i="6"/>
  <c r="BY132" i="6"/>
  <c r="BZ132" i="6"/>
  <c r="CA115" i="6"/>
  <c r="BY115" i="6"/>
  <c r="BX115" i="6"/>
  <c r="BZ115" i="6"/>
  <c r="BX104" i="6"/>
  <c r="BY104" i="6"/>
  <c r="BZ104" i="6"/>
  <c r="CA104" i="6"/>
  <c r="BY164" i="6"/>
  <c r="BX164" i="6"/>
  <c r="CA164" i="6"/>
  <c r="BZ164" i="6"/>
  <c r="BY161" i="6"/>
  <c r="BX161" i="6"/>
  <c r="CA161" i="6"/>
  <c r="BZ161" i="6"/>
  <c r="BY151" i="6"/>
  <c r="BX151" i="6"/>
  <c r="CA151" i="6"/>
  <c r="BZ151" i="6"/>
  <c r="BY124" i="6"/>
  <c r="CA124" i="6"/>
  <c r="BZ124" i="6"/>
  <c r="BX124" i="6"/>
  <c r="CA250" i="6"/>
  <c r="BY250" i="6"/>
  <c r="BZ250" i="6"/>
  <c r="BX250" i="6"/>
  <c r="CA154" i="6"/>
  <c r="BX154" i="6"/>
  <c r="BZ154" i="6"/>
  <c r="BY154" i="6"/>
  <c r="BZ129" i="6"/>
  <c r="CA129" i="6"/>
  <c r="BY129" i="6"/>
  <c r="BX129" i="6"/>
  <c r="BY35" i="6"/>
  <c r="BX35" i="6"/>
  <c r="BZ35" i="6"/>
  <c r="CA35" i="6"/>
  <c r="BX165" i="6"/>
  <c r="BZ165" i="6"/>
  <c r="CA165" i="6"/>
  <c r="BY165" i="6"/>
  <c r="BZ95" i="6"/>
  <c r="CA95" i="6"/>
  <c r="BX95" i="6"/>
  <c r="BY95" i="6"/>
  <c r="BZ43" i="6"/>
  <c r="BY43" i="6"/>
  <c r="CA43" i="6"/>
  <c r="BX43" i="6"/>
  <c r="BY54" i="6"/>
  <c r="BX54" i="6"/>
  <c r="CA54" i="6"/>
  <c r="BZ54" i="6"/>
  <c r="BZ156" i="6"/>
  <c r="CA156" i="6"/>
  <c r="BY156" i="6"/>
  <c r="BX156" i="6"/>
  <c r="CM128" i="6"/>
  <c r="DI128" i="6"/>
  <c r="CM132" i="6"/>
  <c r="DI132" i="6"/>
  <c r="CM147" i="6"/>
  <c r="DI147" i="6"/>
  <c r="CM161" i="6"/>
  <c r="DI161" i="6"/>
  <c r="CM177" i="6"/>
  <c r="DI177" i="6"/>
  <c r="CM239" i="6"/>
  <c r="DI239" i="6"/>
  <c r="CM228" i="6"/>
  <c r="DI228" i="6"/>
  <c r="CM140" i="6"/>
  <c r="DI140" i="6"/>
  <c r="CM59" i="6"/>
  <c r="DI59" i="6"/>
  <c r="CM223" i="6"/>
  <c r="DI223" i="6"/>
  <c r="DI195" i="6"/>
  <c r="CM195" i="6"/>
  <c r="CM68" i="6"/>
  <c r="DI68" i="6"/>
  <c r="CA51" i="6"/>
  <c r="BX51" i="6"/>
  <c r="BZ51" i="6"/>
  <c r="BY51" i="6"/>
  <c r="BZ137" i="6"/>
  <c r="CA137" i="6"/>
  <c r="BX137" i="6"/>
  <c r="BY137" i="6"/>
  <c r="BX36" i="6"/>
  <c r="BZ36" i="6"/>
  <c r="CA36" i="6"/>
  <c r="BY36" i="6"/>
  <c r="BY131" i="6"/>
  <c r="BZ131" i="6"/>
  <c r="CA131" i="6"/>
  <c r="BX131" i="6"/>
  <c r="CA248" i="6"/>
  <c r="BY248" i="6"/>
  <c r="BZ248" i="6"/>
  <c r="BX248" i="6"/>
  <c r="CA136" i="6"/>
  <c r="BX136" i="6"/>
  <c r="BY136" i="6"/>
  <c r="BZ136" i="6"/>
  <c r="CA85" i="6"/>
  <c r="BZ85" i="6"/>
  <c r="BX85" i="6"/>
  <c r="BY85" i="6"/>
  <c r="CA65" i="6"/>
  <c r="BZ65" i="6"/>
  <c r="BY65" i="6"/>
  <c r="BX65" i="6"/>
  <c r="BY76" i="6"/>
  <c r="BX76" i="6"/>
  <c r="CA76" i="6"/>
  <c r="BZ76" i="6"/>
  <c r="BX206" i="6"/>
  <c r="CA206" i="6"/>
  <c r="BY206" i="6"/>
  <c r="BZ206" i="6"/>
  <c r="CA237" i="6"/>
  <c r="BX237" i="6"/>
  <c r="BY237" i="6"/>
  <c r="BZ237" i="6"/>
  <c r="BY143" i="6"/>
  <c r="BX143" i="6"/>
  <c r="BZ143" i="6"/>
  <c r="CA143" i="6"/>
  <c r="BY120" i="6"/>
  <c r="CA120" i="6"/>
  <c r="BX120" i="6"/>
  <c r="BZ120" i="6"/>
  <c r="BZ122" i="6"/>
  <c r="BY122" i="6"/>
  <c r="CA122" i="6"/>
  <c r="BX122" i="6"/>
  <c r="DI51" i="6"/>
  <c r="CM51" i="6"/>
  <c r="DI184" i="6"/>
  <c r="CM184" i="6"/>
  <c r="CM164" i="6"/>
  <c r="DI164" i="6"/>
  <c r="CM246" i="6"/>
  <c r="DI246" i="6"/>
  <c r="CM178" i="6"/>
  <c r="DI178" i="6"/>
  <c r="CM231" i="6"/>
  <c r="DI231" i="6"/>
  <c r="CM232" i="6"/>
  <c r="DI232" i="6"/>
  <c r="DI160" i="6"/>
  <c r="CM160" i="6"/>
  <c r="DI158" i="6"/>
  <c r="CM158" i="6"/>
  <c r="CM110" i="6"/>
  <c r="DI110" i="6"/>
  <c r="CM133" i="6"/>
  <c r="DI133" i="6"/>
  <c r="CM159" i="6"/>
  <c r="DI159" i="6"/>
  <c r="CA146" i="6"/>
  <c r="BX146" i="6"/>
  <c r="BZ146" i="6"/>
  <c r="BY146" i="6"/>
  <c r="CA96" i="6"/>
  <c r="BX96" i="6"/>
  <c r="BY96" i="6"/>
  <c r="BZ96" i="6"/>
  <c r="CA150" i="6"/>
  <c r="BZ150" i="6"/>
  <c r="BY150" i="6"/>
  <c r="BX150" i="6"/>
  <c r="BY219" i="6"/>
  <c r="BX219" i="6"/>
  <c r="CA219" i="6"/>
  <c r="BZ219" i="6"/>
  <c r="BY246" i="6"/>
  <c r="BZ246" i="6"/>
  <c r="BX246" i="6"/>
  <c r="CA246" i="6"/>
  <c r="BZ73" i="6"/>
  <c r="BY73" i="6"/>
  <c r="BX73" i="6"/>
  <c r="CA73" i="6"/>
  <c r="BY229" i="6"/>
  <c r="BX229" i="6"/>
  <c r="BZ229" i="6"/>
  <c r="CA229" i="6"/>
  <c r="BZ30" i="6"/>
  <c r="BY30" i="6"/>
  <c r="CA30" i="6"/>
  <c r="BX30" i="6"/>
  <c r="BY80" i="6"/>
  <c r="BX80" i="6"/>
  <c r="CA80" i="6"/>
  <c r="BZ80" i="6"/>
  <c r="BY135" i="6"/>
  <c r="BX135" i="6"/>
  <c r="BZ135" i="6"/>
  <c r="CA135" i="6"/>
  <c r="CA118" i="6"/>
  <c r="BZ118" i="6"/>
  <c r="BY118" i="6"/>
  <c r="BX118" i="6"/>
  <c r="BX145" i="6"/>
  <c r="BY145" i="6"/>
  <c r="BZ145" i="6"/>
  <c r="CA145" i="6"/>
  <c r="BY134" i="6"/>
  <c r="CA134" i="6"/>
  <c r="BX134" i="6"/>
  <c r="BZ134" i="6"/>
  <c r="BY157" i="6"/>
  <c r="BX157" i="6"/>
  <c r="CA157" i="6"/>
  <c r="BZ157" i="6"/>
  <c r="BZ108" i="6"/>
  <c r="BX108" i="6"/>
  <c r="CA108" i="6"/>
  <c r="BY108" i="6"/>
  <c r="BX222" i="6"/>
  <c r="BZ222" i="6"/>
  <c r="CA222" i="6"/>
  <c r="BY222" i="6"/>
  <c r="BY192" i="6"/>
  <c r="CA192" i="6"/>
  <c r="BX192" i="6"/>
  <c r="BZ192" i="6"/>
  <c r="BY48" i="6"/>
  <c r="CA48" i="6"/>
  <c r="BZ48" i="6"/>
  <c r="BX48" i="6"/>
  <c r="BZ215" i="6"/>
  <c r="BX215" i="6"/>
  <c r="BY215" i="6"/>
  <c r="CA215" i="6"/>
  <c r="BZ26" i="6"/>
  <c r="BY26" i="6"/>
  <c r="BX26" i="6"/>
  <c r="CA26" i="6"/>
  <c r="BX172" i="6"/>
  <c r="CA172" i="6"/>
  <c r="BZ172" i="6"/>
  <c r="BY172" i="6"/>
  <c r="BY52" i="6"/>
  <c r="CA52" i="6"/>
  <c r="BZ52" i="6"/>
  <c r="BX52" i="6"/>
  <c r="CM146" i="6"/>
  <c r="DI146" i="6"/>
  <c r="CM104" i="6"/>
  <c r="DI104" i="6"/>
  <c r="CM219" i="6"/>
  <c r="DI219" i="6"/>
  <c r="CM118" i="6"/>
  <c r="DI118" i="6"/>
  <c r="CM74" i="6"/>
  <c r="DI74" i="6"/>
  <c r="CM149" i="6"/>
  <c r="DI149" i="6"/>
  <c r="CM214" i="6"/>
  <c r="DI214" i="6"/>
  <c r="CM129" i="6"/>
  <c r="DI129" i="6"/>
  <c r="CM76" i="6"/>
  <c r="DI76" i="6"/>
  <c r="CM95" i="6"/>
  <c r="DI95" i="6"/>
  <c r="CM99" i="6"/>
  <c r="DI99" i="6"/>
  <c r="CM156" i="6"/>
  <c r="DI156" i="6"/>
  <c r="CA247" i="6"/>
  <c r="BY247" i="6"/>
  <c r="BZ247" i="6"/>
  <c r="BX247" i="6"/>
  <c r="BX130" i="6"/>
  <c r="BZ130" i="6"/>
  <c r="BY130" i="6"/>
  <c r="CA130" i="6"/>
  <c r="BY42" i="6"/>
  <c r="BZ42" i="6"/>
  <c r="BX42" i="6"/>
  <c r="CA42" i="6"/>
  <c r="CA226" i="6"/>
  <c r="BY226" i="6"/>
  <c r="BZ226" i="6"/>
  <c r="BX226" i="6"/>
  <c r="BZ186" i="6"/>
  <c r="CA186" i="6"/>
  <c r="BY186" i="6"/>
  <c r="BX186" i="6"/>
  <c r="BY167" i="6"/>
  <c r="BZ167" i="6"/>
  <c r="CA167" i="6"/>
  <c r="BX167" i="6"/>
  <c r="BX113" i="6"/>
  <c r="CA113" i="6"/>
  <c r="BZ113" i="6"/>
  <c r="BY113" i="6"/>
  <c r="BX89" i="6"/>
  <c r="BZ89" i="6"/>
  <c r="BY89" i="6"/>
  <c r="CA89" i="6"/>
  <c r="BZ34" i="6"/>
  <c r="BY34" i="6"/>
  <c r="BX34" i="6"/>
  <c r="CA34" i="6"/>
  <c r="BY243" i="6"/>
  <c r="CA243" i="6"/>
  <c r="BZ243" i="6"/>
  <c r="BX243" i="6"/>
  <c r="CA189" i="6"/>
  <c r="BX189" i="6"/>
  <c r="BY189" i="6"/>
  <c r="BZ189" i="6"/>
  <c r="BX114" i="6"/>
  <c r="CA114" i="6"/>
  <c r="BZ114" i="6"/>
  <c r="BY114" i="6"/>
  <c r="BZ71" i="6"/>
  <c r="BY71" i="6"/>
  <c r="CA71" i="6"/>
  <c r="BX71" i="6"/>
  <c r="CM180" i="6"/>
  <c r="DI180" i="6"/>
  <c r="CM150" i="6"/>
  <c r="DI150" i="6"/>
  <c r="CM135" i="6"/>
  <c r="DI135" i="6"/>
  <c r="CM130" i="6"/>
  <c r="DI130" i="6"/>
  <c r="CM151" i="6"/>
  <c r="DI151" i="6"/>
  <c r="CM244" i="6"/>
  <c r="DI244" i="6"/>
  <c r="CM77" i="6"/>
  <c r="DI77" i="6"/>
  <c r="CM65" i="6"/>
  <c r="DI65" i="6"/>
  <c r="CM89" i="6"/>
  <c r="DI89" i="6"/>
  <c r="CM237" i="6"/>
  <c r="DI237" i="6"/>
  <c r="CM211" i="6"/>
  <c r="DI211" i="6"/>
  <c r="CM122" i="6"/>
  <c r="DI122" i="6"/>
  <c r="BX196" i="6"/>
  <c r="CA196" i="6"/>
  <c r="BZ196" i="6"/>
  <c r="BY196" i="6"/>
  <c r="CA60" i="6"/>
  <c r="BZ60" i="6"/>
  <c r="BY60" i="6"/>
  <c r="BX60" i="6"/>
  <c r="CA83" i="6"/>
  <c r="BZ83" i="6"/>
  <c r="BY83" i="6"/>
  <c r="BX83" i="6"/>
  <c r="BZ256" i="6"/>
  <c r="BX256" i="6"/>
  <c r="BY256" i="6"/>
  <c r="CA256" i="6"/>
  <c r="CA212" i="6"/>
  <c r="BZ212" i="6"/>
  <c r="BY201" i="6"/>
  <c r="BX201" i="6"/>
  <c r="BZ201" i="6"/>
  <c r="CA201" i="6"/>
  <c r="BX100" i="6"/>
  <c r="BZ100" i="6"/>
  <c r="CA100" i="6"/>
  <c r="BY100" i="6"/>
  <c r="BZ200" i="6"/>
  <c r="CA200" i="6"/>
  <c r="BY200" i="6"/>
  <c r="BX200" i="6"/>
  <c r="CA223" i="6"/>
  <c r="BZ223" i="6"/>
  <c r="BY223" i="6"/>
  <c r="BX223" i="6"/>
  <c r="BX252" i="6"/>
  <c r="BZ252" i="6"/>
  <c r="BY252" i="6"/>
  <c r="CA252" i="6"/>
  <c r="BZ249" i="6"/>
  <c r="BY249" i="6"/>
  <c r="CA249" i="6"/>
  <c r="BX249" i="6"/>
  <c r="BZ87" i="6"/>
  <c r="BX87" i="6"/>
  <c r="BY87" i="6"/>
  <c r="CA87" i="6"/>
  <c r="CM67" i="6"/>
  <c r="DI67" i="6"/>
  <c r="CM80" i="6"/>
  <c r="DI80" i="6"/>
  <c r="CM247" i="6"/>
  <c r="DI247" i="6"/>
  <c r="CM60" i="6"/>
  <c r="DI60" i="6"/>
  <c r="CM73" i="6"/>
  <c r="DI73" i="6"/>
  <c r="CM251" i="6"/>
  <c r="DI251" i="6"/>
  <c r="CM154" i="6"/>
  <c r="DI154" i="6"/>
  <c r="CM222" i="6"/>
  <c r="DI222" i="6"/>
  <c r="CM200" i="6"/>
  <c r="DI200" i="6"/>
  <c r="DI215" i="6"/>
  <c r="CM215" i="6"/>
  <c r="CM175" i="6"/>
  <c r="DI175" i="6"/>
  <c r="CM52" i="6"/>
  <c r="DI52" i="6"/>
  <c r="BZ39" i="6"/>
  <c r="BY39" i="6"/>
  <c r="BX39" i="6"/>
  <c r="CA39" i="6"/>
  <c r="CA69" i="6"/>
  <c r="BY69" i="6"/>
  <c r="BZ69" i="6"/>
  <c r="BX69" i="6"/>
  <c r="BX241" i="6"/>
  <c r="BY241" i="6"/>
  <c r="CA241" i="6"/>
  <c r="BZ241" i="6"/>
  <c r="BY166" i="6"/>
  <c r="BZ166" i="6"/>
  <c r="BX166" i="6"/>
  <c r="CA166" i="6"/>
  <c r="BY53" i="6"/>
  <c r="BX53" i="6"/>
  <c r="CA53" i="6"/>
  <c r="BZ53" i="6"/>
  <c r="BZ217" i="6"/>
  <c r="BY217" i="6"/>
  <c r="CA217" i="6"/>
  <c r="BX217" i="6"/>
  <c r="BY210" i="6"/>
  <c r="BX210" i="6"/>
  <c r="CA210" i="6"/>
  <c r="BZ210" i="6"/>
  <c r="CA82" i="6"/>
  <c r="BY82" i="6"/>
  <c r="BX82" i="6"/>
  <c r="BZ82" i="6"/>
  <c r="BZ121" i="6"/>
  <c r="BY121" i="6"/>
  <c r="BX121" i="6"/>
  <c r="CA121" i="6"/>
  <c r="BZ174" i="6"/>
  <c r="BY174" i="6"/>
  <c r="CA174" i="6"/>
  <c r="BX174" i="6"/>
  <c r="CM96" i="6"/>
  <c r="DI96" i="6"/>
  <c r="CM131" i="6"/>
  <c r="DI131" i="6"/>
  <c r="CM254" i="6"/>
  <c r="DI254" i="6"/>
  <c r="CM196" i="6"/>
  <c r="DI196" i="6"/>
  <c r="CM69" i="6"/>
  <c r="DI69" i="6"/>
  <c r="CM124" i="6"/>
  <c r="DI124" i="6"/>
  <c r="CM250" i="6"/>
  <c r="DI250" i="6"/>
  <c r="CM85" i="6"/>
  <c r="DI85" i="6"/>
  <c r="CM100" i="6"/>
  <c r="DI100" i="6"/>
  <c r="CM183" i="6"/>
  <c r="DI183" i="6"/>
  <c r="CM243" i="6"/>
  <c r="DI243" i="6"/>
  <c r="CM207" i="6"/>
  <c r="DI207" i="6"/>
  <c r="CM71" i="6"/>
  <c r="DI71" i="6"/>
  <c r="CA40" i="6"/>
  <c r="BY40" i="6"/>
  <c r="BX40" i="6"/>
  <c r="BZ40" i="6"/>
  <c r="CA216" i="6"/>
  <c r="BY216" i="6"/>
  <c r="BZ216" i="6"/>
  <c r="BX216" i="6"/>
  <c r="CA255" i="6"/>
  <c r="BX255" i="6"/>
  <c r="BZ255" i="6"/>
  <c r="BY255" i="6"/>
  <c r="BZ101" i="6"/>
  <c r="BX101" i="6"/>
  <c r="CA101" i="6"/>
  <c r="BY101" i="6"/>
  <c r="BX70" i="6"/>
  <c r="BY70" i="6"/>
  <c r="BZ70" i="6"/>
  <c r="CA70" i="6"/>
  <c r="CA112" i="6"/>
  <c r="BY112" i="6"/>
  <c r="BZ112" i="6"/>
  <c r="BX112" i="6"/>
  <c r="BZ88" i="6"/>
  <c r="BY88" i="6"/>
  <c r="BX88" i="6"/>
  <c r="CA88" i="6"/>
  <c r="CA55" i="6"/>
  <c r="BZ55" i="6"/>
  <c r="BY55" i="6"/>
  <c r="BX55" i="6"/>
  <c r="CA142" i="6"/>
  <c r="BY142" i="6"/>
  <c r="BX142" i="6"/>
  <c r="BZ142" i="6"/>
  <c r="BX49" i="6"/>
  <c r="BY49" i="6"/>
  <c r="BZ49" i="6"/>
  <c r="CA49" i="6"/>
  <c r="CA66" i="6"/>
  <c r="BX66" i="6"/>
  <c r="BY66" i="6"/>
  <c r="BZ66" i="6"/>
  <c r="CA242" i="6"/>
  <c r="BY242" i="6"/>
  <c r="BX242" i="6"/>
  <c r="BZ242" i="6"/>
  <c r="BY94" i="6"/>
  <c r="BX94" i="6"/>
  <c r="CA94" i="6"/>
  <c r="BZ94" i="6"/>
  <c r="CM229" i="6"/>
  <c r="DI229" i="6"/>
  <c r="CM98" i="6"/>
  <c r="DI98" i="6"/>
  <c r="CM44" i="6"/>
  <c r="DI44" i="6"/>
  <c r="CM39" i="6"/>
  <c r="DI39" i="6"/>
  <c r="CM145" i="6"/>
  <c r="DI145" i="6"/>
  <c r="CM248" i="6"/>
  <c r="DI248" i="6"/>
  <c r="CM136" i="6"/>
  <c r="DI136" i="6"/>
  <c r="CM167" i="6"/>
  <c r="DI167" i="6"/>
  <c r="CM210" i="6"/>
  <c r="DI210" i="6"/>
  <c r="CM148" i="6"/>
  <c r="DI148" i="6"/>
  <c r="CM252" i="6"/>
  <c r="DI252" i="6"/>
  <c r="CM168" i="6"/>
  <c r="DI168" i="6"/>
  <c r="CM87" i="6"/>
  <c r="DI87" i="6"/>
  <c r="BX254" i="6"/>
  <c r="CA254" i="6"/>
  <c r="BZ254" i="6"/>
  <c r="BY254" i="6"/>
  <c r="BX41" i="6"/>
  <c r="BZ41" i="6"/>
  <c r="BY41" i="6"/>
  <c r="CA41" i="6"/>
  <c r="BX97" i="6"/>
  <c r="CA97" i="6"/>
  <c r="BZ97" i="6"/>
  <c r="BY97" i="6"/>
  <c r="CA33" i="6"/>
  <c r="BX33" i="6"/>
  <c r="BZ33" i="6"/>
  <c r="BY33" i="6"/>
  <c r="CA173" i="6"/>
  <c r="BX173" i="6"/>
  <c r="BY173" i="6"/>
  <c r="BZ173" i="6"/>
  <c r="BX225" i="6"/>
  <c r="BY225" i="6"/>
  <c r="BZ225" i="6"/>
  <c r="CA225" i="6"/>
  <c r="CA75" i="6"/>
  <c r="BY75" i="6"/>
  <c r="BZ75" i="6"/>
  <c r="BX75" i="6"/>
  <c r="BX230" i="6"/>
  <c r="CA230" i="6"/>
  <c r="BZ230" i="6"/>
  <c r="BY230" i="6"/>
  <c r="CA236" i="6"/>
  <c r="BZ236" i="6"/>
  <c r="BX236" i="6"/>
  <c r="BY236" i="6"/>
  <c r="BX32" i="6"/>
  <c r="BZ32" i="6"/>
  <c r="CA32" i="6"/>
  <c r="BY32" i="6"/>
  <c r="CA204" i="6"/>
  <c r="BY204" i="6"/>
  <c r="BX204" i="6"/>
  <c r="BZ204" i="6"/>
  <c r="CA107" i="6"/>
  <c r="BZ107" i="6"/>
  <c r="BX107" i="6"/>
  <c r="BY107" i="6"/>
  <c r="CM46" i="6"/>
  <c r="DI46" i="6"/>
  <c r="CM40" i="6"/>
  <c r="DI40" i="6"/>
  <c r="CM255" i="6"/>
  <c r="DI255" i="6"/>
  <c r="CM101" i="6"/>
  <c r="DI101" i="6"/>
  <c r="CM83" i="6"/>
  <c r="DI83" i="6"/>
  <c r="CM134" i="6"/>
  <c r="DI134" i="6"/>
  <c r="CM157" i="6"/>
  <c r="DI157" i="6"/>
  <c r="CM201" i="6"/>
  <c r="DI201" i="6"/>
  <c r="CM142" i="6"/>
  <c r="DI142" i="6"/>
  <c r="CM45" i="6"/>
  <c r="DI45" i="6"/>
  <c r="CM82" i="6"/>
  <c r="DI82" i="6"/>
  <c r="DI218" i="6"/>
  <c r="CM218" i="6"/>
  <c r="CM174" i="6"/>
  <c r="DI174" i="6"/>
  <c r="BY46" i="6"/>
  <c r="CA46" i="6"/>
  <c r="BZ46" i="6"/>
  <c r="BX46" i="6"/>
  <c r="BZ81" i="6"/>
  <c r="BY81" i="6"/>
  <c r="CA81" i="6"/>
  <c r="BX81" i="6"/>
  <c r="BX227" i="6"/>
  <c r="CA227" i="6"/>
  <c r="BZ227" i="6"/>
  <c r="BY227" i="6"/>
  <c r="BY202" i="6"/>
  <c r="BZ202" i="6"/>
  <c r="BX202" i="6"/>
  <c r="CA202" i="6"/>
  <c r="BX138" i="6"/>
  <c r="BY138" i="6"/>
  <c r="CA138" i="6"/>
  <c r="BZ138" i="6"/>
  <c r="CA103" i="6"/>
  <c r="BZ103" i="6"/>
  <c r="BX103" i="6"/>
  <c r="BY103" i="6"/>
  <c r="BZ170" i="6"/>
  <c r="BX170" i="6"/>
  <c r="BY170" i="6"/>
  <c r="CA170" i="6"/>
  <c r="BX111" i="6"/>
  <c r="CA111" i="6"/>
  <c r="BY111" i="6"/>
  <c r="BZ111" i="6"/>
  <c r="BY58" i="6"/>
  <c r="BZ58" i="6"/>
  <c r="CA58" i="6"/>
  <c r="BX58" i="6"/>
  <c r="CA183" i="6"/>
  <c r="BZ183" i="6"/>
  <c r="BY183" i="6"/>
  <c r="BX183" i="6"/>
  <c r="BX37" i="6"/>
  <c r="CA37" i="6"/>
  <c r="BY37" i="6"/>
  <c r="BZ37" i="6"/>
  <c r="BZ195" i="6"/>
  <c r="CA195" i="6"/>
  <c r="BX195" i="6"/>
  <c r="BY195" i="6"/>
  <c r="CA78" i="6"/>
  <c r="BX78" i="6"/>
  <c r="BZ78" i="6"/>
  <c r="BY78" i="6"/>
  <c r="CM216" i="6"/>
  <c r="DI216" i="6"/>
  <c r="CM81" i="6"/>
  <c r="DI81" i="6"/>
  <c r="CM169" i="6"/>
  <c r="DI169" i="6"/>
  <c r="CM234" i="6"/>
  <c r="DI234" i="6"/>
  <c r="DI241" i="6"/>
  <c r="CM241" i="6"/>
  <c r="CM226" i="6"/>
  <c r="DI226" i="6"/>
  <c r="CM212" i="6"/>
  <c r="DI212" i="6"/>
  <c r="CM217" i="6"/>
  <c r="DI217" i="6"/>
  <c r="CM230" i="6"/>
  <c r="DI230" i="6"/>
  <c r="CM238" i="6"/>
  <c r="DI238" i="6"/>
  <c r="CM66" i="6"/>
  <c r="DI66" i="6"/>
  <c r="CM144" i="6"/>
  <c r="DI144" i="6"/>
  <c r="CM94" i="6"/>
  <c r="DI94" i="6"/>
  <c r="CA98" i="6"/>
  <c r="BZ98" i="6"/>
  <c r="BX98" i="6"/>
  <c r="BY98" i="6"/>
  <c r="BY44" i="6"/>
  <c r="BX44" i="6"/>
  <c r="BZ44" i="6"/>
  <c r="CA44" i="6"/>
  <c r="BY127" i="6"/>
  <c r="CA127" i="6"/>
  <c r="BZ127" i="6"/>
  <c r="BX127" i="6"/>
  <c r="BZ169" i="6"/>
  <c r="CA169" i="6"/>
  <c r="BY169" i="6"/>
  <c r="BX169" i="6"/>
  <c r="CA86" i="6"/>
  <c r="BZ86" i="6"/>
  <c r="BY86" i="6"/>
  <c r="BX86" i="6"/>
  <c r="BX208" i="6"/>
  <c r="BY208" i="6"/>
  <c r="BZ208" i="6"/>
  <c r="CA208" i="6"/>
  <c r="BZ106" i="6"/>
  <c r="CA106" i="6"/>
  <c r="BY106" i="6"/>
  <c r="BX106" i="6"/>
  <c r="BY176" i="6"/>
  <c r="BZ176" i="6"/>
  <c r="BX176" i="6"/>
  <c r="CA176" i="6"/>
  <c r="BY57" i="6"/>
  <c r="CA57" i="6"/>
  <c r="BZ57" i="6"/>
  <c r="BX57" i="6"/>
  <c r="CA209" i="6"/>
  <c r="BX209" i="6"/>
  <c r="BZ209" i="6"/>
  <c r="BY209" i="6"/>
  <c r="BX181" i="6"/>
  <c r="BZ181" i="6"/>
  <c r="CA181" i="6"/>
  <c r="BY181" i="6"/>
  <c r="CA72" i="6"/>
  <c r="BZ72" i="6"/>
  <c r="BY72" i="6"/>
  <c r="BX72" i="6"/>
  <c r="BX56" i="6"/>
  <c r="CA56" i="6"/>
  <c r="BZ56" i="6"/>
  <c r="BY56" i="6"/>
  <c r="BY102" i="6"/>
  <c r="BX102" i="6"/>
  <c r="BZ102" i="6"/>
  <c r="CA102" i="6"/>
  <c r="CA64" i="6"/>
  <c r="BZ64" i="6"/>
  <c r="BY64" i="6"/>
  <c r="BX64" i="6"/>
  <c r="CA117" i="6"/>
  <c r="BY117" i="6"/>
  <c r="BZ117" i="6"/>
  <c r="BX117" i="6"/>
  <c r="BY116" i="6"/>
  <c r="BZ116" i="6"/>
  <c r="CA116" i="6"/>
  <c r="BX116" i="6"/>
  <c r="CA105" i="6"/>
  <c r="BZ105" i="6"/>
  <c r="BX105" i="6"/>
  <c r="BY105" i="6"/>
  <c r="BY148" i="6"/>
  <c r="CA148" i="6"/>
  <c r="BZ148" i="6"/>
  <c r="BX148" i="6"/>
  <c r="BY119" i="6"/>
  <c r="BX119" i="6"/>
  <c r="BZ119" i="6"/>
  <c r="CA119" i="6"/>
  <c r="BX133" i="6"/>
  <c r="BZ133" i="6"/>
  <c r="BY133" i="6"/>
  <c r="CA133" i="6"/>
  <c r="CA168" i="6"/>
  <c r="BZ168" i="6"/>
  <c r="BY168" i="6"/>
  <c r="BX168" i="6"/>
  <c r="CM152" i="6"/>
  <c r="DI152" i="6"/>
  <c r="CM227" i="6"/>
  <c r="DI227" i="6"/>
  <c r="CM188" i="6"/>
  <c r="DI188" i="6"/>
  <c r="CM97" i="6"/>
  <c r="DI97" i="6"/>
  <c r="CM70" i="6"/>
  <c r="DI70" i="6"/>
  <c r="DI256" i="6"/>
  <c r="CM256" i="6"/>
  <c r="CM53" i="6"/>
  <c r="DI53" i="6"/>
  <c r="CM55" i="6"/>
  <c r="DI55" i="6"/>
  <c r="CM236" i="6"/>
  <c r="DI236" i="6"/>
  <c r="CM123" i="6"/>
  <c r="DI123" i="6"/>
  <c r="DI32" i="6"/>
  <c r="CM32" i="6"/>
  <c r="CM235" i="6"/>
  <c r="DI235" i="6"/>
  <c r="DI78" i="6"/>
  <c r="CM78" i="6"/>
  <c r="N69" i="6"/>
  <c r="C70" i="6"/>
  <c r="O52" i="6"/>
  <c r="AY23" i="6"/>
  <c r="BS23" i="6"/>
  <c r="BT23" i="6" s="1"/>
  <c r="BU23" i="6" s="1"/>
  <c r="G77" i="6"/>
  <c r="AT23" i="6"/>
  <c r="CD23" i="6" s="1"/>
  <c r="C96" i="6"/>
  <c r="E96" i="6"/>
  <c r="J96" i="6"/>
  <c r="AR23" i="6"/>
  <c r="AU23" i="6"/>
  <c r="AQ23" i="6"/>
  <c r="CH23" i="6" s="1"/>
  <c r="L59" i="6"/>
  <c r="BO23" i="6"/>
  <c r="CB195" i="6" l="1"/>
  <c r="CC195" i="6" s="1"/>
  <c r="CB117" i="6"/>
  <c r="CC117" i="6" s="1"/>
  <c r="CB86" i="6"/>
  <c r="CC86" i="6" s="1"/>
  <c r="CB98" i="6"/>
  <c r="CC98" i="6" s="1"/>
  <c r="CB127" i="6"/>
  <c r="CC127" i="6" s="1"/>
  <c r="CB168" i="6"/>
  <c r="CC168" i="6" s="1"/>
  <c r="CB166" i="6"/>
  <c r="CC166" i="6" s="1"/>
  <c r="CB57" i="6"/>
  <c r="CC57" i="6" s="1"/>
  <c r="CB43" i="6"/>
  <c r="CC43" i="6" s="1"/>
  <c r="CB111" i="6"/>
  <c r="CC111" i="6" s="1"/>
  <c r="CB191" i="6"/>
  <c r="CC191" i="6" s="1"/>
  <c r="CB73" i="6"/>
  <c r="CC73" i="6" s="1"/>
  <c r="CB62" i="6"/>
  <c r="CC62" i="6" s="1"/>
  <c r="CB224" i="6"/>
  <c r="CC224" i="6" s="1"/>
  <c r="CB171" i="6"/>
  <c r="CC171" i="6" s="1"/>
  <c r="CB238" i="6"/>
  <c r="CC238" i="6" s="1"/>
  <c r="CB109" i="6"/>
  <c r="CC109" i="6" s="1"/>
  <c r="CB88" i="6"/>
  <c r="CC88" i="6" s="1"/>
  <c r="CB245" i="6"/>
  <c r="CC245" i="6" s="1"/>
  <c r="CB116" i="6"/>
  <c r="CC116" i="6" s="1"/>
  <c r="CB115" i="6"/>
  <c r="CC115" i="6" s="1"/>
  <c r="CB158" i="6"/>
  <c r="CC158" i="6" s="1"/>
  <c r="CB178" i="6"/>
  <c r="CC178" i="6" s="1"/>
  <c r="CB144" i="6"/>
  <c r="CC144" i="6" s="1"/>
  <c r="CB155" i="6"/>
  <c r="CC155" i="6" s="1"/>
  <c r="CB223" i="6"/>
  <c r="CC223" i="6" s="1"/>
  <c r="CB118" i="6"/>
  <c r="CC118" i="6" s="1"/>
  <c r="CB95" i="6"/>
  <c r="CC95" i="6" s="1"/>
  <c r="CB32" i="6"/>
  <c r="CC32" i="6" s="1"/>
  <c r="CB87" i="6"/>
  <c r="CC87" i="6" s="1"/>
  <c r="CB96" i="6"/>
  <c r="CC96" i="6" s="1"/>
  <c r="CB136" i="6"/>
  <c r="CC136" i="6" s="1"/>
  <c r="CB209" i="6"/>
  <c r="CC209" i="6" s="1"/>
  <c r="CB25" i="6"/>
  <c r="CC25" i="6" s="1"/>
  <c r="CB54" i="6"/>
  <c r="CC54" i="6" s="1"/>
  <c r="CB75" i="6"/>
  <c r="CC75" i="6" s="1"/>
  <c r="CB76" i="6"/>
  <c r="CC76" i="6" s="1"/>
  <c r="CB126" i="6"/>
  <c r="CC126" i="6" s="1"/>
  <c r="CB204" i="6"/>
  <c r="CC204" i="6" s="1"/>
  <c r="CB26" i="6"/>
  <c r="CC26" i="6" s="1"/>
  <c r="CB68" i="6"/>
  <c r="CC68" i="6" s="1"/>
  <c r="CB203" i="6"/>
  <c r="CC203" i="6" s="1"/>
  <c r="CB59" i="6"/>
  <c r="CC59" i="6" s="1"/>
  <c r="CB56" i="6"/>
  <c r="CC56" i="6" s="1"/>
  <c r="CB196" i="6"/>
  <c r="CC196" i="6" s="1"/>
  <c r="CB193" i="6"/>
  <c r="CC193" i="6" s="1"/>
  <c r="CB207" i="6"/>
  <c r="CC207" i="6" s="1"/>
  <c r="CB27" i="6"/>
  <c r="CC27" i="6" s="1"/>
  <c r="CB131" i="6"/>
  <c r="CC131" i="6" s="1"/>
  <c r="CB49" i="6"/>
  <c r="CC49" i="6" s="1"/>
  <c r="CB217" i="6"/>
  <c r="CC217" i="6" s="1"/>
  <c r="CB232" i="6"/>
  <c r="CC232" i="6" s="1"/>
  <c r="CB84" i="6"/>
  <c r="CC84" i="6" s="1"/>
  <c r="CB227" i="6"/>
  <c r="CC227" i="6" s="1"/>
  <c r="CB85" i="6"/>
  <c r="CC85" i="6" s="1"/>
  <c r="CB253" i="6"/>
  <c r="CC253" i="6" s="1"/>
  <c r="CB47" i="6"/>
  <c r="CC47" i="6" s="1"/>
  <c r="CB239" i="6"/>
  <c r="CC239" i="6" s="1"/>
  <c r="CB220" i="6"/>
  <c r="CC220" i="6" s="1"/>
  <c r="CB148" i="6"/>
  <c r="CC148" i="6" s="1"/>
  <c r="CB64" i="6"/>
  <c r="CC64" i="6" s="1"/>
  <c r="CB132" i="6"/>
  <c r="CC132" i="6" s="1"/>
  <c r="CB106" i="6"/>
  <c r="CC106" i="6" s="1"/>
  <c r="CB236" i="6"/>
  <c r="CC236" i="6" s="1"/>
  <c r="CB107" i="6"/>
  <c r="CC107" i="6" s="1"/>
  <c r="CB83" i="6"/>
  <c r="CC83" i="6" s="1"/>
  <c r="CB157" i="6"/>
  <c r="CC157" i="6" s="1"/>
  <c r="CB146" i="6"/>
  <c r="CC146" i="6" s="1"/>
  <c r="CB103" i="6"/>
  <c r="CC103" i="6" s="1"/>
  <c r="CB60" i="6"/>
  <c r="CC60" i="6" s="1"/>
  <c r="CB134" i="6"/>
  <c r="CC134" i="6" s="1"/>
  <c r="CB221" i="6"/>
  <c r="CC221" i="6" s="1"/>
  <c r="CB38" i="6"/>
  <c r="CC38" i="6" s="1"/>
  <c r="CB33" i="6"/>
  <c r="CC33" i="6" s="1"/>
  <c r="CB225" i="6"/>
  <c r="CC225" i="6" s="1"/>
  <c r="CB69" i="6"/>
  <c r="CC69" i="6" s="1"/>
  <c r="CB226" i="6"/>
  <c r="CC226" i="6" s="1"/>
  <c r="CB219" i="6"/>
  <c r="CC219" i="6" s="1"/>
  <c r="CB110" i="6"/>
  <c r="CC110" i="6" s="1"/>
  <c r="CB77" i="6"/>
  <c r="CC77" i="6" s="1"/>
  <c r="CB251" i="6"/>
  <c r="CC251" i="6" s="1"/>
  <c r="CB123" i="6"/>
  <c r="CC123" i="6" s="1"/>
  <c r="CB198" i="6"/>
  <c r="CC198" i="6" s="1"/>
  <c r="CB174" i="6"/>
  <c r="CC174" i="6" s="1"/>
  <c r="CB114" i="6"/>
  <c r="CC114" i="6" s="1"/>
  <c r="CB248" i="6"/>
  <c r="CC248" i="6" s="1"/>
  <c r="CB141" i="6"/>
  <c r="CC141" i="6" s="1"/>
  <c r="CB208" i="6"/>
  <c r="CC208" i="6" s="1"/>
  <c r="CB78" i="6"/>
  <c r="CC78" i="6" s="1"/>
  <c r="CB40" i="6"/>
  <c r="CC40" i="6" s="1"/>
  <c r="CB256" i="6"/>
  <c r="CC256" i="6" s="1"/>
  <c r="CB42" i="6"/>
  <c r="CC42" i="6" s="1"/>
  <c r="CB145" i="6"/>
  <c r="CC145" i="6" s="1"/>
  <c r="CB31" i="6"/>
  <c r="CC31" i="6" s="1"/>
  <c r="CB173" i="6"/>
  <c r="CC173" i="6" s="1"/>
  <c r="CB94" i="6"/>
  <c r="CC94" i="6" s="1"/>
  <c r="CB213" i="6"/>
  <c r="CC213" i="6" s="1"/>
  <c r="CB214" i="6"/>
  <c r="CC214" i="6" s="1"/>
  <c r="CB50" i="6"/>
  <c r="CC50" i="6" s="1"/>
  <c r="CB242" i="6"/>
  <c r="CC242" i="6" s="1"/>
  <c r="CB70" i="6"/>
  <c r="CC70" i="6" s="1"/>
  <c r="CB189" i="6"/>
  <c r="CC189" i="6" s="1"/>
  <c r="CB215" i="6"/>
  <c r="CC215" i="6" s="1"/>
  <c r="CB108" i="6"/>
  <c r="CC108" i="6" s="1"/>
  <c r="CB205" i="6"/>
  <c r="CC205" i="6" s="1"/>
  <c r="CB199" i="6"/>
  <c r="CC199" i="6" s="1"/>
  <c r="CB194" i="6"/>
  <c r="CC194" i="6" s="1"/>
  <c r="CB28" i="6"/>
  <c r="CC28" i="6" s="1"/>
  <c r="CB179" i="6"/>
  <c r="CC179" i="6" s="1"/>
  <c r="CB46" i="6"/>
  <c r="CC46" i="6" s="1"/>
  <c r="CB254" i="6"/>
  <c r="CC254" i="6" s="1"/>
  <c r="CB53" i="6"/>
  <c r="CC53" i="6" s="1"/>
  <c r="CB249" i="6"/>
  <c r="CC249" i="6" s="1"/>
  <c r="CB113" i="6"/>
  <c r="CC113" i="6" s="1"/>
  <c r="CB229" i="6"/>
  <c r="CC229" i="6" s="1"/>
  <c r="CB237" i="6"/>
  <c r="CC237" i="6" s="1"/>
  <c r="CB104" i="6"/>
  <c r="CC104" i="6" s="1"/>
  <c r="CB149" i="6"/>
  <c r="CC149" i="6" s="1"/>
  <c r="CB235" i="6"/>
  <c r="CC235" i="6" s="1"/>
  <c r="CB119" i="6"/>
  <c r="CC119" i="6" s="1"/>
  <c r="CB55" i="6"/>
  <c r="CC55" i="6" s="1"/>
  <c r="CB100" i="6"/>
  <c r="CC100" i="6" s="1"/>
  <c r="CB243" i="6"/>
  <c r="CC243" i="6" s="1"/>
  <c r="CB167" i="6"/>
  <c r="CC167" i="6" s="1"/>
  <c r="CB129" i="6"/>
  <c r="CC129" i="6" s="1"/>
  <c r="CB61" i="6"/>
  <c r="CC61" i="6" s="1"/>
  <c r="CB180" i="6"/>
  <c r="CC180" i="6" s="1"/>
  <c r="CB163" i="6"/>
  <c r="CC163" i="6" s="1"/>
  <c r="CB231" i="6"/>
  <c r="CC231" i="6" s="1"/>
  <c r="CB218" i="6"/>
  <c r="CC218" i="6" s="1"/>
  <c r="CB188" i="6"/>
  <c r="CC188" i="6" s="1"/>
  <c r="CB153" i="6"/>
  <c r="CC153" i="6" s="1"/>
  <c r="CB169" i="6"/>
  <c r="CC169" i="6" s="1"/>
  <c r="CB230" i="6"/>
  <c r="CC230" i="6" s="1"/>
  <c r="CB36" i="6"/>
  <c r="CC36" i="6" s="1"/>
  <c r="CB182" i="6"/>
  <c r="CC182" i="6" s="1"/>
  <c r="CB93" i="6"/>
  <c r="CC93" i="6" s="1"/>
  <c r="CB82" i="6"/>
  <c r="CC82" i="6" s="1"/>
  <c r="CB130" i="6"/>
  <c r="CC130" i="6" s="1"/>
  <c r="CB135" i="6"/>
  <c r="CC135" i="6" s="1"/>
  <c r="CB66" i="6"/>
  <c r="CC66" i="6" s="1"/>
  <c r="CB71" i="6"/>
  <c r="CC71" i="6" s="1"/>
  <c r="CB186" i="6"/>
  <c r="CC186" i="6" s="1"/>
  <c r="CB184" i="6"/>
  <c r="CC184" i="6" s="1"/>
  <c r="CB139" i="6"/>
  <c r="CC139" i="6" s="1"/>
  <c r="CB234" i="6"/>
  <c r="CC234" i="6" s="1"/>
  <c r="CB181" i="6"/>
  <c r="CC181" i="6" s="1"/>
  <c r="CB202" i="6"/>
  <c r="CC202" i="6" s="1"/>
  <c r="CB255" i="6"/>
  <c r="CC255" i="6" s="1"/>
  <c r="CB122" i="6"/>
  <c r="CC122" i="6" s="1"/>
  <c r="CB175" i="6"/>
  <c r="CC175" i="6" s="1"/>
  <c r="CB201" i="6"/>
  <c r="CC201" i="6" s="1"/>
  <c r="CB34" i="6"/>
  <c r="CC34" i="6" s="1"/>
  <c r="CB161" i="6"/>
  <c r="CC161" i="6" s="1"/>
  <c r="CB74" i="6"/>
  <c r="CC74" i="6" s="1"/>
  <c r="CB67" i="6"/>
  <c r="CC67" i="6" s="1"/>
  <c r="CB140" i="6"/>
  <c r="CC140" i="6" s="1"/>
  <c r="CB197" i="6"/>
  <c r="CC197" i="6" s="1"/>
  <c r="CB240" i="6"/>
  <c r="CC240" i="6" s="1"/>
  <c r="CB105" i="6"/>
  <c r="CC105" i="6" s="1"/>
  <c r="CB170" i="6"/>
  <c r="CC170" i="6" s="1"/>
  <c r="CB97" i="6"/>
  <c r="CC97" i="6" s="1"/>
  <c r="CB112" i="6"/>
  <c r="CC112" i="6" s="1"/>
  <c r="CB216" i="6"/>
  <c r="CC216" i="6" s="1"/>
  <c r="CB192" i="6"/>
  <c r="CC192" i="6" s="1"/>
  <c r="CB147" i="6"/>
  <c r="CC147" i="6" s="1"/>
  <c r="CB187" i="6"/>
  <c r="CC187" i="6" s="1"/>
  <c r="CB37" i="6"/>
  <c r="CC37" i="6" s="1"/>
  <c r="CB41" i="6"/>
  <c r="CC41" i="6" s="1"/>
  <c r="CB212" i="6"/>
  <c r="CC212" i="6" s="1"/>
  <c r="CB222" i="6"/>
  <c r="CC222" i="6" s="1"/>
  <c r="CB120" i="6"/>
  <c r="CC120" i="6" s="1"/>
  <c r="CB250" i="6"/>
  <c r="CC250" i="6" s="1"/>
  <c r="CB164" i="6"/>
  <c r="CC164" i="6" s="1"/>
  <c r="CB160" i="6"/>
  <c r="CC160" i="6" s="1"/>
  <c r="CB190" i="6"/>
  <c r="CC190" i="6" s="1"/>
  <c r="CB152" i="6"/>
  <c r="CC152" i="6" s="1"/>
  <c r="DK212" i="6"/>
  <c r="DJ212" i="6"/>
  <c r="DK142" i="6"/>
  <c r="DJ142" i="6"/>
  <c r="DJ46" i="6"/>
  <c r="DK46" i="6"/>
  <c r="DK80" i="6"/>
  <c r="DJ80" i="6"/>
  <c r="CB172" i="6"/>
  <c r="CC172" i="6" s="1"/>
  <c r="DK133" i="6"/>
  <c r="DJ133" i="6"/>
  <c r="DJ164" i="6"/>
  <c r="DK164" i="6"/>
  <c r="DK228" i="6"/>
  <c r="DJ228" i="6"/>
  <c r="CB156" i="6"/>
  <c r="CC156" i="6" s="1"/>
  <c r="DK240" i="6"/>
  <c r="DJ240" i="6"/>
  <c r="DK24" i="6"/>
  <c r="DJ24" i="6"/>
  <c r="DJ170" i="6"/>
  <c r="DK170" i="6"/>
  <c r="DK226" i="6"/>
  <c r="DJ226" i="6"/>
  <c r="DK252" i="6"/>
  <c r="DJ252" i="6"/>
  <c r="DK44" i="6"/>
  <c r="DJ44" i="6"/>
  <c r="DK250" i="6"/>
  <c r="DJ250" i="6"/>
  <c r="DK215" i="6"/>
  <c r="DJ215" i="6"/>
  <c r="DJ89" i="6"/>
  <c r="DK89" i="6"/>
  <c r="DK180" i="6"/>
  <c r="DJ180" i="6"/>
  <c r="DK156" i="6"/>
  <c r="DJ156" i="6"/>
  <c r="DJ118" i="6"/>
  <c r="DK118" i="6"/>
  <c r="CB143" i="6"/>
  <c r="CC143" i="6" s="1"/>
  <c r="CB65" i="6"/>
  <c r="CC65" i="6" s="1"/>
  <c r="CB165" i="6"/>
  <c r="CC165" i="6" s="1"/>
  <c r="DK221" i="6"/>
  <c r="DJ221" i="6"/>
  <c r="DJ182" i="6"/>
  <c r="DK182" i="6"/>
  <c r="CB228" i="6"/>
  <c r="CC228" i="6" s="1"/>
  <c r="DJ225" i="6"/>
  <c r="DK225" i="6"/>
  <c r="DK75" i="6"/>
  <c r="DJ75" i="6"/>
  <c r="CB162" i="6"/>
  <c r="CC162" i="6" s="1"/>
  <c r="DJ200" i="6"/>
  <c r="DK200" i="6"/>
  <c r="DJ67" i="6"/>
  <c r="DK67" i="6"/>
  <c r="DJ110" i="6"/>
  <c r="DK110" i="6"/>
  <c r="DK239" i="6"/>
  <c r="DJ239" i="6"/>
  <c r="DK249" i="6"/>
  <c r="DJ249" i="6"/>
  <c r="DK172" i="6"/>
  <c r="DJ172" i="6"/>
  <c r="DJ171" i="6"/>
  <c r="DK171" i="6"/>
  <c r="DK173" i="6"/>
  <c r="DJ173" i="6"/>
  <c r="DJ78" i="6"/>
  <c r="DK78" i="6"/>
  <c r="DK94" i="6"/>
  <c r="DJ94" i="6"/>
  <c r="CB58" i="6"/>
  <c r="CC58" i="6" s="1"/>
  <c r="DK148" i="6"/>
  <c r="DJ148" i="6"/>
  <c r="DK98" i="6"/>
  <c r="DJ98" i="6"/>
  <c r="DK124" i="6"/>
  <c r="DJ124" i="6"/>
  <c r="DK65" i="6"/>
  <c r="DJ65" i="6"/>
  <c r="DK99" i="6"/>
  <c r="DJ99" i="6"/>
  <c r="DK219" i="6"/>
  <c r="DJ219" i="6"/>
  <c r="CB150" i="6"/>
  <c r="CC150" i="6" s="1"/>
  <c r="DJ184" i="6"/>
  <c r="DK184" i="6"/>
  <c r="DK155" i="6"/>
  <c r="DJ155" i="6"/>
  <c r="CB185" i="6"/>
  <c r="CC185" i="6" s="1"/>
  <c r="DK206" i="6"/>
  <c r="DJ206" i="6"/>
  <c r="CB79" i="6"/>
  <c r="CC79" i="6" s="1"/>
  <c r="DJ112" i="6"/>
  <c r="DK112" i="6"/>
  <c r="DK88" i="6"/>
  <c r="DJ88" i="6"/>
  <c r="DK256" i="6"/>
  <c r="DJ256" i="6"/>
  <c r="DK70" i="6"/>
  <c r="DJ70" i="6"/>
  <c r="CB101" i="6"/>
  <c r="CC101" i="6" s="1"/>
  <c r="DJ222" i="6"/>
  <c r="DK222" i="6"/>
  <c r="CB51" i="6"/>
  <c r="CC51" i="6" s="1"/>
  <c r="DJ177" i="6"/>
  <c r="DK177" i="6"/>
  <c r="DJ28" i="6"/>
  <c r="DK28" i="6"/>
  <c r="DK189" i="6"/>
  <c r="DJ189" i="6"/>
  <c r="DK224" i="6"/>
  <c r="DJ224" i="6"/>
  <c r="DJ102" i="6"/>
  <c r="DK102" i="6"/>
  <c r="CB102" i="6"/>
  <c r="CC102" i="6" s="1"/>
  <c r="DJ157" i="6"/>
  <c r="DK157" i="6"/>
  <c r="DJ144" i="6"/>
  <c r="DK144" i="6"/>
  <c r="DJ234" i="6"/>
  <c r="DK234" i="6"/>
  <c r="CB138" i="6"/>
  <c r="CC138" i="6" s="1"/>
  <c r="DJ210" i="6"/>
  <c r="DK210" i="6"/>
  <c r="DK229" i="6"/>
  <c r="DJ229" i="6"/>
  <c r="DJ71" i="6"/>
  <c r="DK71" i="6"/>
  <c r="DJ69" i="6"/>
  <c r="DK69" i="6"/>
  <c r="CB121" i="6"/>
  <c r="CC121" i="6" s="1"/>
  <c r="DJ77" i="6"/>
  <c r="DK77" i="6"/>
  <c r="DJ95" i="6"/>
  <c r="DK95" i="6"/>
  <c r="DK104" i="6"/>
  <c r="DJ104" i="6"/>
  <c r="DJ158" i="6"/>
  <c r="DK158" i="6"/>
  <c r="DK51" i="6"/>
  <c r="DJ51" i="6"/>
  <c r="DK93" i="6"/>
  <c r="DJ93" i="6"/>
  <c r="DJ62" i="6"/>
  <c r="DK62" i="6"/>
  <c r="DK103" i="6"/>
  <c r="DJ103" i="6"/>
  <c r="DJ166" i="6"/>
  <c r="DK166" i="6"/>
  <c r="CB133" i="6"/>
  <c r="CC133" i="6" s="1"/>
  <c r="DK134" i="6"/>
  <c r="DJ134" i="6"/>
  <c r="DK154" i="6"/>
  <c r="DJ154" i="6"/>
  <c r="DK68" i="6"/>
  <c r="DJ68" i="6"/>
  <c r="DJ161" i="6"/>
  <c r="DK161" i="6"/>
  <c r="DK137" i="6"/>
  <c r="DJ137" i="6"/>
  <c r="DK165" i="6"/>
  <c r="DJ165" i="6"/>
  <c r="DJ179" i="6"/>
  <c r="DK179" i="6"/>
  <c r="DK54" i="6"/>
  <c r="DJ54" i="6"/>
  <c r="DK25" i="6"/>
  <c r="DJ25" i="6"/>
  <c r="DK235" i="6"/>
  <c r="DJ235" i="6"/>
  <c r="DK97" i="6"/>
  <c r="DJ97" i="6"/>
  <c r="DK169" i="6"/>
  <c r="DJ169" i="6"/>
  <c r="DK167" i="6"/>
  <c r="DJ167" i="6"/>
  <c r="DK207" i="6"/>
  <c r="DJ207" i="6"/>
  <c r="DJ196" i="6"/>
  <c r="DK196" i="6"/>
  <c r="DK244" i="6"/>
  <c r="DJ244" i="6"/>
  <c r="DK76" i="6"/>
  <c r="DJ76" i="6"/>
  <c r="DJ146" i="6"/>
  <c r="DK146" i="6"/>
  <c r="CB80" i="6"/>
  <c r="CC80" i="6" s="1"/>
  <c r="DK160" i="6"/>
  <c r="DJ160" i="6"/>
  <c r="CB35" i="6"/>
  <c r="CC35" i="6" s="1"/>
  <c r="CB124" i="6"/>
  <c r="CC124" i="6" s="1"/>
  <c r="DK90" i="6"/>
  <c r="DJ90" i="6"/>
  <c r="DJ213" i="6"/>
  <c r="DK213" i="6"/>
  <c r="CB244" i="6"/>
  <c r="CC244" i="6" s="1"/>
  <c r="DK220" i="6"/>
  <c r="DJ220" i="6"/>
  <c r="DJ253" i="6"/>
  <c r="DK253" i="6"/>
  <c r="DK56" i="6"/>
  <c r="DJ56" i="6"/>
  <c r="DJ33" i="6"/>
  <c r="DK33" i="6"/>
  <c r="CB99" i="6"/>
  <c r="CC99" i="6" s="1"/>
  <c r="DJ201" i="6"/>
  <c r="DK201" i="6"/>
  <c r="DJ241" i="6"/>
  <c r="DK241" i="6"/>
  <c r="DK188" i="6"/>
  <c r="DJ188" i="6"/>
  <c r="DJ32" i="6"/>
  <c r="DK32" i="6"/>
  <c r="DK66" i="6"/>
  <c r="DJ66" i="6"/>
  <c r="DJ123" i="6"/>
  <c r="DK123" i="6"/>
  <c r="DK227" i="6"/>
  <c r="DJ227" i="6"/>
  <c r="DK174" i="6"/>
  <c r="DJ174" i="6"/>
  <c r="DJ83" i="6"/>
  <c r="DK83" i="6"/>
  <c r="DJ251" i="6"/>
  <c r="DK251" i="6"/>
  <c r="CB200" i="6"/>
  <c r="CC200" i="6" s="1"/>
  <c r="CB246" i="6"/>
  <c r="CC246" i="6" s="1"/>
  <c r="DK232" i="6"/>
  <c r="DJ232" i="6"/>
  <c r="DJ147" i="6"/>
  <c r="DK147" i="6"/>
  <c r="CB91" i="6"/>
  <c r="CC91" i="6" s="1"/>
  <c r="DJ141" i="6"/>
  <c r="DK141" i="6"/>
  <c r="CB177" i="6"/>
  <c r="CC177" i="6" s="1"/>
  <c r="DJ26" i="6"/>
  <c r="DK26" i="6"/>
  <c r="DJ72" i="6"/>
  <c r="DK72" i="6"/>
  <c r="CB24" i="6"/>
  <c r="CC24" i="6" s="1"/>
  <c r="DK238" i="6"/>
  <c r="DJ238" i="6"/>
  <c r="DJ81" i="6"/>
  <c r="DK81" i="6"/>
  <c r="DJ136" i="6"/>
  <c r="DK136" i="6"/>
  <c r="DJ243" i="6"/>
  <c r="DK243" i="6"/>
  <c r="DK254" i="6"/>
  <c r="DJ254" i="6"/>
  <c r="DK151" i="6"/>
  <c r="DJ151" i="6"/>
  <c r="DJ129" i="6"/>
  <c r="DK129" i="6"/>
  <c r="CB52" i="6"/>
  <c r="CC52" i="6" s="1"/>
  <c r="CB30" i="6"/>
  <c r="CC30" i="6" s="1"/>
  <c r="CB206" i="6"/>
  <c r="CC206" i="6" s="1"/>
  <c r="DK195" i="6"/>
  <c r="DJ195" i="6"/>
  <c r="DJ242" i="6"/>
  <c r="DK242" i="6"/>
  <c r="DK92" i="6"/>
  <c r="DJ92" i="6"/>
  <c r="DJ63" i="6"/>
  <c r="DK63" i="6"/>
  <c r="DK233" i="6"/>
  <c r="DJ233" i="6"/>
  <c r="DJ143" i="6"/>
  <c r="DK143" i="6"/>
  <c r="DJ208" i="6"/>
  <c r="DK208" i="6"/>
  <c r="DJ139" i="6"/>
  <c r="DK139" i="6"/>
  <c r="DJ162" i="6"/>
  <c r="DK162" i="6"/>
  <c r="DJ152" i="6"/>
  <c r="DK152" i="6"/>
  <c r="DJ73" i="6"/>
  <c r="DK73" i="6"/>
  <c r="DK231" i="6"/>
  <c r="DJ231" i="6"/>
  <c r="DJ223" i="6"/>
  <c r="DK223" i="6"/>
  <c r="DJ132" i="6"/>
  <c r="DK132" i="6"/>
  <c r="DJ190" i="6"/>
  <c r="DK190" i="6"/>
  <c r="DK61" i="6"/>
  <c r="DJ61" i="6"/>
  <c r="DK209" i="6"/>
  <c r="DJ209" i="6"/>
  <c r="DJ230" i="6"/>
  <c r="DK230" i="6"/>
  <c r="DJ216" i="6"/>
  <c r="DK216" i="6"/>
  <c r="DJ218" i="6"/>
  <c r="DK218" i="6"/>
  <c r="DK248" i="6"/>
  <c r="DJ248" i="6"/>
  <c r="CB142" i="6"/>
  <c r="CC142" i="6" s="1"/>
  <c r="DK183" i="6"/>
  <c r="DJ183" i="6"/>
  <c r="DJ131" i="6"/>
  <c r="DK131" i="6"/>
  <c r="CB39" i="6"/>
  <c r="CC39" i="6" s="1"/>
  <c r="DK122" i="6"/>
  <c r="DJ122" i="6"/>
  <c r="DJ130" i="6"/>
  <c r="DK130" i="6"/>
  <c r="CB89" i="6"/>
  <c r="CC89" i="6" s="1"/>
  <c r="DJ214" i="6"/>
  <c r="DK214" i="6"/>
  <c r="DK34" i="6"/>
  <c r="DJ34" i="6"/>
  <c r="DJ84" i="6"/>
  <c r="DK84" i="6"/>
  <c r="DK64" i="6"/>
  <c r="DJ64" i="6"/>
  <c r="DJ91" i="6"/>
  <c r="DK91" i="6"/>
  <c r="DJ138" i="6"/>
  <c r="DK138" i="6"/>
  <c r="CB211" i="6"/>
  <c r="CC211" i="6" s="1"/>
  <c r="DK27" i="6"/>
  <c r="DJ27" i="6"/>
  <c r="DJ181" i="6"/>
  <c r="DK181" i="6"/>
  <c r="CB128" i="6"/>
  <c r="CC128" i="6" s="1"/>
  <c r="DJ255" i="6"/>
  <c r="DK255" i="6"/>
  <c r="DK52" i="6"/>
  <c r="DJ52" i="6"/>
  <c r="DK60" i="6"/>
  <c r="DJ60" i="6"/>
  <c r="CB48" i="6"/>
  <c r="CC48" i="6" s="1"/>
  <c r="DK178" i="6"/>
  <c r="DJ178" i="6"/>
  <c r="DJ59" i="6"/>
  <c r="DK59" i="6"/>
  <c r="DK128" i="6"/>
  <c r="DJ128" i="6"/>
  <c r="DK117" i="6"/>
  <c r="DJ117" i="6"/>
  <c r="CB90" i="6"/>
  <c r="CC90" i="6" s="1"/>
  <c r="CB29" i="6"/>
  <c r="CC29" i="6" s="1"/>
  <c r="DK153" i="6"/>
  <c r="DJ153" i="6"/>
  <c r="DK38" i="6"/>
  <c r="DJ38" i="6"/>
  <c r="DK101" i="6"/>
  <c r="DJ101" i="6"/>
  <c r="DJ55" i="6"/>
  <c r="DK55" i="6"/>
  <c r="DK82" i="6"/>
  <c r="DJ82" i="6"/>
  <c r="CB72" i="6"/>
  <c r="CC72" i="6" s="1"/>
  <c r="CB44" i="6"/>
  <c r="CC44" i="6" s="1"/>
  <c r="DK217" i="6"/>
  <c r="DJ217" i="6"/>
  <c r="CB183" i="6"/>
  <c r="CC183" i="6" s="1"/>
  <c r="DJ87" i="6"/>
  <c r="DK87" i="6"/>
  <c r="DK145" i="6"/>
  <c r="DJ145" i="6"/>
  <c r="DK100" i="6"/>
  <c r="DJ100" i="6"/>
  <c r="DK96" i="6"/>
  <c r="DJ96" i="6"/>
  <c r="DK211" i="6"/>
  <c r="DJ211" i="6"/>
  <c r="DK135" i="6"/>
  <c r="DJ135" i="6"/>
  <c r="CB247" i="6"/>
  <c r="CC247" i="6" s="1"/>
  <c r="DK149" i="6"/>
  <c r="DJ149" i="6"/>
  <c r="CB151" i="6"/>
  <c r="CC151" i="6" s="1"/>
  <c r="DK57" i="6"/>
  <c r="DJ57" i="6"/>
  <c r="CB233" i="6"/>
  <c r="CC233" i="6" s="1"/>
  <c r="DK245" i="6"/>
  <c r="DJ245" i="6"/>
  <c r="CB92" i="6"/>
  <c r="CC92" i="6" s="1"/>
  <c r="DJ176" i="6"/>
  <c r="DK176" i="6"/>
  <c r="CB125" i="6"/>
  <c r="CC125" i="6" s="1"/>
  <c r="DJ50" i="6"/>
  <c r="DK50" i="6"/>
  <c r="DK202" i="6"/>
  <c r="DJ202" i="6"/>
  <c r="DJ236" i="6"/>
  <c r="DK236" i="6"/>
  <c r="DJ53" i="6"/>
  <c r="DK53" i="6"/>
  <c r="DJ45" i="6"/>
  <c r="DK45" i="6"/>
  <c r="DK40" i="6"/>
  <c r="DJ40" i="6"/>
  <c r="CB210" i="6"/>
  <c r="CC210" i="6" s="1"/>
  <c r="DJ175" i="6"/>
  <c r="DK175" i="6"/>
  <c r="DK247" i="6"/>
  <c r="DJ247" i="6"/>
  <c r="CB252" i="6"/>
  <c r="CC252" i="6" s="1"/>
  <c r="DJ159" i="6"/>
  <c r="DK159" i="6"/>
  <c r="DK246" i="6"/>
  <c r="DJ246" i="6"/>
  <c r="DK140" i="6"/>
  <c r="DJ140" i="6"/>
  <c r="DJ163" i="6"/>
  <c r="DK163" i="6"/>
  <c r="DK106" i="6"/>
  <c r="DJ106" i="6"/>
  <c r="DK116" i="6"/>
  <c r="DJ116" i="6"/>
  <c r="DJ105" i="6"/>
  <c r="DK105" i="6"/>
  <c r="CB176" i="6"/>
  <c r="CC176" i="6" s="1"/>
  <c r="CB81" i="6"/>
  <c r="CC81" i="6" s="1"/>
  <c r="DJ168" i="6"/>
  <c r="DK168" i="6"/>
  <c r="DJ39" i="6"/>
  <c r="DK39" i="6"/>
  <c r="DJ85" i="6"/>
  <c r="DK85" i="6"/>
  <c r="CB241" i="6"/>
  <c r="CC241" i="6" s="1"/>
  <c r="DK237" i="6"/>
  <c r="DJ237" i="6"/>
  <c r="DK150" i="6"/>
  <c r="DJ150" i="6"/>
  <c r="DK74" i="6"/>
  <c r="DJ74" i="6"/>
  <c r="CB137" i="6"/>
  <c r="CC137" i="6" s="1"/>
  <c r="CB154" i="6"/>
  <c r="CC154" i="6" s="1"/>
  <c r="DJ79" i="6"/>
  <c r="DK79" i="6"/>
  <c r="CB159" i="6"/>
  <c r="CC159" i="6" s="1"/>
  <c r="DK194" i="6"/>
  <c r="DJ194" i="6"/>
  <c r="DK111" i="6"/>
  <c r="DJ111" i="6"/>
  <c r="DJ58" i="6"/>
  <c r="DK58" i="6"/>
  <c r="DK86" i="6"/>
  <c r="DJ86" i="6"/>
  <c r="CB45" i="6"/>
  <c r="CC45" i="6" s="1"/>
  <c r="CB63" i="6"/>
  <c r="CC63" i="6" s="1"/>
  <c r="CU23" i="6"/>
  <c r="L60" i="6"/>
  <c r="N60" i="6" s="1"/>
  <c r="BW23" i="6"/>
  <c r="M99" i="6"/>
  <c r="D99" i="6"/>
  <c r="E99" i="6" s="1"/>
  <c r="G89" i="6"/>
  <c r="E38" i="6"/>
  <c r="N36" i="6"/>
  <c r="M96" i="6"/>
  <c r="G96" i="6"/>
  <c r="H96" i="6" s="1"/>
  <c r="L96" i="6" s="1"/>
  <c r="CF23" i="6"/>
  <c r="CE23" i="6"/>
  <c r="BV23" i="6" a="1"/>
  <c r="CI23" i="6"/>
  <c r="CQ23" i="6" l="1"/>
  <c r="L48" i="6"/>
  <c r="L49" i="6"/>
  <c r="BV23" i="6"/>
  <c r="L52" i="6"/>
  <c r="L51" i="6"/>
  <c r="L50" i="6"/>
  <c r="C129" i="6"/>
  <c r="C130" i="6" s="1"/>
  <c r="C128" i="6"/>
  <c r="C127" i="6"/>
  <c r="K96" i="6"/>
  <c r="N96" i="6" s="1"/>
  <c r="CJ23" i="6"/>
  <c r="BQ23" i="6" s="1"/>
  <c r="BR23" i="6" s="1"/>
  <c r="CA23" i="6" s="1"/>
  <c r="DD23" i="6"/>
  <c r="CG23" i="6"/>
  <c r="I89" i="6"/>
  <c r="L89" i="6" s="1"/>
  <c r="L90" i="6" s="1"/>
  <c r="N90" i="6" s="1"/>
  <c r="N99" i="6"/>
  <c r="CN23" i="6"/>
  <c r="CK23" i="6"/>
  <c r="C131" i="6" a="1"/>
  <c r="DB23" i="6" l="1"/>
  <c r="DC23" i="6" s="1"/>
  <c r="C131" i="6"/>
  <c r="CL23" i="6"/>
  <c r="CM23" i="6" s="1"/>
  <c r="J62" i="6"/>
  <c r="BX23" i="6"/>
  <c r="BZ23" i="6"/>
  <c r="BY23" i="6"/>
  <c r="N52" i="6"/>
  <c r="CR23" i="6"/>
  <c r="E77" i="6" l="1"/>
  <c r="L63" i="6"/>
  <c r="CB23" i="6"/>
  <c r="DI23" i="6"/>
  <c r="CT23" i="6"/>
  <c r="CS23" i="6"/>
  <c r="CX23" i="6"/>
  <c r="N63" i="6" l="1"/>
  <c r="C92" i="6"/>
  <c r="DJ23" i="6"/>
  <c r="DK23" i="6"/>
  <c r="L78" i="6"/>
  <c r="L79" i="6" s="1"/>
  <c r="N79" i="6" s="1"/>
  <c r="K77" i="6"/>
  <c r="DF23" i="6"/>
  <c r="CY23" i="6" l="1"/>
  <c r="CZ23" i="6" s="1"/>
  <c r="DG23" i="6"/>
  <c r="CC2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PC</author>
    <author>Toan</author>
  </authors>
  <commentList>
    <comment ref="Z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DJ14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Toàn_Xem sheet LT bên cạnh
</t>
        </r>
      </text>
    </comment>
    <comment ref="F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HVMT:
- Ô này chỉ để bổ sung thông tin chiều cao tổng thể cột
- Chiều cao cột để tính toán ở mục 3 - Nội lực, ô [F34]</t>
        </r>
      </text>
    </comment>
    <comment ref="F1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HVMT:
- Ô này chỉ để bổ sung thông tin chiều cao tổng thể cột
- Chiều cao cột để tính toán ở mục 3 - Nội lực, ô [F34]</t>
        </r>
      </text>
    </comment>
    <comment ref="F2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[HVMT]:
- Chiều dài tính toán cột trong mặt phẳng khung
- Chiều dài tính toán cột mục 7.5.2.1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[HVMT]:</t>
        </r>
        <r>
          <rPr>
            <sz val="9"/>
            <color indexed="81"/>
            <rFont val="Tahoma"/>
            <family val="2"/>
          </rPr>
          <t xml:space="preserve">
Khoảng cách giữa 2 vị trí giằng cột theo phương ngoài mặt phẳng khung</t>
        </r>
      </text>
    </comment>
    <comment ref="H32" authorId="2" shapeId="0" xr:uid="{00000000-0006-0000-0200-00000700000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 &lt; 0 Cột chịu nén
N &gt; 0 Cột chịu kéo</t>
        </r>
      </text>
    </comment>
    <comment ref="D62" authorId="2" shapeId="0" xr:uid="{00000000-0006-0000-0200-00000800000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Tool tự động tính toán theo mục 9.2.6</t>
        </r>
      </text>
    </comment>
    <comment ref="I96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[HVMT]:
Tính toán theo sơ đồ 2_Bảng F1
Hai hay nhiều điểm liên kết</t>
        </r>
      </text>
    </comment>
    <comment ref="K100" authorId="0" shapeId="0" xr:uid="{00000000-0006-0000-0200-00000A000000}">
      <text>
        <r>
          <rPr>
            <sz val="9"/>
            <color indexed="81"/>
            <rFont val="Tahoma"/>
            <family val="2"/>
          </rPr>
          <t>Toàn
- Sơ đồ 1: Khớp - Khớp
- Sơ đồ 2: Ngàm - Ngàm
- Sơ đồ 3: Ngàm - Khớp
- Sơ đồ 4: Công xôn
- PTHH: Giá trị tính từ phần mềm khác
Thông thường sơ đồ Ngàm - Khớp</t>
        </r>
      </text>
    </comment>
    <comment ref="C130" authorId="0" shapeId="0" xr:uid="{00000000-0006-0000-0200-00000B000000}">
      <text>
        <r>
          <rPr>
            <sz val="9"/>
            <color indexed="81"/>
            <rFont val="Tahoma"/>
            <family val="2"/>
          </rPr>
          <t xml:space="preserve">Toàn
- Khi không có ứng suất cục bộ đối với dầm có đường hàn 2 bên: 3.5
- Khi không có ứng suất cục bộ đối với dầm có đường hàn 1 bên: 3.2
- Khi có ứng suất cục bộ đối với dầm có đường hàn 2 bên: 2.5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New Text Document" description="Connection to the 'New Text Document' query in the workbook." type="5" refreshedVersion="8" background="1" saveData="1">
    <dbPr connection="Provider=Microsoft.Mashup.OleDb.1;Data Source=$Workbook$;Location=&quot;New Text Document&quot;;Extended Properties=&quot;&quot;" command="SELECT * FROM [New Text Document]"/>
  </connection>
  <connection id="2" xr16:uid="{00000000-0015-0000-FFFF-FFFF01000000}" keepAlive="1" name="Query - Table" description="Connection to the 'Table' query in the workbook." type="5" refreshedVersion="8" background="1" saveData="1">
    <dbPr connection="Provider=Microsoft.Mashup.OleDb.1;Data Source=$Workbook$;Location=Table;Extended Properties=&quot;&quot;" command="SELECT * FROM [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<sst xmlns="http://schemas.openxmlformats.org/spreadsheetml/2006/main" count="1517" uniqueCount="522">
  <si>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</si>
  <si>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</si>
  <si>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</si>
  <si>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</si>
  <si>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</si>
  <si>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</si>
  <si>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</si>
  <si>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</si>
  <si>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</si>
  <si>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</si>
  <si>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</si>
  <si>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</si>
  <si>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</si>
  <si>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</si>
  <si>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</si>
  <si>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</si>
  <si>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</si>
  <si>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</si>
  <si>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</si>
  <si>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</si>
  <si>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</si>
  <si>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</si>
  <si>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</si>
  <si>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</si>
  <si>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</si>
  <si>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</si>
  <si>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</si>
  <si>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kN</t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</si>
  <si>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</si>
  <si>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</si>
  <si>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</si>
  <si>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</si>
  <si>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Mác thép</t>
  </si>
  <si>
    <t>E=</t>
  </si>
  <si>
    <t>A. THÔNG SỐ THIẾT KẾ</t>
  </si>
  <si>
    <t>B. TÍNH TOÁN</t>
  </si>
  <si>
    <t>Vị trí</t>
  </si>
  <si>
    <t>FS</t>
  </si>
  <si>
    <t>Kiểm Tra Điều Kiện Bền</t>
  </si>
  <si>
    <t>Thông Số</t>
  </si>
  <si>
    <t>L</t>
  </si>
  <si>
    <t>(kNm)</t>
  </si>
  <si>
    <t>(kN)</t>
  </si>
  <si>
    <t>N</t>
  </si>
  <si>
    <t>T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</si>
  <si>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</si>
  <si>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</si>
  <si>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</si>
  <si>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</si>
  <si>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t>h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</si>
  <si>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</si>
  <si>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</si>
  <si>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(mm)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</si>
  <si>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</si>
  <si>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</si>
  <si>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t>(m)</t>
  </si>
  <si>
    <t>kNm</t>
  </si>
  <si>
    <t>Phần tử</t>
  </si>
  <si>
    <t>Tổ hợp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</si>
  <si>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</si>
  <si>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</si>
  <si>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</si>
  <si>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>=</t>
    </r>
  </si>
  <si>
    <t>Kết luận</t>
  </si>
  <si>
    <t>Q235</t>
  </si>
  <si>
    <t>Q345</t>
  </si>
  <si>
    <t>A572 gr.50</t>
  </si>
  <si>
    <t>A36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</si>
  <si>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</si>
  <si>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i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</si>
  <si>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j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</si>
  <si>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</si>
  <si>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bot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</si>
  <si>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f,bot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</si>
  <si>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</si>
  <si>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</si>
  <si>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</si>
  <si>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3</t>
    </r>
  </si>
  <si>
    <t>Tên</t>
  </si>
  <si>
    <t>m</t>
  </si>
  <si>
    <t>cm</t>
  </si>
  <si>
    <r>
      <t>b</t>
    </r>
    <r>
      <rPr>
        <vertAlign val="subscript"/>
        <sz val="10"/>
        <color theme="1"/>
        <rFont val="Calibri"/>
        <family val="2"/>
        <scheme val="minor"/>
      </rPr>
      <t xml:space="preserve">f </t>
    </r>
    <r>
      <rPr>
        <sz val="10"/>
        <color theme="1"/>
        <rFont val="Calibri"/>
        <family val="2"/>
        <scheme val="minor"/>
      </rPr>
      <t>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</si>
  <si>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f </t>
    </r>
    <r>
      <rPr>
        <sz val="10"/>
        <color theme="1"/>
        <rFont val="Calibri"/>
        <family val="2"/>
        <scheme val="minor"/>
      </rPr>
      <t>=</t>
    </r>
  </si>
  <si>
    <r>
      <t xml:space="preserve">Hệ số </t>
    </r>
    <r>
      <rPr>
        <b/>
        <sz val="11"/>
        <color theme="1"/>
        <rFont val="Arial"/>
        <family val="2"/>
      </rPr>
      <t>φ</t>
    </r>
    <r>
      <rPr>
        <b/>
        <sz val="11"/>
        <color theme="1"/>
        <rFont val="Calibri"/>
        <family val="2"/>
      </rPr>
      <t>e để kiểm tra ổn định của cấu kiện tiết diện đặc, chịu nén lệch tâm (nén uốn), mặt phẳng tác dụng của moment trùng với mặt phẳng đối xứng</t>
    </r>
  </si>
  <si>
    <t>a</t>
  </si>
  <si>
    <t>c =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</si>
  <si>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c</t>
    </r>
  </si>
  <si>
    <t>b</t>
  </si>
  <si>
    <r>
      <t>c</t>
    </r>
    <r>
      <rPr>
        <vertAlign val="subscript"/>
        <sz val="10"/>
        <color theme="1"/>
        <rFont val="Calibri"/>
        <family val="2"/>
        <scheme val="minor"/>
      </rPr>
      <t>5</t>
    </r>
  </si>
  <si>
    <r>
      <t>c</t>
    </r>
    <r>
      <rPr>
        <vertAlign val="subscript"/>
        <sz val="10"/>
        <color theme="1"/>
        <rFont val="Calibri"/>
        <family val="2"/>
        <scheme val="minor"/>
      </rPr>
      <t>10</t>
    </r>
  </si>
  <si>
    <t>(Mục 7.3.2.1)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</si>
  <si>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</si>
  <si>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</si>
  <si>
    <t>c</t>
  </si>
  <si>
    <t>(Chịu uốn trong mặt phẳng bản bụng)</t>
  </si>
  <si>
    <t>(Chịu uốn ngoài mặt phẳng bản bụng)</t>
  </si>
  <si>
    <t>L =</t>
  </si>
  <si>
    <t>Kiểm tra ổn định tổng thể
trong mặt phẳng</t>
  </si>
  <si>
    <r>
      <rPr>
        <b/>
        <sz val="10"/>
        <color rgb="FF0070C0"/>
        <rFont val="Symbol"/>
        <family val="1"/>
        <charset val="2"/>
      </rPr>
      <t>j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</si>
  <si>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rPr>
        <b/>
        <sz val="10"/>
        <color rgb="FF0070C0"/>
        <rFont val="Symbol"/>
        <family val="1"/>
        <charset val="2"/>
      </rPr>
      <t>j</t>
    </r>
    <r>
      <rPr>
        <b/>
        <vertAlign val="subscript"/>
        <sz val="10"/>
        <color rgb="FF0070C0"/>
        <rFont val="Calibri"/>
        <family val="2"/>
        <scheme val="minor"/>
      </rPr>
      <t>e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</si>
  <si>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</si>
  <si>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t>BẢNG TỔNG HỢP CHI TIẾT  - THUYẾT MINH CẤU KIỆN CHỊU NÉN LỆCH TÂM I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</si>
  <si>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 xml:space="preserve"> 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</si>
  <si>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]</t>
    </r>
    <r>
      <rPr>
        <sz val="10"/>
        <color theme="1"/>
        <rFont val="Calibri"/>
        <family val="2"/>
        <scheme val="minor"/>
      </rPr>
      <t>=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</si>
  <si>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 =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</si>
  <si>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</si>
  <si>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</si>
  <si>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t>B</t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</si>
  <si>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</si>
  <si>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V</t>
    </r>
    <r>
      <rPr>
        <vertAlign val="subscript"/>
        <sz val="10"/>
        <color theme="1"/>
        <rFont val="Calibri"/>
        <family val="2"/>
        <scheme val="minor"/>
      </rPr>
      <t>X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</si>
  <si>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</si>
  <si>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</si>
  <si>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</si>
  <si>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</si>
  <si>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</si>
  <si>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</si>
  <si>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t>1. Tính toán về bền (Mục 9.1)</t>
  </si>
  <si>
    <t>n =</t>
  </si>
  <si>
    <r>
      <t>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</si>
  <si>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N/(A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)=</t>
    </r>
  </si>
  <si>
    <r>
      <t>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</si>
  <si>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 xml:space="preserve"> </t>
  </si>
  <si>
    <t>2. Tính toán về ổn định (Mục 9.2)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</si>
  <si>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</si>
  <si>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</si>
  <si>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h</t>
    </r>
    <r>
      <rPr>
        <sz val="13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</si>
  <si>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h</t>
    </r>
    <r>
      <rPr>
        <sz val="10"/>
        <color theme="1"/>
        <rFont val="Calibri"/>
        <family val="2"/>
        <scheme val="minor"/>
      </rPr>
      <t>m =</t>
    </r>
  </si>
  <si>
    <t>Bảng D3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</si>
  <si>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</si>
  <si>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N/(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e</t>
    </r>
    <r>
      <rPr>
        <sz val="10"/>
        <color theme="1"/>
        <rFont val="Calibri"/>
        <family val="2"/>
      </rPr>
      <t>Af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 =</t>
    </r>
  </si>
  <si>
    <t>2.2 Kiểm tra điều kiện ổn định tổng thể cột chữ I, chịu uốn ngoài mặt phẳng bản bụng (Mục 9.2.4)</t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</si>
  <si>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</si>
  <si>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</si>
  <si>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N/(c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Af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 =</t>
    </r>
  </si>
  <si>
    <t>2.3 Kiểm tra điều kiện ổn định cục bộ của bản cánh cột (Mục 9.4.7)</t>
  </si>
  <si>
    <t>2.4 Kiểm tra điều kiện ổn định cục bộ của bản bụng cột (Mục 9.4.2)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</si>
  <si>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</si>
  <si>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c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/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</t>
    </r>
  </si>
  <si>
    <t>3. Độ mảnh của cấu kiện (Mục 10.4)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</si>
  <si>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</si>
  <si>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N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N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</si>
  <si>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</si>
  <si>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</si>
  <si>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B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B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</si>
  <si>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t>f</t>
    </r>
    <r>
      <rPr>
        <vertAlign val="subscript"/>
        <sz val="10"/>
        <rFont val="Calibri"/>
        <family val="2"/>
        <scheme val="minor"/>
      </rPr>
      <t>yd</t>
    </r>
    <r>
      <rPr>
        <sz val="10"/>
        <rFont val="Calibri"/>
        <family val="2"/>
        <scheme val="minor"/>
      </rPr>
      <t>=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</si>
  <si>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</si>
  <si>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</si>
  <si>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</si>
  <si>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</si>
  <si>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</si>
  <si>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</si>
  <si>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</si>
  <si>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</si>
  <si>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</si>
  <si>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</si>
  <si>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</si>
  <si>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</si>
  <si>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x,qu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</si>
  <si>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</si>
  <si>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xtt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</si>
  <si>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ytt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</si>
  <si>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f</t>
    </r>
    <r>
      <rPr>
        <b/>
        <sz val="10"/>
        <color rgb="FF0070C0"/>
        <rFont val="Calibri"/>
        <family val="2"/>
        <scheme val="minor"/>
      </rPr>
      <t>/A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</si>
  <si>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ef</t>
    </r>
  </si>
  <si>
    <t>Kiểm
9.1.2</t>
  </si>
  <si>
    <t>n</t>
  </si>
  <si>
    <r>
      <t>N/
(Af</t>
    </r>
    <r>
      <rPr>
        <b/>
        <vertAlign val="subscript"/>
        <sz val="10"/>
        <color rgb="FF0070C0"/>
        <rFont val="Calibri"/>
        <family val="2"/>
        <scheme val="minor"/>
      </rPr>
      <t>yd</t>
    </r>
    <r>
      <rPr>
        <b/>
        <sz val="10"/>
        <color rgb="FF0070C0"/>
        <rFont val="Calibri"/>
        <family val="2"/>
        <scheme val="minor"/>
      </rPr>
      <t>)</t>
    </r>
  </si>
  <si>
    <t>Công
thức</t>
  </si>
  <si>
    <r>
      <t>c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</si>
  <si>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c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</si>
  <si>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Tỷ số huy động cấu kiện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</si>
  <si>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</si>
  <si>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</si>
  <si>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w</t>
  </si>
  <si>
    <r>
      <t>I</t>
    </r>
    <r>
      <rPr>
        <b/>
        <vertAlign val="subscript"/>
        <sz val="10"/>
        <color rgb="FF0070C0"/>
        <rFont val="Symbol"/>
        <family val="1"/>
        <charset val="2"/>
      </rPr>
      <t>w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</si>
  <si>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r>
      <t>l</t>
    </r>
    <r>
      <rPr>
        <vertAlign val="subscript"/>
        <sz val="10"/>
        <color theme="1"/>
        <rFont val="Calibri"/>
        <family val="2"/>
        <scheme val="minor"/>
      </rPr>
      <t>y,qu</t>
    </r>
  </si>
  <si>
    <r>
      <rPr>
        <b/>
        <sz val="10"/>
        <color rgb="FF0070C0"/>
        <rFont val="Symbol"/>
        <family val="1"/>
        <charset val="2"/>
      </rPr>
      <t>j</t>
    </r>
    <r>
      <rPr>
        <b/>
        <vertAlign val="subscript"/>
        <sz val="10"/>
        <color rgb="FF0070C0"/>
        <rFont val="Calibri"/>
        <family val="2"/>
        <scheme val="minor"/>
      </rPr>
      <t>c</t>
    </r>
  </si>
  <si>
    <r>
      <rPr>
        <b/>
        <sz val="10"/>
        <color rgb="FF0070C0"/>
        <rFont val="Symbol"/>
        <family val="1"/>
        <charset val="2"/>
      </rPr>
      <t>j</t>
    </r>
    <r>
      <rPr>
        <b/>
        <vertAlign val="subscript"/>
        <sz val="10"/>
        <color rgb="FF0070C0"/>
        <rFont val="Calibri"/>
        <family val="2"/>
        <scheme val="minor"/>
      </rPr>
      <t>b</t>
    </r>
  </si>
  <si>
    <t>c5</t>
  </si>
  <si>
    <t>c10</t>
  </si>
  <si>
    <r>
      <rPr>
        <b/>
        <sz val="10"/>
        <color rgb="FF0070C0"/>
        <rFont val="Symbol"/>
        <family val="1"/>
        <charset val="2"/>
      </rPr>
      <t>l</t>
    </r>
    <r>
      <rPr>
        <b/>
        <vertAlign val="subscript"/>
        <sz val="10"/>
        <color rgb="FF0070C0"/>
        <rFont val="Calibri"/>
        <family val="2"/>
        <scheme val="minor"/>
      </rPr>
      <t>qu,f</t>
    </r>
  </si>
  <si>
    <r>
      <rPr>
        <b/>
        <sz val="10"/>
        <color rgb="FF0070C0"/>
        <rFont val="Symbol"/>
        <family val="1"/>
        <charset val="2"/>
      </rPr>
      <t>[l</t>
    </r>
    <r>
      <rPr>
        <b/>
        <vertAlign val="subscript"/>
        <sz val="10"/>
        <color rgb="FF0070C0"/>
        <rFont val="Calibri"/>
        <family val="2"/>
        <scheme val="minor"/>
      </rPr>
      <t>qu,f</t>
    </r>
    <r>
      <rPr>
        <b/>
        <sz val="10"/>
        <color rgb="FF0070C0"/>
        <rFont val="Calibri"/>
        <family val="2"/>
        <scheme val="minor"/>
      </rPr>
      <t>]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</si>
  <si>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qu,</t>
    </r>
    <r>
      <rPr>
        <vertAlign val="subscript"/>
        <sz val="10"/>
        <color rgb="FF0070C0"/>
        <rFont val="Calibri"/>
        <family val="2"/>
        <scheme val="minor"/>
      </rPr>
      <t>W</t>
    </r>
  </si>
  <si>
    <r>
      <rPr>
        <b/>
        <sz val="10"/>
        <color rgb="FF0070C0"/>
        <rFont val="Symbol"/>
        <family val="1"/>
        <charset val="2"/>
      </rPr>
      <t>[l</t>
    </r>
    <r>
      <rPr>
        <b/>
        <vertAlign val="subscript"/>
        <sz val="10"/>
        <color rgb="FF0070C0"/>
        <rFont val="Calibri"/>
        <family val="2"/>
        <scheme val="minor"/>
      </rPr>
      <t>qu,W</t>
    </r>
    <r>
      <rPr>
        <b/>
        <sz val="10"/>
        <color rgb="FF0070C0"/>
        <rFont val="Calibri"/>
        <family val="2"/>
        <scheme val="minor"/>
      </rPr>
      <t>]</t>
    </r>
  </si>
  <si>
    <t>Kết
luận</t>
  </si>
  <si>
    <t>Kiểm tra độ mảnh</t>
  </si>
  <si>
    <t>l</t>
  </si>
  <si>
    <r>
      <rPr>
        <b/>
        <sz val="10"/>
        <color rgb="FF0070C0"/>
        <rFont val="Symbol"/>
        <family val="1"/>
        <charset val="2"/>
      </rPr>
      <t>[l</t>
    </r>
    <r>
      <rPr>
        <b/>
        <sz val="10"/>
        <color rgb="FF0070C0"/>
        <rFont val="Calibri"/>
        <family val="2"/>
        <scheme val="minor"/>
      </rPr>
      <t>]</t>
    </r>
  </si>
  <si>
    <t>(Theo TCVN 5575-2024)</t>
  </si>
  <si>
    <t>2.1 Kiểm tra điều kiện ổn định tổng thể cột chữ I, chịu uốn trong mặt phẳng bản bụng (Mục 9.2.9)</t>
  </si>
  <si>
    <r>
      <t>m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</si>
  <si>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</si>
  <si>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Cột</t>
  </si>
  <si>
    <t>Dầm</t>
  </si>
  <si>
    <t>H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</si>
  <si>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</si>
  <si>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t>Đặc trưng hình học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</si>
  <si>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</si>
  <si>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</si>
  <si>
    <t>Chiều cao cột, Lc</t>
  </si>
  <si>
    <t>Bước cột, L</t>
  </si>
  <si>
    <r>
      <t>Hệ số I</t>
    </r>
    <r>
      <rPr>
        <vertAlign val="subscript"/>
        <sz val="10"/>
        <color theme="1"/>
        <rFont val="Calibri"/>
        <family val="2"/>
        <scheme val="minor"/>
      </rPr>
      <t>c</t>
    </r>
  </si>
  <si>
    <r>
      <t>Hệ số I</t>
    </r>
    <r>
      <rPr>
        <vertAlign val="subscript"/>
        <sz val="10"/>
        <color theme="1"/>
        <rFont val="Calibri"/>
        <family val="2"/>
        <scheme val="minor"/>
      </rPr>
      <t>s</t>
    </r>
  </si>
  <si>
    <t>Hệ số n</t>
  </si>
  <si>
    <t>Hệ số uốn dọc khi chân cột liên kết khớp</t>
  </si>
  <si>
    <t>Hệ số uốn dọc khi chân cột liên kết ngàm</t>
  </si>
  <si>
    <r>
      <t>Chiều cao cột, L</t>
    </r>
    <r>
      <rPr>
        <vertAlign val="subscript"/>
        <sz val="10"/>
        <color theme="1"/>
        <rFont val="Calibri"/>
        <family val="2"/>
        <scheme val="minor"/>
      </rPr>
      <t>c</t>
    </r>
  </si>
  <si>
    <r>
      <t>Hệ số n</t>
    </r>
    <r>
      <rPr>
        <vertAlign val="subscript"/>
        <sz val="10"/>
        <color theme="1"/>
        <rFont val="Calibri"/>
        <family val="2"/>
        <scheme val="minor"/>
      </rPr>
      <t>1</t>
    </r>
  </si>
  <si>
    <r>
      <t>Hệ số n</t>
    </r>
    <r>
      <rPr>
        <vertAlign val="subscript"/>
        <sz val="10"/>
        <color theme="1"/>
        <rFont val="Calibri"/>
        <family val="2"/>
        <scheme val="minor"/>
      </rPr>
      <t>2</t>
    </r>
  </si>
  <si>
    <r>
      <t>Bước cột trái, L</t>
    </r>
    <r>
      <rPr>
        <vertAlign val="subscript"/>
        <sz val="10"/>
        <color theme="1"/>
        <rFont val="Calibri"/>
        <family val="2"/>
        <scheme val="minor"/>
      </rPr>
      <t>1</t>
    </r>
  </si>
  <si>
    <r>
      <t>Bước cột phải, L</t>
    </r>
    <r>
      <rPr>
        <vertAlign val="subscript"/>
        <sz val="10"/>
        <color theme="1"/>
        <rFont val="Calibri"/>
        <family val="2"/>
        <scheme val="minor"/>
      </rPr>
      <t>2</t>
    </r>
  </si>
  <si>
    <t>Số nhịp, k</t>
  </si>
  <si>
    <t>Dầm trái</t>
  </si>
  <si>
    <t>Dầm phải</t>
  </si>
  <si>
    <t>G</t>
  </si>
  <si>
    <r>
      <t>I</t>
    </r>
    <r>
      <rPr>
        <vertAlign val="subscript"/>
        <sz val="10"/>
        <color theme="1"/>
        <rFont val="Calibri"/>
        <family val="2"/>
        <scheme val="minor"/>
      </rPr>
      <t>T</t>
    </r>
  </si>
  <si>
    <r>
      <t>I</t>
    </r>
    <r>
      <rPr>
        <vertAlign val="subscript"/>
        <sz val="10"/>
        <color theme="1"/>
        <rFont val="Symbol"/>
        <family val="1"/>
        <charset val="2"/>
      </rPr>
      <t>w</t>
    </r>
  </si>
  <si>
    <t>k</t>
  </si>
  <si>
    <t>z</t>
  </si>
  <si>
    <r>
      <t>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</si>
  <si>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</t>
    </r>
    <r>
      <rPr>
        <vertAlign val="superscript"/>
        <sz val="10"/>
        <color theme="1"/>
        <rFont val="Calibri"/>
        <family val="2"/>
        <scheme val="minor"/>
      </rPr>
      <t>6</t>
    </r>
  </si>
  <si>
    <t>1/m</t>
  </si>
  <si>
    <r>
      <t>kNm</t>
    </r>
    <r>
      <rPr>
        <vertAlign val="superscript"/>
        <sz val="10"/>
        <color theme="1"/>
        <rFont val="Calibri"/>
        <family val="2"/>
        <scheme val="minor"/>
      </rPr>
      <t>2</t>
    </r>
  </si>
  <si>
    <t>Mác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</si>
  <si>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</si>
  <si>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</si>
  <si>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"/>
        <family val="2"/>
        <scheme val="minor"/>
      </rPr>
      <t>n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</si>
  <si>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6</t>
    </r>
  </si>
  <si>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</si>
  <si>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Phụ lục tính toán mục 2.2</t>
  </si>
  <si>
    <t>Phụ lục tính toán mục 2.4</t>
  </si>
  <si>
    <r>
      <rPr>
        <sz val="10"/>
        <color theme="1"/>
        <rFont val="Symbol"/>
        <family val="1"/>
        <charset val="2"/>
      </rPr>
      <t xml:space="preserve">® </t>
    </r>
    <r>
      <rPr>
        <sz val="10"/>
        <color theme="1"/>
        <rFont val="Calibri"/>
        <family val="2"/>
        <scheme val="minor"/>
      </rPr>
      <t>Kiểm tra theo loại tiết diện</t>
    </r>
  </si>
  <si>
    <r>
      <t>m</t>
    </r>
    <r>
      <rPr>
        <vertAlign val="superscript"/>
        <sz val="10"/>
        <color rgb="FF0070C0"/>
        <rFont val="Calibri"/>
        <family val="2"/>
        <scheme val="minor"/>
      </rPr>
      <t>4</t>
    </r>
  </si>
  <si>
    <r>
      <t>I</t>
    </r>
    <r>
      <rPr>
        <vertAlign val="subscript"/>
        <sz val="10"/>
        <color rgb="FF0070C0"/>
        <rFont val="Calibri"/>
        <family val="2"/>
        <scheme val="minor"/>
      </rPr>
      <t>T</t>
    </r>
  </si>
  <si>
    <r>
      <t>m</t>
    </r>
    <r>
      <rPr>
        <b/>
        <vertAlign val="superscript"/>
        <sz val="10"/>
        <color rgb="FF0070C0"/>
        <rFont val="Calibri"/>
        <family val="2"/>
        <scheme val="minor"/>
      </rPr>
      <t>6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</si>
  <si>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6</t>
    </r>
  </si>
  <si>
    <t>Chiều dài
tính toán cột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</si>
  <si>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</si>
  <si>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t>-</t>
  </si>
  <si>
    <t>h1 =</t>
  </si>
  <si>
    <t>h2 =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</si>
  <si>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</si>
  <si>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</si>
  <si>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</si>
  <si>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</si>
  <si>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</si>
  <si>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</si>
  <si>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</si>
  <si>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</si>
  <si>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Node</t>
  </si>
  <si>
    <t>Element</t>
  </si>
  <si>
    <t>N [kN]</t>
  </si>
  <si>
    <t>VY [kN]</t>
  </si>
  <si>
    <t>VZ [kN]</t>
  </si>
  <si>
    <t>T [kNm]</t>
  </si>
  <si>
    <t>MY [kNm]</t>
  </si>
  <si>
    <t>MZ [kNm]</t>
  </si>
  <si>
    <t>B [kNm2]</t>
  </si>
  <si>
    <t>Xác định hệ số chiều dài tính toán của cột loại 2 nhịp</t>
  </si>
  <si>
    <t>Xác định hệ số chiều dài tính toán của cột loại nhiều nhịp</t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</si>
  <si>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</si>
  <si>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t>t =</t>
  </si>
  <si>
    <r>
      <t>0.5f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</si>
  <si>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</si>
  <si>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=</t>
    </r>
  </si>
  <si>
    <t>λ̅x</t>
  </si>
  <si>
    <t>λ̅y</t>
  </si>
  <si>
    <r>
      <t>λ̅</t>
    </r>
    <r>
      <rPr>
        <vertAlign val="subscript"/>
        <sz val="10"/>
        <color theme="1"/>
        <rFont val="Calibri"/>
        <family val="2"/>
        <scheme val="minor"/>
      </rPr>
      <t xml:space="preserve">f </t>
    </r>
    <r>
      <rPr>
        <sz val="10"/>
        <color theme="1"/>
        <rFont val="Calibri"/>
        <family val="2"/>
        <scheme val="minor"/>
      </rPr>
      <t>=</t>
    </r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</si>
  <si>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</si>
  <si>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</si>
  <si>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</si>
  <si>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</si>
  <si>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</si>
  <si>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</si>
  <si>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</si>
  <si>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</si>
  <si>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fu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</si>
  <si>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</si>
  <si>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</si>
  <si>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</si>
  <si>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NÉN</t>
  </si>
  <si>
    <t>KÉO</t>
  </si>
  <si>
    <t>Loại thép</t>
  </si>
  <si>
    <t>fy</t>
  </si>
  <si>
    <r>
      <t>R</t>
    </r>
    <r>
      <rPr>
        <vertAlign val="subscript"/>
        <sz val="10"/>
        <color rgb="FF0070C0"/>
        <rFont val="Arial"/>
        <family val="2"/>
      </rPr>
      <t>sn</t>
    </r>
  </si>
  <si>
    <r>
      <t>R</t>
    </r>
    <r>
      <rPr>
        <vertAlign val="subscript"/>
        <sz val="10"/>
        <color rgb="FF0070C0"/>
        <rFont val="Arial"/>
        <family val="2"/>
      </rPr>
      <t>s</t>
    </r>
  </si>
  <si>
    <r>
      <t>R</t>
    </r>
    <r>
      <rPr>
        <vertAlign val="subscript"/>
        <sz val="10"/>
        <color rgb="FF0070C0"/>
        <rFont val="Arial"/>
        <family val="2"/>
      </rPr>
      <t>sc</t>
    </r>
  </si>
  <si>
    <r>
      <t>R</t>
    </r>
    <r>
      <rPr>
        <vertAlign val="subscript"/>
        <sz val="10"/>
        <color rgb="FF0070C0"/>
        <rFont val="Arial"/>
        <family val="2"/>
      </rPr>
      <t>sw</t>
    </r>
  </si>
  <si>
    <r>
      <t>E</t>
    </r>
    <r>
      <rPr>
        <vertAlign val="subscript"/>
        <sz val="10"/>
        <color rgb="FF0070C0"/>
        <rFont val="Arial"/>
        <family val="2"/>
      </rPr>
      <t>s</t>
    </r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</si>
  <si>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</si>
  <si>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</si>
  <si>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</si>
  <si>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</si>
  <si>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</si>
  <si>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D</t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</si>
  <si>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</si>
  <si>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</si>
  <si>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</si>
  <si>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E43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</si>
  <si>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</si>
  <si>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</si>
  <si>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</si>
  <si>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</si>
  <si>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</si>
  <si>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E51</t>
  </si>
  <si>
    <t>CI</t>
  </si>
  <si>
    <t>N42</t>
  </si>
  <si>
    <t>M150</t>
  </si>
  <si>
    <t>B10</t>
  </si>
  <si>
    <t>CII</t>
  </si>
  <si>
    <t>N46</t>
  </si>
  <si>
    <t>M200</t>
  </si>
  <si>
    <t>B15</t>
  </si>
  <si>
    <t>C12/15</t>
  </si>
  <si>
    <t>CIII</t>
  </si>
  <si>
    <t>N50</t>
  </si>
  <si>
    <t>M250</t>
  </si>
  <si>
    <t>B20</t>
  </si>
  <si>
    <t>C16/20</t>
  </si>
  <si>
    <t>AI</t>
  </si>
  <si>
    <t>M350</t>
  </si>
  <si>
    <t>B25</t>
  </si>
  <si>
    <t>C20/25</t>
  </si>
  <si>
    <t>AII</t>
  </si>
  <si>
    <t>M400</t>
  </si>
  <si>
    <t>B30</t>
  </si>
  <si>
    <t>C25/30</t>
  </si>
  <si>
    <t>AIII</t>
  </si>
  <si>
    <t>M450</t>
  </si>
  <si>
    <t>B35</t>
  </si>
  <si>
    <t>C28/35</t>
  </si>
  <si>
    <t>CB240-T</t>
  </si>
  <si>
    <t>M500</t>
  </si>
  <si>
    <t>B40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</si>
  <si>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</si>
  <si>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</si>
  <si>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</si>
  <si>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</si>
  <si>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</si>
  <si>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</si>
  <si>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</si>
  <si>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</si>
  <si>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</si>
  <si>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</si>
  <si>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</si>
  <si>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</si>
  <si>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</si>
  <si>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</si>
  <si>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</si>
  <si>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</si>
  <si>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</si>
  <si>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</si>
  <si>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</si>
  <si>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</si>
  <si>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</si>
  <si>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 xml:space="preserve">      </t>
  </si>
  <si>
    <r>
      <t>λ̅</t>
    </r>
    <r>
      <rPr>
        <vertAlign val="subscript"/>
        <sz val="10"/>
        <color theme="1"/>
        <rFont val="Calibri"/>
        <family val="2"/>
        <scheme val="minor"/>
      </rPr>
      <t xml:space="preserve">uf </t>
    </r>
    <r>
      <rPr>
        <sz val="10"/>
        <color theme="1"/>
        <rFont val="Calibri"/>
        <family val="2"/>
        <scheme val="minor"/>
      </rPr>
      <t>=</t>
    </r>
  </si>
  <si>
    <t>Phụ lục tính toán mục 2.3</t>
  </si>
  <si>
    <t>mx</t>
  </si>
  <si>
    <r>
      <t>λ̅</t>
    </r>
    <r>
      <rPr>
        <vertAlign val="subscript"/>
        <sz val="10"/>
        <color theme="1"/>
        <rFont val="Calibri"/>
        <family val="2"/>
        <scheme val="minor"/>
      </rPr>
      <t>x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</si>
  <si>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ufc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</si>
  <si>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</si>
  <si>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uf,20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</si>
  <si>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uf,5</t>
    </r>
  </si>
  <si>
    <r>
      <t>λ̅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</si>
  <si>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r>
      <t>b</t>
    </r>
    <r>
      <rPr>
        <vertAlign val="subscript"/>
        <sz val="10"/>
        <color theme="1"/>
        <rFont val="Calibri"/>
        <family val="2"/>
      </rPr>
      <t>r,min</t>
    </r>
    <r>
      <rPr>
        <sz val="10"/>
        <color theme="1"/>
        <rFont val="Calibri"/>
        <family val="2"/>
      </rPr>
      <t xml:space="preserve"> = h</t>
    </r>
    <r>
      <rPr>
        <vertAlign val="subscript"/>
        <sz val="10"/>
        <color theme="1"/>
        <rFont val="Calibri"/>
        <family val="2"/>
      </rPr>
      <t>ef</t>
    </r>
    <r>
      <rPr>
        <sz val="10"/>
        <color theme="1"/>
        <rFont val="Calibri"/>
        <family val="2"/>
      </rPr>
      <t>/30+40 =</t>
    </r>
  </si>
  <si>
    <r>
      <t>t</t>
    </r>
    <r>
      <rPr>
        <vertAlign val="subscript"/>
        <sz val="10"/>
        <color theme="1"/>
        <rFont val="Calibri"/>
        <family val="2"/>
      </rPr>
      <t>r,min</t>
    </r>
    <r>
      <rPr>
        <sz val="10"/>
        <color theme="1"/>
        <rFont val="Calibri"/>
        <family val="2"/>
      </rPr>
      <t xml:space="preserve"> = 2b</t>
    </r>
    <r>
      <rPr>
        <vertAlign val="subscript"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>(f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Calibri"/>
        <family val="2"/>
      </rPr>
      <t>/E)</t>
    </r>
    <r>
      <rPr>
        <vertAlign val="superscript"/>
        <sz val="10"/>
        <color theme="1"/>
        <rFont val="Calibri"/>
        <family val="2"/>
      </rPr>
      <t>0.5</t>
    </r>
    <r>
      <rPr>
        <sz val="10"/>
        <color theme="1"/>
        <rFont val="Calibri"/>
        <family val="2"/>
      </rPr>
      <t xml:space="preserve"> =</t>
    </r>
  </si>
  <si>
    <r>
      <t>s</t>
    </r>
    <r>
      <rPr>
        <vertAlign val="subscript"/>
        <sz val="10"/>
        <color theme="1"/>
        <rFont val="Calibri"/>
        <family val="2"/>
      </rPr>
      <t>r,max</t>
    </r>
    <r>
      <rPr>
        <sz val="10"/>
        <color theme="1"/>
        <rFont val="Calibri"/>
        <family val="2"/>
      </rPr>
      <t xml:space="preserve"> = (2.5 - 3.0)h</t>
    </r>
    <r>
      <rPr>
        <vertAlign val="subscript"/>
        <sz val="10"/>
        <color theme="1"/>
        <rFont val="Calibri"/>
        <family val="2"/>
      </rPr>
      <t>ef</t>
    </r>
    <r>
      <rPr>
        <sz val="10"/>
        <color theme="1"/>
        <rFont val="Calibri"/>
        <family val="2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</si>
  <si>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 xml:space="preserve">uw </t>
    </r>
    <r>
      <rPr>
        <sz val="10"/>
        <color theme="1"/>
        <rFont val="Calibri"/>
        <family val="2"/>
        <scheme val="minor"/>
      </rPr>
      <t>=</t>
    </r>
  </si>
  <si>
    <t>PTHH</t>
  </si>
  <si>
    <t>TỔ HỢP</t>
  </si>
  <si>
    <t>tw</t>
  </si>
  <si>
    <t>tf</t>
  </si>
  <si>
    <t>COMBO1</t>
  </si>
  <si>
    <t>K-K</t>
  </si>
  <si>
    <t>N-N</t>
  </si>
  <si>
    <t>N-K</t>
  </si>
  <si>
    <t>Cantilever</t>
  </si>
  <si>
    <t>Giải tích - Sơ đồ 1</t>
  </si>
  <si>
    <t>Giải tích - Sơ đồ 2</t>
  </si>
  <si>
    <t>Giải tích - Sơ đồ 3</t>
  </si>
  <si>
    <t>Giải tích - Sơ đồ 4</t>
  </si>
  <si>
    <t>Khớp - Khớp</t>
  </si>
  <si>
    <t>Ngàm - Ngàm</t>
  </si>
  <si>
    <t>Ngàm - Khớp</t>
  </si>
  <si>
    <t>Công xôn</t>
  </si>
  <si>
    <t>Tài liệu tham khảo:</t>
  </si>
  <si>
    <t>1. TCVN 5575:2024 Thiết kế kết cấu thép</t>
  </si>
  <si>
    <t>4. Tính toán xoắn kiềm chế thanh thành mỏng tiết diện hở_Vũ Lệ Quyên</t>
  </si>
  <si>
    <t>3. Một số vấn đề khi thiết kế kết cấu tạo hình nguội theo EN 1993-1-3_PGS.TS Nguyễn Hồng Sơn</t>
  </si>
  <si>
    <t>2. Ví dụ tính toán kết cấu thép (Tái bản, sữa chữa, bổ sung theo TCVN 5575:2024)_ThS. Hoàng Văn Quang (Chủ biên) và cộng sự</t>
  </si>
  <si>
    <t>5. Tài liệu tập huấn hội thảo thiết kế kết cấu thép TCVN 5575_PGS.TS Nguyễn Hồng Sơn</t>
  </si>
  <si>
    <t>Q355</t>
  </si>
  <si>
    <t>Phụ lục tính toán Bi moment (Tài liệu [2], [3], [4], [5])</t>
  </si>
  <si>
    <t>Hiển thị kết quả</t>
  </si>
  <si>
    <t>Yes</t>
  </si>
  <si>
    <r>
      <t xml:space="preserve">THIẾT KẾ THÉP </t>
    </r>
    <r>
      <rPr>
        <b/>
        <sz val="12"/>
        <color theme="0"/>
        <rFont val="Adobe Hebrew"/>
        <family val="1"/>
      </rPr>
      <t>I CHỊU NÉN UỐN</t>
    </r>
    <r>
      <rPr>
        <b/>
        <sz val="12"/>
        <color theme="0"/>
        <rFont val="Calibri"/>
        <family val="2"/>
        <scheme val="minor"/>
      </rPr>
      <t xml:space="preserve"> THEO TCVN 5575:2024</t>
    </r>
  </si>
  <si>
    <t>- Chiều cao chân cột</t>
  </si>
  <si>
    <t>- Chiều cao đỉnh cột</t>
  </si>
  <si>
    <t>- Chiều dày bản bụng</t>
  </si>
  <si>
    <t>- Bề rộng cánh</t>
  </si>
  <si>
    <t>- Chiều dày bản cánh</t>
  </si>
  <si>
    <t>- Chiều cao bản bụng</t>
  </si>
  <si>
    <t>- Chiều dài của cột</t>
  </si>
  <si>
    <t>- Chiều dài tính toán cột</t>
  </si>
  <si>
    <t>- Kiểm tra mục 9.1.2:</t>
  </si>
  <si>
    <t>Hệ số tính toán</t>
  </si>
  <si>
    <t>- Ứng suất giới hạn của cấu kiện</t>
  </si>
  <si>
    <t>- Tỷ số huy động  ứng suất pháp khi có tác dụng của N</t>
  </si>
  <si>
    <r>
      <t>- Tỷ số huy động  ứng suất pháp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</si>
  <si>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- Tỷ số huy động  ứng suất pháp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</si>
  <si>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t>- Tỷ số huy động  ứng suất pháp khi có tác dụng của B</t>
  </si>
  <si>
    <t>- Tỷ số huy động của cấu kiện</t>
  </si>
  <si>
    <t>- Bán kính quán tính</t>
  </si>
  <si>
    <t>- Độ mảnh của cột</t>
  </si>
  <si>
    <t>- Độ mảnh quy ước của cột</t>
  </si>
  <si>
    <t>- Độ lệch tâm tương đối m</t>
  </si>
  <si>
    <t>- Hệ số ổn định khi nén uốn (Phụ lục D, Bảng D.3)</t>
  </si>
  <si>
    <t>- Hệ số</t>
  </si>
  <si>
    <t>- Độ mảnh quy ước của phần vươn cánh</t>
  </si>
  <si>
    <t>- Độ mảnh quy ước giới hạn  - CT(131)</t>
  </si>
  <si>
    <t>- Độ mảnh quy ước giới hạn - CT(134)</t>
  </si>
  <si>
    <t>- Độ mảnh quy ước của bản bụng</t>
  </si>
  <si>
    <t>- Trường hợp cần tăng cứng bản bụng của cấu kiện theo mục 9.4.4</t>
  </si>
  <si>
    <t>- Độ mảnh lớn nhất cấu kiện</t>
  </si>
  <si>
    <t>- Độ mảnh giới hạn của cấu kiện</t>
  </si>
  <si>
    <r>
      <t xml:space="preserve">- Tỉ số 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]</t>
    </r>
  </si>
  <si>
    <t>- Kiểm tra độ bền cấu kiện được thực hiện theo CT</t>
  </si>
  <si>
    <t>Ổn định bản cánh</t>
  </si>
  <si>
    <t>Ổn định  bản bụng</t>
  </si>
  <si>
    <t>Tỷ
số</t>
  </si>
  <si>
    <t>OK</t>
  </si>
  <si>
    <t>Cal</t>
  </si>
  <si>
    <t>CT.105</t>
  </si>
  <si>
    <t>Loại cột</t>
  </si>
  <si>
    <r>
      <t>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>]=</t>
    </r>
  </si>
  <si>
    <t>Hệ số kiểm tra độ mảnh</t>
  </si>
  <si>
    <t>Cột chịu kéo</t>
  </si>
  <si>
    <t>Cấu kiện</t>
  </si>
  <si>
    <t>H Tổng</t>
  </si>
  <si>
    <t>Cột phụ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</si>
  <si>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</si>
  <si>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Label</t>
  </si>
  <si>
    <t>H Bụng</t>
  </si>
  <si>
    <t>Lựa chọn</t>
  </si>
  <si>
    <t>(1)</t>
  </si>
  <si>
    <t>Kiểm tra điều kiện bền</t>
  </si>
  <si>
    <t>(2)</t>
  </si>
  <si>
    <t>Kiểm tra điều kiện ổn định tổng thể trong mặt phẳng</t>
  </si>
  <si>
    <t>(3)</t>
  </si>
  <si>
    <t>Kiểm tra điều kiện ổn định tổng thể ngoài mặt phẳng</t>
  </si>
  <si>
    <t>(4)</t>
  </si>
  <si>
    <t>Kiểm tra điều kiện cục bộ bản cánh</t>
  </si>
  <si>
    <t>(5)</t>
  </si>
  <si>
    <t>Kiểm tra điều kiện cục bộ bản bụng</t>
  </si>
  <si>
    <t>(6)</t>
  </si>
  <si>
    <t>Kiểm tra
Mục (1)</t>
  </si>
  <si>
    <t>Kiểm tra
Mục (2)</t>
  </si>
  <si>
    <t>Kiểm tra
Mục (3)</t>
  </si>
  <si>
    <t>Kiểm tra
Mục (4)</t>
  </si>
  <si>
    <t>Kiểm tra
Mục (5)</t>
  </si>
  <si>
    <t>Kiểm tra
Mục (6)</t>
  </si>
  <si>
    <t>Moment chân</t>
  </si>
  <si>
    <t>Moment đỉnh</t>
  </si>
  <si>
    <t>Moment tính toán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</si>
  <si>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x,926</t>
    </r>
  </si>
  <si>
    <t>Moment giữa</t>
  </si>
  <si>
    <t>Kiểm tra ổn định tổng thể ngoài mặt phẳng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</si>
  <si>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</si>
  <si>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</si>
  <si>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Calibri"/>
        <family val="2"/>
        <scheme val="minor"/>
      </rPr>
      <t xml:space="preserve"> 5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</si>
  <si>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&lt; 10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</si>
  <si>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Symbol"/>
        <family val="1"/>
        <charset val="2"/>
      </rPr>
      <t xml:space="preserve"> ³</t>
    </r>
    <r>
      <rPr>
        <sz val="10"/>
        <color theme="1"/>
        <rFont val="Calibri"/>
        <family val="2"/>
        <scheme val="minor"/>
      </rPr>
      <t xml:space="preserve"> 10</t>
    </r>
  </si>
  <si>
    <t>- Độ mảnh quy ước giới hạn của bản bụng</t>
  </si>
  <si>
    <t>Mục 2.4 (nén)</t>
  </si>
  <si>
    <t>Bảng 9 (Uốn)</t>
  </si>
  <si>
    <t>a. Trường hợp cột chịu nén</t>
  </si>
  <si>
    <t>b. Trường hợp cột chịu kéo (Mục 9.4.10 &amp; Mục 8.5.9)</t>
  </si>
  <si>
    <r>
      <rPr>
        <sz val="10"/>
        <color theme="1"/>
        <rFont val="Calibri"/>
        <family val="2"/>
        <scheme val="minor"/>
      </rPr>
      <t>Độ mảnh giới hạn</t>
    </r>
    <r>
      <rPr>
        <sz val="10"/>
        <color theme="1"/>
        <rFont val="Symbol"/>
        <family val="1"/>
        <charset val="2"/>
      </rPr>
      <t xml:space="preserve"> [ 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] =</t>
    </r>
  </si>
  <si>
    <t>Tải trọng tĩnh</t>
  </si>
  <si>
    <t>b. Trường hợp cột chịu kéo (Mục 9.4.10 &amp; Mục 8.5.18)</t>
  </si>
  <si>
    <t>- Độ mảnh quy ước giới hạn - CT(96)</t>
  </si>
  <si>
    <t>Để in ấn PDF bảng đơn, bảng tổng hợp vào tab Print</t>
  </si>
  <si>
    <t>FS:</t>
  </si>
  <si>
    <r>
      <t>λ̅</t>
    </r>
    <r>
      <rPr>
        <vertAlign val="subscript"/>
        <sz val="10"/>
        <color rgb="FF0070C0"/>
        <rFont val="Calibri"/>
        <family val="2"/>
        <scheme val="minor"/>
      </rPr>
      <t xml:space="preserve">f </t>
    </r>
  </si>
  <si>
    <r>
      <t>[λ̅</t>
    </r>
    <r>
      <rPr>
        <vertAlign val="subscript"/>
        <sz val="10"/>
        <color rgb="FF0070C0"/>
        <rFont val="Calibri"/>
        <family val="2"/>
        <scheme val="minor"/>
      </rPr>
      <t xml:space="preserve">f </t>
    </r>
    <r>
      <rPr>
        <sz val="10"/>
        <color rgb="FF0070C0"/>
        <rFont val="Calibri"/>
        <family val="2"/>
        <scheme val="minor"/>
      </rPr>
      <t>]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</si>
  <si>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w</t>
    </r>
  </si>
  <si>
    <r>
      <t>[λ̅</t>
    </r>
    <r>
      <rPr>
        <vertAlign val="subscript"/>
        <sz val="10"/>
        <color rgb="FF0070C0"/>
        <rFont val="Calibri"/>
        <family val="2"/>
        <scheme val="minor"/>
      </rPr>
      <t xml:space="preserve">w </t>
    </r>
    <r>
      <rPr>
        <sz val="10"/>
        <color rgb="FF0070C0"/>
        <rFont val="Calibri"/>
        <family val="2"/>
        <scheme val="minor"/>
      </rPr>
      <t>]</t>
    </r>
  </si>
  <si>
    <t>Kết luận:</t>
  </si>
  <si>
    <t>(500+1500)x10+300x14</t>
  </si>
  <si>
    <t>207</t>
  </si>
  <si>
    <t>227</t>
  </si>
  <si>
    <t>247</t>
  </si>
  <si>
    <t>ULS1</t>
  </si>
  <si>
    <t>ULS48</t>
  </si>
  <si>
    <t>(528-1528)x300x10x14</t>
  </si>
  <si>
    <t>ULS2</t>
  </si>
  <si>
    <t>ULS31</t>
  </si>
  <si>
    <t>ULS32</t>
  </si>
  <si>
    <t>ULS33</t>
  </si>
  <si>
    <t>ULS34</t>
  </si>
  <si>
    <t>ULS35</t>
  </si>
  <si>
    <t>ULS36</t>
  </si>
  <si>
    <t>ULS37</t>
  </si>
  <si>
    <t>ULS38</t>
  </si>
  <si>
    <t>ULS41</t>
  </si>
  <si>
    <t>ULS42</t>
  </si>
  <si>
    <t>ULS43</t>
  </si>
  <si>
    <t>ULS44</t>
  </si>
  <si>
    <t>ULS45</t>
  </si>
  <si>
    <t>ULS46</t>
  </si>
  <si>
    <t>ULS47</t>
  </si>
  <si>
    <t>ULS51</t>
  </si>
  <si>
    <t>ULS52</t>
  </si>
  <si>
    <t>ULS53</t>
  </si>
  <si>
    <t>ULS54</t>
  </si>
  <si>
    <t>ULS55</t>
  </si>
  <si>
    <t>ULS56</t>
  </si>
  <si>
    <t>ULS57</t>
  </si>
  <si>
    <t>ULS58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</si>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</sst>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_(* #,##0_);_(* \(#,##0\);_(* &quot;-&quot;??_);_(@_)"/>
    <numFmt numFmtId="167" formatCode="0.0E+00"/>
    <numFmt numFmtId="168" formatCode="0E+00"/>
  </numFmts>
  <fonts count="7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rgb="FF0000CC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name val="Calibri"/>
      <family val="1"/>
      <charset val="2"/>
      <scheme val="minor"/>
    </font>
    <font>
      <sz val="10"/>
      <name val="Symbol"/>
      <family val="1"/>
      <charset val="2"/>
    </font>
    <font>
      <b/>
      <sz val="10"/>
      <color rgb="FF0070C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b/>
      <sz val="10"/>
      <color rgb="FF0070C0"/>
      <name val="Calibri"/>
      <family val="1"/>
      <charset val="2"/>
      <scheme val="minor"/>
    </font>
    <font>
      <b/>
      <vertAlign val="superscript"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rgb="FF0000CC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0"/>
      <color theme="1"/>
      <name val="Symbol"/>
      <family val="1"/>
      <charset val="2"/>
    </font>
    <font>
      <b/>
      <sz val="10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b/>
      <u/>
      <sz val="10"/>
      <color theme="1"/>
      <name val="Calibri"/>
      <family val="2"/>
      <scheme val="minor"/>
    </font>
    <font>
      <b/>
      <vertAlign val="subscript"/>
      <sz val="10"/>
      <color rgb="FF0070C0"/>
      <name val="Symbol"/>
      <family val="1"/>
      <charset val="2"/>
    </font>
    <font>
      <sz val="8"/>
      <name val="Calibri"/>
      <family val="2"/>
      <scheme val="minor"/>
    </font>
    <font>
      <sz val="13"/>
      <color theme="1"/>
      <name val="Calibri"/>
      <family val="2"/>
    </font>
    <font>
      <b/>
      <sz val="10"/>
      <color rgb="FF0070C0"/>
      <name val="Calibri"/>
      <family val="1"/>
      <charset val="2"/>
    </font>
    <font>
      <vertAlign val="subscript"/>
      <sz val="10"/>
      <color rgb="FF0070C0"/>
      <name val="Calibri"/>
      <family val="2"/>
      <scheme val="minor"/>
    </font>
    <font>
      <vertAlign val="superscript"/>
      <sz val="10"/>
      <color rgb="FF0070C0"/>
      <name val="Calibri"/>
      <family val="2"/>
      <scheme val="minor"/>
    </font>
    <font>
      <b/>
      <sz val="10"/>
      <color rgb="FF006666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vertAlign val="subscript"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rgb="FF0070C0"/>
      <name val="Arial"/>
      <family val="2"/>
    </font>
    <font>
      <vertAlign val="subscript"/>
      <sz val="10"/>
      <color rgb="FF0070C0"/>
      <name val="Arial"/>
      <family val="2"/>
    </font>
    <font>
      <sz val="11"/>
      <name val="Times New Roman"/>
      <family val="1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rgb="FF0000FF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vertAlign val="superscript"/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dobe Hebrew"/>
      <family val="1"/>
    </font>
    <font>
      <b/>
      <sz val="12"/>
      <color rgb="FF0070C0"/>
      <name val="Calibri"/>
      <family val="2"/>
      <scheme val="minor"/>
    </font>
    <font>
      <b/>
      <u/>
      <sz val="9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0"/>
      <name val="Symbol"/>
      <family val="1"/>
      <charset val="2"/>
    </font>
    <font>
      <b/>
      <sz val="10"/>
      <color theme="0"/>
      <name val="Calibri"/>
      <family val="1"/>
      <charset val="2"/>
      <scheme val="minor"/>
    </font>
    <font>
      <b/>
      <sz val="16"/>
      <color rgb="FFC0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charset val="2"/>
      <scheme val="minor"/>
    </font>
    <font>
      <b/>
      <sz val="13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17" fillId="0" borderId="0"/>
    <xf numFmtId="0" fontId="33" fillId="7" borderId="25" applyNumberFormat="0" applyAlignment="0" applyProtection="0"/>
    <xf numFmtId="0" fontId="49" fillId="0" borderId="0"/>
    <xf numFmtId="0" fontId="53" fillId="0" borderId="0"/>
    <xf numFmtId="0" fontId="56" fillId="0" borderId="0"/>
    <xf numFmtId="164" fontId="49" fillId="0" borderId="0" applyFont="0" applyFill="0" applyBorder="0" applyAlignment="0" applyProtection="0"/>
    <xf numFmtId="0" fontId="56" fillId="0" borderId="0"/>
    <xf numFmtId="0" fontId="64" fillId="8" borderId="0" applyNumberFormat="0" applyBorder="0" applyAlignment="0" applyProtection="0"/>
  </cellStyleXfs>
  <cellXfs count="442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9" fillId="2" borderId="0" xfId="0" applyFont="1" applyFill="1"/>
    <xf numFmtId="0" fontId="1" fillId="2" borderId="14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top"/>
    </xf>
    <xf numFmtId="0" fontId="2" fillId="2" borderId="18" xfId="0" applyFont="1" applyFill="1" applyBorder="1" applyAlignment="1">
      <alignment horizontal="left" indent="1"/>
    </xf>
    <xf numFmtId="0" fontId="1" fillId="2" borderId="18" xfId="0" applyFont="1" applyFill="1" applyBorder="1" applyAlignment="1">
      <alignment horizontal="left" vertical="top" indent="2"/>
    </xf>
    <xf numFmtId="0" fontId="1" fillId="2" borderId="17" xfId="0" applyFont="1" applyFill="1" applyBorder="1"/>
    <xf numFmtId="0" fontId="1" fillId="2" borderId="18" xfId="0" applyFont="1" applyFill="1" applyBorder="1"/>
    <xf numFmtId="0" fontId="1" fillId="2" borderId="5" xfId="0" applyFont="1" applyFill="1" applyBorder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1" fontId="1" fillId="2" borderId="14" xfId="0" applyNumberFormat="1" applyFont="1" applyFill="1" applyBorder="1" applyAlignment="1">
      <alignment horizontal="center" vertical="center"/>
    </xf>
    <xf numFmtId="164" fontId="1" fillId="2" borderId="14" xfId="0" applyNumberFormat="1" applyFont="1" applyFill="1" applyBorder="1" applyAlignment="1">
      <alignment horizontal="center" vertical="top"/>
    </xf>
    <xf numFmtId="0" fontId="15" fillId="5" borderId="10" xfId="0" applyFont="1" applyFill="1" applyBorder="1" applyAlignment="1">
      <alignment horizontal="center"/>
    </xf>
    <xf numFmtId="0" fontId="1" fillId="2" borderId="14" xfId="0" applyFont="1" applyFill="1" applyBorder="1"/>
    <xf numFmtId="164" fontId="1" fillId="2" borderId="14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 vertical="top"/>
    </xf>
    <xf numFmtId="0" fontId="11" fillId="2" borderId="17" xfId="0" applyFont="1" applyFill="1" applyBorder="1" applyAlignment="1">
      <alignment horizontal="center" vertical="center"/>
    </xf>
    <xf numFmtId="0" fontId="14" fillId="2" borderId="14" xfId="0" applyFont="1" applyFill="1" applyBorder="1"/>
    <xf numFmtId="164" fontId="14" fillId="2" borderId="14" xfId="0" applyNumberFormat="1" applyFont="1" applyFill="1" applyBorder="1"/>
    <xf numFmtId="0" fontId="9" fillId="2" borderId="14" xfId="0" applyFont="1" applyFill="1" applyBorder="1" applyAlignment="1">
      <alignment horizontal="center" vertical="center"/>
    </xf>
    <xf numFmtId="2" fontId="9" fillId="2" borderId="14" xfId="0" applyNumberFormat="1" applyFont="1" applyFill="1" applyBorder="1" applyAlignment="1">
      <alignment horizontal="center" vertical="center"/>
    </xf>
    <xf numFmtId="164" fontId="1" fillId="2" borderId="14" xfId="0" applyNumberFormat="1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/>
    <xf numFmtId="0" fontId="9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14" fillId="2" borderId="0" xfId="0" applyNumberFormat="1" applyFont="1" applyFill="1"/>
    <xf numFmtId="1" fontId="9" fillId="2" borderId="0" xfId="0" applyNumberFormat="1" applyFont="1" applyFill="1"/>
    <xf numFmtId="0" fontId="21" fillId="2" borderId="0" xfId="0" applyFont="1" applyFill="1" applyAlignment="1">
      <alignment horizontal="right"/>
    </xf>
    <xf numFmtId="0" fontId="2" fillId="2" borderId="4" xfId="0" applyFont="1" applyFill="1" applyBorder="1" applyAlignment="1">
      <alignment horizontal="left" indent="1"/>
    </xf>
    <xf numFmtId="0" fontId="19" fillId="2" borderId="5" xfId="0" applyFont="1" applyFill="1" applyBorder="1" applyAlignment="1">
      <alignment horizontal="left" indent="1"/>
    </xf>
    <xf numFmtId="0" fontId="14" fillId="2" borderId="5" xfId="0" applyFont="1" applyFill="1" applyBorder="1"/>
    <xf numFmtId="0" fontId="14" fillId="2" borderId="5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4" fontId="14" fillId="2" borderId="5" xfId="0" applyNumberFormat="1" applyFont="1" applyFill="1" applyBorder="1"/>
    <xf numFmtId="0" fontId="9" fillId="2" borderId="14" xfId="0" applyFont="1" applyFill="1" applyBorder="1" applyAlignment="1">
      <alignment horizontal="center"/>
    </xf>
    <xf numFmtId="2" fontId="1" fillId="2" borderId="0" xfId="0" applyNumberFormat="1" applyFont="1" applyFill="1"/>
    <xf numFmtId="0" fontId="1" fillId="2" borderId="6" xfId="0" applyFont="1" applyFill="1" applyBorder="1"/>
    <xf numFmtId="2" fontId="1" fillId="2" borderId="13" xfId="0" applyNumberFormat="1" applyFont="1" applyFill="1" applyBorder="1" applyAlignment="1">
      <alignment horizontal="center" vertical="center"/>
    </xf>
    <xf numFmtId="2" fontId="1" fillId="2" borderId="13" xfId="0" applyNumberFormat="1" applyFont="1" applyFill="1" applyBorder="1"/>
    <xf numFmtId="0" fontId="1" fillId="6" borderId="0" xfId="0" applyFont="1" applyFill="1"/>
    <xf numFmtId="0" fontId="23" fillId="4" borderId="14" xfId="0" applyFont="1" applyFill="1" applyBorder="1" applyAlignment="1">
      <alignment horizontal="center" vertical="center"/>
    </xf>
    <xf numFmtId="0" fontId="23" fillId="4" borderId="14" xfId="0" applyFont="1" applyFill="1" applyBorder="1" applyAlignment="1">
      <alignment horizontal="center" vertical="top"/>
    </xf>
    <xf numFmtId="0" fontId="23" fillId="4" borderId="14" xfId="0" applyFont="1" applyFill="1" applyBorder="1" applyAlignment="1">
      <alignment horizontal="center"/>
    </xf>
    <xf numFmtId="164" fontId="23" fillId="4" borderId="14" xfId="0" applyNumberFormat="1" applyFont="1" applyFill="1" applyBorder="1" applyAlignment="1">
      <alignment horizontal="center"/>
    </xf>
    <xf numFmtId="2" fontId="23" fillId="4" borderId="14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23" fillId="4" borderId="14" xfId="0" applyNumberFormat="1" applyFont="1" applyFill="1" applyBorder="1" applyAlignment="1">
      <alignment horizontal="center"/>
    </xf>
    <xf numFmtId="1" fontId="14" fillId="2" borderId="14" xfId="0" applyNumberFormat="1" applyFont="1" applyFill="1" applyBorder="1" applyAlignment="1">
      <alignment horizontal="center" vertical="center"/>
    </xf>
    <xf numFmtId="2" fontId="14" fillId="2" borderId="0" xfId="0" applyNumberFormat="1" applyFont="1" applyFill="1"/>
    <xf numFmtId="2" fontId="14" fillId="2" borderId="5" xfId="0" applyNumberFormat="1" applyFont="1" applyFill="1" applyBorder="1"/>
    <xf numFmtId="2" fontId="14" fillId="2" borderId="14" xfId="0" applyNumberFormat="1" applyFont="1" applyFill="1" applyBorder="1"/>
    <xf numFmtId="2" fontId="14" fillId="2" borderId="14" xfId="0" applyNumberFormat="1" applyFont="1" applyFill="1" applyBorder="1" applyAlignment="1">
      <alignment horizontal="center" vertical="center"/>
    </xf>
    <xf numFmtId="0" fontId="38" fillId="0" borderId="0" xfId="0" applyFont="1"/>
    <xf numFmtId="0" fontId="37" fillId="0" borderId="0" xfId="0" applyFont="1"/>
    <xf numFmtId="2" fontId="0" fillId="0" borderId="14" xfId="0" applyNumberFormat="1" applyBorder="1" applyAlignment="1">
      <alignment horizontal="center" vertical="center"/>
    </xf>
    <xf numFmtId="2" fontId="37" fillId="0" borderId="14" xfId="0" applyNumberFormat="1" applyFon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0" fontId="41" fillId="2" borderId="18" xfId="0" applyFont="1" applyFill="1" applyBorder="1" applyAlignment="1">
      <alignment horizontal="left" indent="1"/>
    </xf>
    <xf numFmtId="0" fontId="12" fillId="2" borderId="5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right" vertical="center"/>
    </xf>
    <xf numFmtId="165" fontId="9" fillId="2" borderId="14" xfId="0" applyNumberFormat="1" applyFont="1" applyFill="1" applyBorder="1" applyAlignment="1">
      <alignment horizontal="center" vertical="center"/>
    </xf>
    <xf numFmtId="1" fontId="37" fillId="0" borderId="14" xfId="0" applyNumberFormat="1" applyFont="1" applyBorder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29" fillId="6" borderId="0" xfId="0" applyFont="1" applyFill="1" applyAlignment="1">
      <alignment vertical="center"/>
    </xf>
    <xf numFmtId="0" fontId="19" fillId="2" borderId="0" xfId="0" applyFont="1" applyFill="1" applyAlignment="1">
      <alignment horizontal="left" indent="1"/>
    </xf>
    <xf numFmtId="2" fontId="1" fillId="2" borderId="14" xfId="0" applyNumberFormat="1" applyFont="1" applyFill="1" applyBorder="1"/>
    <xf numFmtId="2" fontId="9" fillId="2" borderId="0" xfId="0" applyNumberFormat="1" applyFont="1" applyFill="1"/>
    <xf numFmtId="0" fontId="24" fillId="2" borderId="18" xfId="0" applyFont="1" applyFill="1" applyBorder="1" applyAlignment="1">
      <alignment horizontal="left" indent="1"/>
    </xf>
    <xf numFmtId="0" fontId="1" fillId="2" borderId="18" xfId="0" applyFont="1" applyFill="1" applyBorder="1" applyAlignment="1">
      <alignment horizontal="left" indent="2"/>
    </xf>
    <xf numFmtId="0" fontId="23" fillId="4" borderId="1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12" fillId="2" borderId="18" xfId="0" applyFont="1" applyFill="1" applyBorder="1" applyAlignment="1">
      <alignment horizontal="right" vertical="center"/>
    </xf>
    <xf numFmtId="0" fontId="41" fillId="2" borderId="4" xfId="0" applyFont="1" applyFill="1" applyBorder="1" applyAlignment="1">
      <alignment horizontal="left" indent="1"/>
    </xf>
    <xf numFmtId="0" fontId="5" fillId="2" borderId="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left" vertical="center"/>
    </xf>
    <xf numFmtId="2" fontId="1" fillId="2" borderId="5" xfId="0" applyNumberFormat="1" applyFont="1" applyFill="1" applyBorder="1" applyAlignment="1">
      <alignment horizontal="center" vertical="center"/>
    </xf>
    <xf numFmtId="164" fontId="14" fillId="2" borderId="0" xfId="0" applyNumberFormat="1" applyFont="1" applyFill="1" applyAlignment="1">
      <alignment horizontal="center" vertical="center"/>
    </xf>
    <xf numFmtId="164" fontId="14" fillId="2" borderId="5" xfId="0" applyNumberFormat="1" applyFont="1" applyFill="1" applyBorder="1" applyAlignment="1">
      <alignment horizontal="center" vertical="center"/>
    </xf>
    <xf numFmtId="164" fontId="14" fillId="2" borderId="14" xfId="0" applyNumberFormat="1" applyFont="1" applyFill="1" applyBorder="1" applyAlignment="1">
      <alignment horizontal="center" vertical="center"/>
    </xf>
    <xf numFmtId="164" fontId="14" fillId="2" borderId="9" xfId="0" applyNumberFormat="1" applyFont="1" applyFill="1" applyBorder="1" applyAlignment="1">
      <alignment horizontal="center" vertical="center"/>
    </xf>
    <xf numFmtId="164" fontId="14" fillId="2" borderId="8" xfId="0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left" vertical="center"/>
    </xf>
    <xf numFmtId="11" fontId="1" fillId="2" borderId="14" xfId="0" applyNumberFormat="1" applyFont="1" applyFill="1" applyBorder="1" applyAlignment="1">
      <alignment horizontal="center" vertical="center"/>
    </xf>
    <xf numFmtId="11" fontId="1" fillId="2" borderId="14" xfId="0" applyNumberFormat="1" applyFont="1" applyFill="1" applyBorder="1"/>
    <xf numFmtId="11" fontId="1" fillId="2" borderId="0" xfId="0" applyNumberFormat="1" applyFont="1" applyFill="1"/>
    <xf numFmtId="11" fontId="1" fillId="2" borderId="5" xfId="0" applyNumberFormat="1" applyFont="1" applyFill="1" applyBorder="1"/>
    <xf numFmtId="11" fontId="23" fillId="4" borderId="14" xfId="0" applyNumberFormat="1" applyFont="1" applyFill="1" applyBorder="1" applyAlignment="1">
      <alignment horizontal="center" vertical="center"/>
    </xf>
    <xf numFmtId="11" fontId="26" fillId="4" borderId="14" xfId="0" applyNumberFormat="1" applyFont="1" applyFill="1" applyBorder="1" applyAlignment="1">
      <alignment horizontal="center" vertical="center"/>
    </xf>
    <xf numFmtId="11" fontId="23" fillId="4" borderId="14" xfId="0" applyNumberFormat="1" applyFont="1" applyFill="1" applyBorder="1" applyAlignment="1">
      <alignment horizontal="center" vertical="top"/>
    </xf>
    <xf numFmtId="2" fontId="48" fillId="2" borderId="14" xfId="0" applyNumberFormat="1" applyFont="1" applyFill="1" applyBorder="1" applyAlignment="1">
      <alignment horizontal="center" vertical="center"/>
    </xf>
    <xf numFmtId="0" fontId="0" fillId="6" borderId="0" xfId="0" applyFill="1"/>
    <xf numFmtId="0" fontId="2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left" vertical="center" indent="1"/>
    </xf>
    <xf numFmtId="11" fontId="14" fillId="2" borderId="14" xfId="0" applyNumberFormat="1" applyFont="1" applyFill="1" applyBorder="1"/>
    <xf numFmtId="2" fontId="33" fillId="2" borderId="25" xfId="2" applyNumberFormat="1" applyFill="1"/>
    <xf numFmtId="0" fontId="1" fillId="2" borderId="14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 indent="1"/>
    </xf>
    <xf numFmtId="0" fontId="1" fillId="2" borderId="2" xfId="0" applyFont="1" applyFill="1" applyBorder="1" applyAlignment="1">
      <alignment vertical="center"/>
    </xf>
    <xf numFmtId="2" fontId="33" fillId="2" borderId="14" xfId="2" applyNumberFormat="1" applyFill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50" fillId="5" borderId="14" xfId="3" applyFont="1" applyFill="1" applyBorder="1" applyAlignment="1">
      <alignment horizontal="center" vertical="center" wrapText="1"/>
    </xf>
    <xf numFmtId="0" fontId="54" fillId="4" borderId="14" xfId="4" applyFont="1" applyFill="1" applyBorder="1" applyAlignment="1">
      <alignment horizontal="center" vertical="center"/>
    </xf>
    <xf numFmtId="0" fontId="54" fillId="4" borderId="14" xfId="0" applyFont="1" applyFill="1" applyBorder="1" applyAlignment="1">
      <alignment horizontal="center" vertical="center"/>
    </xf>
    <xf numFmtId="0" fontId="54" fillId="4" borderId="14" xfId="0" applyFont="1" applyFill="1" applyBorder="1" applyAlignment="1">
      <alignment vertical="center"/>
    </xf>
    <xf numFmtId="0" fontId="54" fillId="4" borderId="19" xfId="5" applyFont="1" applyFill="1" applyBorder="1" applyAlignment="1">
      <alignment horizontal="center" vertical="center"/>
    </xf>
    <xf numFmtId="0" fontId="58" fillId="2" borderId="14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0" fontId="50" fillId="5" borderId="14" xfId="3" applyFont="1" applyFill="1" applyBorder="1" applyAlignment="1">
      <alignment vertical="center"/>
    </xf>
    <xf numFmtId="0" fontId="54" fillId="4" borderId="19" xfId="4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/>
    </xf>
    <xf numFmtId="0" fontId="59" fillId="2" borderId="14" xfId="4" applyFont="1" applyFill="1" applyBorder="1" applyAlignment="1">
      <alignment horizontal="left" vertical="center"/>
    </xf>
    <xf numFmtId="0" fontId="59" fillId="2" borderId="14" xfId="4" applyFont="1" applyFill="1" applyBorder="1" applyAlignment="1">
      <alignment horizontal="center" vertical="center"/>
    </xf>
    <xf numFmtId="0" fontId="59" fillId="2" borderId="19" xfId="4" applyFont="1" applyFill="1" applyBorder="1" applyAlignment="1">
      <alignment horizontal="left" vertical="center"/>
    </xf>
    <xf numFmtId="0" fontId="1" fillId="0" borderId="14" xfId="0" applyFont="1" applyBorder="1"/>
    <xf numFmtId="0" fontId="60" fillId="0" borderId="31" xfId="3" applyFont="1" applyBorder="1" applyAlignment="1" applyProtection="1">
      <alignment horizontal="center" vertical="center"/>
      <protection hidden="1"/>
    </xf>
    <xf numFmtId="0" fontId="0" fillId="0" borderId="24" xfId="0" applyBorder="1" applyAlignment="1">
      <alignment horizontal="center" vertical="center"/>
    </xf>
    <xf numFmtId="166" fontId="61" fillId="0" borderId="24" xfId="6" applyNumberFormat="1" applyFont="1" applyBorder="1" applyAlignment="1" applyProtection="1">
      <alignment horizontal="center" vertical="center"/>
      <protection hidden="1"/>
    </xf>
    <xf numFmtId="164" fontId="61" fillId="0" borderId="24" xfId="3" applyNumberFormat="1" applyFont="1" applyBorder="1" applyAlignment="1" applyProtection="1">
      <alignment horizontal="center" vertical="center"/>
      <protection hidden="1"/>
    </xf>
    <xf numFmtId="2" fontId="61" fillId="0" borderId="24" xfId="3" applyNumberFormat="1" applyFont="1" applyBorder="1" applyAlignment="1" applyProtection="1">
      <alignment horizontal="center" vertical="center"/>
      <protection hidden="1"/>
    </xf>
    <xf numFmtId="2" fontId="61" fillId="0" borderId="4" xfId="3" applyNumberFormat="1" applyFont="1" applyBorder="1" applyAlignment="1" applyProtection="1">
      <alignment horizontal="center" vertical="center"/>
      <protection hidden="1"/>
    </xf>
    <xf numFmtId="0" fontId="60" fillId="0" borderId="32" xfId="3" applyFont="1" applyBorder="1" applyAlignment="1" applyProtection="1">
      <alignment horizontal="center" vertical="center"/>
      <protection hidden="1"/>
    </xf>
    <xf numFmtId="0" fontId="0" fillId="0" borderId="14" xfId="0" applyBorder="1" applyAlignment="1">
      <alignment horizontal="center" vertical="center"/>
    </xf>
    <xf numFmtId="166" fontId="61" fillId="0" borderId="14" xfId="6" applyNumberFormat="1" applyFont="1" applyBorder="1" applyAlignment="1" applyProtection="1">
      <alignment horizontal="center" vertical="center"/>
      <protection hidden="1"/>
    </xf>
    <xf numFmtId="164" fontId="61" fillId="0" borderId="14" xfId="3" applyNumberFormat="1" applyFont="1" applyBorder="1" applyAlignment="1" applyProtection="1">
      <alignment horizontal="center" vertical="center"/>
      <protection hidden="1"/>
    </xf>
    <xf numFmtId="2" fontId="61" fillId="0" borderId="14" xfId="3" applyNumberFormat="1" applyFont="1" applyBorder="1" applyAlignment="1" applyProtection="1">
      <alignment horizontal="center" vertical="center"/>
      <protection hidden="1"/>
    </xf>
    <xf numFmtId="2" fontId="61" fillId="0" borderId="19" xfId="3" applyNumberFormat="1" applyFont="1" applyBorder="1" applyAlignment="1" applyProtection="1">
      <alignment horizontal="center" vertical="center"/>
      <protection hidden="1"/>
    </xf>
    <xf numFmtId="0" fontId="59" fillId="2" borderId="19" xfId="5" applyFont="1" applyFill="1" applyBorder="1" applyAlignment="1">
      <alignment horizontal="left" vertical="center"/>
    </xf>
    <xf numFmtId="0" fontId="60" fillId="0" borderId="33" xfId="3" applyFont="1" applyBorder="1" applyAlignment="1" applyProtection="1">
      <alignment horizontal="center" vertical="center"/>
      <protection hidden="1"/>
    </xf>
    <xf numFmtId="0" fontId="0" fillId="0" borderId="34" xfId="0" applyBorder="1" applyAlignment="1">
      <alignment horizontal="center" vertical="center"/>
    </xf>
    <xf numFmtId="166" fontId="61" fillId="0" borderId="34" xfId="6" applyNumberFormat="1" applyFont="1" applyBorder="1" applyAlignment="1" applyProtection="1">
      <alignment horizontal="center" vertical="center"/>
      <protection hidden="1"/>
    </xf>
    <xf numFmtId="164" fontId="61" fillId="0" borderId="34" xfId="3" applyNumberFormat="1" applyFont="1" applyBorder="1" applyAlignment="1" applyProtection="1">
      <alignment horizontal="center" vertical="center"/>
      <protection hidden="1"/>
    </xf>
    <xf numFmtId="2" fontId="61" fillId="0" borderId="34" xfId="3" applyNumberFormat="1" applyFont="1" applyBorder="1" applyAlignment="1" applyProtection="1">
      <alignment horizontal="center" vertical="center"/>
      <protection hidden="1"/>
    </xf>
    <xf numFmtId="2" fontId="61" fillId="0" borderId="35" xfId="3" applyNumberFormat="1" applyFont="1" applyBorder="1" applyAlignment="1" applyProtection="1">
      <alignment horizontal="center" vertical="center"/>
      <protection hidden="1"/>
    </xf>
    <xf numFmtId="0" fontId="59" fillId="2" borderId="19" xfId="7" applyFont="1" applyFill="1" applyBorder="1" applyAlignment="1">
      <alignment horizontal="left" vertical="center"/>
    </xf>
    <xf numFmtId="1" fontId="61" fillId="2" borderId="14" xfId="5" applyNumberFormat="1" applyFont="1" applyFill="1" applyBorder="1" applyAlignment="1">
      <alignment vertical="center"/>
    </xf>
    <xf numFmtId="1" fontId="61" fillId="2" borderId="14" xfId="5" applyNumberFormat="1" applyFont="1" applyFill="1" applyBorder="1" applyAlignment="1">
      <alignment horizontal="center" vertical="center"/>
    </xf>
    <xf numFmtId="0" fontId="61" fillId="2" borderId="14" xfId="5" applyFont="1" applyFill="1" applyBorder="1" applyAlignment="1">
      <alignment vertical="center"/>
    </xf>
    <xf numFmtId="0" fontId="61" fillId="2" borderId="19" xfId="5" applyFont="1" applyFill="1" applyBorder="1" applyAlignment="1">
      <alignment vertical="center"/>
    </xf>
    <xf numFmtId="0" fontId="61" fillId="2" borderId="14" xfId="5" applyFont="1" applyFill="1" applyBorder="1" applyAlignment="1">
      <alignment horizontal="center" vertical="center"/>
    </xf>
    <xf numFmtId="0" fontId="63" fillId="0" borderId="0" xfId="0" applyFont="1"/>
    <xf numFmtId="2" fontId="0" fillId="0" borderId="0" xfId="0" applyNumberFormat="1"/>
    <xf numFmtId="0" fontId="0" fillId="0" borderId="14" xfId="0" applyBorder="1"/>
    <xf numFmtId="0" fontId="0" fillId="0" borderId="0" xfId="0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center" indent="2"/>
    </xf>
    <xf numFmtId="2" fontId="1" fillId="2" borderId="17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 indent="2"/>
    </xf>
    <xf numFmtId="0" fontId="1" fillId="2" borderId="5" xfId="0" applyFont="1" applyFill="1" applyBorder="1" applyAlignment="1">
      <alignment horizontal="center"/>
    </xf>
    <xf numFmtId="2" fontId="1" fillId="2" borderId="6" xfId="0" applyNumberFormat="1" applyFont="1" applyFill="1" applyBorder="1" applyAlignment="1">
      <alignment horizontal="center" vertical="center"/>
    </xf>
    <xf numFmtId="0" fontId="1" fillId="2" borderId="20" xfId="0" applyFont="1" applyFill="1" applyBorder="1"/>
    <xf numFmtId="0" fontId="41" fillId="2" borderId="18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0" fontId="23" fillId="4" borderId="23" xfId="0" applyFont="1" applyFill="1" applyBorder="1" applyAlignment="1">
      <alignment horizontal="center" vertical="center"/>
    </xf>
    <xf numFmtId="0" fontId="65" fillId="4" borderId="24" xfId="0" applyFont="1" applyFill="1" applyBorder="1" applyAlignment="1">
      <alignment horizontal="center" vertical="center"/>
    </xf>
    <xf numFmtId="0" fontId="1" fillId="2" borderId="18" xfId="0" quotePrefix="1" applyFont="1" applyFill="1" applyBorder="1" applyAlignment="1">
      <alignment horizontal="left" vertical="top" indent="2"/>
    </xf>
    <xf numFmtId="168" fontId="1" fillId="2" borderId="14" xfId="0" applyNumberFormat="1" applyFont="1" applyFill="1" applyBorder="1" applyAlignment="1">
      <alignment horizontal="center" vertical="top"/>
    </xf>
    <xf numFmtId="164" fontId="9" fillId="2" borderId="14" xfId="0" applyNumberFormat="1" applyFont="1" applyFill="1" applyBorder="1" applyAlignment="1">
      <alignment horizontal="center" vertical="center"/>
    </xf>
    <xf numFmtId="0" fontId="1" fillId="2" borderId="18" xfId="0" quotePrefix="1" applyFont="1" applyFill="1" applyBorder="1" applyAlignment="1">
      <alignment horizontal="right" vertical="center"/>
    </xf>
    <xf numFmtId="167" fontId="1" fillId="2" borderId="14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Continuous" vertical="justify"/>
    </xf>
    <xf numFmtId="0" fontId="23" fillId="4" borderId="2" xfId="0" applyFont="1" applyFill="1" applyBorder="1" applyAlignment="1">
      <alignment horizontal="centerContinuous" vertical="justify"/>
    </xf>
    <xf numFmtId="0" fontId="23" fillId="4" borderId="3" xfId="0" applyFont="1" applyFill="1" applyBorder="1" applyAlignment="1">
      <alignment horizontal="centerContinuous" vertical="justify"/>
    </xf>
    <xf numFmtId="0" fontId="23" fillId="4" borderId="4" xfId="0" applyFont="1" applyFill="1" applyBorder="1" applyAlignment="1">
      <alignment horizontal="centerContinuous" vertical="justify"/>
    </xf>
    <xf numFmtId="0" fontId="23" fillId="4" borderId="5" xfId="0" applyFont="1" applyFill="1" applyBorder="1" applyAlignment="1">
      <alignment horizontal="centerContinuous" vertical="justify"/>
    </xf>
    <xf numFmtId="0" fontId="23" fillId="4" borderId="6" xfId="0" applyFont="1" applyFill="1" applyBorder="1" applyAlignment="1">
      <alignment horizontal="centerContinuous" vertical="justify"/>
    </xf>
    <xf numFmtId="0" fontId="23" fillId="4" borderId="1" xfId="0" applyFont="1" applyFill="1" applyBorder="1" applyAlignment="1">
      <alignment horizontal="centerContinuous" vertical="distributed" wrapText="1"/>
    </xf>
    <xf numFmtId="0" fontId="23" fillId="4" borderId="2" xfId="0" applyFont="1" applyFill="1" applyBorder="1" applyAlignment="1">
      <alignment horizontal="centerContinuous" vertical="distributed" wrapText="1"/>
    </xf>
    <xf numFmtId="0" fontId="23" fillId="4" borderId="3" xfId="0" applyFont="1" applyFill="1" applyBorder="1" applyAlignment="1">
      <alignment horizontal="centerContinuous" vertical="distributed" wrapText="1"/>
    </xf>
    <xf numFmtId="0" fontId="23" fillId="4" borderId="2" xfId="0" applyFont="1" applyFill="1" applyBorder="1" applyAlignment="1">
      <alignment horizontal="centerContinuous" vertical="justify" wrapText="1"/>
    </xf>
    <xf numFmtId="0" fontId="23" fillId="4" borderId="3" xfId="0" applyFont="1" applyFill="1" applyBorder="1" applyAlignment="1">
      <alignment horizontal="centerContinuous" vertical="justify" wrapText="1"/>
    </xf>
    <xf numFmtId="0" fontId="23" fillId="4" borderId="5" xfId="0" applyFont="1" applyFill="1" applyBorder="1" applyAlignment="1">
      <alignment horizontal="centerContinuous" vertical="justify" wrapText="1"/>
    </xf>
    <xf numFmtId="0" fontId="23" fillId="4" borderId="6" xfId="0" applyFont="1" applyFill="1" applyBorder="1" applyAlignment="1">
      <alignment horizontal="centerContinuous" vertical="justify" wrapText="1"/>
    </xf>
    <xf numFmtId="0" fontId="23" fillId="4" borderId="1" xfId="0" applyFont="1" applyFill="1" applyBorder="1" applyAlignment="1">
      <alignment horizontal="centerContinuous" vertical="center" wrapText="1"/>
    </xf>
    <xf numFmtId="0" fontId="23" fillId="4" borderId="2" xfId="0" applyFont="1" applyFill="1" applyBorder="1" applyAlignment="1">
      <alignment horizontal="centerContinuous" vertical="center" wrapText="1"/>
    </xf>
    <xf numFmtId="0" fontId="23" fillId="4" borderId="3" xfId="0" applyFont="1" applyFill="1" applyBorder="1" applyAlignment="1">
      <alignment horizontal="centerContinuous" vertical="center" wrapText="1"/>
    </xf>
    <xf numFmtId="0" fontId="23" fillId="4" borderId="4" xfId="0" applyFont="1" applyFill="1" applyBorder="1" applyAlignment="1">
      <alignment horizontal="centerContinuous" vertical="center" wrapText="1"/>
    </xf>
    <xf numFmtId="0" fontId="23" fillId="4" borderId="5" xfId="0" applyFont="1" applyFill="1" applyBorder="1" applyAlignment="1">
      <alignment horizontal="centerContinuous" vertical="center" wrapText="1"/>
    </xf>
    <xf numFmtId="0" fontId="23" fillId="4" borderId="6" xfId="0" applyFont="1" applyFill="1" applyBorder="1" applyAlignment="1">
      <alignment horizontal="centerContinuous" vertical="center" wrapText="1"/>
    </xf>
    <xf numFmtId="0" fontId="23" fillId="4" borderId="1" xfId="0" applyFont="1" applyFill="1" applyBorder="1" applyAlignment="1">
      <alignment horizontal="centerContinuous" vertical="justify" wrapText="1"/>
    </xf>
    <xf numFmtId="0" fontId="23" fillId="4" borderId="4" xfId="0" applyFont="1" applyFill="1" applyBorder="1" applyAlignment="1">
      <alignment horizontal="centerContinuous" vertical="justify" wrapText="1"/>
    </xf>
    <xf numFmtId="1" fontId="23" fillId="4" borderId="1" xfId="0" applyNumberFormat="1" applyFont="1" applyFill="1" applyBorder="1" applyAlignment="1">
      <alignment horizontal="centerContinuous" vertical="justify" wrapText="1"/>
    </xf>
    <xf numFmtId="1" fontId="23" fillId="4" borderId="2" xfId="0" applyNumberFormat="1" applyFont="1" applyFill="1" applyBorder="1" applyAlignment="1">
      <alignment horizontal="centerContinuous" vertical="justify" wrapText="1"/>
    </xf>
    <xf numFmtId="1" fontId="23" fillId="4" borderId="4" xfId="0" applyNumberFormat="1" applyFont="1" applyFill="1" applyBorder="1" applyAlignment="1">
      <alignment horizontal="centerContinuous" vertical="justify" wrapText="1"/>
    </xf>
    <xf numFmtId="1" fontId="23" fillId="4" borderId="5" xfId="0" applyNumberFormat="1" applyFont="1" applyFill="1" applyBorder="1" applyAlignment="1">
      <alignment horizontal="centerContinuous" vertical="justify" wrapText="1"/>
    </xf>
    <xf numFmtId="1" fontId="1" fillId="2" borderId="13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64" fontId="1" fillId="2" borderId="14" xfId="0" applyNumberFormat="1" applyFont="1" applyFill="1" applyBorder="1"/>
    <xf numFmtId="0" fontId="1" fillId="2" borderId="24" xfId="0" applyFont="1" applyFill="1" applyBorder="1"/>
    <xf numFmtId="0" fontId="14" fillId="2" borderId="24" xfId="0" applyFont="1" applyFill="1" applyBorder="1"/>
    <xf numFmtId="2" fontId="14" fillId="2" borderId="24" xfId="0" applyNumberFormat="1" applyFont="1" applyFill="1" applyBorder="1"/>
    <xf numFmtId="0" fontId="14" fillId="2" borderId="24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11" fontId="1" fillId="2" borderId="24" xfId="0" applyNumberFormat="1" applyFont="1" applyFill="1" applyBorder="1"/>
    <xf numFmtId="164" fontId="14" fillId="2" borderId="24" xfId="0" applyNumberFormat="1" applyFont="1" applyFill="1" applyBorder="1"/>
    <xf numFmtId="164" fontId="14" fillId="2" borderId="24" xfId="0" applyNumberFormat="1" applyFont="1" applyFill="1" applyBorder="1" applyAlignment="1">
      <alignment horizontal="center" vertical="center"/>
    </xf>
    <xf numFmtId="11" fontId="23" fillId="4" borderId="23" xfId="0" applyNumberFormat="1" applyFont="1" applyFill="1" applyBorder="1" applyAlignment="1">
      <alignment horizontal="center" vertical="center"/>
    </xf>
    <xf numFmtId="11" fontId="70" fillId="4" borderId="24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23" fillId="4" borderId="5" xfId="0" applyFont="1" applyFill="1" applyBorder="1" applyAlignment="1">
      <alignment vertical="distributed"/>
    </xf>
    <xf numFmtId="0" fontId="23" fillId="4" borderId="6" xfId="0" applyFont="1" applyFill="1" applyBorder="1" applyAlignment="1">
      <alignment vertical="distributed"/>
    </xf>
    <xf numFmtId="0" fontId="72" fillId="5" borderId="10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5" fillId="5" borderId="37" xfId="0" applyFont="1" applyFill="1" applyBorder="1" applyAlignment="1">
      <alignment horizontal="center"/>
    </xf>
    <xf numFmtId="0" fontId="14" fillId="0" borderId="14" xfId="0" applyFont="1" applyBorder="1"/>
    <xf numFmtId="2" fontId="14" fillId="0" borderId="14" xfId="0" applyNumberFormat="1" applyFont="1" applyBorder="1"/>
    <xf numFmtId="0" fontId="23" fillId="4" borderId="5" xfId="0" applyFont="1" applyFill="1" applyBorder="1" applyAlignment="1">
      <alignment horizontal="center" vertical="center"/>
    </xf>
    <xf numFmtId="2" fontId="33" fillId="7" borderId="25" xfId="2" applyNumberFormat="1"/>
    <xf numFmtId="11" fontId="1" fillId="2" borderId="24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right"/>
    </xf>
    <xf numFmtId="2" fontId="1" fillId="0" borderId="14" xfId="0" applyNumberFormat="1" applyFont="1" applyBorder="1"/>
    <xf numFmtId="0" fontId="74" fillId="2" borderId="18" xfId="0" applyFont="1" applyFill="1" applyBorder="1" applyAlignment="1">
      <alignment horizontal="left" indent="1"/>
    </xf>
    <xf numFmtId="0" fontId="69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top" indent="3"/>
    </xf>
    <xf numFmtId="0" fontId="14" fillId="2" borderId="17" xfId="0" applyFont="1" applyFill="1" applyBorder="1" applyAlignment="1">
      <alignment horizontal="left" vertical="center"/>
    </xf>
    <xf numFmtId="0" fontId="24" fillId="2" borderId="18" xfId="0" applyFont="1" applyFill="1" applyBorder="1" applyAlignment="1">
      <alignment horizontal="left" vertical="top" indent="3"/>
    </xf>
    <xf numFmtId="2" fontId="9" fillId="2" borderId="0" xfId="0" applyNumberFormat="1" applyFont="1" applyFill="1" applyAlignment="1">
      <alignment horizontal="center" vertical="center"/>
    </xf>
    <xf numFmtId="0" fontId="1" fillId="0" borderId="20" xfId="0" applyFont="1" applyBorder="1"/>
    <xf numFmtId="0" fontId="6" fillId="2" borderId="0" xfId="0" applyFont="1" applyFill="1" applyAlignment="1">
      <alignment horizontal="right" vertical="top"/>
    </xf>
    <xf numFmtId="2" fontId="36" fillId="7" borderId="0" xfId="2" applyNumberFormat="1" applyFont="1" applyBorder="1"/>
    <xf numFmtId="0" fontId="5" fillId="2" borderId="0" xfId="0" applyFont="1" applyFill="1" applyAlignment="1">
      <alignment horizontal="center"/>
    </xf>
    <xf numFmtId="0" fontId="14" fillId="0" borderId="20" xfId="0" applyFont="1" applyBorder="1" applyAlignment="1">
      <alignment horizontal="center" vertical="center"/>
    </xf>
    <xf numFmtId="2" fontId="9" fillId="7" borderId="38" xfId="2" applyNumberFormat="1" applyFont="1" applyBorder="1" applyAlignment="1">
      <alignment horizontal="center" vertical="center"/>
    </xf>
    <xf numFmtId="2" fontId="9" fillId="7" borderId="39" xfId="2" applyNumberFormat="1" applyFont="1" applyBorder="1" applyAlignment="1">
      <alignment horizontal="center" vertical="center"/>
    </xf>
    <xf numFmtId="2" fontId="36" fillId="7" borderId="39" xfId="2" applyNumberFormat="1" applyFont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4" fillId="2" borderId="0" xfId="0" applyFont="1" applyFill="1" applyAlignment="1">
      <alignment horizontal="right" vertical="center"/>
    </xf>
    <xf numFmtId="0" fontId="14" fillId="2" borderId="0" xfId="0" applyFont="1" applyFill="1" applyAlignment="1">
      <alignment vertical="top"/>
    </xf>
    <xf numFmtId="1" fontId="9" fillId="2" borderId="0" xfId="0" applyNumberFormat="1" applyFont="1" applyFill="1" applyAlignment="1">
      <alignment vertical="top"/>
    </xf>
    <xf numFmtId="2" fontId="14" fillId="2" borderId="0" xfId="0" applyNumberFormat="1" applyFont="1" applyFill="1" applyAlignment="1">
      <alignment vertical="top"/>
    </xf>
    <xf numFmtId="0" fontId="1" fillId="2" borderId="0" xfId="0" applyFont="1" applyFill="1" applyAlignment="1">
      <alignment horizontal="right" vertical="center"/>
    </xf>
    <xf numFmtId="2" fontId="14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2" fontId="1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164" fontId="1" fillId="2" borderId="0" xfId="0" applyNumberFormat="1" applyFont="1" applyFill="1" applyAlignment="1">
      <alignment horizontal="left" indent="1"/>
    </xf>
    <xf numFmtId="1" fontId="1" fillId="2" borderId="0" xfId="0" applyNumberFormat="1" applyFont="1" applyFill="1" applyAlignment="1">
      <alignment horizontal="left" indent="1"/>
    </xf>
    <xf numFmtId="0" fontId="1" fillId="2" borderId="0" xfId="0" applyFont="1" applyFill="1" applyAlignment="1">
      <alignment horizontal="left"/>
    </xf>
    <xf numFmtId="2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>
      <alignment vertical="top"/>
    </xf>
    <xf numFmtId="165" fontId="1" fillId="2" borderId="0" xfId="0" applyNumberFormat="1" applyFont="1" applyFill="1" applyAlignment="1">
      <alignment horizontal="left" vertical="center"/>
    </xf>
    <xf numFmtId="165" fontId="1" fillId="2" borderId="0" xfId="0" applyNumberFormat="1" applyFont="1" applyFill="1"/>
    <xf numFmtId="164" fontId="1" fillId="2" borderId="0" xfId="0" applyNumberFormat="1" applyFont="1" applyFill="1" applyAlignment="1">
      <alignment horizontal="center" vertical="top"/>
    </xf>
    <xf numFmtId="0" fontId="7" fillId="2" borderId="0" xfId="0" applyFont="1" applyFill="1" applyAlignment="1">
      <alignment horizontal="right" vertical="top"/>
    </xf>
    <xf numFmtId="2" fontId="36" fillId="7" borderId="25" xfId="2" applyNumberFormat="1" applyFont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164" fontId="1" fillId="2" borderId="0" xfId="0" applyNumberFormat="1" applyFont="1" applyFill="1" applyAlignment="1">
      <alignment horizontal="right" vertical="center"/>
    </xf>
    <xf numFmtId="2" fontId="1" fillId="2" borderId="0" xfId="0" applyNumberFormat="1" applyFont="1" applyFill="1" applyAlignment="1">
      <alignment horizontal="right" vertical="center"/>
    </xf>
    <xf numFmtId="0" fontId="7" fillId="2" borderId="0" xfId="0" applyFont="1" applyFill="1" applyAlignment="1">
      <alignment horizontal="right" vertical="center"/>
    </xf>
    <xf numFmtId="2" fontId="36" fillId="7" borderId="25" xfId="2" applyNumberFormat="1" applyFont="1"/>
    <xf numFmtId="165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left" vertical="center"/>
    </xf>
    <xf numFmtId="165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indent="1"/>
    </xf>
    <xf numFmtId="0" fontId="12" fillId="2" borderId="0" xfId="0" applyFont="1" applyFill="1"/>
    <xf numFmtId="2" fontId="36" fillId="7" borderId="25" xfId="2" applyNumberFormat="1" applyFont="1" applyAlignment="1">
      <alignment horizontal="right" vertical="center"/>
    </xf>
    <xf numFmtId="0" fontId="1" fillId="2" borderId="0" xfId="0" applyFont="1" applyFill="1" applyAlignment="1">
      <alignment horizontal="left" vertical="top" indent="2"/>
    </xf>
    <xf numFmtId="0" fontId="1" fillId="2" borderId="0" xfId="0" applyFont="1" applyFill="1" applyAlignment="1">
      <alignment horizontal="right" vertical="top" indent="2"/>
    </xf>
    <xf numFmtId="0" fontId="75" fillId="2" borderId="0" xfId="0" applyFont="1" applyFill="1" applyAlignment="1">
      <alignment horizontal="right" vertical="center"/>
    </xf>
    <xf numFmtId="0" fontId="14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left" vertical="top"/>
    </xf>
    <xf numFmtId="0" fontId="7" fillId="2" borderId="0" xfId="0" applyFont="1" applyFill="1" applyAlignment="1">
      <alignment horizontal="right"/>
    </xf>
    <xf numFmtId="0" fontId="11" fillId="2" borderId="0" xfId="0" applyFont="1" applyFill="1" applyAlignment="1">
      <alignment horizontal="left" vertical="center"/>
    </xf>
    <xf numFmtId="0" fontId="1" fillId="2" borderId="23" xfId="0" applyFont="1" applyFill="1" applyBorder="1"/>
    <xf numFmtId="0" fontId="14" fillId="2" borderId="23" xfId="0" applyFont="1" applyFill="1" applyBorder="1"/>
    <xf numFmtId="2" fontId="14" fillId="2" borderId="23" xfId="0" applyNumberFormat="1" applyFont="1" applyFill="1" applyBorder="1"/>
    <xf numFmtId="0" fontId="14" fillId="2" borderId="23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11" fontId="1" fillId="2" borderId="23" xfId="0" applyNumberFormat="1" applyFont="1" applyFill="1" applyBorder="1"/>
    <xf numFmtId="11" fontId="1" fillId="2" borderId="23" xfId="0" applyNumberFormat="1" applyFont="1" applyFill="1" applyBorder="1" applyAlignment="1">
      <alignment horizontal="center" vertical="center"/>
    </xf>
    <xf numFmtId="164" fontId="14" fillId="2" borderId="23" xfId="0" applyNumberFormat="1" applyFont="1" applyFill="1" applyBorder="1" applyAlignment="1">
      <alignment horizontal="center" vertical="center"/>
    </xf>
    <xf numFmtId="164" fontId="14" fillId="2" borderId="23" xfId="0" applyNumberFormat="1" applyFont="1" applyFill="1" applyBorder="1"/>
    <xf numFmtId="11" fontId="1" fillId="2" borderId="0" xfId="0" applyNumberFormat="1" applyFont="1" applyFill="1" applyAlignment="1">
      <alignment horizontal="center" vertical="center"/>
    </xf>
    <xf numFmtId="164" fontId="9" fillId="2" borderId="0" xfId="0" quotePrefix="1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left" vertical="center"/>
    </xf>
    <xf numFmtId="0" fontId="23" fillId="4" borderId="14" xfId="0" applyFont="1" applyFill="1" applyBorder="1" applyAlignment="1">
      <alignment vertical="center" wrapText="1"/>
    </xf>
    <xf numFmtId="0" fontId="23" fillId="4" borderId="14" xfId="0" applyFont="1" applyFill="1" applyBorder="1" applyAlignment="1">
      <alignment horizontal="centerContinuous" vertical="center" wrapText="1"/>
    </xf>
    <xf numFmtId="164" fontId="9" fillId="2" borderId="0" xfId="0" applyNumberFormat="1" applyFont="1" applyFill="1" applyAlignment="1">
      <alignment horizontal="center" vertical="center"/>
    </xf>
    <xf numFmtId="164" fontId="23" fillId="4" borderId="14" xfId="0" applyNumberFormat="1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50" fillId="5" borderId="14" xfId="3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wrapText="1"/>
    </xf>
    <xf numFmtId="0" fontId="15" fillId="5" borderId="27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 wrapText="1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5" borderId="28" xfId="0" applyFont="1" applyFill="1" applyBorder="1" applyAlignment="1">
      <alignment horizontal="center"/>
    </xf>
    <xf numFmtId="0" fontId="15" fillId="5" borderId="29" xfId="0" applyFont="1" applyFill="1" applyBorder="1" applyAlignment="1">
      <alignment horizontal="center"/>
    </xf>
    <xf numFmtId="0" fontId="15" fillId="5" borderId="30" xfId="0" applyFont="1" applyFill="1" applyBorder="1" applyAlignment="1">
      <alignment horizontal="center"/>
    </xf>
    <xf numFmtId="0" fontId="50" fillId="5" borderId="23" xfId="3" applyFont="1" applyFill="1" applyBorder="1" applyAlignment="1">
      <alignment horizontal="center" vertical="center"/>
    </xf>
    <xf numFmtId="0" fontId="50" fillId="5" borderId="24" xfId="3" applyFont="1" applyFill="1" applyBorder="1" applyAlignment="1">
      <alignment horizontal="center" vertical="center"/>
    </xf>
    <xf numFmtId="0" fontId="50" fillId="5" borderId="14" xfId="3" applyFont="1" applyFill="1" applyBorder="1" applyAlignment="1">
      <alignment horizontal="center" vertical="center"/>
    </xf>
    <xf numFmtId="0" fontId="50" fillId="5" borderId="4" xfId="3" applyFont="1" applyFill="1" applyBorder="1" applyAlignment="1">
      <alignment horizontal="center" vertical="center" wrapText="1"/>
    </xf>
    <xf numFmtId="0" fontId="50" fillId="5" borderId="5" xfId="3" applyFont="1" applyFill="1" applyBorder="1" applyAlignment="1">
      <alignment horizontal="center" vertical="center" wrapText="1"/>
    </xf>
    <xf numFmtId="0" fontId="54" fillId="4" borderId="14" xfId="4" applyFont="1" applyFill="1" applyBorder="1" applyAlignment="1">
      <alignment horizontal="center" vertical="center"/>
    </xf>
    <xf numFmtId="0" fontId="15" fillId="3" borderId="19" xfId="0" applyFont="1" applyFill="1" applyBorder="1" applyAlignment="1">
      <alignment horizontal="center" vertical="center"/>
    </xf>
    <xf numFmtId="0" fontId="15" fillId="3" borderId="26" xfId="0" applyFont="1" applyFill="1" applyBorder="1" applyAlignment="1">
      <alignment horizontal="center" vertical="center"/>
    </xf>
    <xf numFmtId="1" fontId="27" fillId="4" borderId="14" xfId="0" applyNumberFormat="1" applyFont="1" applyFill="1" applyBorder="1" applyAlignment="1">
      <alignment horizontal="center" vertical="center"/>
    </xf>
    <xf numFmtId="1" fontId="23" fillId="4" borderId="14" xfId="0" applyNumberFormat="1" applyFont="1" applyFill="1" applyBorder="1" applyAlignment="1">
      <alignment horizontal="center" vertical="center"/>
    </xf>
    <xf numFmtId="0" fontId="23" fillId="4" borderId="14" xfId="0" applyFont="1" applyFill="1" applyBorder="1" applyAlignment="1">
      <alignment horizontal="center" vertical="center" wrapText="1"/>
    </xf>
    <xf numFmtId="0" fontId="23" fillId="4" borderId="14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23" fillId="4" borderId="4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0" fontId="23" fillId="4" borderId="6" xfId="0" applyFont="1" applyFill="1" applyBorder="1" applyAlignment="1">
      <alignment horizontal="center" vertical="center" wrapText="1"/>
    </xf>
    <xf numFmtId="11" fontId="23" fillId="4" borderId="23" xfId="0" applyNumberFormat="1" applyFont="1" applyFill="1" applyBorder="1" applyAlignment="1">
      <alignment horizontal="center" vertical="top"/>
    </xf>
    <xf numFmtId="11" fontId="23" fillId="4" borderId="24" xfId="0" applyNumberFormat="1" applyFont="1" applyFill="1" applyBorder="1" applyAlignment="1">
      <alignment horizontal="center" vertical="top"/>
    </xf>
    <xf numFmtId="2" fontId="23" fillId="4" borderId="14" xfId="0" applyNumberFormat="1" applyFont="1" applyFill="1" applyBorder="1" applyAlignment="1">
      <alignment horizontal="center" vertical="center" wrapText="1"/>
    </xf>
    <xf numFmtId="1" fontId="26" fillId="4" borderId="14" xfId="0" applyNumberFormat="1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 wrapText="1"/>
    </xf>
    <xf numFmtId="0" fontId="26" fillId="4" borderId="24" xfId="0" applyFont="1" applyFill="1" applyBorder="1" applyAlignment="1">
      <alignment horizontal="center" vertical="center" wrapText="1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left" vertical="center" inden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center" wrapText="1" indent="2"/>
    </xf>
    <xf numFmtId="0" fontId="1" fillId="2" borderId="0" xfId="0" applyFont="1" applyFill="1" applyAlignment="1">
      <alignment horizontal="left" vertical="center" wrapText="1" indent="2"/>
    </xf>
    <xf numFmtId="0" fontId="1" fillId="2" borderId="17" xfId="0" applyFont="1" applyFill="1" applyBorder="1" applyAlignment="1">
      <alignment horizontal="left" vertical="center" wrapText="1" indent="2"/>
    </xf>
    <xf numFmtId="0" fontId="1" fillId="2" borderId="19" xfId="0" applyFont="1" applyFill="1" applyBorder="1" applyAlignment="1">
      <alignment horizontal="left" vertical="center" indent="1"/>
    </xf>
    <xf numFmtId="0" fontId="1" fillId="2" borderId="20" xfId="0" applyFont="1" applyFill="1" applyBorder="1" applyAlignment="1">
      <alignment horizontal="left" vertical="center" indent="1"/>
    </xf>
    <xf numFmtId="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2" fontId="9" fillId="2" borderId="4" xfId="0" applyNumberFormat="1" applyFont="1" applyFill="1" applyBorder="1" applyAlignment="1">
      <alignment horizontal="center" vertical="center"/>
    </xf>
    <xf numFmtId="2" fontId="9" fillId="2" borderId="5" xfId="0" applyNumberFormat="1" applyFont="1" applyFill="1" applyBorder="1" applyAlignment="1">
      <alignment horizontal="center" vertical="center"/>
    </xf>
    <xf numFmtId="2" fontId="9" fillId="2" borderId="6" xfId="0" applyNumberFormat="1" applyFont="1" applyFill="1" applyBorder="1" applyAlignment="1">
      <alignment horizontal="center" vertical="center"/>
    </xf>
    <xf numFmtId="0" fontId="64" fillId="8" borderId="26" xfId="8" applyBorder="1" applyAlignment="1">
      <alignment horizontal="center"/>
    </xf>
    <xf numFmtId="0" fontId="64" fillId="8" borderId="20" xfId="8" applyBorder="1" applyAlignment="1">
      <alignment horizontal="center"/>
    </xf>
    <xf numFmtId="11" fontId="23" fillId="4" borderId="23" xfId="0" applyNumberFormat="1" applyFont="1" applyFill="1" applyBorder="1" applyAlignment="1">
      <alignment horizontal="center" vertical="top" wrapText="1"/>
    </xf>
    <xf numFmtId="11" fontId="23" fillId="4" borderId="24" xfId="0" applyNumberFormat="1" applyFont="1" applyFill="1" applyBorder="1" applyAlignment="1">
      <alignment horizontal="center" vertical="top" wrapText="1"/>
    </xf>
    <xf numFmtId="0" fontId="26" fillId="4" borderId="23" xfId="0" applyFont="1" applyFill="1" applyBorder="1" applyAlignment="1">
      <alignment horizontal="center" vertical="center"/>
    </xf>
    <xf numFmtId="0" fontId="45" fillId="4" borderId="24" xfId="0" applyFont="1" applyFill="1" applyBorder="1" applyAlignment="1">
      <alignment horizontal="center" vertical="center"/>
    </xf>
    <xf numFmtId="0" fontId="26" fillId="4" borderId="14" xfId="0" applyFont="1" applyFill="1" applyBorder="1" applyAlignment="1">
      <alignment horizontal="center" vertical="center" wrapText="1"/>
    </xf>
    <xf numFmtId="0" fontId="23" fillId="4" borderId="14" xfId="0" applyFont="1" applyFill="1" applyBorder="1" applyAlignment="1">
      <alignment horizontal="center" vertical="top" wrapText="1"/>
    </xf>
    <xf numFmtId="2" fontId="23" fillId="4" borderId="14" xfId="0" applyNumberFormat="1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center" vertical="center"/>
    </xf>
    <xf numFmtId="0" fontId="66" fillId="3" borderId="1" xfId="0" applyFont="1" applyFill="1" applyBorder="1" applyAlignment="1">
      <alignment horizontal="center" vertical="center"/>
    </xf>
    <xf numFmtId="0" fontId="66" fillId="3" borderId="2" xfId="0" applyFont="1" applyFill="1" applyBorder="1" applyAlignment="1">
      <alignment horizontal="center" vertical="center"/>
    </xf>
    <xf numFmtId="0" fontId="66" fillId="3" borderId="15" xfId="0" applyFont="1" applyFill="1" applyBorder="1" applyAlignment="1">
      <alignment horizontal="center" vertical="center"/>
    </xf>
    <xf numFmtId="0" fontId="66" fillId="3" borderId="8" xfId="0" applyFont="1" applyFill="1" applyBorder="1" applyAlignment="1">
      <alignment horizontal="center" vertical="center"/>
    </xf>
    <xf numFmtId="0" fontId="68" fillId="4" borderId="2" xfId="0" applyFont="1" applyFill="1" applyBorder="1" applyAlignment="1">
      <alignment horizontal="center" vertical="center"/>
    </xf>
    <xf numFmtId="0" fontId="68" fillId="4" borderId="3" xfId="0" applyFont="1" applyFill="1" applyBorder="1" applyAlignment="1">
      <alignment horizontal="center" vertical="center"/>
    </xf>
    <xf numFmtId="0" fontId="68" fillId="4" borderId="8" xfId="0" applyFont="1" applyFill="1" applyBorder="1" applyAlignment="1">
      <alignment horizontal="center" vertical="center"/>
    </xf>
    <xf numFmtId="0" fontId="68" fillId="4" borderId="1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left" vertical="center"/>
    </xf>
    <xf numFmtId="0" fontId="23" fillId="4" borderId="22" xfId="0" applyFont="1" applyFill="1" applyBorder="1" applyAlignment="1">
      <alignment horizontal="left" vertical="center"/>
    </xf>
    <xf numFmtId="0" fontId="32" fillId="4" borderId="18" xfId="0" applyFont="1" applyFill="1" applyBorder="1" applyAlignment="1">
      <alignment horizontal="center"/>
    </xf>
    <xf numFmtId="0" fontId="32" fillId="4" borderId="0" xfId="0" applyFont="1" applyFill="1" applyAlignment="1">
      <alignment horizontal="center"/>
    </xf>
    <xf numFmtId="0" fontId="19" fillId="4" borderId="18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 vertical="center"/>
    </xf>
    <xf numFmtId="1" fontId="1" fillId="2" borderId="19" xfId="0" applyNumberFormat="1" applyFont="1" applyFill="1" applyBorder="1" applyAlignment="1">
      <alignment horizontal="left" vertical="center" indent="1"/>
    </xf>
    <xf numFmtId="1" fontId="1" fillId="2" borderId="20" xfId="0" applyNumberFormat="1" applyFont="1" applyFill="1" applyBorder="1" applyAlignment="1">
      <alignment horizontal="left" vertical="center" indent="1"/>
    </xf>
    <xf numFmtId="11" fontId="73" fillId="4" borderId="0" xfId="0" applyNumberFormat="1" applyFont="1" applyFill="1" applyAlignment="1">
      <alignment horizontal="center" vertical="center"/>
    </xf>
    <xf numFmtId="0" fontId="23" fillId="4" borderId="23" xfId="0" applyFont="1" applyFill="1" applyBorder="1" applyAlignment="1">
      <alignment horizontal="center" vertical="center"/>
    </xf>
    <xf numFmtId="0" fontId="23" fillId="4" borderId="24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15" fillId="3" borderId="17" xfId="0" applyFont="1" applyFill="1" applyBorder="1" applyAlignment="1">
      <alignment horizontal="center"/>
    </xf>
    <xf numFmtId="0" fontId="76" fillId="3" borderId="1" xfId="0" applyFont="1" applyFill="1" applyBorder="1" applyAlignment="1">
      <alignment horizontal="center"/>
    </xf>
    <xf numFmtId="0" fontId="76" fillId="3" borderId="2" xfId="0" applyFont="1" applyFill="1" applyBorder="1" applyAlignment="1">
      <alignment horizontal="center"/>
    </xf>
    <xf numFmtId="0" fontId="76" fillId="3" borderId="3" xfId="0" applyFont="1" applyFill="1" applyBorder="1" applyAlignment="1">
      <alignment horizontal="center"/>
    </xf>
    <xf numFmtId="2" fontId="9" fillId="2" borderId="0" xfId="0" applyNumberFormat="1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justify" wrapText="1"/>
    </xf>
    <xf numFmtId="0" fontId="23" fillId="4" borderId="2" xfId="0" applyFont="1" applyFill="1" applyBorder="1" applyAlignment="1">
      <alignment horizontal="center" vertical="justify" wrapText="1"/>
    </xf>
    <xf numFmtId="0" fontId="23" fillId="4" borderId="3" xfId="0" applyFont="1" applyFill="1" applyBorder="1" applyAlignment="1">
      <alignment horizontal="center" vertical="justify" wrapText="1"/>
    </xf>
    <xf numFmtId="0" fontId="23" fillId="4" borderId="4" xfId="0" applyFont="1" applyFill="1" applyBorder="1" applyAlignment="1">
      <alignment horizontal="center" vertical="justify" wrapText="1"/>
    </xf>
    <xf numFmtId="0" fontId="23" fillId="4" borderId="5" xfId="0" applyFont="1" applyFill="1" applyBorder="1" applyAlignment="1">
      <alignment horizontal="center" vertical="justify" wrapText="1"/>
    </xf>
    <xf numFmtId="0" fontId="23" fillId="4" borderId="6" xfId="0" applyFont="1" applyFill="1" applyBorder="1" applyAlignment="1">
      <alignment horizontal="center" vertical="justify" wrapText="1"/>
    </xf>
    <xf numFmtId="2" fontId="4" fillId="4" borderId="14" xfId="0" applyNumberFormat="1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distributed" wrapText="1"/>
    </xf>
    <xf numFmtId="0" fontId="23" fillId="4" borderId="2" xfId="0" applyFont="1" applyFill="1" applyBorder="1" applyAlignment="1">
      <alignment horizontal="center" vertical="distributed" wrapText="1"/>
    </xf>
    <xf numFmtId="0" fontId="23" fillId="4" borderId="3" xfId="0" applyFont="1" applyFill="1" applyBorder="1" applyAlignment="1">
      <alignment horizontal="center" vertical="distributed" wrapText="1"/>
    </xf>
    <xf numFmtId="0" fontId="23" fillId="4" borderId="4" xfId="0" applyFont="1" applyFill="1" applyBorder="1" applyAlignment="1">
      <alignment horizontal="center" vertical="distributed" wrapText="1"/>
    </xf>
    <xf numFmtId="0" fontId="23" fillId="4" borderId="5" xfId="0" applyFont="1" applyFill="1" applyBorder="1" applyAlignment="1">
      <alignment horizontal="center" vertical="distributed" wrapText="1"/>
    </xf>
    <xf numFmtId="0" fontId="23" fillId="4" borderId="6" xfId="0" applyFont="1" applyFill="1" applyBorder="1" applyAlignment="1">
      <alignment horizontal="center" vertical="distributed" wrapText="1"/>
    </xf>
    <xf numFmtId="0" fontId="14" fillId="2" borderId="20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top"/>
    </xf>
    <xf numFmtId="0" fontId="9" fillId="2" borderId="24" xfId="0" applyFont="1" applyFill="1" applyBorder="1" applyAlignment="1">
      <alignment horizontal="center" vertical="top"/>
    </xf>
    <xf numFmtId="0" fontId="9" fillId="2" borderId="14" xfId="0" applyFont="1" applyFill="1" applyBorder="1" applyAlignment="1">
      <alignment horizontal="center" vertical="top" wrapText="1"/>
    </xf>
    <xf numFmtId="0" fontId="1" fillId="2" borderId="26" xfId="0" applyFont="1" applyFill="1" applyBorder="1" applyAlignment="1">
      <alignment horizontal="center" vertical="center"/>
    </xf>
    <xf numFmtId="0" fontId="13" fillId="0" borderId="18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9" fillId="9" borderId="19" xfId="0" applyFont="1" applyFill="1" applyBorder="1" applyAlignment="1">
      <alignment horizontal="right" vertical="center"/>
    </xf>
    <xf numFmtId="0" fontId="9" fillId="9" borderId="26" xfId="0" applyFont="1" applyFill="1" applyBorder="1" applyAlignment="1">
      <alignment horizontal="right" vertical="center"/>
    </xf>
    <xf numFmtId="0" fontId="9" fillId="9" borderId="20" xfId="0" applyFont="1" applyFill="1" applyBorder="1" applyAlignment="1">
      <alignment horizontal="right" vertical="center"/>
    </xf>
    <xf numFmtId="0" fontId="14" fillId="2" borderId="0" xfId="0" applyFont="1" applyFill="1" applyAlignment="1">
      <alignment horizontal="left" vertical="center"/>
    </xf>
    <xf numFmtId="0" fontId="14" fillId="2" borderId="17" xfId="0" applyFont="1" applyFill="1" applyBorder="1" applyAlignment="1">
      <alignment horizontal="left" vertical="center"/>
    </xf>
    <xf numFmtId="0" fontId="9" fillId="9" borderId="19" xfId="0" applyFont="1" applyFill="1" applyBorder="1" applyAlignment="1">
      <alignment horizontal="center" vertical="center"/>
    </xf>
    <xf numFmtId="0" fontId="9" fillId="9" borderId="26" xfId="0" applyFont="1" applyFill="1" applyBorder="1" applyAlignment="1">
      <alignment horizontal="center" vertical="center"/>
    </xf>
    <xf numFmtId="0" fontId="9" fillId="9" borderId="20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/>
    </xf>
    <xf numFmtId="0" fontId="1" fillId="2" borderId="23" xfId="0" applyFont="1" applyFill="1" applyBorder="1" applyAlignment="1">
      <alignment horizontal="center"/>
    </xf>
    <xf numFmtId="0" fontId="15" fillId="3" borderId="36" xfId="0" applyFont="1" applyFill="1" applyBorder="1" applyAlignment="1">
      <alignment horizontal="center" vertical="center"/>
    </xf>
    <xf numFmtId="0" fontId="15" fillId="3" borderId="24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4" fillId="9" borderId="14" xfId="0" applyFont="1" applyFill="1" applyBorder="1" applyAlignment="1">
      <alignment horizontal="center" vertical="center"/>
    </xf>
  </cellXfs>
  <cellStyles count="9">
    <cellStyle name="Calculation" xfId="2" builtinId="22"/>
    <cellStyle name="Comma 2" xfId="6" xr:uid="{00000000-0005-0000-0000-000001000000}"/>
    <cellStyle name="Good" xfId="8" builtinId="26"/>
    <cellStyle name="Normal" xfId="0" builtinId="0"/>
    <cellStyle name="Normal 2" xfId="5" xr:uid="{00000000-0005-0000-0000-000004000000}"/>
    <cellStyle name="Normal 2 2" xfId="7" xr:uid="{00000000-0005-0000-0000-000005000000}"/>
    <cellStyle name="Normal 5" xfId="3" xr:uid="{00000000-0005-0000-0000-000006000000}"/>
    <cellStyle name="Normal 6" xfId="1" xr:uid="{00000000-0005-0000-0000-000007000000}"/>
    <cellStyle name="Normal_Sheet3" xfId="4" xr:uid="{00000000-0005-0000-0000-000008000000}"/>
  </cellStyles>
  <dxfs count="26"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432003</xdr:colOff>
      <xdr:row>32</xdr:row>
      <xdr:rowOff>69167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9B8467-8BC7-72B6-58BC-C6E07180C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56803" cy="6165167"/>
        </a:xfrm>
        <a:prstGeom prst="rect">
          <a:avLst/>
        </a:prstGeom>
      </xdr:spPr>
    </xdr:pic>
    <xdr:clientData/>
  </xdr:twoCellAnchor>
  <xdr:twoCellAnchor editAs="oneCell">
    <xdr:from>
      <xdr:col>13</xdr:col>
      <xdr:colOff>609599</xdr:colOff>
      <xdr:row>0</xdr:row>
      <xdr:rowOff>0</xdr:rowOff>
    </xdr:from>
    <xdr:to>
      <xdr:col>28</xdr:col>
      <xdr:colOff>157896</xdr:colOff>
      <xdr:row>47</xdr:row>
      <xdr:rowOff>119742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7DA47A-32FD-3B74-6FCA-7242E9C26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34399" y="0"/>
          <a:ext cx="8692297" cy="8817428"/>
        </a:xfrm>
        <a:prstGeom prst="rect">
          <a:avLst/>
        </a:prstGeom>
      </xdr:spPr>
    </xdr:pic>
    <xdr:clientData/>
  </xdr:twoCellAnchor>
  <xdr:twoCellAnchor editAs="oneCell">
    <xdr:from>
      <xdr:col>0</xdr:col>
      <xdr:colOff>152399</xdr:colOff>
      <xdr:row>31</xdr:row>
      <xdr:rowOff>175377</xdr:rowOff>
    </xdr:from>
    <xdr:to>
      <xdr:col>13</xdr:col>
      <xdr:colOff>424542</xdr:colOff>
      <xdr:row>47</xdr:row>
      <xdr:rowOff>129790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AFF8FA2-0326-DFDD-6031-69154F582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399" y="5912148"/>
          <a:ext cx="8196943" cy="2915328"/>
        </a:xfrm>
        <a:prstGeom prst="rect">
          <a:avLst/>
        </a:prstGeom>
      </xdr:spPr>
    </xdr:pic>
    <xdr:clientData/>
  </xdr:twoCellAnchor>
  <xdr:twoCellAnchor editAs="oneCell">
    <xdr:from>
      <xdr:col>0</xdr:col>
      <xdr:colOff>283029</xdr:colOff>
      <xdr:row>48</xdr:row>
      <xdr:rowOff>163286</xdr:rowOff>
    </xdr:from>
    <xdr:to>
      <xdr:col>13</xdr:col>
      <xdr:colOff>475951</xdr:colOff>
      <xdr:row>82</xdr:row>
      <xdr:rowOff>22518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917EE9-0BF9-824F-CBFB-722BBA1F4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3029" y="9046029"/>
          <a:ext cx="8117722" cy="6151175"/>
        </a:xfrm>
        <a:prstGeom prst="rect">
          <a:avLst/>
        </a:prstGeom>
      </xdr:spPr>
    </xdr:pic>
    <xdr:clientData/>
  </xdr:twoCellAnchor>
  <xdr:twoCellAnchor editAs="oneCell">
    <xdr:from>
      <xdr:col>14</xdr:col>
      <xdr:colOff>87086</xdr:colOff>
      <xdr:row>49</xdr:row>
      <xdr:rowOff>32658</xdr:rowOff>
    </xdr:from>
    <xdr:to>
      <xdr:col>30</xdr:col>
      <xdr:colOff>112863</xdr:colOff>
      <xdr:row>65</xdr:row>
      <xdr:rowOff>52053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6C3C0A9-82CB-24ED-620C-9A240B43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21486" y="9100458"/>
          <a:ext cx="9779377" cy="2980309"/>
        </a:xfrm>
        <a:prstGeom prst="rect">
          <a:avLst/>
        </a:prstGeom>
      </xdr:spPr>
    </xdr:pic>
    <xdr:clientData/>
  </xdr:twoCellAnchor>
  <xdr:twoCellAnchor editAs="oneCell">
    <xdr:from>
      <xdr:col>14</xdr:col>
      <xdr:colOff>163286</xdr:colOff>
      <xdr:row>65</xdr:row>
      <xdr:rowOff>174172</xdr:rowOff>
    </xdr:from>
    <xdr:to>
      <xdr:col>25</xdr:col>
      <xdr:colOff>323901</xdr:colOff>
      <xdr:row>87</xdr:row>
      <xdr:rowOff>65658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1818507-5B52-39B1-73A9-98CD70A8C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97686" y="12202886"/>
          <a:ext cx="6866215" cy="3962743"/>
        </a:xfrm>
        <a:prstGeom prst="rect">
          <a:avLst/>
        </a:prstGeom>
      </xdr:spPr>
    </xdr:pic>
    <xdr:clientData/>
  </xdr:twoCellAnchor>
  <xdr:twoCellAnchor editAs="oneCell">
    <xdr:from>
      <xdr:col>26</xdr:col>
      <xdr:colOff>283028</xdr:colOff>
      <xdr:row>65</xdr:row>
      <xdr:rowOff>76201</xdr:rowOff>
    </xdr:from>
    <xdr:to>
      <xdr:col>37</xdr:col>
      <xdr:colOff>513697</xdr:colOff>
      <xdr:row>98</xdr:row>
      <xdr:rowOff>44267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A9380C-7C51-29B7-8CD8-0EA8996D3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32628" y="12104915"/>
          <a:ext cx="6936269" cy="6074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E88545-EA02-454F-A92A-3DB5BA3EE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10565"/>
          <a:ext cx="2668159" cy="825766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38A25C16-56E9-438B-9D20-50C620BE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62265"/>
          <a:ext cx="2666739" cy="8307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314804</xdr:colOff>
      <xdr:row>12</xdr:row>
      <xdr:rowOff>64322</xdr:rowOff>
    </xdr:from>
    <xdr:to>
      <xdr:col>11</xdr:col>
      <xdr:colOff>149868</xdr:colOff>
      <xdr:row>21</xdr:row>
      <xdr:rowOff>63074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6528" y="859167"/>
          <a:ext cx="1647596" cy="1610764"/>
        </a:xfrm>
        <a:prstGeom prst="rect">
          <a:avLst/>
        </a:prstGeom>
      </xdr:spPr>
    </xdr:pic>
    <xdr:clientData/>
  </xdr:twoCellAnchor>
  <xdr:oneCellAnchor>
    <xdr:from>
      <xdr:col>2</xdr:col>
      <xdr:colOff>2155</xdr:colOff>
      <xdr:row>42</xdr:row>
      <xdr:rowOff>10150</xdr:rowOff>
    </xdr:from>
    <xdr:ext cx="3744615" cy="3689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3672E8B-45CE-47E0-AD27-3A861C8EC6FA}"/>
                </a:ext>
              </a:extLst>
            </xdr:cNvPr>
            <xdr:cNvSpPr txBox="1"/>
          </xdr:nvSpPr>
          <xdr:spPr>
            <a:xfrm>
              <a:off x="1335655" y="5741715"/>
              <a:ext cx="3744615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𝑛𝑦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𝜔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𝜔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 (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𝐶𝑇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.105)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3672E8B-45CE-47E0-AD27-3A861C8EC6FA}"/>
                </a:ext>
              </a:extLst>
            </xdr:cNvPr>
            <xdr:cNvSpPr txBox="1"/>
          </xdr:nvSpPr>
          <xdr:spPr>
            <a:xfrm>
              <a:off x="1335655" y="5741715"/>
              <a:ext cx="3744615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𝑁/(𝐴_𝑛 𝑓_𝑦𝑑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±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𝑀_𝑥/(𝐼_𝑛𝑥 𝑓_𝑦𝑑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𝛾_𝑐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𝑀_𝑦/(𝐼_𝑛𝑦 𝑓_𝑦𝑑 𝛾_𝑐 ) 𝑥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𝐵/(𝐼_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 𝑓_𝑦𝑑 𝛾_𝑐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≤1 (𝐶𝑇.105)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476616</xdr:colOff>
      <xdr:row>38</xdr:row>
      <xdr:rowOff>98329</xdr:rowOff>
    </xdr:from>
    <xdr:ext cx="4587859" cy="3851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0557AFA-AE42-4B98-A9B3-E2E6B31474F6}"/>
                </a:ext>
              </a:extLst>
            </xdr:cNvPr>
            <xdr:cNvSpPr txBox="1"/>
          </xdr:nvSpPr>
          <xdr:spPr>
            <a:xfrm>
              <a:off x="1246899" y="5167286"/>
              <a:ext cx="4587859" cy="385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05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05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05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05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𝑁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05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𝐴</m:t>
                                    </m:r>
                                  </m:e>
                                  <m:sub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𝑓</m:t>
                                    </m:r>
                                  </m:e>
                                  <m:sub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𝑦𝑑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𝛾</m:t>
                                    </m:r>
                                  </m:e>
                                  <m:sub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05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</m:sSup>
                    <m:r>
                      <a:rPr lang="en-US" sz="105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05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5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𝑦𝑛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05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05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𝜔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 (</m:t>
                    </m:r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𝐶𝑇</m:t>
                    </m:r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.104)</m:t>
                    </m:r>
                  </m:oMath>
                </m:oMathPara>
              </a14:m>
              <a:endParaRPr lang="en-US" sz="105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0557AFA-AE42-4B98-A9B3-E2E6B31474F6}"/>
                </a:ext>
              </a:extLst>
            </xdr:cNvPr>
            <xdr:cNvSpPr txBox="1"/>
          </xdr:nvSpPr>
          <xdr:spPr>
            <a:xfrm>
              <a:off x="1246899" y="5167286"/>
              <a:ext cx="4587859" cy="385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05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𝑁/(𝐴_𝑛 𝑓_𝑦𝑑 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))^𝑛</a:t>
              </a:r>
              <a:r>
                <a:rPr lang="en-US" sz="1050" b="0" i="0">
                  <a:latin typeface="Cambria Math" panose="02040503050406030204" pitchFamily="18" charset="0"/>
                </a:rPr>
                <a:t>+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𝑀_𝑥/(𝑐_𝑥 𝑊_(𝑛𝑥,𝑚𝑖𝑛) 𝑓_𝑦𝑑 𝛾_𝑐 )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+𝑀_𝑦/(𝑐_𝑦 𝑊_(𝑦𝑛,𝑚𝑖𝑛) 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_𝑦𝑑 𝑦_𝑐 )+𝐵/(𝑊_(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𝑛,𝑚𝑖𝑛) 𝑓_𝑦𝑑 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≤1 (𝐶𝑇.104)</a:t>
              </a:r>
              <a:endParaRPr lang="en-US" sz="1050"/>
            </a:p>
          </xdr:txBody>
        </xdr:sp>
      </mc:Fallback>
    </mc:AlternateContent>
    <xdr:clientData/>
  </xdr:oneCellAnchor>
  <xdr:twoCellAnchor editAs="oneCell">
    <xdr:from>
      <xdr:col>8</xdr:col>
      <xdr:colOff>79126</xdr:colOff>
      <xdr:row>125</xdr:row>
      <xdr:rowOff>157882</xdr:rowOff>
    </xdr:from>
    <xdr:to>
      <xdr:col>14</xdr:col>
      <xdr:colOff>647603</xdr:colOff>
      <xdr:row>137</xdr:row>
      <xdr:rowOff>46505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E3D4457-B35A-4507-F3CE-66BB01294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31419" y="19175037"/>
          <a:ext cx="3399183" cy="18555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131</xdr:row>
      <xdr:rowOff>105606</xdr:rowOff>
    </xdr:from>
    <xdr:to>
      <xdr:col>8</xdr:col>
      <xdr:colOff>16724</xdr:colOff>
      <xdr:row>138</xdr:row>
      <xdr:rowOff>124381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D23ECE-3FA5-4254-1E61-E4CD3243B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1155856"/>
          <a:ext cx="3338806" cy="1140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202139</xdr:colOff>
          <xdr:row>100</xdr:row>
          <xdr:rowOff>140487</xdr:rowOff>
        </xdr:from>
        <xdr:to>
          <xdr:col>9</xdr:col>
          <xdr:colOff>144614</xdr:colOff>
          <xdr:row>104</xdr:row>
          <xdr:rowOff>170793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ReferPic" spid="_x0000_s8308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0673" y="14868108"/>
              <a:ext cx="3727416" cy="733185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clientData/>
      </xdr:twoCellAnchor>
    </mc:Choice>
    <mc:Fallback/>
  </mc:AlternateContent>
  <xdr:twoCellAnchor>
    <xdr:from>
      <xdr:col>112</xdr:col>
      <xdr:colOff>341585</xdr:colOff>
      <xdr:row>16</xdr:row>
      <xdr:rowOff>57808</xdr:rowOff>
    </xdr:from>
    <xdr:to>
      <xdr:col>113</xdr:col>
      <xdr:colOff>183931</xdr:colOff>
      <xdr:row>17</xdr:row>
      <xdr:rowOff>131379</xdr:rowOff>
    </xdr:to>
    <xdr:sp macro="" textlink="">
      <xdr:nvSpPr>
        <xdr:cNvPr id="6" name="Arrow: Up 5">
          <a:extLst>
            <a:ext uri="{FF2B5EF4-FFF2-40B4-BE49-F238E27FC236}">
              <a16:creationId xmlns:a16="http://schemas.microsoft.com/office/drawing/2014/main" id="{28C7AE2E-FD8A-FA9E-A7DC-8AECBC6C0B6C}"/>
            </a:ext>
          </a:extLst>
        </xdr:cNvPr>
        <xdr:cNvSpPr/>
      </xdr:nvSpPr>
      <xdr:spPr>
        <a:xfrm>
          <a:off x="31604606" y="1208691"/>
          <a:ext cx="231228" cy="262757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139</xdr:row>
      <xdr:rowOff>33316</xdr:rowOff>
    </xdr:from>
    <xdr:to>
      <xdr:col>8</xdr:col>
      <xdr:colOff>132587</xdr:colOff>
      <xdr:row>145</xdr:row>
      <xdr:rowOff>148828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614A44-4EE2-EF66-C81A-5EDAAB6F4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2369441"/>
          <a:ext cx="3460384" cy="10799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266270</xdr:colOff>
      <xdr:row>0</xdr:row>
      <xdr:rowOff>207247</xdr:rowOff>
    </xdr:from>
    <xdr:ext cx="2279855" cy="657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6409895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09895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[1−𝑐ℎ(𝑘[𝐿/2−𝑧])/𝑐ℎ(𝑘𝐿/2)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369093</xdr:colOff>
      <xdr:row>0</xdr:row>
      <xdr:rowOff>78581</xdr:rowOff>
    </xdr:from>
    <xdr:to>
      <xdr:col>1</xdr:col>
      <xdr:colOff>3994261</xdr:colOff>
      <xdr:row>0</xdr:row>
      <xdr:rowOff>906065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9093" y="78581"/>
          <a:ext cx="3625168" cy="827484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190501</xdr:colOff>
      <xdr:row>1</xdr:row>
      <xdr:rowOff>166687</xdr:rowOff>
    </xdr:from>
    <xdr:ext cx="2560188" cy="6630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6334126" y="1273968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𝑠h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334126" y="1273968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[1−𝑘𝐿/2  𝑐ℎ(𝑘[𝑧−𝐿/2])/𝑠ℎ(𝑘𝐿/2)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1</xdr:row>
      <xdr:rowOff>107596</xdr:rowOff>
    </xdr:from>
    <xdr:to>
      <xdr:col>1</xdr:col>
      <xdr:colOff>3962646</xdr:colOff>
      <xdr:row>1</xdr:row>
      <xdr:rowOff>869157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9" y="1214877"/>
          <a:ext cx="3581647" cy="76156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244079</xdr:colOff>
      <xdr:row>2</xdr:row>
      <xdr:rowOff>321467</xdr:rowOff>
    </xdr:from>
    <xdr:ext cx="7042546" cy="467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6387704" y="2393155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𝑐h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𝑠h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1+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𝐿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/2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𝑠h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6387704" y="2393155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𝑚/𝑘^2  [1−𝑐ℎ(𝑘[𝐿−𝑧])+𝑠ℎ(𝑘[𝐿−𝑧])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×(1+𝑘𝐿.𝑠ℎ(𝑘𝐿)−𝑐ℎ(𝑘𝐿)−𝑘^2 𝐿^2/2)/(𝑘𝐿.𝑐ℎ(𝑘𝐿)−𝑠ℎ(𝑘𝐿))]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76199</xdr:colOff>
      <xdr:row>2</xdr:row>
      <xdr:rowOff>171449</xdr:rowOff>
    </xdr:from>
    <xdr:to>
      <xdr:col>1</xdr:col>
      <xdr:colOff>4283664</xdr:colOff>
      <xdr:row>2</xdr:row>
      <xdr:rowOff>1190624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340" t="6121" b="1"/>
        <a:stretch/>
      </xdr:blipFill>
      <xdr:spPr>
        <a:xfrm>
          <a:off x="685799" y="2114549"/>
          <a:ext cx="4207465" cy="1019175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0</xdr:colOff>
      <xdr:row>3</xdr:row>
      <xdr:rowOff>0</xdr:rowOff>
    </xdr:from>
    <xdr:ext cx="4970859" cy="4063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143625" y="3244453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𝑐h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e>
                      </m:d>
                    </m:den>
                  </m:f>
                  <m:r>
                    <a:rPr lang="en-US" sz="1800" b="0" i="1">
                      <a:latin typeface="Cambria Math" panose="02040503050406030204" pitchFamily="18" charset="0"/>
                    </a:rPr>
                    <m:t>𝑘𝐿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.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𝑐h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𝑠h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𝑘𝐿</m:t>
                      </m:r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𝑐h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𝑘𝑧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143625" y="3244453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−𝑚/(𝑘^2 𝑐ℎ(𝑘𝐿) ) 𝑘𝐿.𝑐ℎ(𝑘[𝐿−𝑧])−𝑠ℎ(𝑘𝐿)+𝑐ℎ(𝑘𝑧)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3</xdr:row>
      <xdr:rowOff>83343</xdr:rowOff>
    </xdr:from>
    <xdr:to>
      <xdr:col>1</xdr:col>
      <xdr:colOff>3751501</xdr:colOff>
      <xdr:row>3</xdr:row>
      <xdr:rowOff>924884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0999" y="3327796"/>
          <a:ext cx="3370502" cy="84154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oneCell">
    <xdr:from>
      <xdr:col>1</xdr:col>
      <xdr:colOff>657225</xdr:colOff>
      <xdr:row>4</xdr:row>
      <xdr:rowOff>95250</xdr:rowOff>
    </xdr:from>
    <xdr:to>
      <xdr:col>1</xdr:col>
      <xdr:colOff>3028654</xdr:colOff>
      <xdr:row>4</xdr:row>
      <xdr:rowOff>914298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7225" y="4181475"/>
          <a:ext cx="2371429" cy="81904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322502</xdr:colOff>
      <xdr:row>4</xdr:row>
      <xdr:rowOff>841541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2750" y="4086225"/>
          <a:ext cx="3370502" cy="84154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16" applyNumberFormats="0" applyBorderFormats="0" applyFontFormats="0" applyPatternFormats="0" applyAlignmentFormats="0" applyWidthHeightFormats="0">
  <queryTableRefresh nextId="16" unboundColumnsRight="6">
    <queryTableFields count="15">
      <queryTableField id="1" name="Node" tableColumnId="1"/>
      <queryTableField id="2" name="Element" tableColumnId="2"/>
      <queryTableField id="3" name="N [kN]" tableColumnId="3"/>
      <queryTableField id="4" name="VY [kN]" tableColumnId="4"/>
      <queryTableField id="5" name="VZ [kN]" tableColumnId="5"/>
      <queryTableField id="6" name="T [kNm]" tableColumnId="6"/>
      <queryTableField id="7" name="MY [kNm]" tableColumnId="7"/>
      <queryTableField id="8" name="MZ [kNm]" tableColumnId="8"/>
      <queryTableField id="9" name="B [kNm2]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500-000001000000}" autoFormatId="16" applyNumberFormats="0" applyBorderFormats="0" applyFontFormats="0" applyPatternFormats="0" applyAlignmentFormats="0" applyWidthHeightFormats="0">
  <queryTableRefresh nextId="10">
    <queryTableFields count="9">
      <queryTableField id="1" name="Node" tableColumnId="1"/>
      <queryTableField id="2" name="Element" tableColumnId="2"/>
      <queryTableField id="3" name="N [kN]" tableColumnId="3"/>
      <queryTableField id="4" name="VY [kN]" tableColumnId="4"/>
      <queryTableField id="5" name="VZ [kN]" tableColumnId="5"/>
      <queryTableField id="6" name="T [kNm]" tableColumnId="6"/>
      <queryTableField id="7" name="MY [kNm]" tableColumnId="7"/>
      <queryTableField id="8" name="MZ [kNm]" tableColumnId="8"/>
      <queryTableField id="9" name="B [kNm2]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New_Text_Document" displayName="New_Text_Document" ref="A1:O61" tableType="queryTable" totalsRowShown="0">
  <autoFilter ref="A1:O61" xr:uid="{00000000-0009-0000-0100-000002000000}"/>
  <tableColumns count="15">
    <tableColumn id="1" xr3:uid="{00000000-0010-0000-0000-000001000000}" uniqueName="1" name="Node" queryTableFieldId="1"/>
    <tableColumn id="2" xr3:uid="{00000000-0010-0000-0000-000002000000}" uniqueName="2" name="Element" queryTableFieldId="2"/>
    <tableColumn id="3" xr3:uid="{00000000-0010-0000-0000-000003000000}" uniqueName="3" name="N [kN]" queryTableFieldId="3"/>
    <tableColumn id="4" xr3:uid="{00000000-0010-0000-0000-000004000000}" uniqueName="4" name="VY [kN]" queryTableFieldId="4"/>
    <tableColumn id="5" xr3:uid="{00000000-0010-0000-0000-000005000000}" uniqueName="5" name="VZ [kN]" queryTableFieldId="5"/>
    <tableColumn id="6" xr3:uid="{00000000-0010-0000-0000-000006000000}" uniqueName="6" name="T [kNm]" queryTableFieldId="6"/>
    <tableColumn id="7" xr3:uid="{00000000-0010-0000-0000-000007000000}" uniqueName="7" name="MY [kNm]" queryTableFieldId="7"/>
    <tableColumn id="8" xr3:uid="{00000000-0010-0000-0000-000008000000}" uniqueName="8" name="MZ [kNm]" queryTableFieldId="8"/>
    <tableColumn id="9" xr3:uid="{00000000-0010-0000-0000-000009000000}" uniqueName="9" name="B [kNm2]" queryTableFieldId="9"/>
    <tableColumn id="10" xr3:uid="{00000000-0010-0000-0000-00000A000000}" uniqueName="10" name="TỔ HỢP" queryTableFieldId="10" dataDxfId="4"/>
    <tableColumn id="11" xr3:uid="{00000000-0010-0000-0000-00000B000000}" uniqueName="11" name="h" queryTableFieldId="11"/>
    <tableColumn id="12" xr3:uid="{00000000-0010-0000-0000-00000C000000}" uniqueName="12" name="b" queryTableFieldId="12" dataDxfId="3"/>
    <tableColumn id="13" xr3:uid="{00000000-0010-0000-0000-00000D000000}" uniqueName="13" name="tw" queryTableFieldId="13" dataDxfId="2"/>
    <tableColumn id="14" xr3:uid="{00000000-0010-0000-0000-00000E000000}" uniqueName="14" name="tf" queryTableFieldId="14" dataDxfId="1"/>
    <tableColumn id="15" xr3:uid="{00000000-0010-0000-0000-00000F000000}" uniqueName="15" name="L" queryTableFieldId="15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" displayName="Table" ref="A1:I29" tableType="queryTable" totalsRowShown="0">
  <autoFilter ref="A1:I29" xr:uid="{00000000-0009-0000-0100-000001000000}"/>
  <tableColumns count="9">
    <tableColumn id="1" xr3:uid="{00000000-0010-0000-0100-000001000000}" uniqueName="1" name="Node" queryTableFieldId="1"/>
    <tableColumn id="2" xr3:uid="{00000000-0010-0000-0100-000002000000}" uniqueName="2" name="Element" queryTableFieldId="2"/>
    <tableColumn id="3" xr3:uid="{00000000-0010-0000-0100-000003000000}" uniqueName="3" name="N [kN]" queryTableFieldId="3"/>
    <tableColumn id="4" xr3:uid="{00000000-0010-0000-0100-000004000000}" uniqueName="4" name="VY [kN]" queryTableFieldId="4"/>
    <tableColumn id="5" xr3:uid="{00000000-0010-0000-0100-000005000000}" uniqueName="5" name="VZ [kN]" queryTableFieldId="5"/>
    <tableColumn id="6" xr3:uid="{00000000-0010-0000-0100-000006000000}" uniqueName="6" name="T [kNm]" queryTableFieldId="6"/>
    <tableColumn id="7" xr3:uid="{00000000-0010-0000-0100-000007000000}" uniqueName="7" name="MY [kNm]" queryTableFieldId="7"/>
    <tableColumn id="8" xr3:uid="{00000000-0010-0000-0100-000008000000}" uniqueName="8" name="MZ [kNm]" queryTableFieldId="8"/>
    <tableColumn id="9" xr3:uid="{00000000-0010-0000-0100-000009000000}" uniqueName="9" name="B [kNm2]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image" Target="../media/image8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topLeftCell="A37" zoomScale="70" zoomScaleNormal="70" workbookViewId="0">
      <selection activeCell="Y100" sqref="Y100"/>
    </sheetView>
  </sheetViews>
  <sheetFormatPr defaultRowHeight="14.4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1:EB33"/>
  <sheetViews>
    <sheetView showGridLines="0" tabSelected="1" zoomScale="175" zoomScaleNormal="175" zoomScaleSheetLayoutView="100" workbookViewId="0">
      <selection activeCell="N14" sqref="N14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48" customWidth="1"/>
    <col min="11" max="15" width="7.33203125" style="1"/>
    <col min="16" max="20" width="0" style="1" hidden="1" customWidth="1"/>
    <col min="21" max="21" width="3.33203125" style="48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48" customWidth="1"/>
    <col min="48" max="50" width="7.33203125" style="1"/>
    <col min="51" max="51" width="3.33203125" style="48" customWidth="1"/>
    <col min="52" max="54" width="7.33203125" style="1"/>
    <col min="55" max="59" width="0" style="1" hidden="1" customWidth="1"/>
    <col min="60" max="60" width="3.33203125" style="48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48" customWidth="1"/>
    <col min="81" max="81" width="9.5546875" style="152" bestFit="1" customWidth="1"/>
    <col min="82" max="83" width="9.5546875" style="154" customWidth="1"/>
    <col min="84" max="85" width="5" style="152" bestFit="1" customWidth="1"/>
    <col min="86" max="86" width="5" style="152" customWidth="1"/>
    <col min="87" max="87" width="5" style="152" bestFit="1" customWidth="1"/>
    <col min="88" max="88" width="7" style="153" bestFit="1" customWidth="1"/>
    <col min="89" max="103" width="0" style="1" hidden="1" customWidth="1"/>
    <col min="104" max="104" width="3.33203125" style="48" customWidth="1"/>
    <col min="105" max="16384" width="7.33203125" style="1"/>
  </cols>
  <sheetData>
    <row r="1" spans="1:132" ht="14.25" customHeight="1">
      <c r="A1" s="308" t="s">
        <v>2</v>
      </c>
      <c r="B1" s="17" t="s">
        <v>18</v>
      </c>
      <c r="C1" s="17" t="s">
        <v>50</v>
      </c>
      <c r="D1" s="17" t="s">
        <v>51</v>
      </c>
      <c r="E1" s="221" t="s">
        <v>440</v>
      </c>
      <c r="F1" s="113"/>
      <c r="G1" s="113"/>
      <c r="H1" s="113"/>
      <c r="I1" s="113"/>
      <c r="K1" s="311" t="s">
        <v>267</v>
      </c>
      <c r="L1" s="312"/>
      <c r="M1" s="312"/>
      <c r="N1" s="312"/>
      <c r="O1" s="312"/>
      <c r="P1" s="114"/>
      <c r="Q1" s="114"/>
      <c r="R1" s="114"/>
      <c r="S1" s="114"/>
      <c r="T1" s="114"/>
      <c r="V1" s="315" t="s">
        <v>268</v>
      </c>
      <c r="W1" s="315"/>
      <c r="X1" s="315"/>
      <c r="Y1" s="315"/>
      <c r="Z1" s="3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V1" s="317" t="s">
        <v>269</v>
      </c>
      <c r="AW1" s="318"/>
      <c r="AX1" s="319"/>
      <c r="AZ1" s="317" t="s">
        <v>270</v>
      </c>
      <c r="BA1" s="318"/>
      <c r="BB1" s="319"/>
      <c r="BI1" s="310" t="s">
        <v>271</v>
      </c>
      <c r="BJ1" s="310"/>
      <c r="BK1" s="322" t="s">
        <v>272</v>
      </c>
      <c r="BL1" s="310" t="s">
        <v>273</v>
      </c>
      <c r="BM1" s="310"/>
      <c r="BN1" s="310"/>
      <c r="BO1" s="310"/>
      <c r="BP1" s="322" t="s">
        <v>274</v>
      </c>
      <c r="BQ1" s="322"/>
      <c r="CC1" s="323" t="s">
        <v>273</v>
      </c>
      <c r="CD1" s="324"/>
      <c r="CE1" s="324"/>
      <c r="CF1" s="324"/>
      <c r="CG1" s="324"/>
      <c r="CH1" s="324"/>
      <c r="CI1" s="324"/>
      <c r="CJ1" s="324"/>
      <c r="DA1" s="61" t="s">
        <v>127</v>
      </c>
      <c r="DB1" s="62"/>
      <c r="DC1" s="62" t="s">
        <v>83</v>
      </c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</row>
    <row r="2" spans="1:132" ht="15.6">
      <c r="A2" s="309"/>
      <c r="B2" s="17" t="s">
        <v>19</v>
      </c>
      <c r="C2" s="17" t="s">
        <v>19</v>
      </c>
      <c r="D2" s="17" t="s">
        <v>19</v>
      </c>
      <c r="E2" s="223"/>
      <c r="F2" s="113"/>
      <c r="G2" s="113"/>
      <c r="H2" s="113"/>
      <c r="I2" s="113"/>
      <c r="K2" s="313"/>
      <c r="L2" s="314"/>
      <c r="M2" s="314"/>
      <c r="N2" s="314"/>
      <c r="O2" s="314"/>
      <c r="P2" s="114"/>
      <c r="Q2" s="114"/>
      <c r="R2" s="114"/>
      <c r="S2" s="114"/>
      <c r="T2" s="114"/>
      <c r="V2" s="316"/>
      <c r="W2" s="316"/>
      <c r="X2" s="316"/>
      <c r="Y2" s="316"/>
      <c r="Z2" s="316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V2" s="17" t="s">
        <v>275</v>
      </c>
      <c r="AW2" s="17" t="s">
        <v>23</v>
      </c>
      <c r="AX2" s="17" t="s">
        <v>107</v>
      </c>
      <c r="AZ2" s="17" t="s">
        <v>276</v>
      </c>
      <c r="BA2" s="17" t="s">
        <v>277</v>
      </c>
      <c r="BB2" s="17" t="s">
        <v>278</v>
      </c>
      <c r="BI2" s="310"/>
      <c r="BJ2" s="310"/>
      <c r="BK2" s="322"/>
      <c r="BL2" s="310" t="s">
        <v>279</v>
      </c>
      <c r="BM2" s="310"/>
      <c r="BN2" s="310" t="s">
        <v>280</v>
      </c>
      <c r="BO2" s="310"/>
      <c r="BP2" s="322"/>
      <c r="BQ2" s="322"/>
      <c r="CC2" s="325" t="s">
        <v>281</v>
      </c>
      <c r="CD2" s="118" t="s">
        <v>282</v>
      </c>
      <c r="CE2" s="118" t="s">
        <v>275</v>
      </c>
      <c r="CF2" s="119" t="s">
        <v>283</v>
      </c>
      <c r="CG2" s="119" t="s">
        <v>284</v>
      </c>
      <c r="CH2" s="119" t="s">
        <v>285</v>
      </c>
      <c r="CI2" s="119" t="s">
        <v>286</v>
      </c>
      <c r="CJ2" s="120" t="s">
        <v>287</v>
      </c>
      <c r="DA2" s="63"/>
      <c r="DB2" s="64">
        <v>0.1</v>
      </c>
      <c r="DC2" s="64">
        <v>0.25</v>
      </c>
      <c r="DD2" s="64">
        <f t="shared" ref="DD2:DJ2" si="0">DC2+0.25</f>
        <v>0.5</v>
      </c>
      <c r="DE2" s="64">
        <f t="shared" si="0"/>
        <v>0.75</v>
      </c>
      <c r="DF2" s="64">
        <f t="shared" si="0"/>
        <v>1</v>
      </c>
      <c r="DG2" s="64">
        <f t="shared" si="0"/>
        <v>1.25</v>
      </c>
      <c r="DH2" s="64">
        <f t="shared" si="0"/>
        <v>1.5</v>
      </c>
      <c r="DI2" s="64">
        <f t="shared" si="0"/>
        <v>1.75</v>
      </c>
      <c r="DJ2" s="64">
        <f t="shared" si="0"/>
        <v>2</v>
      </c>
      <c r="DK2" s="64">
        <f t="shared" ref="DK2:DT2" si="1">DJ2+0.5</f>
        <v>2.5</v>
      </c>
      <c r="DL2" s="64">
        <f t="shared" si="1"/>
        <v>3</v>
      </c>
      <c r="DM2" s="64">
        <f t="shared" si="1"/>
        <v>3.5</v>
      </c>
      <c r="DN2" s="64">
        <f t="shared" si="1"/>
        <v>4</v>
      </c>
      <c r="DO2" s="64">
        <f t="shared" si="1"/>
        <v>4.5</v>
      </c>
      <c r="DP2" s="64">
        <f t="shared" si="1"/>
        <v>5</v>
      </c>
      <c r="DQ2" s="64">
        <f t="shared" si="1"/>
        <v>5.5</v>
      </c>
      <c r="DR2" s="64">
        <f t="shared" si="1"/>
        <v>6</v>
      </c>
      <c r="DS2" s="64">
        <f t="shared" si="1"/>
        <v>6.5</v>
      </c>
      <c r="DT2" s="64">
        <f t="shared" si="1"/>
        <v>7</v>
      </c>
      <c r="DU2" s="64">
        <f>DT2+1</f>
        <v>8</v>
      </c>
      <c r="DV2" s="64">
        <f>DU2+1</f>
        <v>9</v>
      </c>
      <c r="DW2" s="64">
        <f>DV2+1</f>
        <v>10</v>
      </c>
      <c r="DX2" s="64">
        <f>DW2+2</f>
        <v>12</v>
      </c>
      <c r="DY2" s="64">
        <f>DX2+2</f>
        <v>14</v>
      </c>
      <c r="DZ2" s="64">
        <v>17</v>
      </c>
      <c r="EA2" s="64">
        <v>20</v>
      </c>
      <c r="EB2" s="73">
        <v>10000</v>
      </c>
    </row>
    <row r="3" spans="1:132" ht="15.6">
      <c r="A3" s="27" t="s">
        <v>64</v>
      </c>
      <c r="B3" s="3">
        <f>2.06*10^5</f>
        <v>206000</v>
      </c>
      <c r="C3" s="3">
        <v>235</v>
      </c>
      <c r="D3" s="222">
        <v>370</v>
      </c>
      <c r="E3" s="13">
        <v>1.1000000000000001</v>
      </c>
      <c r="F3" s="82"/>
      <c r="G3" s="82"/>
      <c r="H3" s="82"/>
      <c r="I3" s="82"/>
      <c r="K3" s="24" t="s">
        <v>288</v>
      </c>
      <c r="L3" s="24" t="s">
        <v>289</v>
      </c>
      <c r="M3" s="24" t="s">
        <v>290</v>
      </c>
      <c r="N3" s="24" t="s">
        <v>291</v>
      </c>
      <c r="O3" s="24" t="s">
        <v>292</v>
      </c>
      <c r="P3" s="31"/>
      <c r="Q3" s="31"/>
      <c r="R3" s="31"/>
      <c r="S3" s="31"/>
      <c r="T3" s="31"/>
      <c r="V3" s="104" t="s">
        <v>293</v>
      </c>
      <c r="W3" s="104" t="s">
        <v>294</v>
      </c>
      <c r="X3" s="104" t="s">
        <v>295</v>
      </c>
      <c r="Y3" s="104" t="s">
        <v>296</v>
      </c>
      <c r="Z3" s="121" t="s">
        <v>217</v>
      </c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V3" s="5">
        <v>360</v>
      </c>
      <c r="AW3" s="5">
        <v>560</v>
      </c>
      <c r="AX3" s="5">
        <v>475</v>
      </c>
      <c r="AZ3" s="5" t="s">
        <v>297</v>
      </c>
      <c r="BA3" s="5">
        <v>430</v>
      </c>
      <c r="BB3" s="5">
        <v>180</v>
      </c>
      <c r="BI3" s="310"/>
      <c r="BJ3" s="310"/>
      <c r="BK3" s="322"/>
      <c r="BL3" s="116" t="s">
        <v>298</v>
      </c>
      <c r="BM3" s="116" t="s">
        <v>299</v>
      </c>
      <c r="BN3" s="116" t="s">
        <v>300</v>
      </c>
      <c r="BO3" s="116" t="s">
        <v>301</v>
      </c>
      <c r="BP3" s="320" t="s">
        <v>78</v>
      </c>
      <c r="BQ3" s="123" t="s">
        <v>302</v>
      </c>
      <c r="CC3" s="325"/>
      <c r="CD3" s="117" t="s">
        <v>47</v>
      </c>
      <c r="CE3" s="117" t="s">
        <v>47</v>
      </c>
      <c r="CF3" s="117" t="s">
        <v>47</v>
      </c>
      <c r="CG3" s="117" t="s">
        <v>47</v>
      </c>
      <c r="CH3" s="117" t="s">
        <v>47</v>
      </c>
      <c r="CI3" s="117" t="s">
        <v>47</v>
      </c>
      <c r="CJ3" s="124" t="s">
        <v>47</v>
      </c>
      <c r="DA3" s="64">
        <v>0.5</v>
      </c>
      <c r="DB3" s="65">
        <v>0.96699999999999997</v>
      </c>
      <c r="DC3" s="65">
        <v>0.92200000000000004</v>
      </c>
      <c r="DD3" s="65">
        <v>0.85</v>
      </c>
      <c r="DE3" s="65">
        <v>0.78200000000000003</v>
      </c>
      <c r="DF3" s="65">
        <v>0.72199999999999998</v>
      </c>
      <c r="DG3" s="65">
        <v>0.66900000000000004</v>
      </c>
      <c r="DH3" s="65">
        <v>0.62</v>
      </c>
      <c r="DI3" s="65">
        <v>0.57699999999999996</v>
      </c>
      <c r="DJ3" s="65">
        <v>0.53800000000000003</v>
      </c>
      <c r="DK3" s="65">
        <v>0.46899999999999997</v>
      </c>
      <c r="DL3" s="65">
        <v>0.41699999999999998</v>
      </c>
      <c r="DM3" s="65">
        <v>0.37</v>
      </c>
      <c r="DN3" s="65">
        <v>0.33700000000000002</v>
      </c>
      <c r="DO3" s="65">
        <v>0.307</v>
      </c>
      <c r="DP3" s="65">
        <v>0.28000000000000003</v>
      </c>
      <c r="DQ3" s="65">
        <v>0.26</v>
      </c>
      <c r="DR3" s="65">
        <v>0.23699999999999999</v>
      </c>
      <c r="DS3" s="65">
        <v>0.222</v>
      </c>
      <c r="DT3" s="65">
        <v>0.21</v>
      </c>
      <c r="DU3" s="65">
        <v>0.183</v>
      </c>
      <c r="DV3" s="65">
        <v>0.16400000000000001</v>
      </c>
      <c r="DW3" s="65">
        <v>0.15</v>
      </c>
      <c r="DX3" s="65">
        <v>0.125</v>
      </c>
      <c r="DY3" s="65">
        <v>0.106</v>
      </c>
      <c r="DZ3" s="65">
        <v>0.09</v>
      </c>
      <c r="EA3" s="65">
        <v>7.6999999999999999E-2</v>
      </c>
      <c r="EB3" s="65">
        <v>7.6999999999999999E-2</v>
      </c>
    </row>
    <row r="4" spans="1:132" ht="14.4">
      <c r="A4" s="27" t="s">
        <v>65</v>
      </c>
      <c r="B4" s="3">
        <f t="shared" ref="B4:B33" si="2">2.06*10^5</f>
        <v>206000</v>
      </c>
      <c r="C4" s="3">
        <v>345</v>
      </c>
      <c r="D4" s="222">
        <v>510</v>
      </c>
      <c r="E4" s="13">
        <v>1.1000000000000001</v>
      </c>
      <c r="F4" s="82"/>
      <c r="G4" s="82"/>
      <c r="H4" s="82"/>
      <c r="I4" s="82"/>
      <c r="K4" s="24">
        <v>5.6</v>
      </c>
      <c r="L4" s="24">
        <v>500</v>
      </c>
      <c r="M4" s="24">
        <v>300</v>
      </c>
      <c r="N4" s="24">
        <v>210</v>
      </c>
      <c r="O4" s="24">
        <v>225</v>
      </c>
      <c r="P4" s="31"/>
      <c r="Q4" s="31"/>
      <c r="R4" s="31"/>
      <c r="S4" s="31"/>
      <c r="T4" s="31"/>
      <c r="V4" s="125">
        <v>10</v>
      </c>
      <c r="W4" s="5">
        <v>1.5</v>
      </c>
      <c r="X4" s="15">
        <v>78.5</v>
      </c>
      <c r="Y4" s="5">
        <v>57.1</v>
      </c>
      <c r="Z4" s="5">
        <v>1</v>
      </c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V4" s="5">
        <v>370</v>
      </c>
      <c r="AW4" s="5">
        <v>580</v>
      </c>
      <c r="AX4" s="5">
        <v>485</v>
      </c>
      <c r="AZ4" s="5" t="s">
        <v>303</v>
      </c>
      <c r="BA4" s="5">
        <v>510</v>
      </c>
      <c r="BB4" s="5">
        <v>225</v>
      </c>
      <c r="BI4" s="310"/>
      <c r="BJ4" s="310"/>
      <c r="BK4" s="116" t="s">
        <v>47</v>
      </c>
      <c r="BL4" s="116" t="s">
        <v>47</v>
      </c>
      <c r="BM4" s="116" t="s">
        <v>47</v>
      </c>
      <c r="BN4" s="116" t="s">
        <v>47</v>
      </c>
      <c r="BO4" s="116" t="s">
        <v>47</v>
      </c>
      <c r="BP4" s="321"/>
      <c r="BQ4" s="116" t="s">
        <v>47</v>
      </c>
      <c r="CC4" s="126" t="s">
        <v>304</v>
      </c>
      <c r="CD4" s="127">
        <v>235</v>
      </c>
      <c r="CE4" s="127">
        <v>373</v>
      </c>
      <c r="CF4" s="126">
        <f>CD4</f>
        <v>235</v>
      </c>
      <c r="CG4" s="126">
        <f>CF4/1.15</f>
        <v>204.34782608695653</v>
      </c>
      <c r="CH4" s="126">
        <f>CF4</f>
        <v>235</v>
      </c>
      <c r="CI4" s="126">
        <f>0.7*CD4</f>
        <v>164.5</v>
      </c>
      <c r="CJ4" s="128">
        <v>200000</v>
      </c>
      <c r="DA4" s="64">
        <f t="shared" ref="DA4:DA16" si="3">DA3+0.5</f>
        <v>1</v>
      </c>
      <c r="DB4" s="65">
        <v>0.92500000000000004</v>
      </c>
      <c r="DC4" s="65">
        <v>0.85399999999999998</v>
      </c>
      <c r="DD4" s="65">
        <v>0.77800000000000002</v>
      </c>
      <c r="DE4" s="65">
        <v>0.71099999999999997</v>
      </c>
      <c r="DF4" s="65">
        <v>0.65300000000000002</v>
      </c>
      <c r="DG4" s="65">
        <v>0.6</v>
      </c>
      <c r="DH4" s="65">
        <v>0.56299999999999994</v>
      </c>
      <c r="DI4" s="65">
        <v>0.52</v>
      </c>
      <c r="DJ4" s="65">
        <v>0.48399999999999999</v>
      </c>
      <c r="DK4" s="65">
        <v>0.42699999999999999</v>
      </c>
      <c r="DL4" s="65">
        <v>0.38200000000000001</v>
      </c>
      <c r="DM4" s="65">
        <v>0.34100000000000003</v>
      </c>
      <c r="DN4" s="65">
        <v>0.307</v>
      </c>
      <c r="DO4" s="65">
        <v>0.28299999999999997</v>
      </c>
      <c r="DP4" s="65">
        <v>0.25900000000000001</v>
      </c>
      <c r="DQ4" s="65">
        <v>0.24</v>
      </c>
      <c r="DR4" s="65">
        <v>0.22500000000000001</v>
      </c>
      <c r="DS4" s="65">
        <v>0.20899999999999999</v>
      </c>
      <c r="DT4" s="65">
        <v>0.19600000000000001</v>
      </c>
      <c r="DU4" s="65">
        <v>0.17499999999999999</v>
      </c>
      <c r="DV4" s="65">
        <v>0.157</v>
      </c>
      <c r="DW4" s="65">
        <v>0.14199999999999999</v>
      </c>
      <c r="DX4" s="65">
        <v>0.121</v>
      </c>
      <c r="DY4" s="65">
        <v>0.10299999999999999</v>
      </c>
      <c r="DZ4" s="65">
        <v>8.5999999999999993E-2</v>
      </c>
      <c r="EA4" s="65">
        <v>7.3999999999999996E-2</v>
      </c>
      <c r="EB4" s="65">
        <v>7.3999999999999996E-2</v>
      </c>
    </row>
    <row r="5" spans="1:132" ht="14.4">
      <c r="A5" s="27" t="s">
        <v>391</v>
      </c>
      <c r="B5" s="3">
        <f t="shared" si="2"/>
        <v>206000</v>
      </c>
      <c r="C5" s="3">
        <v>355</v>
      </c>
      <c r="D5" s="222">
        <v>510</v>
      </c>
      <c r="E5" s="13">
        <v>1.1000000000000001</v>
      </c>
      <c r="F5" s="82"/>
      <c r="G5" s="82"/>
      <c r="H5" s="82"/>
      <c r="I5" s="82"/>
      <c r="K5" s="24">
        <v>5.8</v>
      </c>
      <c r="L5" s="24">
        <v>500</v>
      </c>
      <c r="M5" s="24">
        <v>400</v>
      </c>
      <c r="N5" s="24">
        <v>210</v>
      </c>
      <c r="O5" s="24">
        <v>210</v>
      </c>
      <c r="P5" s="31"/>
      <c r="Q5" s="31"/>
      <c r="R5" s="31"/>
      <c r="S5" s="31"/>
      <c r="T5" s="31"/>
      <c r="V5" s="125">
        <v>12</v>
      </c>
      <c r="W5" s="5">
        <v>1.5</v>
      </c>
      <c r="X5" s="15">
        <v>113</v>
      </c>
      <c r="Y5" s="5">
        <v>84.2</v>
      </c>
      <c r="Z5" s="5">
        <v>1</v>
      </c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V5" s="5">
        <v>380</v>
      </c>
      <c r="AW5" s="5">
        <v>590</v>
      </c>
      <c r="AX5" s="5">
        <v>500</v>
      </c>
      <c r="AZ5" s="5" t="s">
        <v>305</v>
      </c>
      <c r="BA5" s="5">
        <v>410</v>
      </c>
      <c r="BB5" s="5">
        <v>180</v>
      </c>
      <c r="BI5" s="130" t="s">
        <v>306</v>
      </c>
      <c r="BJ5" s="131" t="s">
        <v>307</v>
      </c>
      <c r="BK5" s="132">
        <v>19000</v>
      </c>
      <c r="BL5" s="133">
        <v>7.5</v>
      </c>
      <c r="BM5" s="133">
        <v>6</v>
      </c>
      <c r="BN5" s="134">
        <v>0.85</v>
      </c>
      <c r="BO5" s="135">
        <v>0.56000000000000005</v>
      </c>
      <c r="BP5" s="129"/>
      <c r="BQ5" s="129"/>
      <c r="CC5" s="126" t="s">
        <v>308</v>
      </c>
      <c r="CD5" s="127">
        <v>295</v>
      </c>
      <c r="CE5" s="127">
        <v>490</v>
      </c>
      <c r="CF5" s="126">
        <f t="shared" ref="CF5:CF19" si="4">CD5</f>
        <v>295</v>
      </c>
      <c r="CG5" s="126">
        <f t="shared" ref="CG5:CG19" si="5">CF5/1.15</f>
        <v>256.52173913043481</v>
      </c>
      <c r="CH5" s="126">
        <f t="shared" ref="CH5:CH19" si="6">CF5</f>
        <v>295</v>
      </c>
      <c r="CI5" s="126">
        <f t="shared" ref="CI5:CI19" si="7">0.7*CD5</f>
        <v>206.5</v>
      </c>
      <c r="CJ5" s="128">
        <v>200000</v>
      </c>
      <c r="DA5" s="64">
        <f t="shared" si="3"/>
        <v>1.5</v>
      </c>
      <c r="DB5" s="65">
        <v>0.875</v>
      </c>
      <c r="DC5" s="65">
        <v>0.80400000000000005</v>
      </c>
      <c r="DD5" s="65">
        <v>0.71599999999999997</v>
      </c>
      <c r="DE5" s="65">
        <v>0.64700000000000002</v>
      </c>
      <c r="DF5" s="65">
        <v>0.59299999999999997</v>
      </c>
      <c r="DG5" s="65">
        <v>0.54800000000000004</v>
      </c>
      <c r="DH5" s="65">
        <v>0.50700000000000001</v>
      </c>
      <c r="DI5" s="65">
        <v>0.47</v>
      </c>
      <c r="DJ5" s="65">
        <v>0.439</v>
      </c>
      <c r="DK5" s="65">
        <v>0.38800000000000001</v>
      </c>
      <c r="DL5" s="65">
        <v>0.34699999999999998</v>
      </c>
      <c r="DM5" s="65">
        <v>0.312</v>
      </c>
      <c r="DN5" s="65">
        <v>0.28299999999999997</v>
      </c>
      <c r="DO5" s="65">
        <v>0.26200000000000001</v>
      </c>
      <c r="DP5" s="65">
        <v>0.24</v>
      </c>
      <c r="DQ5" s="65">
        <v>0.223</v>
      </c>
      <c r="DR5" s="65">
        <v>0.20699999999999999</v>
      </c>
      <c r="DS5" s="65">
        <v>0.19500000000000001</v>
      </c>
      <c r="DT5" s="65">
        <v>0.182</v>
      </c>
      <c r="DU5" s="65">
        <v>0.16300000000000001</v>
      </c>
      <c r="DV5" s="65">
        <v>0.14799999999999999</v>
      </c>
      <c r="DW5" s="65">
        <v>0.13400000000000001</v>
      </c>
      <c r="DX5" s="65">
        <v>0.114</v>
      </c>
      <c r="DY5" s="65">
        <v>9.9000000000000005E-2</v>
      </c>
      <c r="DZ5" s="65">
        <v>8.2000000000000003E-2</v>
      </c>
      <c r="EA5" s="65">
        <v>7.0000000000000007E-2</v>
      </c>
      <c r="EB5" s="65">
        <v>7.0000000000000007E-2</v>
      </c>
    </row>
    <row r="6" spans="1:132" ht="14.4">
      <c r="A6" s="27" t="s">
        <v>67</v>
      </c>
      <c r="B6" s="3">
        <f t="shared" si="2"/>
        <v>206000</v>
      </c>
      <c r="C6" s="3">
        <v>250</v>
      </c>
      <c r="D6" s="222">
        <v>400</v>
      </c>
      <c r="E6" s="13">
        <v>1.1000000000000001</v>
      </c>
      <c r="F6" s="82"/>
      <c r="G6" s="82"/>
      <c r="H6" s="82"/>
      <c r="I6" s="82"/>
      <c r="K6" s="24">
        <v>8.8000000000000007</v>
      </c>
      <c r="L6" s="24">
        <v>830</v>
      </c>
      <c r="M6" s="24">
        <v>660</v>
      </c>
      <c r="N6" s="24">
        <v>332</v>
      </c>
      <c r="O6" s="24">
        <v>448</v>
      </c>
      <c r="P6" s="31"/>
      <c r="Q6" s="31"/>
      <c r="R6" s="31"/>
      <c r="S6" s="31"/>
      <c r="T6" s="31"/>
      <c r="V6" s="125">
        <v>16</v>
      </c>
      <c r="W6" s="5">
        <v>2</v>
      </c>
      <c r="X6" s="15">
        <f t="shared" ref="X6:X15" si="8">PI()*V6^2/4</f>
        <v>201.06192982974676</v>
      </c>
      <c r="Y6" s="5">
        <v>157</v>
      </c>
      <c r="Z6" s="5">
        <v>1</v>
      </c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V6" s="5">
        <v>390</v>
      </c>
      <c r="AW6" s="5">
        <v>610</v>
      </c>
      <c r="AX6" s="5">
        <v>515</v>
      </c>
      <c r="AZ6" s="5" t="s">
        <v>309</v>
      </c>
      <c r="BA6" s="5">
        <v>450</v>
      </c>
      <c r="BB6" s="5">
        <v>200</v>
      </c>
      <c r="BI6" s="136" t="s">
        <v>310</v>
      </c>
      <c r="BJ6" s="137" t="s">
        <v>311</v>
      </c>
      <c r="BK6" s="138">
        <v>24000</v>
      </c>
      <c r="BL6" s="139">
        <v>11</v>
      </c>
      <c r="BM6" s="139">
        <v>8.5</v>
      </c>
      <c r="BN6" s="140">
        <v>1.1000000000000001</v>
      </c>
      <c r="BO6" s="141">
        <v>0.75</v>
      </c>
      <c r="BP6" s="129" t="s">
        <v>312</v>
      </c>
      <c r="BQ6" s="129">
        <f>VALUE(MID(BP6,2,2))</f>
        <v>12</v>
      </c>
      <c r="CC6" s="126" t="s">
        <v>313</v>
      </c>
      <c r="CD6" s="127">
        <v>390</v>
      </c>
      <c r="CE6" s="127">
        <v>590</v>
      </c>
      <c r="CF6" s="126">
        <f t="shared" si="4"/>
        <v>390</v>
      </c>
      <c r="CG6" s="126">
        <f t="shared" si="5"/>
        <v>339.13043478260875</v>
      </c>
      <c r="CH6" s="126">
        <f t="shared" si="6"/>
        <v>390</v>
      </c>
      <c r="CI6" s="126">
        <f t="shared" si="7"/>
        <v>273</v>
      </c>
      <c r="CJ6" s="128">
        <v>200000</v>
      </c>
      <c r="DA6" s="64">
        <f t="shared" si="3"/>
        <v>2</v>
      </c>
      <c r="DB6" s="65">
        <v>0.81299999999999994</v>
      </c>
      <c r="DC6" s="65">
        <v>0.74199999999999999</v>
      </c>
      <c r="DD6" s="65">
        <v>0.65300000000000002</v>
      </c>
      <c r="DE6" s="65">
        <v>0.58699999999999997</v>
      </c>
      <c r="DF6" s="65">
        <v>0.53600000000000003</v>
      </c>
      <c r="DG6" s="65">
        <v>0.496</v>
      </c>
      <c r="DH6" s="65">
        <v>0.45700000000000002</v>
      </c>
      <c r="DI6" s="65">
        <v>0.42499999999999999</v>
      </c>
      <c r="DJ6" s="65">
        <v>0.39700000000000002</v>
      </c>
      <c r="DK6" s="65">
        <v>0.35199999999999998</v>
      </c>
      <c r="DL6" s="65">
        <v>0.315</v>
      </c>
      <c r="DM6" s="65">
        <v>0.28599999999999998</v>
      </c>
      <c r="DN6" s="65">
        <v>0.26</v>
      </c>
      <c r="DO6" s="65">
        <v>0.24</v>
      </c>
      <c r="DP6" s="65">
        <v>0.222</v>
      </c>
      <c r="DQ6" s="65">
        <v>0.20599999999999999</v>
      </c>
      <c r="DR6" s="65">
        <v>0.193</v>
      </c>
      <c r="DS6" s="65">
        <v>0.182</v>
      </c>
      <c r="DT6" s="65">
        <v>0.17</v>
      </c>
      <c r="DU6" s="65">
        <v>0.153</v>
      </c>
      <c r="DV6" s="65">
        <v>0.13800000000000001</v>
      </c>
      <c r="DW6" s="65">
        <v>0.125</v>
      </c>
      <c r="DX6" s="65">
        <v>0.107</v>
      </c>
      <c r="DY6" s="65">
        <v>9.4E-2</v>
      </c>
      <c r="DZ6" s="65">
        <v>7.9000000000000001E-2</v>
      </c>
      <c r="EA6" s="65">
        <v>6.7000000000000004E-2</v>
      </c>
      <c r="EB6" s="65">
        <v>6.7000000000000004E-2</v>
      </c>
    </row>
    <row r="7" spans="1:132" ht="14.4">
      <c r="A7" s="27" t="s">
        <v>66</v>
      </c>
      <c r="B7" s="3">
        <f t="shared" si="2"/>
        <v>206000</v>
      </c>
      <c r="C7" s="3">
        <v>345</v>
      </c>
      <c r="D7" s="222">
        <v>450</v>
      </c>
      <c r="E7" s="13">
        <v>1.1000000000000001</v>
      </c>
      <c r="F7" s="82"/>
      <c r="G7" s="82"/>
      <c r="H7" s="82"/>
      <c r="I7" s="82"/>
      <c r="K7" s="24">
        <v>10.9</v>
      </c>
      <c r="L7" s="24">
        <v>1040</v>
      </c>
      <c r="M7" s="24">
        <v>940</v>
      </c>
      <c r="N7" s="24">
        <v>416</v>
      </c>
      <c r="O7" s="24">
        <v>728</v>
      </c>
      <c r="P7" s="31"/>
      <c r="Q7" s="31"/>
      <c r="R7" s="31"/>
      <c r="S7" s="31"/>
      <c r="T7" s="31"/>
      <c r="V7" s="125">
        <v>18</v>
      </c>
      <c r="W7" s="5">
        <v>2.5</v>
      </c>
      <c r="X7" s="15">
        <f t="shared" si="8"/>
        <v>254.46900494077323</v>
      </c>
      <c r="Y7" s="5">
        <v>192</v>
      </c>
      <c r="Z7" s="5">
        <v>1.05</v>
      </c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V7" s="5">
        <v>430</v>
      </c>
      <c r="AW7" s="5">
        <v>670</v>
      </c>
      <c r="AX7" s="5">
        <v>565</v>
      </c>
      <c r="AZ7" s="5" t="s">
        <v>314</v>
      </c>
      <c r="BA7" s="5">
        <v>490</v>
      </c>
      <c r="BB7" s="5">
        <v>215</v>
      </c>
      <c r="BI7" s="136" t="s">
        <v>315</v>
      </c>
      <c r="BJ7" s="137" t="s">
        <v>316</v>
      </c>
      <c r="BK7" s="138">
        <v>27500</v>
      </c>
      <c r="BL7" s="139">
        <v>15</v>
      </c>
      <c r="BM7" s="139">
        <v>11.5</v>
      </c>
      <c r="BN7" s="140">
        <v>1.35</v>
      </c>
      <c r="BO7" s="141">
        <v>0.9</v>
      </c>
      <c r="BP7" s="129" t="s">
        <v>317</v>
      </c>
      <c r="BQ7" s="129">
        <f t="shared" ref="BQ7:BQ15" si="9">VALUE(MID(BP7,2,2))</f>
        <v>16</v>
      </c>
      <c r="CC7" s="126" t="s">
        <v>318</v>
      </c>
      <c r="CD7" s="127">
        <v>235</v>
      </c>
      <c r="CE7" s="127">
        <v>373</v>
      </c>
      <c r="CF7" s="126">
        <f t="shared" si="4"/>
        <v>235</v>
      </c>
      <c r="CG7" s="126">
        <f t="shared" si="5"/>
        <v>204.34782608695653</v>
      </c>
      <c r="CH7" s="126">
        <f t="shared" si="6"/>
        <v>235</v>
      </c>
      <c r="CI7" s="126">
        <f t="shared" si="7"/>
        <v>164.5</v>
      </c>
      <c r="CJ7" s="142">
        <v>200000</v>
      </c>
      <c r="DA7" s="64">
        <f t="shared" si="3"/>
        <v>2.5</v>
      </c>
      <c r="DB7" s="65">
        <v>0.74199999999999999</v>
      </c>
      <c r="DC7" s="65">
        <v>0.67200000000000004</v>
      </c>
      <c r="DD7" s="65">
        <v>0.58699999999999997</v>
      </c>
      <c r="DE7" s="65">
        <v>0.52600000000000002</v>
      </c>
      <c r="DF7" s="65">
        <v>0.48</v>
      </c>
      <c r="DG7" s="65">
        <v>0.442</v>
      </c>
      <c r="DH7" s="65">
        <v>0.41</v>
      </c>
      <c r="DI7" s="65">
        <v>0.38300000000000001</v>
      </c>
      <c r="DJ7" s="65">
        <v>0.35699999999999998</v>
      </c>
      <c r="DK7" s="65">
        <v>0.317</v>
      </c>
      <c r="DL7" s="65">
        <v>0.28699999999999998</v>
      </c>
      <c r="DM7" s="65">
        <v>0.26200000000000001</v>
      </c>
      <c r="DN7" s="65">
        <v>0.23799999999999999</v>
      </c>
      <c r="DO7" s="65">
        <v>0.22</v>
      </c>
      <c r="DP7" s="65">
        <v>0.20399999999999999</v>
      </c>
      <c r="DQ7" s="65">
        <v>0.19</v>
      </c>
      <c r="DR7" s="65">
        <v>0.17799999999999999</v>
      </c>
      <c r="DS7" s="65">
        <v>0.16800000000000001</v>
      </c>
      <c r="DT7" s="65">
        <v>0.158</v>
      </c>
      <c r="DU7" s="65">
        <v>0.14399999999999999</v>
      </c>
      <c r="DV7" s="65">
        <v>0.13</v>
      </c>
      <c r="DW7" s="65">
        <v>0.11799999999999999</v>
      </c>
      <c r="DX7" s="65">
        <v>0.10100000000000001</v>
      </c>
      <c r="DY7" s="65">
        <v>0.09</v>
      </c>
      <c r="DZ7" s="65">
        <v>7.5999999999999998E-2</v>
      </c>
      <c r="EA7" s="65">
        <v>6.5000000000000002E-2</v>
      </c>
      <c r="EB7" s="65">
        <v>6.5000000000000002E-2</v>
      </c>
    </row>
    <row r="8" spans="1:132" ht="14.4">
      <c r="A8" s="27" t="s">
        <v>4</v>
      </c>
      <c r="B8" s="3">
        <f t="shared" si="2"/>
        <v>206000</v>
      </c>
      <c r="C8" s="3">
        <v>235</v>
      </c>
      <c r="D8" s="222">
        <v>360</v>
      </c>
      <c r="E8" s="13">
        <v>1.05</v>
      </c>
      <c r="F8" s="82"/>
      <c r="G8" s="82"/>
      <c r="H8" s="82"/>
      <c r="I8" s="82"/>
      <c r="K8" s="24">
        <v>12.9</v>
      </c>
      <c r="L8" s="24">
        <v>1220</v>
      </c>
      <c r="M8" s="24">
        <v>1100</v>
      </c>
      <c r="N8" s="24">
        <v>427</v>
      </c>
      <c r="O8" s="24">
        <v>854</v>
      </c>
      <c r="P8" s="31"/>
      <c r="Q8" s="31"/>
      <c r="R8" s="31"/>
      <c r="S8" s="31"/>
      <c r="T8" s="31"/>
      <c r="V8" s="125">
        <v>20</v>
      </c>
      <c r="W8" s="5">
        <v>2.5</v>
      </c>
      <c r="X8" s="15">
        <f t="shared" si="8"/>
        <v>314.15926535897933</v>
      </c>
      <c r="Y8" s="5">
        <v>245</v>
      </c>
      <c r="Z8" s="5">
        <v>1.1000000000000001</v>
      </c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V8" s="5">
        <v>440</v>
      </c>
      <c r="AW8" s="5">
        <v>685</v>
      </c>
      <c r="AX8" s="5">
        <v>580</v>
      </c>
      <c r="BI8" s="136" t="s">
        <v>319</v>
      </c>
      <c r="BJ8" s="137" t="s">
        <v>320</v>
      </c>
      <c r="BK8" s="138">
        <v>30000</v>
      </c>
      <c r="BL8" s="139">
        <v>18.5</v>
      </c>
      <c r="BM8" s="139">
        <v>14.5</v>
      </c>
      <c r="BN8" s="140">
        <v>1.55</v>
      </c>
      <c r="BO8" s="141">
        <v>1.05</v>
      </c>
      <c r="BP8" s="129" t="s">
        <v>321</v>
      </c>
      <c r="BQ8" s="129">
        <f t="shared" si="9"/>
        <v>20</v>
      </c>
      <c r="CC8" s="126" t="s">
        <v>322</v>
      </c>
      <c r="CD8" s="127">
        <v>295</v>
      </c>
      <c r="CE8" s="127">
        <v>490</v>
      </c>
      <c r="CF8" s="126">
        <f t="shared" si="4"/>
        <v>295</v>
      </c>
      <c r="CG8" s="126">
        <f t="shared" si="5"/>
        <v>256.52173913043481</v>
      </c>
      <c r="CH8" s="126">
        <f t="shared" si="6"/>
        <v>295</v>
      </c>
      <c r="CI8" s="126">
        <f t="shared" si="7"/>
        <v>206.5</v>
      </c>
      <c r="CJ8" s="142">
        <v>200000</v>
      </c>
      <c r="DA8" s="64">
        <f t="shared" si="3"/>
        <v>3</v>
      </c>
      <c r="DB8" s="65">
        <v>0.66700000000000004</v>
      </c>
      <c r="DC8" s="65">
        <v>0.59699999999999998</v>
      </c>
      <c r="DD8" s="65">
        <v>0.52</v>
      </c>
      <c r="DE8" s="65">
        <v>0.46500000000000002</v>
      </c>
      <c r="DF8" s="65">
        <v>0.42499999999999999</v>
      </c>
      <c r="DG8" s="65">
        <v>0.39500000000000002</v>
      </c>
      <c r="DH8" s="65">
        <v>0.36499999999999999</v>
      </c>
      <c r="DI8" s="65">
        <v>0.34200000000000003</v>
      </c>
      <c r="DJ8" s="65">
        <v>0.32</v>
      </c>
      <c r="DK8" s="65">
        <v>0.28699999999999998</v>
      </c>
      <c r="DL8" s="65">
        <v>0.26</v>
      </c>
      <c r="DM8" s="65">
        <v>0.23799999999999999</v>
      </c>
      <c r="DN8" s="65">
        <v>0.217</v>
      </c>
      <c r="DO8" s="65">
        <v>0.20200000000000001</v>
      </c>
      <c r="DP8" s="65">
        <v>0.187</v>
      </c>
      <c r="DQ8" s="65">
        <v>0.17499999999999999</v>
      </c>
      <c r="DR8" s="65">
        <v>0.16600000000000001</v>
      </c>
      <c r="DS8" s="65">
        <v>0.156</v>
      </c>
      <c r="DT8" s="65">
        <v>0.14699999999999999</v>
      </c>
      <c r="DU8" s="65">
        <v>0.13500000000000001</v>
      </c>
      <c r="DV8" s="65">
        <v>0.123</v>
      </c>
      <c r="DW8" s="65">
        <v>0.112</v>
      </c>
      <c r="DX8" s="65">
        <v>9.7000000000000003E-2</v>
      </c>
      <c r="DY8" s="65">
        <v>8.5999999999999993E-2</v>
      </c>
      <c r="DZ8" s="65">
        <v>7.2999999999999995E-2</v>
      </c>
      <c r="EA8" s="65">
        <v>6.3E-2</v>
      </c>
      <c r="EB8" s="65">
        <v>6.3E-2</v>
      </c>
    </row>
    <row r="9" spans="1:132" ht="14.4">
      <c r="A9" s="27" t="s">
        <v>3</v>
      </c>
      <c r="B9" s="3">
        <f t="shared" si="2"/>
        <v>206000</v>
      </c>
      <c r="C9" s="3">
        <v>225</v>
      </c>
      <c r="D9" s="222">
        <v>360</v>
      </c>
      <c r="E9" s="13">
        <v>1.05</v>
      </c>
      <c r="F9" s="82"/>
      <c r="G9" s="82"/>
      <c r="H9" s="82"/>
      <c r="I9" s="82"/>
      <c r="V9" s="125">
        <v>22</v>
      </c>
      <c r="W9" s="5">
        <v>2.5</v>
      </c>
      <c r="X9" s="15">
        <f t="shared" si="8"/>
        <v>380.13271108436498</v>
      </c>
      <c r="Y9" s="5">
        <v>303</v>
      </c>
      <c r="Z9" s="5">
        <v>1.1000000000000001</v>
      </c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V9" s="5">
        <v>450</v>
      </c>
      <c r="AW9" s="5">
        <v>700</v>
      </c>
      <c r="AX9" s="5">
        <v>595</v>
      </c>
      <c r="BI9" s="136" t="s">
        <v>323</v>
      </c>
      <c r="BJ9" s="137" t="s">
        <v>324</v>
      </c>
      <c r="BK9" s="138">
        <v>32500</v>
      </c>
      <c r="BL9" s="139">
        <v>22</v>
      </c>
      <c r="BM9" s="139">
        <v>17</v>
      </c>
      <c r="BN9" s="140">
        <v>1.75</v>
      </c>
      <c r="BO9" s="141">
        <v>1.1499999999999999</v>
      </c>
      <c r="BP9" s="129" t="s">
        <v>325</v>
      </c>
      <c r="BQ9" s="129">
        <f t="shared" si="9"/>
        <v>25</v>
      </c>
      <c r="CC9" s="126" t="s">
        <v>326</v>
      </c>
      <c r="CD9" s="127">
        <v>390</v>
      </c>
      <c r="CE9" s="127">
        <v>590</v>
      </c>
      <c r="CF9" s="126">
        <f t="shared" si="4"/>
        <v>390</v>
      </c>
      <c r="CG9" s="126">
        <f t="shared" si="5"/>
        <v>339.13043478260875</v>
      </c>
      <c r="CH9" s="126">
        <f t="shared" si="6"/>
        <v>390</v>
      </c>
      <c r="CI9" s="126">
        <f t="shared" si="7"/>
        <v>273</v>
      </c>
      <c r="CJ9" s="142">
        <v>200000</v>
      </c>
      <c r="DA9" s="64">
        <f t="shared" si="3"/>
        <v>3.5</v>
      </c>
      <c r="DB9" s="65">
        <v>0.58699999999999997</v>
      </c>
      <c r="DC9" s="65">
        <v>0.52200000000000002</v>
      </c>
      <c r="DD9" s="65">
        <v>0.45500000000000002</v>
      </c>
      <c r="DE9" s="65">
        <v>0.40799999999999997</v>
      </c>
      <c r="DF9" s="65">
        <v>0.375</v>
      </c>
      <c r="DG9" s="65">
        <v>0.35</v>
      </c>
      <c r="DH9" s="65">
        <v>0.32500000000000001</v>
      </c>
      <c r="DI9" s="65">
        <v>0.30299999999999999</v>
      </c>
      <c r="DJ9" s="65">
        <v>0.28699999999999998</v>
      </c>
      <c r="DK9" s="65">
        <v>0.25800000000000001</v>
      </c>
      <c r="DL9" s="65">
        <v>0.23300000000000001</v>
      </c>
      <c r="DM9" s="65">
        <v>0.216</v>
      </c>
      <c r="DN9" s="65">
        <v>0.19800000000000001</v>
      </c>
      <c r="DO9" s="65">
        <v>0.183</v>
      </c>
      <c r="DP9" s="65">
        <v>0.17199999999999999</v>
      </c>
      <c r="DQ9" s="65">
        <v>0.16200000000000001</v>
      </c>
      <c r="DR9" s="65">
        <v>0.153</v>
      </c>
      <c r="DS9" s="65">
        <v>0.14499999999999999</v>
      </c>
      <c r="DT9" s="65">
        <v>0.13700000000000001</v>
      </c>
      <c r="DU9" s="65">
        <v>0.125</v>
      </c>
      <c r="DV9" s="65">
        <v>0.115</v>
      </c>
      <c r="DW9" s="65">
        <v>0.106</v>
      </c>
      <c r="DX9" s="65">
        <v>9.1999999999999998E-2</v>
      </c>
      <c r="DY9" s="65">
        <v>8.2000000000000003E-2</v>
      </c>
      <c r="DZ9" s="65">
        <v>6.9000000000000006E-2</v>
      </c>
      <c r="EA9" s="65">
        <v>0.06</v>
      </c>
      <c r="EB9" s="65">
        <v>0.06</v>
      </c>
    </row>
    <row r="10" spans="1:132" ht="14.4">
      <c r="A10" s="27" t="s">
        <v>5</v>
      </c>
      <c r="B10" s="3">
        <f t="shared" si="2"/>
        <v>206000</v>
      </c>
      <c r="C10" s="3">
        <v>215</v>
      </c>
      <c r="D10" s="222">
        <v>360</v>
      </c>
      <c r="E10" s="13">
        <v>1.05</v>
      </c>
      <c r="F10" s="82"/>
      <c r="G10" s="82"/>
      <c r="H10" s="82"/>
      <c r="I10" s="82"/>
      <c r="V10" s="125">
        <v>24</v>
      </c>
      <c r="W10" s="5">
        <v>3</v>
      </c>
      <c r="X10" s="15">
        <f t="shared" si="8"/>
        <v>452.38934211693021</v>
      </c>
      <c r="Y10" s="5">
        <v>353</v>
      </c>
      <c r="Z10" s="5">
        <v>1.1000000000000001</v>
      </c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V10" s="5">
        <v>460</v>
      </c>
      <c r="AW10" s="5">
        <v>720</v>
      </c>
      <c r="AX10" s="5">
        <v>605</v>
      </c>
      <c r="BI10" s="136" t="s">
        <v>327</v>
      </c>
      <c r="BJ10" s="137" t="s">
        <v>328</v>
      </c>
      <c r="BK10" s="138">
        <v>34500</v>
      </c>
      <c r="BL10" s="139">
        <v>25.5</v>
      </c>
      <c r="BM10" s="139">
        <v>19.5</v>
      </c>
      <c r="BN10" s="140">
        <v>1.95</v>
      </c>
      <c r="BO10" s="141">
        <v>1.3</v>
      </c>
      <c r="BP10" s="129" t="s">
        <v>329</v>
      </c>
      <c r="BQ10" s="129">
        <f t="shared" si="9"/>
        <v>28</v>
      </c>
      <c r="CC10" s="126" t="s">
        <v>330</v>
      </c>
      <c r="CD10" s="127">
        <v>240</v>
      </c>
      <c r="CE10" s="127">
        <v>380</v>
      </c>
      <c r="CF10" s="126">
        <f t="shared" si="4"/>
        <v>240</v>
      </c>
      <c r="CG10" s="126"/>
      <c r="CH10" s="126">
        <f t="shared" si="6"/>
        <v>240</v>
      </c>
      <c r="CI10" s="126">
        <v>170</v>
      </c>
      <c r="CJ10" s="128">
        <v>200000</v>
      </c>
      <c r="DA10" s="64">
        <f t="shared" si="3"/>
        <v>4</v>
      </c>
      <c r="DB10" s="65">
        <v>0.505</v>
      </c>
      <c r="DC10" s="65">
        <v>0.44700000000000001</v>
      </c>
      <c r="DD10" s="65">
        <v>0.39400000000000002</v>
      </c>
      <c r="DE10" s="65">
        <v>0.35599999999999998</v>
      </c>
      <c r="DF10" s="65">
        <v>0.33</v>
      </c>
      <c r="DG10" s="65">
        <v>0.309</v>
      </c>
      <c r="DH10" s="65">
        <v>0.28899999999999998</v>
      </c>
      <c r="DI10" s="65">
        <v>0.27</v>
      </c>
      <c r="DJ10" s="65">
        <v>0.25600000000000001</v>
      </c>
      <c r="DK10" s="65">
        <v>0.23200000000000001</v>
      </c>
      <c r="DL10" s="65">
        <v>0.21199999999999999</v>
      </c>
      <c r="DM10" s="65">
        <v>0.19700000000000001</v>
      </c>
      <c r="DN10" s="65">
        <v>0.18099999999999999</v>
      </c>
      <c r="DO10" s="65">
        <v>0.16800000000000001</v>
      </c>
      <c r="DP10" s="65">
        <v>0.158</v>
      </c>
      <c r="DQ10" s="65">
        <v>0.14899999999999999</v>
      </c>
      <c r="DR10" s="65">
        <v>0.14000000000000001</v>
      </c>
      <c r="DS10" s="65">
        <v>0.13500000000000001</v>
      </c>
      <c r="DT10" s="65">
        <v>0.127</v>
      </c>
      <c r="DU10" s="65">
        <v>0.11799999999999999</v>
      </c>
      <c r="DV10" s="65">
        <v>0.108</v>
      </c>
      <c r="DW10" s="65">
        <v>9.8000000000000004E-2</v>
      </c>
      <c r="DX10" s="65">
        <v>8.7999999999999995E-2</v>
      </c>
      <c r="DY10" s="65">
        <v>7.8E-2</v>
      </c>
      <c r="DZ10" s="65">
        <v>6.6000000000000003E-2</v>
      </c>
      <c r="EA10" s="65">
        <v>5.7000000000000002E-2</v>
      </c>
      <c r="EB10" s="65">
        <v>5.7000000000000002E-2</v>
      </c>
    </row>
    <row r="11" spans="1:132" ht="14.4">
      <c r="A11" s="27" t="s">
        <v>6</v>
      </c>
      <c r="B11" s="3">
        <f t="shared" si="2"/>
        <v>206000</v>
      </c>
      <c r="C11" s="3">
        <v>215</v>
      </c>
      <c r="D11" s="222">
        <v>360</v>
      </c>
      <c r="E11" s="13">
        <v>1.05</v>
      </c>
      <c r="F11" s="82"/>
      <c r="G11" s="82"/>
      <c r="H11" s="82"/>
      <c r="I11" s="82"/>
      <c r="V11" s="125">
        <v>27</v>
      </c>
      <c r="W11" s="5">
        <v>3</v>
      </c>
      <c r="X11" s="15">
        <f t="shared" si="8"/>
        <v>572.55526111673976</v>
      </c>
      <c r="Y11" s="5">
        <v>459</v>
      </c>
      <c r="Z11" s="5">
        <v>1.2</v>
      </c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V11" s="5">
        <v>470</v>
      </c>
      <c r="AW11" s="5">
        <v>735</v>
      </c>
      <c r="AX11" s="5">
        <v>620</v>
      </c>
      <c r="BI11" s="136" t="s">
        <v>331</v>
      </c>
      <c r="BJ11" s="137" t="s">
        <v>332</v>
      </c>
      <c r="BK11" s="138">
        <v>36000</v>
      </c>
      <c r="BL11" s="139">
        <v>29</v>
      </c>
      <c r="BM11" s="139">
        <v>22</v>
      </c>
      <c r="BN11" s="140">
        <v>2.1</v>
      </c>
      <c r="BO11" s="141">
        <v>1.4</v>
      </c>
      <c r="BP11" s="129" t="s">
        <v>333</v>
      </c>
      <c r="BQ11" s="129">
        <f t="shared" si="9"/>
        <v>32</v>
      </c>
      <c r="CC11" s="126" t="s">
        <v>334</v>
      </c>
      <c r="CD11" s="127">
        <v>300</v>
      </c>
      <c r="CE11" s="127">
        <v>440</v>
      </c>
      <c r="CF11" s="126">
        <f t="shared" si="4"/>
        <v>300</v>
      </c>
      <c r="CG11" s="126"/>
      <c r="CH11" s="126">
        <f t="shared" si="6"/>
        <v>300</v>
      </c>
      <c r="CI11" s="126">
        <v>210</v>
      </c>
      <c r="CJ11" s="128">
        <v>200000</v>
      </c>
      <c r="DA11" s="64">
        <f t="shared" si="3"/>
        <v>4.5</v>
      </c>
      <c r="DB11" s="65">
        <v>0.41799999999999998</v>
      </c>
      <c r="DC11" s="65">
        <v>0.38200000000000001</v>
      </c>
      <c r="DD11" s="65">
        <v>0.34200000000000003</v>
      </c>
      <c r="DE11" s="65">
        <v>0.31</v>
      </c>
      <c r="DF11" s="65">
        <v>0.28799999999999998</v>
      </c>
      <c r="DG11" s="65">
        <v>0.27200000000000002</v>
      </c>
      <c r="DH11" s="65">
        <v>0.25700000000000001</v>
      </c>
      <c r="DI11" s="65">
        <v>0.24199999999999999</v>
      </c>
      <c r="DJ11" s="65">
        <v>0.22900000000000001</v>
      </c>
      <c r="DK11" s="65">
        <v>0.20799999999999999</v>
      </c>
      <c r="DL11" s="65">
        <v>0.192</v>
      </c>
      <c r="DM11" s="65">
        <v>0.17799999999999999</v>
      </c>
      <c r="DN11" s="65">
        <v>0.16500000000000001</v>
      </c>
      <c r="DO11" s="65">
        <v>0.155</v>
      </c>
      <c r="DP11" s="65">
        <v>0.14599999999999999</v>
      </c>
      <c r="DQ11" s="65">
        <v>0.13700000000000001</v>
      </c>
      <c r="DR11" s="65">
        <v>0.13</v>
      </c>
      <c r="DS11" s="65">
        <v>0.125</v>
      </c>
      <c r="DT11" s="65">
        <v>0.11799999999999999</v>
      </c>
      <c r="DU11" s="65">
        <v>0.11</v>
      </c>
      <c r="DV11" s="65">
        <v>0.10100000000000001</v>
      </c>
      <c r="DW11" s="65">
        <v>9.2999999999999999E-2</v>
      </c>
      <c r="DX11" s="65">
        <v>8.3000000000000004E-2</v>
      </c>
      <c r="DY11" s="65">
        <v>7.4999999999999997E-2</v>
      </c>
      <c r="DZ11" s="65">
        <v>6.4000000000000001E-2</v>
      </c>
      <c r="EA11" s="65">
        <v>5.5E-2</v>
      </c>
      <c r="EB11" s="65">
        <v>5.5E-2</v>
      </c>
    </row>
    <row r="12" spans="1:132" ht="14.4">
      <c r="A12" s="27" t="s">
        <v>7</v>
      </c>
      <c r="B12" s="3">
        <f t="shared" si="2"/>
        <v>206000</v>
      </c>
      <c r="C12" s="3">
        <v>215</v>
      </c>
      <c r="D12" s="222">
        <v>360</v>
      </c>
      <c r="E12" s="13">
        <v>1.05</v>
      </c>
      <c r="F12" s="82"/>
      <c r="G12" s="82"/>
      <c r="H12" s="82"/>
      <c r="I12" s="82"/>
      <c r="V12" s="125">
        <v>30</v>
      </c>
      <c r="W12" s="5">
        <v>3.5</v>
      </c>
      <c r="X12" s="15">
        <f t="shared" si="8"/>
        <v>706.85834705770344</v>
      </c>
      <c r="Y12" s="5">
        <v>561</v>
      </c>
      <c r="Z12" s="5">
        <v>1.3</v>
      </c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V12" s="5">
        <v>480</v>
      </c>
      <c r="AW12" s="5">
        <v>750</v>
      </c>
      <c r="AX12" s="5">
        <v>630</v>
      </c>
      <c r="BI12" s="136" t="s">
        <v>335</v>
      </c>
      <c r="BJ12" s="137" t="s">
        <v>336</v>
      </c>
      <c r="BK12" s="138">
        <v>37000</v>
      </c>
      <c r="BL12" s="139">
        <v>32</v>
      </c>
      <c r="BM12" s="139">
        <v>25</v>
      </c>
      <c r="BN12" s="140">
        <v>2.25</v>
      </c>
      <c r="BO12" s="141">
        <v>1.5</v>
      </c>
      <c r="BP12" s="129" t="s">
        <v>337</v>
      </c>
      <c r="BQ12" s="129">
        <f t="shared" si="9"/>
        <v>35</v>
      </c>
      <c r="CC12" s="126" t="s">
        <v>338</v>
      </c>
      <c r="CD12" s="127">
        <v>300</v>
      </c>
      <c r="CE12" s="127">
        <v>450</v>
      </c>
      <c r="CF12" s="126">
        <f t="shared" si="4"/>
        <v>300</v>
      </c>
      <c r="CG12" s="126"/>
      <c r="CH12" s="126">
        <f t="shared" si="6"/>
        <v>300</v>
      </c>
      <c r="CI12" s="126">
        <v>210</v>
      </c>
      <c r="CJ12" s="128">
        <v>200000</v>
      </c>
      <c r="DA12" s="64">
        <f t="shared" si="3"/>
        <v>5</v>
      </c>
      <c r="DB12" s="65">
        <v>0.35399999999999998</v>
      </c>
      <c r="DC12" s="65">
        <v>0.32600000000000001</v>
      </c>
      <c r="DD12" s="65">
        <v>0.29499999999999998</v>
      </c>
      <c r="DE12" s="65">
        <v>0.27300000000000002</v>
      </c>
      <c r="DF12" s="65">
        <v>0.253</v>
      </c>
      <c r="DG12" s="65">
        <v>0.23899999999999999</v>
      </c>
      <c r="DH12" s="65">
        <v>0.22500000000000001</v>
      </c>
      <c r="DI12" s="65">
        <v>0.215</v>
      </c>
      <c r="DJ12" s="65">
        <v>0.20499999999999999</v>
      </c>
      <c r="DK12" s="65">
        <v>0.188</v>
      </c>
      <c r="DL12" s="65">
        <v>0.17499999999999999</v>
      </c>
      <c r="DM12" s="65">
        <v>0.16200000000000001</v>
      </c>
      <c r="DN12" s="65">
        <v>0.15</v>
      </c>
      <c r="DO12" s="65">
        <v>0.14299999999999999</v>
      </c>
      <c r="DP12" s="65">
        <v>0.13500000000000001</v>
      </c>
      <c r="DQ12" s="65">
        <v>0.126</v>
      </c>
      <c r="DR12" s="65">
        <v>0.12</v>
      </c>
      <c r="DS12" s="65">
        <v>0.11700000000000001</v>
      </c>
      <c r="DT12" s="65">
        <v>0.111</v>
      </c>
      <c r="DU12" s="65">
        <v>0.10299999999999999</v>
      </c>
      <c r="DV12" s="65">
        <v>9.5000000000000001E-2</v>
      </c>
      <c r="DW12" s="65">
        <v>8.7999999999999995E-2</v>
      </c>
      <c r="DX12" s="65">
        <v>7.9000000000000001E-2</v>
      </c>
      <c r="DY12" s="65">
        <v>7.1999999999999995E-2</v>
      </c>
      <c r="DZ12" s="65">
        <v>6.2E-2</v>
      </c>
      <c r="EA12" s="65">
        <v>5.2999999999999999E-2</v>
      </c>
      <c r="EB12" s="65">
        <v>5.2999999999999999E-2</v>
      </c>
    </row>
    <row r="13" spans="1:132" ht="14.4">
      <c r="A13" s="27" t="s">
        <v>8</v>
      </c>
      <c r="B13" s="3">
        <f t="shared" si="2"/>
        <v>206000</v>
      </c>
      <c r="C13" s="3">
        <v>275</v>
      </c>
      <c r="D13" s="222">
        <v>410</v>
      </c>
      <c r="E13" s="13">
        <v>1.05</v>
      </c>
      <c r="F13" s="82"/>
      <c r="G13" s="82"/>
      <c r="H13" s="82"/>
      <c r="I13" s="82"/>
      <c r="V13" s="125">
        <v>36</v>
      </c>
      <c r="W13" s="5">
        <v>4</v>
      </c>
      <c r="X13" s="15">
        <f t="shared" si="8"/>
        <v>1017.8760197630929</v>
      </c>
      <c r="Y13" s="5">
        <v>816</v>
      </c>
      <c r="Z13" s="5">
        <v>1.3</v>
      </c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V13" s="5">
        <v>490</v>
      </c>
      <c r="AW13" s="5">
        <v>765</v>
      </c>
      <c r="AX13" s="5">
        <v>645</v>
      </c>
      <c r="BI13" s="136" t="s">
        <v>339</v>
      </c>
      <c r="BJ13" s="137" t="s">
        <v>340</v>
      </c>
      <c r="BK13" s="138">
        <v>38000</v>
      </c>
      <c r="BL13" s="139">
        <v>36</v>
      </c>
      <c r="BM13" s="139">
        <v>27.5</v>
      </c>
      <c r="BN13" s="140">
        <v>2.4500000000000002</v>
      </c>
      <c r="BO13" s="141">
        <v>1.6</v>
      </c>
      <c r="BP13" s="129" t="s">
        <v>341</v>
      </c>
      <c r="BQ13" s="129">
        <f t="shared" si="9"/>
        <v>40</v>
      </c>
      <c r="CC13" s="126" t="s">
        <v>342</v>
      </c>
      <c r="CD13" s="127">
        <v>400</v>
      </c>
      <c r="CE13" s="127">
        <v>570</v>
      </c>
      <c r="CF13" s="126">
        <f t="shared" si="4"/>
        <v>400</v>
      </c>
      <c r="CG13" s="126"/>
      <c r="CH13" s="126">
        <f t="shared" si="6"/>
        <v>400</v>
      </c>
      <c r="CI13" s="126">
        <v>280</v>
      </c>
      <c r="CJ13" s="128">
        <v>200000</v>
      </c>
      <c r="DA13" s="64">
        <f t="shared" si="3"/>
        <v>5.5</v>
      </c>
      <c r="DB13" s="65">
        <v>0.30199999999999999</v>
      </c>
      <c r="DC13" s="65">
        <v>0.28000000000000003</v>
      </c>
      <c r="DD13" s="65">
        <v>0.25600000000000001</v>
      </c>
      <c r="DE13" s="65">
        <v>0.24</v>
      </c>
      <c r="DF13" s="65">
        <v>0.224</v>
      </c>
      <c r="DG13" s="65">
        <v>0.21199999999999999</v>
      </c>
      <c r="DH13" s="65">
        <v>0.2</v>
      </c>
      <c r="DI13" s="65">
        <v>0.192</v>
      </c>
      <c r="DJ13" s="65">
        <v>0.184</v>
      </c>
      <c r="DK13" s="65">
        <v>0.17</v>
      </c>
      <c r="DL13" s="65">
        <v>0.158</v>
      </c>
      <c r="DM13" s="65">
        <v>0.14799999999999999</v>
      </c>
      <c r="DN13" s="65">
        <v>0.13800000000000001</v>
      </c>
      <c r="DO13" s="65">
        <v>0.13200000000000001</v>
      </c>
      <c r="DP13" s="65">
        <v>0.124</v>
      </c>
      <c r="DQ13" s="65">
        <v>0.11700000000000001</v>
      </c>
      <c r="DR13" s="65">
        <v>0.112</v>
      </c>
      <c r="DS13" s="65">
        <v>0.108</v>
      </c>
      <c r="DT13" s="65">
        <v>0.104</v>
      </c>
      <c r="DU13" s="65">
        <v>9.5000000000000001E-2</v>
      </c>
      <c r="DV13" s="65">
        <v>8.8999999999999996E-2</v>
      </c>
      <c r="DW13" s="65">
        <v>8.4000000000000005E-2</v>
      </c>
      <c r="DX13" s="65">
        <v>7.4999999999999997E-2</v>
      </c>
      <c r="DY13" s="65">
        <v>6.9000000000000006E-2</v>
      </c>
      <c r="DZ13" s="65">
        <v>0.06</v>
      </c>
      <c r="EA13" s="65">
        <v>5.0999999999999997E-2</v>
      </c>
      <c r="EB13" s="65">
        <v>5.0999999999999997E-2</v>
      </c>
    </row>
    <row r="14" spans="1:132" ht="14.4">
      <c r="A14" s="27" t="s">
        <v>9</v>
      </c>
      <c r="B14" s="3">
        <f t="shared" si="2"/>
        <v>206000</v>
      </c>
      <c r="C14" s="3">
        <v>265</v>
      </c>
      <c r="D14" s="222">
        <v>410</v>
      </c>
      <c r="E14" s="13">
        <v>1.05</v>
      </c>
      <c r="F14" s="82"/>
      <c r="G14" s="82"/>
      <c r="H14" s="82"/>
      <c r="I14" s="82"/>
      <c r="V14" s="125">
        <v>42</v>
      </c>
      <c r="W14" s="5">
        <v>4.5</v>
      </c>
      <c r="X14" s="15">
        <f t="shared" si="8"/>
        <v>1385.4423602330987</v>
      </c>
      <c r="Y14" s="5">
        <v>1120</v>
      </c>
      <c r="Z14" s="5">
        <v>1.6</v>
      </c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V14" s="5">
        <v>510</v>
      </c>
      <c r="AW14" s="5">
        <v>795</v>
      </c>
      <c r="AX14" s="5">
        <v>670</v>
      </c>
      <c r="BI14" s="136" t="s">
        <v>339</v>
      </c>
      <c r="BJ14" s="137" t="s">
        <v>343</v>
      </c>
      <c r="BK14" s="138">
        <v>39000</v>
      </c>
      <c r="BL14" s="139">
        <v>39.5</v>
      </c>
      <c r="BM14" s="139">
        <v>30</v>
      </c>
      <c r="BN14" s="140">
        <v>2.6</v>
      </c>
      <c r="BO14" s="141">
        <v>1.7</v>
      </c>
      <c r="BP14" s="129" t="s">
        <v>344</v>
      </c>
      <c r="BQ14" s="129">
        <f t="shared" si="9"/>
        <v>45</v>
      </c>
      <c r="CC14" s="126" t="s">
        <v>345</v>
      </c>
      <c r="CD14" s="127">
        <v>500</v>
      </c>
      <c r="CE14" s="127">
        <v>650</v>
      </c>
      <c r="CF14" s="126">
        <f t="shared" si="4"/>
        <v>500</v>
      </c>
      <c r="CG14" s="126"/>
      <c r="CH14" s="126">
        <f t="shared" si="6"/>
        <v>500</v>
      </c>
      <c r="CI14" s="126">
        <v>300</v>
      </c>
      <c r="CJ14" s="128">
        <v>200000</v>
      </c>
      <c r="DA14" s="64">
        <f t="shared" si="3"/>
        <v>6</v>
      </c>
      <c r="DB14" s="65">
        <v>0.25800000000000001</v>
      </c>
      <c r="DC14" s="65">
        <v>0.24399999999999999</v>
      </c>
      <c r="DD14" s="65">
        <v>0.223</v>
      </c>
      <c r="DE14" s="65">
        <v>0.21</v>
      </c>
      <c r="DF14" s="65">
        <v>0.19800000000000001</v>
      </c>
      <c r="DG14" s="65">
        <v>0.19</v>
      </c>
      <c r="DH14" s="65">
        <v>0.17799999999999999</v>
      </c>
      <c r="DI14" s="65">
        <v>0.17199999999999999</v>
      </c>
      <c r="DJ14" s="65">
        <v>0.16600000000000001</v>
      </c>
      <c r="DK14" s="65">
        <v>0.153</v>
      </c>
      <c r="DL14" s="65">
        <v>0.14499999999999999</v>
      </c>
      <c r="DM14" s="65">
        <v>0.13700000000000001</v>
      </c>
      <c r="DN14" s="65">
        <v>0.128</v>
      </c>
      <c r="DO14" s="65">
        <v>0.12</v>
      </c>
      <c r="DP14" s="65">
        <v>0.115</v>
      </c>
      <c r="DQ14" s="65">
        <v>0.109</v>
      </c>
      <c r="DR14" s="65">
        <v>0.104</v>
      </c>
      <c r="DS14" s="65">
        <v>0.1</v>
      </c>
      <c r="DT14" s="65">
        <v>9.6000000000000002E-2</v>
      </c>
      <c r="DU14" s="65">
        <v>8.8999999999999996E-2</v>
      </c>
      <c r="DV14" s="65">
        <v>8.4000000000000005E-2</v>
      </c>
      <c r="DW14" s="65">
        <v>7.9000000000000001E-2</v>
      </c>
      <c r="DX14" s="65">
        <v>7.1999999999999995E-2</v>
      </c>
      <c r="DY14" s="65">
        <v>6.6000000000000003E-2</v>
      </c>
      <c r="DZ14" s="65">
        <v>5.7000000000000002E-2</v>
      </c>
      <c r="EA14" s="65">
        <v>4.9000000000000002E-2</v>
      </c>
      <c r="EB14" s="65">
        <v>4.9000000000000002E-2</v>
      </c>
    </row>
    <row r="15" spans="1:132" ht="15" thickBot="1">
      <c r="A15" s="27" t="s">
        <v>10</v>
      </c>
      <c r="B15" s="3">
        <f t="shared" si="2"/>
        <v>206000</v>
      </c>
      <c r="C15" s="3">
        <v>255</v>
      </c>
      <c r="D15" s="222">
        <v>410</v>
      </c>
      <c r="E15" s="13">
        <v>1.05</v>
      </c>
      <c r="F15" s="82"/>
      <c r="G15" s="82"/>
      <c r="H15" s="82"/>
      <c r="I15" s="82"/>
      <c r="V15" s="125">
        <v>48</v>
      </c>
      <c r="W15" s="5">
        <v>5</v>
      </c>
      <c r="X15" s="15">
        <f t="shared" si="8"/>
        <v>1809.5573684677208</v>
      </c>
      <c r="Y15" s="5">
        <v>1472</v>
      </c>
      <c r="Z15" s="5">
        <v>1.6</v>
      </c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V15" s="5">
        <v>540</v>
      </c>
      <c r="AW15" s="5">
        <v>845</v>
      </c>
      <c r="AX15" s="5">
        <v>710</v>
      </c>
      <c r="BI15" s="143" t="s">
        <v>346</v>
      </c>
      <c r="BJ15" s="144" t="s">
        <v>347</v>
      </c>
      <c r="BK15" s="145">
        <v>39500</v>
      </c>
      <c r="BL15" s="146">
        <v>43</v>
      </c>
      <c r="BM15" s="146">
        <v>33</v>
      </c>
      <c r="BN15" s="147">
        <v>2.75</v>
      </c>
      <c r="BO15" s="148">
        <v>1.8</v>
      </c>
      <c r="BP15" s="129" t="s">
        <v>348</v>
      </c>
      <c r="BQ15" s="129">
        <f t="shared" si="9"/>
        <v>50</v>
      </c>
      <c r="CC15" s="126" t="s">
        <v>349</v>
      </c>
      <c r="CD15" s="127">
        <v>235</v>
      </c>
      <c r="CE15" s="127">
        <v>380</v>
      </c>
      <c r="CF15" s="126">
        <f t="shared" si="4"/>
        <v>235</v>
      </c>
      <c r="CG15" s="126">
        <f t="shared" si="5"/>
        <v>204.34782608695653</v>
      </c>
      <c r="CH15" s="126">
        <f t="shared" si="6"/>
        <v>235</v>
      </c>
      <c r="CI15" s="126">
        <f t="shared" si="7"/>
        <v>164.5</v>
      </c>
      <c r="CJ15" s="149">
        <v>200000</v>
      </c>
      <c r="DA15" s="64">
        <f t="shared" si="3"/>
        <v>6.5</v>
      </c>
      <c r="DB15" s="65">
        <v>0.223</v>
      </c>
      <c r="DC15" s="65">
        <v>0.21299999999999999</v>
      </c>
      <c r="DD15" s="65">
        <v>0.19600000000000001</v>
      </c>
      <c r="DE15" s="65">
        <v>0.185</v>
      </c>
      <c r="DF15" s="65">
        <v>0.17599999999999999</v>
      </c>
      <c r="DG15" s="65">
        <v>0.17</v>
      </c>
      <c r="DH15" s="65">
        <v>0.16</v>
      </c>
      <c r="DI15" s="65">
        <v>0.155</v>
      </c>
      <c r="DJ15" s="65">
        <v>0.14899999999999999</v>
      </c>
      <c r="DK15" s="65">
        <v>0.14000000000000001</v>
      </c>
      <c r="DL15" s="65">
        <v>0.13200000000000001</v>
      </c>
      <c r="DM15" s="65">
        <v>0.125</v>
      </c>
      <c r="DN15" s="65">
        <v>0.11700000000000001</v>
      </c>
      <c r="DO15" s="65">
        <v>0.112</v>
      </c>
      <c r="DP15" s="65">
        <v>0.106</v>
      </c>
      <c r="DQ15" s="65">
        <v>0.10100000000000001</v>
      </c>
      <c r="DR15" s="65">
        <v>9.7000000000000003E-2</v>
      </c>
      <c r="DS15" s="65">
        <v>9.4E-2</v>
      </c>
      <c r="DT15" s="65">
        <v>8.8999999999999996E-2</v>
      </c>
      <c r="DU15" s="65">
        <v>8.3000000000000004E-2</v>
      </c>
      <c r="DV15" s="65">
        <v>0.08</v>
      </c>
      <c r="DW15" s="65">
        <v>7.3999999999999996E-2</v>
      </c>
      <c r="DX15" s="65">
        <v>6.8000000000000005E-2</v>
      </c>
      <c r="DY15" s="65">
        <v>6.2E-2</v>
      </c>
      <c r="DZ15" s="65">
        <v>5.3999999999999999E-2</v>
      </c>
      <c r="EA15" s="65">
        <v>4.7E-2</v>
      </c>
      <c r="EB15" s="65">
        <v>4.7E-2</v>
      </c>
    </row>
    <row r="16" spans="1:132" ht="14.4">
      <c r="A16" s="27" t="s">
        <v>11</v>
      </c>
      <c r="B16" s="3">
        <f t="shared" si="2"/>
        <v>206000</v>
      </c>
      <c r="C16" s="3">
        <v>245</v>
      </c>
      <c r="D16" s="222">
        <v>410</v>
      </c>
      <c r="E16" s="13">
        <v>1.05</v>
      </c>
      <c r="F16" s="82"/>
      <c r="G16" s="82"/>
      <c r="H16" s="82"/>
      <c r="I16" s="82"/>
      <c r="AV16" s="5">
        <v>570</v>
      </c>
      <c r="AW16" s="5">
        <v>890</v>
      </c>
      <c r="AX16" s="5">
        <v>750</v>
      </c>
      <c r="CC16" s="126" t="s">
        <v>350</v>
      </c>
      <c r="CD16" s="127">
        <v>295</v>
      </c>
      <c r="CE16" s="127">
        <v>440</v>
      </c>
      <c r="CF16" s="126">
        <f t="shared" si="4"/>
        <v>295</v>
      </c>
      <c r="CG16" s="126">
        <f t="shared" si="5"/>
        <v>256.52173913043481</v>
      </c>
      <c r="CH16" s="126">
        <f t="shared" si="6"/>
        <v>295</v>
      </c>
      <c r="CI16" s="126">
        <f t="shared" si="7"/>
        <v>206.5</v>
      </c>
      <c r="CJ16" s="149">
        <v>200000</v>
      </c>
      <c r="DA16" s="64">
        <f t="shared" si="3"/>
        <v>7</v>
      </c>
      <c r="DB16" s="65">
        <v>0.19400000000000001</v>
      </c>
      <c r="DC16" s="65">
        <v>0.186</v>
      </c>
      <c r="DD16" s="65">
        <v>0.17299999999999999</v>
      </c>
      <c r="DE16" s="65">
        <v>0.16300000000000001</v>
      </c>
      <c r="DF16" s="65">
        <v>0.157</v>
      </c>
      <c r="DG16" s="65">
        <v>0.152</v>
      </c>
      <c r="DH16" s="65">
        <v>0.14499999999999999</v>
      </c>
      <c r="DI16" s="65">
        <v>0.14099999999999999</v>
      </c>
      <c r="DJ16" s="65">
        <v>0.13600000000000001</v>
      </c>
      <c r="DK16" s="65">
        <v>0.127</v>
      </c>
      <c r="DL16" s="65">
        <v>0.121</v>
      </c>
      <c r="DM16" s="65">
        <v>0.115</v>
      </c>
      <c r="DN16" s="65">
        <v>0.108</v>
      </c>
      <c r="DO16" s="65">
        <v>0.10199999999999999</v>
      </c>
      <c r="DP16" s="65">
        <v>9.8000000000000004E-2</v>
      </c>
      <c r="DQ16" s="65">
        <v>9.4E-2</v>
      </c>
      <c r="DR16" s="65">
        <v>9.0999999999999998E-2</v>
      </c>
      <c r="DS16" s="65">
        <v>8.6999999999999994E-2</v>
      </c>
      <c r="DT16" s="65">
        <v>8.3000000000000004E-2</v>
      </c>
      <c r="DU16" s="65">
        <v>7.8E-2</v>
      </c>
      <c r="DV16" s="65">
        <v>7.3999999999999996E-2</v>
      </c>
      <c r="DW16" s="65">
        <v>7.0000000000000007E-2</v>
      </c>
      <c r="DX16" s="65">
        <v>6.4000000000000001E-2</v>
      </c>
      <c r="DY16" s="65">
        <v>5.8999999999999997E-2</v>
      </c>
      <c r="DZ16" s="65">
        <v>5.1999999999999998E-2</v>
      </c>
      <c r="EA16" s="65">
        <v>4.4999999999999998E-2</v>
      </c>
      <c r="EB16" s="65">
        <v>4.4999999999999998E-2</v>
      </c>
    </row>
    <row r="17" spans="1:132" ht="14.4">
      <c r="A17" s="27" t="s">
        <v>12</v>
      </c>
      <c r="B17" s="3">
        <f t="shared" si="2"/>
        <v>206000</v>
      </c>
      <c r="C17" s="3">
        <v>235</v>
      </c>
      <c r="D17" s="222">
        <v>410</v>
      </c>
      <c r="E17" s="13">
        <v>1.05</v>
      </c>
      <c r="F17" s="82"/>
      <c r="G17" s="82"/>
      <c r="H17" s="82"/>
      <c r="I17" s="82"/>
      <c r="AV17" s="5">
        <v>590</v>
      </c>
      <c r="AW17" s="5">
        <v>920</v>
      </c>
      <c r="AX17" s="5">
        <v>775</v>
      </c>
      <c r="CC17" s="126" t="s">
        <v>351</v>
      </c>
      <c r="CD17" s="127">
        <v>295</v>
      </c>
      <c r="CE17" s="127">
        <v>440</v>
      </c>
      <c r="CF17" s="126">
        <f t="shared" si="4"/>
        <v>295</v>
      </c>
      <c r="CG17" s="126">
        <f t="shared" si="5"/>
        <v>256.52173913043481</v>
      </c>
      <c r="CH17" s="126">
        <f t="shared" si="6"/>
        <v>295</v>
      </c>
      <c r="CI17" s="126">
        <f t="shared" si="7"/>
        <v>206.5</v>
      </c>
      <c r="CJ17" s="149">
        <v>200000</v>
      </c>
      <c r="DA17" s="64">
        <f t="shared" ref="DA17:DA23" si="10">DA16+1</f>
        <v>8</v>
      </c>
      <c r="DB17" s="65">
        <v>0.152</v>
      </c>
      <c r="DC17" s="65">
        <v>0.14599999999999999</v>
      </c>
      <c r="DD17" s="65">
        <v>0.13800000000000001</v>
      </c>
      <c r="DE17" s="65">
        <v>0.13300000000000001</v>
      </c>
      <c r="DF17" s="65">
        <v>0.128</v>
      </c>
      <c r="DG17" s="65">
        <v>0.121</v>
      </c>
      <c r="DH17" s="65">
        <v>0.11700000000000001</v>
      </c>
      <c r="DI17" s="65">
        <v>0.115</v>
      </c>
      <c r="DJ17" s="65">
        <v>0.113</v>
      </c>
      <c r="DK17" s="65">
        <v>0.106</v>
      </c>
      <c r="DL17" s="65">
        <v>0.1</v>
      </c>
      <c r="DM17" s="65">
        <v>9.5000000000000001E-2</v>
      </c>
      <c r="DN17" s="65">
        <v>9.0999999999999998E-2</v>
      </c>
      <c r="DO17" s="65">
        <v>8.6999999999999994E-2</v>
      </c>
      <c r="DP17" s="65">
        <v>8.3000000000000004E-2</v>
      </c>
      <c r="DQ17" s="65">
        <v>8.1000000000000003E-2</v>
      </c>
      <c r="DR17" s="65">
        <v>7.8E-2</v>
      </c>
      <c r="DS17" s="65">
        <v>7.5999999999999998E-2</v>
      </c>
      <c r="DT17" s="65">
        <v>7.3999999999999996E-2</v>
      </c>
      <c r="DU17" s="65">
        <v>6.8000000000000005E-2</v>
      </c>
      <c r="DV17" s="65">
        <v>6.5000000000000002E-2</v>
      </c>
      <c r="DW17" s="65">
        <v>6.2E-2</v>
      </c>
      <c r="DX17" s="65">
        <v>5.7000000000000002E-2</v>
      </c>
      <c r="DY17" s="65">
        <v>5.2999999999999999E-2</v>
      </c>
      <c r="DZ17" s="65">
        <v>4.7E-2</v>
      </c>
      <c r="EA17" s="65">
        <v>4.1000000000000002E-2</v>
      </c>
      <c r="EB17" s="65">
        <v>4.1000000000000002E-2</v>
      </c>
    </row>
    <row r="18" spans="1:132" ht="14.4">
      <c r="A18" s="27" t="s">
        <v>13</v>
      </c>
      <c r="B18" s="3">
        <f t="shared" si="2"/>
        <v>206000</v>
      </c>
      <c r="C18" s="3">
        <v>355</v>
      </c>
      <c r="D18" s="222">
        <v>470</v>
      </c>
      <c r="E18" s="13">
        <v>1.05</v>
      </c>
      <c r="F18" s="82"/>
      <c r="G18" s="82"/>
      <c r="H18" s="82"/>
      <c r="I18" s="82"/>
      <c r="AV18" s="5"/>
      <c r="AW18" s="5"/>
      <c r="AX18" s="5"/>
      <c r="CC18" s="126" t="s">
        <v>352</v>
      </c>
      <c r="CD18" s="127">
        <v>390</v>
      </c>
      <c r="CE18" s="127">
        <v>560</v>
      </c>
      <c r="CF18" s="126">
        <f t="shared" si="4"/>
        <v>390</v>
      </c>
      <c r="CG18" s="126">
        <f t="shared" si="5"/>
        <v>339.13043478260875</v>
      </c>
      <c r="CH18" s="126">
        <f t="shared" si="6"/>
        <v>390</v>
      </c>
      <c r="CI18" s="126">
        <f t="shared" si="7"/>
        <v>273</v>
      </c>
      <c r="CJ18" s="142">
        <v>200000</v>
      </c>
      <c r="DA18" s="64">
        <f t="shared" si="10"/>
        <v>9</v>
      </c>
      <c r="DB18" s="65">
        <v>0.122</v>
      </c>
      <c r="DC18" s="65">
        <v>0.11700000000000001</v>
      </c>
      <c r="DD18" s="65">
        <v>0.112</v>
      </c>
      <c r="DE18" s="65">
        <v>0.107</v>
      </c>
      <c r="DF18" s="65">
        <v>0.10299999999999999</v>
      </c>
      <c r="DG18" s="65">
        <v>0.1</v>
      </c>
      <c r="DH18" s="65">
        <v>9.8000000000000004E-2</v>
      </c>
      <c r="DI18" s="65">
        <v>9.6000000000000002E-2</v>
      </c>
      <c r="DJ18" s="65">
        <v>9.2999999999999999E-2</v>
      </c>
      <c r="DK18" s="65">
        <v>8.7999999999999995E-2</v>
      </c>
      <c r="DL18" s="65">
        <v>8.5000000000000006E-2</v>
      </c>
      <c r="DM18" s="65">
        <v>8.2000000000000003E-2</v>
      </c>
      <c r="DN18" s="65">
        <v>7.9000000000000001E-2</v>
      </c>
      <c r="DO18" s="65">
        <v>7.4999999999999997E-2</v>
      </c>
      <c r="DP18" s="65">
        <v>7.1999999999999995E-2</v>
      </c>
      <c r="DQ18" s="65">
        <v>6.9000000000000006E-2</v>
      </c>
      <c r="DR18" s="65">
        <v>6.6000000000000003E-2</v>
      </c>
      <c r="DS18" s="65">
        <v>6.5000000000000002E-2</v>
      </c>
      <c r="DT18" s="65">
        <v>6.4000000000000001E-2</v>
      </c>
      <c r="DU18" s="65">
        <v>6.0999999999999999E-2</v>
      </c>
      <c r="DV18" s="65">
        <v>5.8000000000000003E-2</v>
      </c>
      <c r="DW18" s="65">
        <v>5.5E-2</v>
      </c>
      <c r="DX18" s="65">
        <v>5.0999999999999997E-2</v>
      </c>
      <c r="DY18" s="65">
        <v>4.8000000000000001E-2</v>
      </c>
      <c r="DZ18" s="65">
        <v>4.2999999999999997E-2</v>
      </c>
      <c r="EA18" s="65">
        <v>3.7999999999999999E-2</v>
      </c>
      <c r="EB18" s="65">
        <v>3.7999999999999999E-2</v>
      </c>
    </row>
    <row r="19" spans="1:132" ht="14.4">
      <c r="A19" s="27" t="s">
        <v>14</v>
      </c>
      <c r="B19" s="3">
        <f t="shared" si="2"/>
        <v>206000</v>
      </c>
      <c r="C19" s="3">
        <v>345</v>
      </c>
      <c r="D19" s="222">
        <v>470</v>
      </c>
      <c r="E19" s="13">
        <v>1.05</v>
      </c>
      <c r="F19" s="82"/>
      <c r="G19" s="82"/>
      <c r="H19" s="82"/>
      <c r="I19" s="82"/>
      <c r="AV19" s="5"/>
      <c r="AW19" s="5"/>
      <c r="AX19" s="5"/>
      <c r="CC19" s="126" t="s">
        <v>353</v>
      </c>
      <c r="CD19" s="127">
        <v>490</v>
      </c>
      <c r="CE19" s="127">
        <v>620</v>
      </c>
      <c r="CF19" s="126">
        <f t="shared" si="4"/>
        <v>490</v>
      </c>
      <c r="CG19" s="126">
        <f t="shared" si="5"/>
        <v>426.08695652173918</v>
      </c>
      <c r="CH19" s="126">
        <f t="shared" si="6"/>
        <v>490</v>
      </c>
      <c r="CI19" s="126">
        <f t="shared" si="7"/>
        <v>343</v>
      </c>
      <c r="CJ19" s="149">
        <v>200000</v>
      </c>
      <c r="DA19" s="64">
        <f t="shared" si="10"/>
        <v>10</v>
      </c>
      <c r="DB19" s="65">
        <v>0.1</v>
      </c>
      <c r="DC19" s="65">
        <v>9.7000000000000003E-2</v>
      </c>
      <c r="DD19" s="65">
        <v>9.2999999999999999E-2</v>
      </c>
      <c r="DE19" s="65">
        <v>9.0999999999999998E-2</v>
      </c>
      <c r="DF19" s="65">
        <v>0.09</v>
      </c>
      <c r="DG19" s="65">
        <v>8.5000000000000006E-2</v>
      </c>
      <c r="DH19" s="65">
        <v>8.1000000000000003E-2</v>
      </c>
      <c r="DI19" s="65">
        <v>0.08</v>
      </c>
      <c r="DJ19" s="65">
        <v>7.9000000000000001E-2</v>
      </c>
      <c r="DK19" s="65">
        <v>7.4999999999999997E-2</v>
      </c>
      <c r="DL19" s="65">
        <v>7.1999999999999995E-2</v>
      </c>
      <c r="DM19" s="65">
        <v>7.0000000000000007E-2</v>
      </c>
      <c r="DN19" s="65">
        <v>6.9000000000000006E-2</v>
      </c>
      <c r="DO19" s="65">
        <v>6.5000000000000002E-2</v>
      </c>
      <c r="DP19" s="65">
        <v>6.2E-2</v>
      </c>
      <c r="DQ19" s="65">
        <v>0.06</v>
      </c>
      <c r="DR19" s="65">
        <v>5.8999999999999997E-2</v>
      </c>
      <c r="DS19" s="65">
        <v>5.8000000000000003E-2</v>
      </c>
      <c r="DT19" s="65">
        <v>5.7000000000000002E-2</v>
      </c>
      <c r="DU19" s="65">
        <v>5.5E-2</v>
      </c>
      <c r="DV19" s="65">
        <v>5.1999999999999998E-2</v>
      </c>
      <c r="DW19" s="65">
        <v>4.9000000000000002E-2</v>
      </c>
      <c r="DX19" s="65">
        <v>4.5999999999999999E-2</v>
      </c>
      <c r="DY19" s="65">
        <v>4.2999999999999997E-2</v>
      </c>
      <c r="DZ19" s="65">
        <v>3.9E-2</v>
      </c>
      <c r="EA19" s="65">
        <v>3.5000000000000003E-2</v>
      </c>
      <c r="EB19" s="65">
        <v>3.5000000000000003E-2</v>
      </c>
    </row>
    <row r="20" spans="1:132" ht="14.4">
      <c r="A20" s="27" t="s">
        <v>15</v>
      </c>
      <c r="B20" s="3">
        <f t="shared" si="2"/>
        <v>206000</v>
      </c>
      <c r="C20" s="3">
        <v>335</v>
      </c>
      <c r="D20" s="222">
        <v>470</v>
      </c>
      <c r="E20" s="13">
        <v>1.05</v>
      </c>
      <c r="F20" s="82"/>
      <c r="G20" s="82"/>
      <c r="H20" s="82"/>
      <c r="I20" s="82"/>
      <c r="AV20" s="5"/>
      <c r="AW20" s="5"/>
      <c r="AX20" s="5"/>
      <c r="CC20" s="150"/>
      <c r="CD20" s="151"/>
      <c r="CE20" s="151"/>
      <c r="DA20" s="64">
        <f t="shared" si="10"/>
        <v>11</v>
      </c>
      <c r="DB20" s="65">
        <v>8.3000000000000004E-2</v>
      </c>
      <c r="DC20" s="65">
        <v>7.9000000000000001E-2</v>
      </c>
      <c r="DD20" s="65">
        <v>7.6999999999999999E-2</v>
      </c>
      <c r="DE20" s="65">
        <v>7.5999999999999998E-2</v>
      </c>
      <c r="DF20" s="65">
        <v>7.4999999999999997E-2</v>
      </c>
      <c r="DG20" s="65">
        <v>7.2999999999999995E-2</v>
      </c>
      <c r="DH20" s="65">
        <v>7.0999999999999994E-2</v>
      </c>
      <c r="DI20" s="65">
        <v>6.9000000000000006E-2</v>
      </c>
      <c r="DJ20" s="65">
        <v>6.8000000000000005E-2</v>
      </c>
      <c r="DK20" s="65">
        <v>6.3E-2</v>
      </c>
      <c r="DL20" s="65">
        <v>6.2E-2</v>
      </c>
      <c r="DM20" s="65">
        <v>6.0999999999999999E-2</v>
      </c>
      <c r="DN20" s="65">
        <v>0.06</v>
      </c>
      <c r="DO20" s="65">
        <v>5.7000000000000002E-2</v>
      </c>
      <c r="DP20" s="65">
        <v>5.5E-2</v>
      </c>
      <c r="DQ20" s="65">
        <v>5.2999999999999999E-2</v>
      </c>
      <c r="DR20" s="65">
        <v>5.1999999999999998E-2</v>
      </c>
      <c r="DS20" s="65">
        <v>5.0999999999999997E-2</v>
      </c>
      <c r="DT20" s="65">
        <v>0.05</v>
      </c>
      <c r="DU20" s="65">
        <v>4.8000000000000001E-2</v>
      </c>
      <c r="DV20" s="65">
        <v>4.5999999999999999E-2</v>
      </c>
      <c r="DW20" s="65">
        <v>4.3999999999999997E-2</v>
      </c>
      <c r="DX20" s="65">
        <v>0.04</v>
      </c>
      <c r="DY20" s="65">
        <v>3.7999999999999999E-2</v>
      </c>
      <c r="DZ20" s="65">
        <v>3.5000000000000003E-2</v>
      </c>
      <c r="EA20" s="65">
        <v>3.2000000000000001E-2</v>
      </c>
      <c r="EB20" s="65">
        <v>3.2000000000000001E-2</v>
      </c>
    </row>
    <row r="21" spans="1:132" ht="14.4">
      <c r="A21" s="27" t="s">
        <v>16</v>
      </c>
      <c r="B21" s="3">
        <f t="shared" si="2"/>
        <v>206000</v>
      </c>
      <c r="C21" s="3">
        <v>325</v>
      </c>
      <c r="D21" s="222">
        <v>470</v>
      </c>
      <c r="E21" s="13">
        <v>1.05</v>
      </c>
      <c r="F21" s="82"/>
      <c r="G21" s="82"/>
      <c r="H21" s="82"/>
      <c r="I21" s="82"/>
      <c r="AV21" s="5"/>
      <c r="AW21" s="5"/>
      <c r="AX21" s="5"/>
      <c r="CC21" s="150"/>
      <c r="CD21" s="151"/>
      <c r="CE21" s="151"/>
      <c r="DA21" s="64">
        <f t="shared" si="10"/>
        <v>12</v>
      </c>
      <c r="DB21" s="65">
        <v>6.9000000000000006E-2</v>
      </c>
      <c r="DC21" s="65">
        <v>6.7000000000000004E-2</v>
      </c>
      <c r="DD21" s="65">
        <v>6.4000000000000001E-2</v>
      </c>
      <c r="DE21" s="65">
        <v>6.3E-2</v>
      </c>
      <c r="DF21" s="65">
        <v>6.2E-2</v>
      </c>
      <c r="DG21" s="65">
        <v>0.06</v>
      </c>
      <c r="DH21" s="65">
        <v>5.8999999999999997E-2</v>
      </c>
      <c r="DI21" s="65">
        <v>5.8999999999999997E-2</v>
      </c>
      <c r="DJ21" s="65">
        <v>5.8000000000000003E-2</v>
      </c>
      <c r="DK21" s="65">
        <v>5.5E-2</v>
      </c>
      <c r="DL21" s="65">
        <v>5.3999999999999999E-2</v>
      </c>
      <c r="DM21" s="65">
        <v>5.2999999999999999E-2</v>
      </c>
      <c r="DN21" s="65">
        <v>5.1999999999999998E-2</v>
      </c>
      <c r="DO21" s="65">
        <v>5.0999999999999997E-2</v>
      </c>
      <c r="DP21" s="65">
        <v>0.05</v>
      </c>
      <c r="DQ21" s="65">
        <v>4.9000000000000002E-2</v>
      </c>
      <c r="DR21" s="65">
        <v>4.8000000000000001E-2</v>
      </c>
      <c r="DS21" s="65">
        <v>4.7E-2</v>
      </c>
      <c r="DT21" s="65">
        <v>4.5999999999999999E-2</v>
      </c>
      <c r="DU21" s="65">
        <v>4.3999999999999997E-2</v>
      </c>
      <c r="DV21" s="65">
        <v>4.2000000000000003E-2</v>
      </c>
      <c r="DW21" s="65">
        <v>0.04</v>
      </c>
      <c r="DX21" s="65">
        <v>3.6999999999999998E-2</v>
      </c>
      <c r="DY21" s="65">
        <v>3.5000000000000003E-2</v>
      </c>
      <c r="DZ21" s="65">
        <v>3.2000000000000001E-2</v>
      </c>
      <c r="EA21" s="65">
        <v>2.9000000000000001E-2</v>
      </c>
      <c r="EB21" s="65">
        <v>2.9000000000000001E-2</v>
      </c>
    </row>
    <row r="22" spans="1:132" ht="14.4">
      <c r="A22" s="27" t="s">
        <v>17</v>
      </c>
      <c r="B22" s="3">
        <f t="shared" si="2"/>
        <v>206000</v>
      </c>
      <c r="C22" s="3">
        <v>315</v>
      </c>
      <c r="D22" s="222">
        <v>470</v>
      </c>
      <c r="E22" s="13">
        <v>1.05</v>
      </c>
      <c r="F22" s="82"/>
      <c r="G22" s="82"/>
      <c r="H22" s="82"/>
      <c r="I22" s="82"/>
      <c r="AV22" s="5"/>
      <c r="AW22" s="5"/>
      <c r="AX22" s="5"/>
      <c r="DA22" s="64">
        <f t="shared" si="10"/>
        <v>13</v>
      </c>
      <c r="DB22" s="65">
        <v>6.2E-2</v>
      </c>
      <c r="DC22" s="65">
        <v>6.0999999999999999E-2</v>
      </c>
      <c r="DD22" s="65">
        <v>5.3999999999999999E-2</v>
      </c>
      <c r="DE22" s="65">
        <v>5.2999999999999999E-2</v>
      </c>
      <c r="DF22" s="65">
        <v>5.1999999999999998E-2</v>
      </c>
      <c r="DG22" s="65">
        <v>5.0999999999999997E-2</v>
      </c>
      <c r="DH22" s="65">
        <v>5.0999999999999997E-2</v>
      </c>
      <c r="DI22" s="65">
        <v>0.05</v>
      </c>
      <c r="DJ22" s="65">
        <v>4.9000000000000002E-2</v>
      </c>
      <c r="DK22" s="65">
        <v>4.9000000000000002E-2</v>
      </c>
      <c r="DL22" s="65">
        <v>4.8000000000000001E-2</v>
      </c>
      <c r="DM22" s="65">
        <v>4.8000000000000001E-2</v>
      </c>
      <c r="DN22" s="65">
        <v>4.7E-2</v>
      </c>
      <c r="DO22" s="65">
        <v>4.4999999999999998E-2</v>
      </c>
      <c r="DP22" s="65">
        <v>4.3999999999999997E-2</v>
      </c>
      <c r="DQ22" s="65">
        <v>4.2999999999999997E-2</v>
      </c>
      <c r="DR22" s="65">
        <v>4.2000000000000003E-2</v>
      </c>
      <c r="DS22" s="65">
        <v>4.1000000000000002E-2</v>
      </c>
      <c r="DT22" s="65">
        <v>4.1000000000000002E-2</v>
      </c>
      <c r="DU22" s="65">
        <v>3.9E-2</v>
      </c>
      <c r="DV22" s="65">
        <v>3.7999999999999999E-2</v>
      </c>
      <c r="DW22" s="65">
        <v>3.6999999999999998E-2</v>
      </c>
      <c r="DX22" s="65">
        <v>3.5000000000000003E-2</v>
      </c>
      <c r="DY22" s="65">
        <v>3.3000000000000002E-2</v>
      </c>
      <c r="DZ22" s="65">
        <v>0.03</v>
      </c>
      <c r="EA22" s="65">
        <v>2.7E-2</v>
      </c>
      <c r="EB22" s="65">
        <v>2.7E-2</v>
      </c>
    </row>
    <row r="23" spans="1:132" ht="14.4">
      <c r="A23" s="27" t="s">
        <v>240</v>
      </c>
      <c r="B23" s="3">
        <f t="shared" si="2"/>
        <v>206000</v>
      </c>
      <c r="C23" s="3">
        <v>205</v>
      </c>
      <c r="D23" s="222">
        <v>330</v>
      </c>
      <c r="E23" s="13">
        <v>1.05</v>
      </c>
      <c r="F23" s="82"/>
      <c r="G23" s="82"/>
      <c r="H23" s="82"/>
      <c r="I23" s="82"/>
      <c r="AV23" s="5"/>
      <c r="AW23" s="5"/>
      <c r="AX23" s="5"/>
      <c r="DA23" s="64">
        <f t="shared" si="10"/>
        <v>14</v>
      </c>
      <c r="DB23" s="65">
        <v>5.1999999999999998E-2</v>
      </c>
      <c r="DC23" s="65">
        <v>4.9000000000000002E-2</v>
      </c>
      <c r="DD23" s="65">
        <v>4.9000000000000002E-2</v>
      </c>
      <c r="DE23" s="65">
        <v>4.8000000000000001E-2</v>
      </c>
      <c r="DF23" s="65">
        <v>4.8000000000000001E-2</v>
      </c>
      <c r="DG23" s="65">
        <v>4.7E-2</v>
      </c>
      <c r="DH23" s="65">
        <v>4.7E-2</v>
      </c>
      <c r="DI23" s="65">
        <v>4.5999999999999999E-2</v>
      </c>
      <c r="DJ23" s="65">
        <v>4.4999999999999998E-2</v>
      </c>
      <c r="DK23" s="65">
        <v>4.3999999999999997E-2</v>
      </c>
      <c r="DL23" s="65">
        <v>4.2999999999999997E-2</v>
      </c>
      <c r="DM23" s="65">
        <v>4.2999999999999997E-2</v>
      </c>
      <c r="DN23" s="65">
        <v>4.2000000000000003E-2</v>
      </c>
      <c r="DO23" s="65">
        <v>4.1000000000000002E-2</v>
      </c>
      <c r="DP23" s="65">
        <v>0.04</v>
      </c>
      <c r="DQ23" s="65">
        <v>0.04</v>
      </c>
      <c r="DR23" s="65">
        <v>3.9E-2</v>
      </c>
      <c r="DS23" s="65">
        <v>3.9E-2</v>
      </c>
      <c r="DT23" s="65">
        <v>3.7999999999999999E-2</v>
      </c>
      <c r="DU23" s="65">
        <v>3.6999999999999998E-2</v>
      </c>
      <c r="DV23" s="65">
        <v>3.5999999999999997E-2</v>
      </c>
      <c r="DW23" s="65">
        <v>3.5999999999999997E-2</v>
      </c>
      <c r="DX23" s="65">
        <v>3.4000000000000002E-2</v>
      </c>
      <c r="DY23" s="65">
        <v>3.2000000000000001E-2</v>
      </c>
      <c r="DZ23" s="65">
        <v>2.9000000000000001E-2</v>
      </c>
      <c r="EA23" s="65">
        <v>2.5999999999999999E-2</v>
      </c>
      <c r="EB23" s="65">
        <v>2.5999999999999999E-2</v>
      </c>
    </row>
    <row r="24" spans="1:132" ht="14.4">
      <c r="A24" s="27" t="s">
        <v>241</v>
      </c>
      <c r="B24" s="3">
        <f t="shared" si="2"/>
        <v>206000</v>
      </c>
      <c r="C24" s="3">
        <v>195</v>
      </c>
      <c r="D24" s="222">
        <v>330</v>
      </c>
      <c r="E24" s="13">
        <v>1.05</v>
      </c>
      <c r="F24" s="82"/>
      <c r="G24" s="82"/>
      <c r="H24" s="82"/>
      <c r="I24" s="82"/>
      <c r="DA24" s="73">
        <v>10000</v>
      </c>
      <c r="DB24" s="65">
        <v>5.1999999999999998E-2</v>
      </c>
      <c r="DC24" s="65">
        <v>4.9000000000000002E-2</v>
      </c>
      <c r="DD24" s="65">
        <v>4.9000000000000002E-2</v>
      </c>
      <c r="DE24" s="65">
        <v>4.8000000000000001E-2</v>
      </c>
      <c r="DF24" s="65">
        <v>4.8000000000000001E-2</v>
      </c>
      <c r="DG24" s="65">
        <v>4.7E-2</v>
      </c>
      <c r="DH24" s="65">
        <v>4.7E-2</v>
      </c>
      <c r="DI24" s="65">
        <v>4.5999999999999999E-2</v>
      </c>
      <c r="DJ24" s="65">
        <v>4.4999999999999998E-2</v>
      </c>
      <c r="DK24" s="65">
        <v>4.3999999999999997E-2</v>
      </c>
      <c r="DL24" s="65">
        <v>4.2999999999999997E-2</v>
      </c>
      <c r="DM24" s="65">
        <v>4.2999999999999997E-2</v>
      </c>
      <c r="DN24" s="65">
        <v>4.2000000000000003E-2</v>
      </c>
      <c r="DO24" s="65">
        <v>4.1000000000000002E-2</v>
      </c>
      <c r="DP24" s="65">
        <v>0.04</v>
      </c>
      <c r="DQ24" s="65">
        <v>0.04</v>
      </c>
      <c r="DR24" s="65">
        <v>3.9E-2</v>
      </c>
      <c r="DS24" s="65">
        <v>3.9E-2</v>
      </c>
      <c r="DT24" s="65">
        <v>3.7999999999999999E-2</v>
      </c>
      <c r="DU24" s="65">
        <v>3.6999999999999998E-2</v>
      </c>
      <c r="DV24" s="65">
        <v>3.5999999999999997E-2</v>
      </c>
      <c r="DW24" s="65">
        <v>3.5999999999999997E-2</v>
      </c>
      <c r="DX24" s="65">
        <v>3.4000000000000002E-2</v>
      </c>
      <c r="DY24" s="65">
        <v>3.2000000000000001E-2</v>
      </c>
      <c r="DZ24" s="65">
        <v>2.9000000000000001E-2</v>
      </c>
      <c r="EA24" s="65">
        <v>2.5999999999999999E-2</v>
      </c>
      <c r="EB24" s="65">
        <v>2.5999999999999999E-2</v>
      </c>
    </row>
    <row r="25" spans="1:132">
      <c r="A25" s="27" t="s">
        <v>242</v>
      </c>
      <c r="B25" s="3">
        <f t="shared" si="2"/>
        <v>206000</v>
      </c>
      <c r="C25" s="3">
        <v>245</v>
      </c>
      <c r="D25" s="222">
        <v>400</v>
      </c>
      <c r="E25" s="13">
        <v>1.05</v>
      </c>
      <c r="F25" s="82"/>
      <c r="G25" s="82"/>
      <c r="H25" s="82"/>
      <c r="I25" s="82"/>
    </row>
    <row r="26" spans="1:132">
      <c r="A26" s="27" t="s">
        <v>243</v>
      </c>
      <c r="B26" s="3">
        <f t="shared" si="2"/>
        <v>206000</v>
      </c>
      <c r="C26" s="3">
        <v>235</v>
      </c>
      <c r="D26" s="222">
        <v>400</v>
      </c>
      <c r="E26" s="13">
        <v>1.05</v>
      </c>
      <c r="F26" s="82"/>
      <c r="G26" s="82"/>
      <c r="H26" s="82"/>
      <c r="I26" s="82"/>
    </row>
    <row r="27" spans="1:132">
      <c r="A27" s="27" t="s">
        <v>244</v>
      </c>
      <c r="B27" s="3">
        <f t="shared" si="2"/>
        <v>206000</v>
      </c>
      <c r="C27" s="3">
        <v>285</v>
      </c>
      <c r="D27" s="222">
        <v>490</v>
      </c>
      <c r="E27" s="13">
        <v>1.05</v>
      </c>
      <c r="F27" s="82"/>
      <c r="G27" s="82"/>
      <c r="H27" s="82"/>
      <c r="I27" s="82"/>
    </row>
    <row r="28" spans="1:132">
      <c r="A28" s="27" t="s">
        <v>245</v>
      </c>
      <c r="B28" s="3">
        <f t="shared" si="2"/>
        <v>206000</v>
      </c>
      <c r="C28" s="3">
        <v>275</v>
      </c>
      <c r="D28" s="222">
        <v>490</v>
      </c>
      <c r="E28" s="13">
        <v>1.05</v>
      </c>
      <c r="F28" s="82"/>
      <c r="G28" s="82"/>
      <c r="H28" s="82"/>
      <c r="I28" s="82"/>
    </row>
    <row r="29" spans="1:132">
      <c r="A29" s="27" t="s">
        <v>246</v>
      </c>
      <c r="B29" s="3">
        <f t="shared" si="2"/>
        <v>206000</v>
      </c>
      <c r="C29" s="3">
        <v>400</v>
      </c>
      <c r="D29" s="222">
        <v>540</v>
      </c>
      <c r="E29" s="13">
        <v>1.05</v>
      </c>
      <c r="F29" s="82"/>
      <c r="G29" s="82"/>
      <c r="H29" s="82"/>
      <c r="I29" s="82"/>
    </row>
    <row r="30" spans="1:132">
      <c r="A30" s="27" t="s">
        <v>247</v>
      </c>
      <c r="B30" s="3">
        <f t="shared" si="2"/>
        <v>206000</v>
      </c>
      <c r="C30" s="3">
        <v>390</v>
      </c>
      <c r="D30" s="222">
        <v>540</v>
      </c>
      <c r="E30" s="13">
        <v>1.05</v>
      </c>
    </row>
    <row r="31" spans="1:132">
      <c r="A31" s="27" t="s">
        <v>519</v>
      </c>
      <c r="B31" s="3">
        <f t="shared" si="2"/>
        <v>206000</v>
      </c>
      <c r="C31" s="3">
        <v>220</v>
      </c>
      <c r="D31" s="222">
        <v>340</v>
      </c>
      <c r="E31" s="13">
        <v>1.05</v>
      </c>
    </row>
    <row r="32" spans="1:132">
      <c r="A32" s="27" t="s">
        <v>520</v>
      </c>
      <c r="B32" s="3">
        <f t="shared" si="2"/>
        <v>206000</v>
      </c>
      <c r="C32" s="3">
        <v>240</v>
      </c>
      <c r="D32" s="222">
        <v>380</v>
      </c>
      <c r="E32" s="13">
        <v>1.05</v>
      </c>
    </row>
    <row r="33" spans="1:5">
      <c r="A33" s="27" t="s">
        <v>521</v>
      </c>
      <c r="B33" s="3">
        <f t="shared" si="2"/>
        <v>206000</v>
      </c>
      <c r="C33" s="3">
        <v>260</v>
      </c>
      <c r="D33" s="222">
        <v>420</v>
      </c>
      <c r="E33" s="13">
        <v>1.05</v>
      </c>
    </row>
  </sheetData>
  <mergeCells count="13">
    <mergeCell ref="BP3:BP4"/>
    <mergeCell ref="BK1:BK3"/>
    <mergeCell ref="BL1:BO1"/>
    <mergeCell ref="BP1:BQ2"/>
    <mergeCell ref="CC1:CJ1"/>
    <mergeCell ref="BL2:BM2"/>
    <mergeCell ref="BN2:BO2"/>
    <mergeCell ref="CC2:CC3"/>
    <mergeCell ref="BI1:BJ4"/>
    <mergeCell ref="K1:O2"/>
    <mergeCell ref="V1:Z2"/>
    <mergeCell ref="AV1:AX1"/>
    <mergeCell ref="AZ1:BB1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  <pageSetUpPr fitToPage="1"/>
  </sheetPr>
  <dimension ref="A1:HK429"/>
  <sheetViews>
    <sheetView showGridLines="0" topLeftCell="B18" zoomScale="115" zoomScaleNormal="115" zoomScaleSheetLayoutView="100" workbookViewId="0">
      <selection activeCell="O38" sqref="O38"/>
    </sheetView>
  </sheetViews>
  <sheetFormatPr defaultColWidth="7.33203125" defaultRowHeight="13.8"/>
  <cols>
    <col min="1" max="1" width="1.44140625" style="1" hidden="1" customWidth="1"/>
    <col min="2" max="2" width="8.44140625" style="1" bestFit="1" customWidth="1"/>
    <col min="3" max="3" width="6.5546875" style="1" customWidth="1"/>
    <col min="4" max="4" width="7" style="1" customWidth="1"/>
    <col min="5" max="6" width="6.5546875" style="1" customWidth="1"/>
    <col min="7" max="7" width="8.109375" style="1" bestFit="1" customWidth="1"/>
    <col min="8" max="9" width="6.5546875" style="1" customWidth="1"/>
    <col min="10" max="10" width="7.44140625" style="1" customWidth="1"/>
    <col min="11" max="12" width="6.5546875" style="1" customWidth="1"/>
    <col min="13" max="13" width="6.6640625" style="1" customWidth="1"/>
    <col min="14" max="14" width="8.5546875" style="1" bestFit="1" customWidth="1"/>
    <col min="15" max="15" width="14.88671875" style="1" customWidth="1"/>
    <col min="16" max="16" width="7.33203125" style="1" hidden="1" customWidth="1"/>
    <col min="17" max="17" width="7.33203125" style="1" customWidth="1"/>
    <col min="18" max="25" width="7.33203125" style="1" hidden="1" customWidth="1"/>
    <col min="26" max="26" width="2.88671875" style="48" customWidth="1"/>
    <col min="27" max="27" width="11.88671875" style="18" customWidth="1"/>
    <col min="28" max="28" width="5.44140625" style="22" customWidth="1"/>
    <col min="29" max="30" width="5.44140625" style="59" customWidth="1"/>
    <col min="31" max="32" width="5.44140625" style="22" hidden="1" customWidth="1"/>
    <col min="33" max="33" width="5.44140625" style="22" customWidth="1"/>
    <col min="34" max="36" width="5.44140625" style="6" hidden="1" customWidth="1"/>
    <col min="37" max="38" width="5.44140625" style="24" hidden="1" customWidth="1"/>
    <col min="39" max="39" width="5.44140625" style="5" hidden="1" customWidth="1"/>
    <col min="40" max="40" width="5.44140625" style="18" hidden="1" customWidth="1"/>
    <col min="41" max="41" width="8.44140625" style="18" hidden="1" customWidth="1"/>
    <col min="42" max="42" width="6" style="18" hidden="1" customWidth="1"/>
    <col min="43" max="44" width="5.44140625" style="18" hidden="1" customWidth="1"/>
    <col min="45" max="45" width="6.44140625" style="18" hidden="1" customWidth="1"/>
    <col min="46" max="47" width="6" style="18" hidden="1" customWidth="1"/>
    <col min="48" max="48" width="7.88671875" style="18" hidden="1" customWidth="1"/>
    <col min="49" max="51" width="8" style="96" hidden="1" customWidth="1"/>
    <col min="52" max="52" width="17.33203125" style="96" bestFit="1" customWidth="1"/>
    <col min="53" max="55" width="8" style="96" hidden="1" customWidth="1"/>
    <col min="56" max="56" width="6.6640625" style="96" bestFit="1" customWidth="1"/>
    <col min="57" max="57" width="7.6640625" style="22" customWidth="1"/>
    <col min="58" max="58" width="7.109375" style="23" customWidth="1"/>
    <col min="59" max="59" width="6" style="23" bestFit="1" customWidth="1"/>
    <col min="60" max="60" width="5.44140625" style="23" hidden="1" customWidth="1"/>
    <col min="61" max="62" width="5.44140625" style="23" customWidth="1"/>
    <col min="63" max="63" width="6" style="23" customWidth="1"/>
    <col min="64" max="65" width="6" style="91" customWidth="1"/>
    <col min="66" max="66" width="6" style="23" customWidth="1"/>
    <col min="67" max="71" width="6" style="23" hidden="1" customWidth="1"/>
    <col min="72" max="72" width="6.33203125" style="23" hidden="1" customWidth="1"/>
    <col min="73" max="75" width="6" style="59" hidden="1" customWidth="1"/>
    <col min="76" max="89" width="6" style="23" customWidth="1"/>
    <col min="90" max="90" width="7" style="23" customWidth="1"/>
    <col min="91" max="91" width="6" style="23" customWidth="1"/>
    <col min="92" max="99" width="6" style="33" customWidth="1"/>
    <col min="100" max="100" width="7" style="2" hidden="1" customWidth="1"/>
    <col min="101" max="101" width="7.5546875" style="28" hidden="1" customWidth="1"/>
    <col min="102" max="102" width="5.44140625" style="28" customWidth="1"/>
    <col min="103" max="103" width="5.44140625" style="44" customWidth="1"/>
    <col min="104" max="104" width="4.5546875" style="2" customWidth="1"/>
    <col min="105" max="105" width="5.44140625" style="2" customWidth="1"/>
    <col min="106" max="106" width="5.5546875" style="2" customWidth="1"/>
    <col min="107" max="110" width="5.44140625" style="2" customWidth="1"/>
    <col min="111" max="111" width="7.44140625" style="2" customWidth="1"/>
    <col min="112" max="113" width="5.6640625" style="204" customWidth="1"/>
    <col min="114" max="115" width="5.6640625" style="2" customWidth="1"/>
    <col min="116" max="128" width="7.33203125" style="1" hidden="1" customWidth="1"/>
    <col min="129" max="129" width="0.33203125" style="1" customWidth="1"/>
    <col min="130" max="130" width="3.88671875" style="48" customWidth="1"/>
    <col min="131" max="131" width="8.109375" style="18" customWidth="1"/>
    <col min="132" max="132" width="5.44140625" style="22" customWidth="1"/>
    <col min="133" max="133" width="5.44140625" style="59" customWidth="1"/>
    <col min="134" max="134" width="5.44140625" style="59" hidden="1" customWidth="1"/>
    <col min="135" max="137" width="5.44140625" style="22" hidden="1" customWidth="1"/>
    <col min="138" max="140" width="5.44140625" style="6" hidden="1" customWidth="1"/>
    <col min="141" max="142" width="5.44140625" style="24" hidden="1" customWidth="1"/>
    <col min="143" max="143" width="5.44140625" style="5" hidden="1" customWidth="1"/>
    <col min="144" max="144" width="5.44140625" style="18" hidden="1" customWidth="1"/>
    <col min="145" max="145" width="8.44140625" style="18" hidden="1" customWidth="1"/>
    <col min="146" max="146" width="6" style="18" hidden="1" customWidth="1"/>
    <col min="147" max="148" width="5.44140625" style="18" hidden="1" customWidth="1"/>
    <col min="149" max="149" width="6.44140625" style="18" hidden="1" customWidth="1"/>
    <col min="150" max="151" width="6" style="18" hidden="1" customWidth="1"/>
    <col min="152" max="152" width="7.88671875" style="18" hidden="1" customWidth="1"/>
    <col min="153" max="155" width="8" style="96" hidden="1" customWidth="1"/>
    <col min="156" max="156" width="16.44140625" style="96" bestFit="1" customWidth="1"/>
    <col min="157" max="159" width="8" style="96" hidden="1" customWidth="1"/>
    <col min="160" max="160" width="7.5546875" style="95" bestFit="1" customWidth="1"/>
    <col min="161" max="161" width="7.6640625" style="91" customWidth="1"/>
    <col min="162" max="163" width="5.6640625" style="91" customWidth="1"/>
    <col min="164" max="164" width="5.6640625" style="91" hidden="1" customWidth="1"/>
    <col min="165" max="165" width="5.6640625" style="91" customWidth="1"/>
    <col min="166" max="166" width="6.5546875" style="91" customWidth="1"/>
    <col min="167" max="167" width="5.6640625" style="91" hidden="1" customWidth="1"/>
    <col min="168" max="169" width="6" style="91" hidden="1" customWidth="1"/>
    <col min="170" max="175" width="6" style="23" hidden="1" customWidth="1"/>
    <col min="176" max="176" width="6.33203125" style="23" hidden="1" customWidth="1"/>
    <col min="177" max="179" width="6" style="59" hidden="1" customWidth="1"/>
    <col min="180" max="183" width="6" style="23" hidden="1" customWidth="1"/>
    <col min="184" max="184" width="5.5546875" style="23" customWidth="1"/>
    <col min="185" max="185" width="6" style="23" customWidth="1"/>
    <col min="186" max="193" width="6" style="23" hidden="1" customWidth="1"/>
    <col min="194" max="195" width="6" style="23" customWidth="1"/>
    <col min="196" max="203" width="6" style="33" hidden="1" customWidth="1"/>
    <col min="204" max="204" width="7" style="2" hidden="1" customWidth="1"/>
    <col min="205" max="205" width="7.5546875" style="28" hidden="1" customWidth="1"/>
    <col min="206" max="206" width="5.44140625" style="28" hidden="1" customWidth="1"/>
    <col min="207" max="207" width="5.44140625" style="44" customWidth="1"/>
    <col min="208" max="209" width="5.44140625" style="2" customWidth="1"/>
    <col min="210" max="210" width="5.5546875" style="2" customWidth="1"/>
    <col min="211" max="211" width="5.44140625" style="2" customWidth="1"/>
    <col min="212" max="212" width="5.44140625" style="2" hidden="1" customWidth="1"/>
    <col min="213" max="214" width="5.44140625" style="2" customWidth="1"/>
    <col min="215" max="215" width="7.44140625" style="2" customWidth="1"/>
    <col min="216" max="217" width="5.6640625" style="2" hidden="1" customWidth="1"/>
    <col min="218" max="219" width="5.6640625" style="2" customWidth="1"/>
    <col min="220" max="16384" width="7.33203125" style="1"/>
  </cols>
  <sheetData>
    <row r="1" spans="2:219" ht="12.75" hidden="1" customHeight="1"/>
    <row r="2" spans="2:219" ht="12.75" hidden="1" customHeight="1"/>
    <row r="3" spans="2:219" ht="12.75" hidden="1" customHeight="1"/>
    <row r="4" spans="2:219" ht="12.75" hidden="1" customHeight="1"/>
    <row r="5" spans="2:219" ht="12.75" hidden="1" customHeight="1"/>
    <row r="6" spans="2:219" ht="12.75" hidden="1" customHeight="1"/>
    <row r="7" spans="2:219" ht="12.75" hidden="1" customHeight="1"/>
    <row r="8" spans="2:219" ht="12.75" hidden="1" customHeight="1"/>
    <row r="9" spans="2:219" ht="12.75" hidden="1" customHeight="1"/>
    <row r="10" spans="2:219" ht="12.75" hidden="1" customHeight="1">
      <c r="EA10" s="291"/>
      <c r="EB10" s="292"/>
      <c r="EC10" s="293"/>
      <c r="ED10" s="293"/>
      <c r="EE10" s="292"/>
      <c r="EF10" s="292"/>
      <c r="EG10" s="292"/>
      <c r="EH10" s="294"/>
      <c r="EI10" s="294"/>
      <c r="EJ10" s="294"/>
      <c r="EK10" s="295"/>
      <c r="EL10" s="295"/>
      <c r="EM10" s="296"/>
      <c r="EN10" s="291"/>
      <c r="EO10" s="291"/>
      <c r="EP10" s="291"/>
      <c r="EQ10" s="291"/>
      <c r="ER10" s="291"/>
      <c r="ES10" s="291"/>
      <c r="ET10" s="291"/>
      <c r="EU10" s="291"/>
      <c r="EV10" s="291"/>
      <c r="EW10" s="297"/>
      <c r="EX10" s="297"/>
      <c r="EY10" s="297"/>
      <c r="EZ10" s="297"/>
      <c r="FA10" s="297"/>
      <c r="FB10" s="297"/>
      <c r="FC10" s="297"/>
      <c r="FD10" s="298"/>
      <c r="FE10" s="299"/>
      <c r="FF10" s="299"/>
      <c r="FG10" s="299"/>
      <c r="FH10" s="299"/>
      <c r="FI10" s="299"/>
      <c r="FJ10" s="299"/>
      <c r="FK10" s="299"/>
      <c r="FL10" s="299"/>
      <c r="FM10" s="299"/>
      <c r="FN10" s="300"/>
      <c r="FO10" s="300"/>
      <c r="FP10" s="300"/>
      <c r="FQ10" s="300"/>
      <c r="FR10" s="300"/>
      <c r="FS10" s="300"/>
      <c r="FT10" s="300"/>
      <c r="FU10" s="293"/>
      <c r="FV10" s="293"/>
      <c r="FW10" s="293"/>
      <c r="FX10" s="300"/>
      <c r="FY10" s="300"/>
      <c r="FZ10" s="300"/>
      <c r="GA10" s="300"/>
      <c r="GB10" s="300"/>
      <c r="GC10" s="300"/>
      <c r="GD10" s="300"/>
      <c r="GE10" s="300"/>
      <c r="GF10" s="300"/>
      <c r="GG10" s="300"/>
      <c r="GH10" s="300"/>
      <c r="GI10" s="300"/>
      <c r="GJ10" s="300"/>
      <c r="GK10" s="300"/>
      <c r="GL10" s="300"/>
      <c r="GM10" s="300"/>
    </row>
    <row r="11" spans="2:219" ht="20.25" customHeight="1">
      <c r="B11" s="373" t="s">
        <v>395</v>
      </c>
      <c r="C11" s="374"/>
      <c r="D11" s="374"/>
      <c r="E11" s="374"/>
      <c r="F11" s="374"/>
      <c r="G11" s="374"/>
      <c r="H11" s="374"/>
      <c r="I11" s="374"/>
      <c r="J11" s="374"/>
      <c r="K11" s="377" t="str">
        <f>INDEX($O$13:$O$15,MATCH(Q16,Q13:Q15,0))</f>
        <v>(528-1528)x300x10x14</v>
      </c>
      <c r="L11" s="377"/>
      <c r="M11" s="377"/>
      <c r="N11" s="378"/>
      <c r="O11" s="394" t="s">
        <v>438</v>
      </c>
      <c r="P11" s="394"/>
      <c r="Q11" s="394"/>
      <c r="Z11" s="74">
        <f>MAX(COUNTA(AB:AB)+21,23)</f>
        <v>256</v>
      </c>
      <c r="AA11" s="383" t="s">
        <v>101</v>
      </c>
      <c r="AB11" s="384"/>
      <c r="AC11" s="384"/>
      <c r="AD11" s="384"/>
      <c r="AE11" s="384"/>
      <c r="AF11" s="384"/>
      <c r="AG11" s="384"/>
      <c r="AH11" s="384"/>
      <c r="AI11" s="384"/>
      <c r="AJ11" s="384"/>
      <c r="AK11" s="384"/>
      <c r="AL11" s="384"/>
      <c r="AM11" s="384"/>
      <c r="AN11" s="384"/>
      <c r="AO11" s="384"/>
      <c r="AP11" s="384"/>
      <c r="AQ11" s="384"/>
      <c r="AR11" s="384"/>
      <c r="AS11" s="384"/>
      <c r="AT11" s="384"/>
      <c r="AU11" s="384"/>
      <c r="AV11" s="384"/>
      <c r="AW11" s="384"/>
      <c r="AX11" s="384"/>
      <c r="AY11" s="384"/>
      <c r="AZ11" s="384"/>
      <c r="BA11" s="384"/>
      <c r="BB11" s="384"/>
      <c r="BC11" s="384"/>
      <c r="BD11" s="384"/>
      <c r="BE11" s="384"/>
      <c r="BF11" s="384"/>
      <c r="BG11" s="384"/>
      <c r="BH11" s="384"/>
      <c r="BI11" s="384"/>
      <c r="BJ11" s="384"/>
      <c r="BK11" s="384"/>
      <c r="BL11" s="384"/>
      <c r="BM11" s="384"/>
      <c r="BN11" s="384"/>
      <c r="BO11" s="384"/>
      <c r="BP11" s="384"/>
      <c r="BQ11" s="384"/>
      <c r="BR11" s="384"/>
      <c r="BS11" s="384"/>
      <c r="BT11" s="384"/>
      <c r="BU11" s="384"/>
      <c r="BV11" s="384"/>
      <c r="BW11" s="384"/>
      <c r="BX11" s="384"/>
      <c r="BY11" s="384"/>
      <c r="BZ11" s="384"/>
      <c r="CA11" s="384"/>
      <c r="CB11" s="384"/>
      <c r="CC11" s="384"/>
      <c r="CD11" s="384"/>
      <c r="CE11" s="384"/>
      <c r="CF11" s="384"/>
      <c r="CG11" s="384"/>
      <c r="CH11" s="384"/>
      <c r="CI11" s="384"/>
      <c r="CJ11" s="384"/>
      <c r="CK11" s="384"/>
      <c r="CL11" s="384"/>
      <c r="CM11" s="384"/>
      <c r="CN11" s="384"/>
      <c r="CO11" s="384"/>
      <c r="CP11" s="384"/>
      <c r="CQ11" s="384"/>
      <c r="CR11" s="384"/>
      <c r="CS11" s="384"/>
      <c r="CT11" s="384"/>
      <c r="CU11" s="384"/>
      <c r="CV11" s="384"/>
      <c r="CW11" s="384"/>
      <c r="CX11" s="384"/>
      <c r="CY11" s="384"/>
      <c r="CZ11" s="384"/>
      <c r="DA11" s="384"/>
      <c r="DB11" s="384"/>
      <c r="DC11" s="384"/>
      <c r="DD11" s="384"/>
      <c r="DE11" s="384"/>
      <c r="DF11" s="384"/>
      <c r="DG11" s="384"/>
      <c r="DH11" s="384"/>
      <c r="DI11" s="384"/>
      <c r="DJ11" s="384"/>
      <c r="DK11" s="384"/>
      <c r="EA11" s="400" t="s">
        <v>101</v>
      </c>
      <c r="EB11" s="401"/>
      <c r="EC11" s="401"/>
      <c r="ED11" s="401"/>
      <c r="EE11" s="401"/>
      <c r="EF11" s="401"/>
      <c r="EG11" s="401"/>
      <c r="EH11" s="401"/>
      <c r="EI11" s="401"/>
      <c r="EJ11" s="401"/>
      <c r="EK11" s="401"/>
      <c r="EL11" s="401"/>
      <c r="EM11" s="401"/>
      <c r="EN11" s="401"/>
      <c r="EO11" s="401"/>
      <c r="EP11" s="401"/>
      <c r="EQ11" s="401"/>
      <c r="ER11" s="401"/>
      <c r="ES11" s="401"/>
      <c r="ET11" s="401"/>
      <c r="EU11" s="401"/>
      <c r="EV11" s="401"/>
      <c r="EW11" s="401"/>
      <c r="EX11" s="401"/>
      <c r="EY11" s="401"/>
      <c r="EZ11" s="401"/>
      <c r="FA11" s="401"/>
      <c r="FB11" s="401"/>
      <c r="FC11" s="401"/>
      <c r="FD11" s="401"/>
      <c r="FE11" s="401"/>
      <c r="FF11" s="401"/>
      <c r="FG11" s="401"/>
      <c r="FH11" s="401"/>
      <c r="FI11" s="401"/>
      <c r="FJ11" s="401"/>
      <c r="FK11" s="401"/>
      <c r="FL11" s="401"/>
      <c r="FM11" s="401"/>
      <c r="FN11" s="401"/>
      <c r="FO11" s="401"/>
      <c r="FP11" s="401"/>
      <c r="FQ11" s="401"/>
      <c r="FR11" s="401"/>
      <c r="FS11" s="401"/>
      <c r="FT11" s="401"/>
      <c r="FU11" s="401"/>
      <c r="FV11" s="401"/>
      <c r="FW11" s="401"/>
      <c r="FX11" s="401"/>
      <c r="FY11" s="401"/>
      <c r="FZ11" s="401"/>
      <c r="GA11" s="401"/>
      <c r="GB11" s="401"/>
      <c r="GC11" s="401"/>
      <c r="GD11" s="401"/>
      <c r="GE11" s="401"/>
      <c r="GF11" s="401"/>
      <c r="GG11" s="401"/>
      <c r="GH11" s="401"/>
      <c r="GI11" s="401"/>
      <c r="GJ11" s="401"/>
      <c r="GK11" s="401"/>
      <c r="GL11" s="401"/>
      <c r="GM11" s="401"/>
      <c r="GN11" s="401"/>
      <c r="GO11" s="401"/>
      <c r="GP11" s="401"/>
      <c r="GQ11" s="401"/>
      <c r="GR11" s="401"/>
      <c r="GS11" s="401"/>
      <c r="GT11" s="401"/>
      <c r="GU11" s="401"/>
      <c r="GV11" s="401"/>
      <c r="GW11" s="401"/>
      <c r="GX11" s="401"/>
      <c r="GY11" s="401"/>
      <c r="GZ11" s="401"/>
      <c r="HA11" s="401"/>
      <c r="HB11" s="401"/>
      <c r="HC11" s="401"/>
      <c r="HD11" s="401"/>
      <c r="HE11" s="401"/>
      <c r="HF11" s="401"/>
      <c r="HG11" s="401"/>
      <c r="HH11" s="401"/>
      <c r="HI11" s="401"/>
      <c r="HJ11" s="401"/>
      <c r="HK11" s="402"/>
    </row>
    <row r="12" spans="2:219" ht="12.75" customHeight="1">
      <c r="B12" s="375"/>
      <c r="C12" s="376"/>
      <c r="D12" s="376"/>
      <c r="E12" s="376"/>
      <c r="F12" s="376"/>
      <c r="G12" s="376"/>
      <c r="H12" s="376"/>
      <c r="I12" s="376"/>
      <c r="J12" s="376"/>
      <c r="K12" s="379"/>
      <c r="L12" s="379"/>
      <c r="M12" s="379"/>
      <c r="N12" s="380"/>
      <c r="Z12" s="75"/>
      <c r="AA12" s="385" t="s">
        <v>187</v>
      </c>
      <c r="AB12" s="386"/>
      <c r="AC12" s="386"/>
      <c r="AD12" s="386"/>
      <c r="AE12" s="386"/>
      <c r="AF12" s="386"/>
      <c r="AG12" s="386"/>
      <c r="AH12" s="386"/>
      <c r="AI12" s="386"/>
      <c r="AJ12" s="386"/>
      <c r="AK12" s="386"/>
      <c r="AL12" s="386"/>
      <c r="AM12" s="386"/>
      <c r="AN12" s="386"/>
      <c r="AO12" s="386"/>
      <c r="AP12" s="386"/>
      <c r="AQ12" s="386"/>
      <c r="AR12" s="386"/>
      <c r="AS12" s="386"/>
      <c r="AT12" s="386"/>
      <c r="AU12" s="386"/>
      <c r="AV12" s="386"/>
      <c r="AW12" s="386"/>
      <c r="AX12" s="386"/>
      <c r="AY12" s="386"/>
      <c r="AZ12" s="386"/>
      <c r="BA12" s="386"/>
      <c r="BB12" s="386"/>
      <c r="BC12" s="386"/>
      <c r="BD12" s="386"/>
      <c r="BE12" s="386"/>
      <c r="BF12" s="386"/>
      <c r="BG12" s="386"/>
      <c r="BH12" s="386"/>
      <c r="BI12" s="386"/>
      <c r="BJ12" s="386"/>
      <c r="BK12" s="386"/>
      <c r="BL12" s="386"/>
      <c r="BM12" s="386"/>
      <c r="BN12" s="386"/>
      <c r="BO12" s="386"/>
      <c r="BP12" s="386"/>
      <c r="BQ12" s="386"/>
      <c r="BR12" s="386"/>
      <c r="BS12" s="386"/>
      <c r="BT12" s="386"/>
      <c r="BU12" s="386"/>
      <c r="BV12" s="386"/>
      <c r="BW12" s="386"/>
      <c r="BX12" s="386"/>
      <c r="BY12" s="386"/>
      <c r="BZ12" s="386"/>
      <c r="CA12" s="386"/>
      <c r="CB12" s="386"/>
      <c r="CC12" s="386"/>
      <c r="CD12" s="386"/>
      <c r="CE12" s="386"/>
      <c r="CF12" s="386"/>
      <c r="CG12" s="386"/>
      <c r="CH12" s="386"/>
      <c r="CI12" s="386"/>
      <c r="CJ12" s="386"/>
      <c r="CK12" s="386"/>
      <c r="CL12" s="386"/>
      <c r="CM12" s="386"/>
      <c r="CN12" s="386"/>
      <c r="CO12" s="386"/>
      <c r="CP12" s="386"/>
      <c r="CQ12" s="386"/>
      <c r="CR12" s="386"/>
      <c r="CS12" s="386"/>
      <c r="CT12" s="386"/>
      <c r="CU12" s="386"/>
      <c r="CV12" s="386"/>
      <c r="CW12" s="386"/>
      <c r="CX12" s="386"/>
      <c r="CY12" s="386"/>
      <c r="CZ12" s="386"/>
      <c r="DA12" s="386"/>
      <c r="DB12" s="386"/>
      <c r="DC12" s="386"/>
      <c r="DD12" s="386"/>
      <c r="DE12" s="386"/>
      <c r="DF12" s="386"/>
      <c r="DG12" s="386"/>
      <c r="DH12" s="386"/>
      <c r="DI12" s="386"/>
      <c r="DJ12" s="386"/>
      <c r="DK12" s="386"/>
      <c r="EA12" s="397" t="s">
        <v>187</v>
      </c>
      <c r="EB12" s="398"/>
      <c r="EC12" s="398"/>
      <c r="ED12" s="398"/>
      <c r="EE12" s="398"/>
      <c r="EF12" s="398"/>
      <c r="EG12" s="398"/>
      <c r="EH12" s="398"/>
      <c r="EI12" s="398"/>
      <c r="EJ12" s="398"/>
      <c r="EK12" s="398"/>
      <c r="EL12" s="398"/>
      <c r="EM12" s="398"/>
      <c r="EN12" s="398"/>
      <c r="EO12" s="398"/>
      <c r="EP12" s="398"/>
      <c r="EQ12" s="398"/>
      <c r="ER12" s="398"/>
      <c r="ES12" s="398"/>
      <c r="ET12" s="398"/>
      <c r="EU12" s="398"/>
      <c r="EV12" s="398"/>
      <c r="EW12" s="398"/>
      <c r="EX12" s="398"/>
      <c r="EY12" s="398"/>
      <c r="EZ12" s="398"/>
      <c r="FA12" s="398"/>
      <c r="FB12" s="398"/>
      <c r="FC12" s="398"/>
      <c r="FD12" s="398"/>
      <c r="FE12" s="398"/>
      <c r="FF12" s="398"/>
      <c r="FG12" s="398"/>
      <c r="FH12" s="398"/>
      <c r="FI12" s="398"/>
      <c r="FJ12" s="398"/>
      <c r="FK12" s="398"/>
      <c r="FL12" s="398"/>
      <c r="FM12" s="398"/>
      <c r="FN12" s="398"/>
      <c r="FO12" s="398"/>
      <c r="FP12" s="398"/>
      <c r="FQ12" s="398"/>
      <c r="FR12" s="398"/>
      <c r="FS12" s="398"/>
      <c r="FT12" s="398"/>
      <c r="FU12" s="398"/>
      <c r="FV12" s="398"/>
      <c r="FW12" s="398"/>
      <c r="FX12" s="398"/>
      <c r="FY12" s="398"/>
      <c r="FZ12" s="398"/>
      <c r="GA12" s="398"/>
      <c r="GB12" s="398"/>
      <c r="GC12" s="398"/>
      <c r="GD12" s="398"/>
      <c r="GE12" s="398"/>
      <c r="GF12" s="398"/>
      <c r="GG12" s="398"/>
      <c r="GH12" s="398"/>
      <c r="GI12" s="398"/>
      <c r="GJ12" s="398"/>
      <c r="GK12" s="398"/>
      <c r="GL12" s="398"/>
      <c r="GM12" s="398"/>
      <c r="GN12" s="398"/>
      <c r="GO12" s="398"/>
      <c r="GP12" s="398"/>
      <c r="GQ12" s="398"/>
      <c r="GR12" s="398"/>
      <c r="GS12" s="398"/>
      <c r="GT12" s="398"/>
      <c r="GU12" s="398"/>
      <c r="GV12" s="398"/>
      <c r="GW12" s="398"/>
      <c r="GX12" s="398"/>
      <c r="GY12" s="398"/>
      <c r="GZ12" s="398"/>
      <c r="HA12" s="398"/>
      <c r="HB12" s="398"/>
      <c r="HC12" s="398"/>
      <c r="HD12" s="398"/>
      <c r="HE12" s="398"/>
      <c r="HF12" s="398"/>
      <c r="HG12" s="398"/>
      <c r="HH12" s="398"/>
      <c r="HI12" s="398"/>
      <c r="HJ12" s="398"/>
      <c r="HK12" s="399"/>
    </row>
    <row r="13" spans="2:219" ht="15" customHeight="1">
      <c r="B13" s="381" t="s">
        <v>0</v>
      </c>
      <c r="C13" s="382"/>
      <c r="D13" s="382"/>
      <c r="E13" s="245"/>
      <c r="F13" s="245"/>
      <c r="G13" s="245"/>
      <c r="H13" s="245"/>
      <c r="I13" s="245"/>
      <c r="J13" s="245"/>
      <c r="K13" s="245"/>
      <c r="L13" s="245"/>
      <c r="M13" s="245"/>
      <c r="N13" s="7"/>
      <c r="O13" s="237" t="s">
        <v>488</v>
      </c>
      <c r="P13" s="129"/>
      <c r="Q13" s="129" t="s">
        <v>441</v>
      </c>
      <c r="AA13" s="8" t="s">
        <v>34</v>
      </c>
      <c r="AB13" s="76"/>
      <c r="AC13" s="57"/>
      <c r="AD13" s="57"/>
      <c r="AE13" s="29"/>
      <c r="AF13" s="29"/>
      <c r="AG13" s="29"/>
      <c r="AH13" s="28"/>
      <c r="AI13" s="28"/>
      <c r="AJ13" s="28"/>
      <c r="AK13" s="31"/>
      <c r="AL13" s="31"/>
      <c r="AM13" s="32"/>
      <c r="AN13" s="2"/>
      <c r="AO13" s="2"/>
      <c r="AP13" s="2"/>
      <c r="AQ13" s="2"/>
      <c r="AR13" s="2"/>
      <c r="AS13" s="2"/>
      <c r="AT13" s="2"/>
      <c r="AU13" s="2"/>
      <c r="AV13" s="2"/>
      <c r="AW13" s="97"/>
      <c r="AX13" s="97"/>
      <c r="AY13" s="97"/>
      <c r="AZ13" s="97"/>
      <c r="BA13" s="97"/>
      <c r="BB13" s="97"/>
      <c r="BC13" s="97"/>
      <c r="BD13" s="97"/>
      <c r="BE13" s="29"/>
      <c r="BF13" s="33"/>
      <c r="BG13" s="33"/>
      <c r="BH13" s="33"/>
      <c r="BI13" s="33"/>
      <c r="BJ13" s="33"/>
      <c r="BK13" s="33"/>
      <c r="BL13" s="89"/>
      <c r="BM13" s="89"/>
      <c r="BN13" s="33"/>
      <c r="BO13" s="33"/>
      <c r="BP13" s="33"/>
      <c r="BQ13" s="33"/>
      <c r="BR13" s="33"/>
      <c r="BS13" s="33"/>
      <c r="BT13" s="33"/>
      <c r="BU13" s="57"/>
      <c r="BV13" s="57"/>
      <c r="BW13" s="57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DH13" s="391" t="s">
        <v>435</v>
      </c>
      <c r="DI13" s="391"/>
      <c r="DJ13" s="391"/>
      <c r="DK13" s="391"/>
      <c r="EA13" s="8" t="s">
        <v>34</v>
      </c>
      <c r="EB13" s="76"/>
      <c r="EC13" s="57"/>
      <c r="ED13" s="57"/>
      <c r="EE13" s="29"/>
      <c r="EF13" s="29"/>
      <c r="EG13" s="29"/>
      <c r="EH13" s="28"/>
      <c r="EI13" s="28"/>
      <c r="EJ13" s="28"/>
      <c r="EK13" s="31"/>
      <c r="EL13" s="31"/>
      <c r="EM13" s="32"/>
      <c r="EN13" s="2"/>
      <c r="EO13" s="2"/>
      <c r="EP13" s="2"/>
      <c r="EQ13" s="2"/>
      <c r="ER13" s="2"/>
      <c r="ES13" s="2"/>
      <c r="ET13" s="2"/>
      <c r="EU13" s="2"/>
      <c r="EV13" s="2"/>
      <c r="EW13" s="97"/>
      <c r="EX13" s="97"/>
      <c r="EY13" s="97"/>
      <c r="EZ13" s="97"/>
      <c r="FA13" s="97"/>
      <c r="FB13" s="97"/>
      <c r="FC13" s="97"/>
      <c r="FD13" s="301"/>
      <c r="FE13" s="89"/>
      <c r="FF13" s="302" t="s">
        <v>444</v>
      </c>
      <c r="FG13" s="303" t="s">
        <v>445</v>
      </c>
      <c r="FH13" s="89"/>
      <c r="FI13" s="89"/>
      <c r="FJ13" s="89"/>
      <c r="FK13" s="89"/>
      <c r="FL13" s="89"/>
      <c r="FM13" s="89"/>
      <c r="FN13" s="33"/>
      <c r="FO13" s="33"/>
      <c r="FP13" s="33"/>
      <c r="FQ13" s="33"/>
      <c r="FR13" s="33"/>
      <c r="FS13" s="33"/>
      <c r="FT13" s="33"/>
      <c r="FU13" s="57"/>
      <c r="FV13" s="57"/>
      <c r="FW13" s="57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HA13" s="2" t="s">
        <v>482</v>
      </c>
      <c r="HB13" s="2" t="s">
        <v>169</v>
      </c>
      <c r="HK13" s="10"/>
    </row>
    <row r="14" spans="2:219">
      <c r="B14" s="8" t="s">
        <v>22</v>
      </c>
      <c r="C14" s="245"/>
      <c r="D14" s="245"/>
      <c r="E14" s="245"/>
      <c r="F14" s="245"/>
      <c r="G14" s="245"/>
      <c r="H14" s="246"/>
      <c r="I14" s="247"/>
      <c r="J14" s="245"/>
      <c r="K14" s="2"/>
      <c r="L14" s="2"/>
      <c r="M14" s="2"/>
      <c r="N14" s="7"/>
      <c r="O14" s="237" t="str" cm="1">
        <f t="array" ref="O14">_xll.Dce_Name_SectI($F$15,$F$16,$F$18,$F$17,$F$19,"x","-",Q14)</f>
        <v>(528-1528)x300x10x14</v>
      </c>
      <c r="P14" s="129"/>
      <c r="Q14" s="129" t="s">
        <v>438</v>
      </c>
      <c r="AA14" s="11"/>
      <c r="AB14" s="29"/>
      <c r="AC14" s="387" t="s">
        <v>32</v>
      </c>
      <c r="AD14" s="387"/>
      <c r="AE14" s="29"/>
      <c r="AF14" s="29"/>
      <c r="AG14" s="29"/>
      <c r="AH14" s="28"/>
      <c r="AI14" s="28"/>
      <c r="AJ14" s="28"/>
      <c r="AK14" s="31"/>
      <c r="AL14" s="31"/>
      <c r="AM14" s="32"/>
      <c r="AN14" s="2"/>
      <c r="AO14" s="2"/>
      <c r="AP14" s="2"/>
      <c r="AQ14" s="2"/>
      <c r="AR14" s="2"/>
      <c r="AS14" s="2"/>
      <c r="AT14" s="2"/>
      <c r="AU14" s="2"/>
      <c r="AV14" s="2"/>
      <c r="AW14" s="97"/>
      <c r="AX14" s="97"/>
      <c r="AY14" s="97"/>
      <c r="AZ14" s="97"/>
      <c r="BA14" s="97"/>
      <c r="BB14" s="97"/>
      <c r="BC14" s="97"/>
      <c r="BD14" s="97"/>
      <c r="BE14" s="30" t="s">
        <v>33</v>
      </c>
      <c r="BF14" s="218">
        <f>B28</f>
        <v>206000</v>
      </c>
      <c r="BG14" s="31" t="s">
        <v>47</v>
      </c>
      <c r="BH14" s="218"/>
      <c r="BI14" s="33"/>
      <c r="BJ14" s="34"/>
      <c r="BK14" s="4"/>
      <c r="BL14" s="31"/>
      <c r="BM14" s="31"/>
      <c r="BN14" s="4"/>
      <c r="BO14" s="4"/>
      <c r="BP14" s="4"/>
      <c r="BQ14" s="4"/>
      <c r="BR14" s="4"/>
      <c r="BS14" s="4"/>
      <c r="BT14" s="4"/>
      <c r="BU14" s="78"/>
      <c r="BV14" s="78"/>
      <c r="BW14" s="78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DH14" s="392" t="s">
        <v>433</v>
      </c>
      <c r="DI14" s="393"/>
      <c r="DJ14" s="389" t="s">
        <v>439</v>
      </c>
      <c r="DK14" s="389"/>
      <c r="EA14" s="11"/>
      <c r="EB14" s="387" t="s">
        <v>32</v>
      </c>
      <c r="EC14" s="387"/>
      <c r="ED14" s="57"/>
      <c r="EE14" s="29"/>
      <c r="EF14" s="29"/>
      <c r="EG14" s="30"/>
      <c r="EH14" s="388"/>
      <c r="EI14" s="388"/>
      <c r="EJ14" s="31"/>
      <c r="EK14" s="31"/>
      <c r="EL14" s="31"/>
      <c r="EM14" s="32"/>
      <c r="EN14" s="2"/>
      <c r="EO14" s="2"/>
      <c r="EP14" s="2"/>
      <c r="EQ14" s="2"/>
      <c r="ER14" s="2"/>
      <c r="ES14" s="2"/>
      <c r="ET14" s="2"/>
      <c r="EU14" s="2"/>
      <c r="EV14" s="2"/>
      <c r="EW14" s="97"/>
      <c r="EX14" s="97"/>
      <c r="EY14" s="97"/>
      <c r="EZ14" s="97"/>
      <c r="FA14" s="97"/>
      <c r="FB14" s="97"/>
      <c r="FC14" s="97"/>
      <c r="FD14" s="301"/>
      <c r="FE14" s="306"/>
      <c r="FF14" s="302" t="s">
        <v>446</v>
      </c>
      <c r="FG14" s="303" t="s">
        <v>447</v>
      </c>
      <c r="FH14" s="89"/>
      <c r="FI14" s="306"/>
      <c r="FJ14" s="306"/>
      <c r="FK14" s="31"/>
      <c r="FL14" s="31"/>
      <c r="FM14" s="31"/>
      <c r="FN14" s="4"/>
      <c r="FO14" s="4"/>
      <c r="FP14" s="4"/>
      <c r="FQ14" s="4"/>
      <c r="FR14" s="4"/>
      <c r="FS14" s="4"/>
      <c r="FT14" s="4"/>
      <c r="FU14" s="78"/>
      <c r="FV14" s="78"/>
      <c r="FW14" s="78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HK14" s="10"/>
    </row>
    <row r="15" spans="2:219" ht="15">
      <c r="B15" s="172" t="s">
        <v>396</v>
      </c>
      <c r="C15" s="245"/>
      <c r="D15" s="245"/>
      <c r="E15" s="246" t="s">
        <v>238</v>
      </c>
      <c r="F15" s="248">
        <v>528</v>
      </c>
      <c r="G15" s="245" t="s">
        <v>1</v>
      </c>
      <c r="H15" s="2"/>
      <c r="I15" s="2"/>
      <c r="J15" s="2"/>
      <c r="K15" s="2"/>
      <c r="L15" s="2"/>
      <c r="M15" s="2"/>
      <c r="N15" s="10"/>
      <c r="O15" s="237" t="str" cm="1">
        <f t="array" ref="O15">_xll.Dce_Name_SectI($F$15,$F$16,$F$18,$F$17,$F$19,"x","-",Q15)</f>
        <v>(500-1500)x10+300x14</v>
      </c>
      <c r="P15" s="129"/>
      <c r="Q15" s="129" t="s">
        <v>442</v>
      </c>
      <c r="AA15" s="11"/>
      <c r="AB15" s="29"/>
      <c r="AC15" s="388" t="str">
        <f>C25</f>
        <v>CCT38</v>
      </c>
      <c r="AD15" s="388"/>
      <c r="AE15" s="29"/>
      <c r="AF15" s="29"/>
      <c r="AG15" s="29"/>
      <c r="AH15" s="28"/>
      <c r="AI15" s="28"/>
      <c r="AJ15" s="28"/>
      <c r="AK15" s="31"/>
      <c r="AL15" s="31"/>
      <c r="AM15" s="32"/>
      <c r="AN15" s="2"/>
      <c r="AO15" s="2"/>
      <c r="AP15" s="2"/>
      <c r="AQ15" s="2"/>
      <c r="AR15" s="2"/>
      <c r="AS15" s="2"/>
      <c r="AT15" s="2"/>
      <c r="AU15" s="2"/>
      <c r="AV15" s="2"/>
      <c r="AW15" s="97"/>
      <c r="AX15" s="97"/>
      <c r="AY15" s="97"/>
      <c r="AZ15" s="97"/>
      <c r="BA15" s="97"/>
      <c r="BB15" s="97"/>
      <c r="BC15" s="97"/>
      <c r="BD15" s="97"/>
      <c r="BE15" s="30" t="s">
        <v>59</v>
      </c>
      <c r="BF15" s="218">
        <f>C28</f>
        <v>240</v>
      </c>
      <c r="BG15" s="31" t="s">
        <v>47</v>
      </c>
      <c r="BH15" s="218"/>
      <c r="BI15" s="33"/>
      <c r="BJ15" s="34"/>
      <c r="BK15" s="4"/>
      <c r="BL15" s="31"/>
      <c r="BM15" s="31"/>
      <c r="BN15" s="4"/>
      <c r="BO15" s="4"/>
      <c r="BP15" s="4"/>
      <c r="BQ15" s="4"/>
      <c r="BR15" s="4"/>
      <c r="BS15" s="4"/>
      <c r="BT15" s="4"/>
      <c r="BU15" s="78"/>
      <c r="BV15" s="78"/>
      <c r="BW15" s="78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DH15" s="392" t="s">
        <v>29</v>
      </c>
      <c r="DI15" s="393"/>
      <c r="DJ15" s="390">
        <f>IF(DJ14="Cột chính",180,210)</f>
        <v>210</v>
      </c>
      <c r="DK15" s="390"/>
      <c r="EA15" s="11"/>
      <c r="EB15" s="388" t="str">
        <f>AC15</f>
        <v>CCT38</v>
      </c>
      <c r="EC15" s="388"/>
      <c r="ED15" s="57"/>
      <c r="EE15" s="29"/>
      <c r="EF15" s="29"/>
      <c r="EG15" s="30"/>
      <c r="EH15" s="388"/>
      <c r="EI15" s="388"/>
      <c r="EJ15" s="31"/>
      <c r="EK15" s="31"/>
      <c r="EL15" s="31"/>
      <c r="EM15" s="32"/>
      <c r="EN15" s="2"/>
      <c r="EO15" s="2"/>
      <c r="EP15" s="2"/>
      <c r="EQ15" s="2"/>
      <c r="ER15" s="2"/>
      <c r="ES15" s="2"/>
      <c r="ET15" s="2"/>
      <c r="EU15" s="2"/>
      <c r="EV15" s="2"/>
      <c r="EW15" s="97"/>
      <c r="EX15" s="97"/>
      <c r="EY15" s="97"/>
      <c r="EZ15" s="97"/>
      <c r="FA15" s="97"/>
      <c r="FB15" s="97"/>
      <c r="FC15" s="97"/>
      <c r="FD15" s="301"/>
      <c r="FE15" s="306"/>
      <c r="FF15" s="302" t="s">
        <v>448</v>
      </c>
      <c r="FG15" s="303" t="s">
        <v>449</v>
      </c>
      <c r="FH15" s="89"/>
      <c r="FI15" s="306"/>
      <c r="FJ15" s="306"/>
      <c r="FK15" s="31"/>
      <c r="FL15" s="31"/>
      <c r="FM15" s="31"/>
      <c r="FN15" s="4"/>
      <c r="FO15" s="4"/>
      <c r="FP15" s="4"/>
      <c r="FQ15" s="4"/>
      <c r="FR15" s="4"/>
      <c r="FS15" s="4"/>
      <c r="FT15" s="4"/>
      <c r="FU15" s="78"/>
      <c r="FV15" s="78"/>
      <c r="FW15" s="78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HK15" s="10"/>
    </row>
    <row r="16" spans="2:219" ht="15" customHeight="1">
      <c r="B16" s="172" t="s">
        <v>397</v>
      </c>
      <c r="C16" s="245"/>
      <c r="D16" s="245"/>
      <c r="E16" s="246" t="s">
        <v>239</v>
      </c>
      <c r="F16" s="248">
        <v>1528</v>
      </c>
      <c r="G16" s="245" t="s">
        <v>1</v>
      </c>
      <c r="H16" s="2"/>
      <c r="I16" s="2"/>
      <c r="J16" s="2"/>
      <c r="K16" s="2"/>
      <c r="L16" s="2"/>
      <c r="M16" s="2"/>
      <c r="N16" s="10"/>
      <c r="O16" s="237" t="s">
        <v>443</v>
      </c>
      <c r="P16" s="129"/>
      <c r="Q16" s="224" t="s">
        <v>438</v>
      </c>
      <c r="AA16" s="11"/>
      <c r="AB16" s="29"/>
      <c r="AC16" s="35" t="s">
        <v>61</v>
      </c>
      <c r="AD16" s="4">
        <f>F28</f>
        <v>0.95</v>
      </c>
      <c r="AE16" s="29"/>
      <c r="AF16" s="29"/>
      <c r="AG16" s="29"/>
      <c r="AH16" s="28"/>
      <c r="AI16" s="28"/>
      <c r="AJ16" s="28"/>
      <c r="AK16" s="31"/>
      <c r="AL16" s="31"/>
      <c r="AM16" s="32"/>
      <c r="AN16" s="2"/>
      <c r="AO16" s="2"/>
      <c r="AP16" s="2"/>
      <c r="AQ16" s="2"/>
      <c r="AR16" s="2"/>
      <c r="AS16" s="2"/>
      <c r="AT16" s="2"/>
      <c r="AU16" s="2"/>
      <c r="AV16" s="2"/>
      <c r="AW16" s="97"/>
      <c r="AX16" s="97"/>
      <c r="AY16" s="97"/>
      <c r="AZ16" s="97"/>
      <c r="BA16" s="97"/>
      <c r="BB16" s="97"/>
      <c r="BC16" s="97"/>
      <c r="BD16" s="97"/>
      <c r="BE16" s="30" t="s">
        <v>144</v>
      </c>
      <c r="BF16" s="217">
        <f>BF15/AD17</f>
        <v>228.57142857142856</v>
      </c>
      <c r="BG16" s="31" t="s">
        <v>47</v>
      </c>
      <c r="BH16" s="217"/>
      <c r="BI16" s="33"/>
      <c r="BJ16" s="34"/>
      <c r="BK16" s="4"/>
      <c r="BL16" s="31"/>
      <c r="BM16" s="31"/>
      <c r="BN16" s="4"/>
      <c r="BO16" s="4"/>
      <c r="BP16" s="4"/>
      <c r="BQ16" s="4"/>
      <c r="BR16" s="4"/>
      <c r="BS16" s="4"/>
      <c r="BT16" s="4"/>
      <c r="BU16" s="78"/>
      <c r="BV16" s="78"/>
      <c r="BW16" s="78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DH16" s="392" t="s">
        <v>436</v>
      </c>
      <c r="DI16" s="393"/>
      <c r="DJ16" s="390" t="s">
        <v>237</v>
      </c>
      <c r="DK16" s="390"/>
      <c r="EA16" s="11"/>
      <c r="EB16" s="35" t="s">
        <v>61</v>
      </c>
      <c r="EC16" s="4">
        <f>AD16</f>
        <v>0.95</v>
      </c>
      <c r="ED16" s="57"/>
      <c r="EE16" s="29"/>
      <c r="EF16" s="29"/>
      <c r="EG16" s="30"/>
      <c r="EH16" s="403"/>
      <c r="EI16" s="403"/>
      <c r="EJ16" s="31"/>
      <c r="EK16" s="31"/>
      <c r="EL16" s="31"/>
      <c r="EM16" s="32"/>
      <c r="EN16" s="2"/>
      <c r="EO16" s="2"/>
      <c r="EP16" s="2"/>
      <c r="EQ16" s="2"/>
      <c r="ER16" s="2"/>
      <c r="ES16" s="2"/>
      <c r="ET16" s="2"/>
      <c r="EU16" s="2"/>
      <c r="EV16" s="2"/>
      <c r="EW16" s="97"/>
      <c r="EX16" s="97"/>
      <c r="EY16" s="97"/>
      <c r="EZ16" s="97"/>
      <c r="FA16" s="97"/>
      <c r="FB16" s="97"/>
      <c r="FC16" s="97"/>
      <c r="FD16" s="301"/>
      <c r="FE16" s="306"/>
      <c r="FF16" s="302" t="s">
        <v>450</v>
      </c>
      <c r="FG16" s="303" t="s">
        <v>451</v>
      </c>
      <c r="FH16" s="89"/>
      <c r="FI16" s="306"/>
      <c r="FJ16" s="306"/>
      <c r="FK16" s="31"/>
      <c r="FL16" s="31"/>
      <c r="FM16" s="31"/>
      <c r="FN16" s="4"/>
      <c r="FO16" s="4"/>
      <c r="FP16" s="4"/>
      <c r="FQ16" s="4"/>
      <c r="FR16" s="4"/>
      <c r="FS16" s="4"/>
      <c r="FT16" s="4"/>
      <c r="FU16" s="78"/>
      <c r="FV16" s="78"/>
      <c r="FW16" s="78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HK16" s="10"/>
    </row>
    <row r="17" spans="2:219" ht="15">
      <c r="B17" s="172" t="s">
        <v>398</v>
      </c>
      <c r="C17" s="245"/>
      <c r="D17" s="245"/>
      <c r="E17" s="246" t="s">
        <v>53</v>
      </c>
      <c r="F17" s="249">
        <v>10</v>
      </c>
      <c r="G17" s="245" t="s">
        <v>1</v>
      </c>
      <c r="H17" s="2"/>
      <c r="I17" s="2"/>
      <c r="J17" s="2"/>
      <c r="K17" s="2"/>
      <c r="L17" s="2"/>
      <c r="M17" s="2"/>
      <c r="N17" s="10"/>
      <c r="AA17" s="11"/>
      <c r="AB17" s="29"/>
      <c r="AC17" s="35" t="s">
        <v>62</v>
      </c>
      <c r="AD17" s="4">
        <f>E28</f>
        <v>1.05</v>
      </c>
      <c r="AE17" s="29"/>
      <c r="AF17" s="29"/>
      <c r="AG17" s="29"/>
      <c r="AH17" s="28"/>
      <c r="AI17" s="28"/>
      <c r="AJ17" s="28"/>
      <c r="AK17" s="31"/>
      <c r="AL17" s="31"/>
      <c r="AM17" s="32"/>
      <c r="AN17" s="2"/>
      <c r="AO17" s="2"/>
      <c r="AP17" s="2"/>
      <c r="AQ17" s="2"/>
      <c r="AR17" s="2"/>
      <c r="AS17" s="2"/>
      <c r="AT17" s="2"/>
      <c r="AU17" s="2"/>
      <c r="AV17" s="2"/>
      <c r="AW17" s="97"/>
      <c r="AX17" s="97"/>
      <c r="AY17" s="97"/>
      <c r="AZ17" s="97"/>
      <c r="BA17" s="97"/>
      <c r="BB17" s="97"/>
      <c r="BC17" s="97"/>
      <c r="BD17" s="97"/>
      <c r="BE17" s="30" t="s">
        <v>60</v>
      </c>
      <c r="BF17" s="217">
        <f>0.58*BF15/AD17</f>
        <v>132.57142857142856</v>
      </c>
      <c r="BG17" s="31" t="s">
        <v>47</v>
      </c>
      <c r="BH17" s="217"/>
      <c r="BI17" s="33"/>
      <c r="BJ17" s="33"/>
      <c r="BK17" s="33"/>
      <c r="BL17" s="89"/>
      <c r="BM17" s="89"/>
      <c r="BN17" s="33"/>
      <c r="BO17" s="33"/>
      <c r="BP17" s="33"/>
      <c r="BQ17" s="33"/>
      <c r="BR17" s="33"/>
      <c r="BS17" s="33"/>
      <c r="BT17" s="33"/>
      <c r="BU17" s="57"/>
      <c r="BV17" s="57"/>
      <c r="BW17" s="57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EA17" s="11"/>
      <c r="EB17" s="35" t="s">
        <v>62</v>
      </c>
      <c r="EC17" s="4">
        <f>AD17</f>
        <v>1.05</v>
      </c>
      <c r="ED17" s="57"/>
      <c r="EE17" s="29"/>
      <c r="EF17" s="29"/>
      <c r="EG17" s="30"/>
      <c r="EH17" s="403"/>
      <c r="EI17" s="403"/>
      <c r="EJ17" s="31"/>
      <c r="EK17" s="31"/>
      <c r="EL17" s="31"/>
      <c r="EM17" s="32"/>
      <c r="EN17" s="2"/>
      <c r="EO17" s="2"/>
      <c r="EP17" s="2"/>
      <c r="EQ17" s="2"/>
      <c r="ER17" s="2"/>
      <c r="ES17" s="2"/>
      <c r="ET17" s="2"/>
      <c r="EU17" s="2"/>
      <c r="EV17" s="2"/>
      <c r="EW17" s="97"/>
      <c r="EX17" s="97"/>
      <c r="EY17" s="97"/>
      <c r="EZ17" s="97"/>
      <c r="FA17" s="97"/>
      <c r="FB17" s="97"/>
      <c r="FC17" s="97"/>
      <c r="FD17" s="301"/>
      <c r="FE17" s="89"/>
      <c r="FF17" s="302" t="s">
        <v>452</v>
      </c>
      <c r="FG17" s="303" t="s">
        <v>453</v>
      </c>
      <c r="FH17" s="89"/>
      <c r="FI17" s="89"/>
      <c r="FJ17" s="89"/>
      <c r="FK17" s="89"/>
      <c r="FL17" s="89"/>
      <c r="FM17" s="89"/>
      <c r="FN17" s="33"/>
      <c r="FO17" s="33"/>
      <c r="FP17" s="33"/>
      <c r="FQ17" s="33"/>
      <c r="FR17" s="33"/>
      <c r="FS17" s="33"/>
      <c r="FT17" s="33"/>
      <c r="FU17" s="57"/>
      <c r="FV17" s="57"/>
      <c r="FW17" s="57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HK17" s="10"/>
    </row>
    <row r="18" spans="2:219" ht="15">
      <c r="B18" s="172" t="s">
        <v>399</v>
      </c>
      <c r="C18" s="245"/>
      <c r="D18" s="245"/>
      <c r="E18" s="246" t="s">
        <v>81</v>
      </c>
      <c r="F18" s="249">
        <v>300</v>
      </c>
      <c r="G18" s="245" t="s">
        <v>1</v>
      </c>
      <c r="H18" s="2"/>
      <c r="I18" s="2"/>
      <c r="J18" s="2"/>
      <c r="K18" s="2"/>
      <c r="L18" s="2"/>
      <c r="M18" s="2"/>
      <c r="N18" s="10"/>
      <c r="O18" s="424" t="s">
        <v>481</v>
      </c>
      <c r="P18" s="425"/>
      <c r="Q18" s="425"/>
      <c r="AA18" s="36" t="s">
        <v>35</v>
      </c>
      <c r="AB18" s="37"/>
      <c r="AC18" s="58"/>
      <c r="AD18" s="58"/>
      <c r="AE18" s="38"/>
      <c r="AF18" s="38"/>
      <c r="AG18" s="38"/>
      <c r="AH18" s="39"/>
      <c r="AI18" s="40"/>
      <c r="AJ18" s="434"/>
      <c r="AK18" s="434"/>
      <c r="AL18" s="40"/>
      <c r="AM18" s="41"/>
      <c r="AN18" s="12"/>
      <c r="AO18" s="12"/>
      <c r="AP18" s="12"/>
      <c r="AQ18" s="12"/>
      <c r="AR18" s="12"/>
      <c r="AS18" s="12"/>
      <c r="AT18" s="12"/>
      <c r="AU18" s="12"/>
      <c r="AV18" s="12"/>
      <c r="AW18" s="98"/>
      <c r="AX18" s="98"/>
      <c r="AY18" s="98"/>
      <c r="AZ18" s="98"/>
      <c r="BA18" s="98"/>
      <c r="BB18" s="98"/>
      <c r="BC18" s="98"/>
      <c r="BD18" s="98"/>
      <c r="BE18" s="38"/>
      <c r="BF18" s="42"/>
      <c r="BG18" s="42"/>
      <c r="BH18" s="42"/>
      <c r="BI18" s="42"/>
      <c r="BJ18" s="42"/>
      <c r="BK18" s="42"/>
      <c r="BL18" s="90"/>
      <c r="BM18" s="90"/>
      <c r="BN18" s="42"/>
      <c r="BO18" s="42"/>
      <c r="BP18" s="42"/>
      <c r="BQ18" s="42"/>
      <c r="BR18" s="42"/>
      <c r="BS18" s="42"/>
      <c r="BT18" s="42"/>
      <c r="BU18" s="58"/>
      <c r="BV18" s="58"/>
      <c r="BW18" s="58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EA18" s="8" t="s">
        <v>35</v>
      </c>
      <c r="EB18" s="76"/>
      <c r="EC18" s="57"/>
      <c r="ED18" s="57"/>
      <c r="EE18" s="29"/>
      <c r="EF18" s="29"/>
      <c r="EG18" s="29"/>
      <c r="EH18" s="28"/>
      <c r="EI18" s="31"/>
      <c r="EJ18" s="388"/>
      <c r="EK18" s="388"/>
      <c r="EL18" s="31"/>
      <c r="EM18" s="32"/>
      <c r="EN18" s="2"/>
      <c r="EO18" s="2"/>
      <c r="EP18" s="2"/>
      <c r="EQ18" s="2"/>
      <c r="ER18" s="2"/>
      <c r="ES18" s="2"/>
      <c r="ET18" s="2"/>
      <c r="EU18" s="2"/>
      <c r="EV18" s="2"/>
      <c r="EW18" s="97"/>
      <c r="EX18" s="97"/>
      <c r="EY18" s="97"/>
      <c r="EZ18" s="97"/>
      <c r="FA18" s="97"/>
      <c r="FB18" s="97"/>
      <c r="FC18" s="97"/>
      <c r="FD18" s="301"/>
      <c r="FE18" s="89"/>
      <c r="FF18" s="302" t="s">
        <v>454</v>
      </c>
      <c r="FG18" s="303" t="s">
        <v>184</v>
      </c>
      <c r="FH18" s="89"/>
      <c r="FI18" s="89"/>
      <c r="FJ18" s="89"/>
      <c r="FK18" s="89"/>
      <c r="FL18" s="90"/>
      <c r="FM18" s="90"/>
      <c r="FN18" s="42"/>
      <c r="FO18" s="42"/>
      <c r="FP18" s="42"/>
      <c r="FQ18" s="42"/>
      <c r="FR18" s="42"/>
      <c r="FS18" s="42"/>
      <c r="FT18" s="42"/>
      <c r="FU18" s="58"/>
      <c r="FV18" s="58"/>
      <c r="FW18" s="58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HK18" s="10"/>
    </row>
    <row r="19" spans="2:219" ht="15" customHeight="1">
      <c r="B19" s="172" t="s">
        <v>400</v>
      </c>
      <c r="C19" s="245"/>
      <c r="D19" s="245"/>
      <c r="E19" s="246" t="s">
        <v>82</v>
      </c>
      <c r="F19" s="249">
        <v>14</v>
      </c>
      <c r="G19" s="245" t="s">
        <v>1</v>
      </c>
      <c r="H19" s="2"/>
      <c r="I19" s="2"/>
      <c r="J19" s="2"/>
      <c r="K19" s="2"/>
      <c r="L19" s="2"/>
      <c r="M19" s="2"/>
      <c r="N19" s="7"/>
      <c r="O19" s="424"/>
      <c r="P19" s="425"/>
      <c r="Q19" s="425"/>
      <c r="AA19" s="178" t="s">
        <v>39</v>
      </c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80"/>
      <c r="BL19" s="411" t="s">
        <v>235</v>
      </c>
      <c r="BM19" s="412"/>
      <c r="BN19" s="413"/>
      <c r="BO19" s="178" t="s">
        <v>38</v>
      </c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80"/>
      <c r="CD19" s="187" t="s">
        <v>97</v>
      </c>
      <c r="CE19" s="187"/>
      <c r="CF19" s="187"/>
      <c r="CG19" s="187"/>
      <c r="CH19" s="187"/>
      <c r="CI19" s="187"/>
      <c r="CJ19" s="187"/>
      <c r="CK19" s="187"/>
      <c r="CL19" s="187"/>
      <c r="CM19" s="188"/>
      <c r="CN19" s="184" t="s">
        <v>466</v>
      </c>
      <c r="CO19" s="185"/>
      <c r="CP19" s="185"/>
      <c r="CQ19" s="185"/>
      <c r="CR19" s="185"/>
      <c r="CS19" s="185"/>
      <c r="CT19" s="185"/>
      <c r="CU19" s="185"/>
      <c r="CV19" s="185"/>
      <c r="CW19" s="185"/>
      <c r="CX19" s="185"/>
      <c r="CY19" s="185"/>
      <c r="CZ19" s="186"/>
      <c r="DA19" s="191" t="s">
        <v>427</v>
      </c>
      <c r="DB19" s="192"/>
      <c r="DC19" s="193"/>
      <c r="DD19" s="197" t="s">
        <v>428</v>
      </c>
      <c r="DE19" s="187"/>
      <c r="DF19" s="187"/>
      <c r="DG19" s="187"/>
      <c r="DH19" s="199" t="s">
        <v>184</v>
      </c>
      <c r="DI19" s="200"/>
      <c r="DJ19" s="187"/>
      <c r="DK19" s="188"/>
      <c r="EA19" s="331" t="s">
        <v>39</v>
      </c>
      <c r="EB19" s="331"/>
      <c r="EC19" s="331"/>
      <c r="ED19" s="331"/>
      <c r="EE19" s="331"/>
      <c r="EF19" s="331"/>
      <c r="EG19" s="331"/>
      <c r="EH19" s="331"/>
      <c r="EI19" s="331"/>
      <c r="EJ19" s="331"/>
      <c r="EK19" s="331"/>
      <c r="EL19" s="331"/>
      <c r="EM19" s="331"/>
      <c r="EN19" s="331"/>
      <c r="EO19" s="331"/>
      <c r="EP19" s="331"/>
      <c r="EQ19" s="331"/>
      <c r="ER19" s="331"/>
      <c r="ES19" s="331"/>
      <c r="ET19" s="331"/>
      <c r="EU19" s="331"/>
      <c r="EV19" s="331"/>
      <c r="EW19" s="331"/>
      <c r="EX19" s="331"/>
      <c r="EY19" s="331"/>
      <c r="EZ19" s="331"/>
      <c r="FA19" s="331"/>
      <c r="FB19" s="331"/>
      <c r="FC19" s="331"/>
      <c r="FD19" s="331"/>
      <c r="FE19" s="331"/>
      <c r="FF19" s="331"/>
      <c r="FG19" s="331"/>
      <c r="FH19" s="331"/>
      <c r="FI19" s="331"/>
      <c r="FJ19" s="331"/>
      <c r="FK19" s="331"/>
      <c r="FL19" s="330" t="s">
        <v>235</v>
      </c>
      <c r="FM19" s="330"/>
      <c r="FN19" s="330"/>
      <c r="FO19" s="304"/>
      <c r="FP19" s="304"/>
      <c r="FQ19" s="304"/>
      <c r="FR19" s="304"/>
      <c r="FS19" s="304"/>
      <c r="FT19" s="304"/>
      <c r="FU19" s="304"/>
      <c r="FV19" s="304"/>
      <c r="FW19" s="304"/>
      <c r="FX19" s="304"/>
      <c r="FY19" s="304"/>
      <c r="FZ19" s="304"/>
      <c r="GA19" s="304"/>
      <c r="GB19" s="332" t="s">
        <v>455</v>
      </c>
      <c r="GC19" s="334"/>
      <c r="GD19" s="332" t="s">
        <v>456</v>
      </c>
      <c r="GE19" s="333"/>
      <c r="GF19" s="333"/>
      <c r="GG19" s="333"/>
      <c r="GH19" s="333"/>
      <c r="GI19" s="333"/>
      <c r="GJ19" s="333"/>
      <c r="GK19" s="333"/>
      <c r="GL19" s="333"/>
      <c r="GM19" s="334"/>
      <c r="GN19" s="332" t="s">
        <v>457</v>
      </c>
      <c r="GO19" s="333"/>
      <c r="GP19" s="333"/>
      <c r="GQ19" s="333"/>
      <c r="GR19" s="333"/>
      <c r="GS19" s="333"/>
      <c r="GT19" s="333"/>
      <c r="GU19" s="333"/>
      <c r="GV19" s="333"/>
      <c r="GW19" s="333"/>
      <c r="GX19" s="333"/>
      <c r="GY19" s="333"/>
      <c r="GZ19" s="334"/>
      <c r="HA19" s="332" t="s">
        <v>458</v>
      </c>
      <c r="HB19" s="333"/>
      <c r="HC19" s="334"/>
      <c r="HD19" s="332" t="s">
        <v>459</v>
      </c>
      <c r="HE19" s="333"/>
      <c r="HF19" s="333"/>
      <c r="HG19" s="334"/>
      <c r="HH19" s="404" t="s">
        <v>460</v>
      </c>
      <c r="HI19" s="405"/>
      <c r="HJ19" s="405"/>
      <c r="HK19" s="406"/>
    </row>
    <row r="20" spans="2:219" ht="15" customHeight="1">
      <c r="B20" s="172" t="s">
        <v>401</v>
      </c>
      <c r="C20" s="245"/>
      <c r="D20" s="245"/>
      <c r="E20" s="246" t="s">
        <v>54</v>
      </c>
      <c r="F20" s="250">
        <f>F32-2*F19</f>
        <v>1341.2698412698419</v>
      </c>
      <c r="G20" s="245" t="s">
        <v>1</v>
      </c>
      <c r="H20" s="2"/>
      <c r="I20" s="2"/>
      <c r="J20" s="2"/>
      <c r="K20" s="2"/>
      <c r="L20" s="2"/>
      <c r="M20" s="2"/>
      <c r="N20" s="7"/>
      <c r="O20" s="424"/>
      <c r="P20" s="425"/>
      <c r="Q20" s="425"/>
      <c r="AA20" s="181"/>
      <c r="AB20" s="182"/>
      <c r="AC20" s="182"/>
      <c r="AD20" s="182"/>
      <c r="AE20" s="182"/>
      <c r="AF20" s="182"/>
      <c r="AG20" s="182"/>
      <c r="AH20" s="182"/>
      <c r="AI20" s="182"/>
      <c r="AJ20" s="182"/>
      <c r="AK20" s="182"/>
      <c r="AL20" s="182"/>
      <c r="AM20" s="182"/>
      <c r="AN20" s="182"/>
      <c r="AO20" s="182"/>
      <c r="AP20" s="182"/>
      <c r="AQ20" s="182"/>
      <c r="AR20" s="182"/>
      <c r="AS20" s="182"/>
      <c r="AT20" s="182"/>
      <c r="AU20" s="182"/>
      <c r="AV20" s="182"/>
      <c r="AW20" s="182"/>
      <c r="AX20" s="182"/>
      <c r="AY20" s="182"/>
      <c r="AZ20" s="182"/>
      <c r="BA20" s="182"/>
      <c r="BB20" s="182"/>
      <c r="BC20" s="182"/>
      <c r="BD20" s="182"/>
      <c r="BE20" s="182"/>
      <c r="BF20" s="182"/>
      <c r="BG20" s="182"/>
      <c r="BH20" s="182"/>
      <c r="BI20" s="182"/>
      <c r="BJ20" s="182"/>
      <c r="BK20" s="183"/>
      <c r="BL20" s="414"/>
      <c r="BM20" s="415"/>
      <c r="BN20" s="416"/>
      <c r="BO20" s="181"/>
      <c r="BP20" s="182"/>
      <c r="BQ20" s="182"/>
      <c r="BR20" s="182"/>
      <c r="BS20" s="182"/>
      <c r="BT20" s="182"/>
      <c r="BU20" s="182"/>
      <c r="BV20" s="182"/>
      <c r="BW20" s="182"/>
      <c r="BX20" s="182"/>
      <c r="BY20" s="182"/>
      <c r="BZ20" s="182"/>
      <c r="CA20" s="182"/>
      <c r="CB20" s="182"/>
      <c r="CC20" s="183"/>
      <c r="CD20" s="189"/>
      <c r="CE20" s="189"/>
      <c r="CF20" s="189"/>
      <c r="CG20" s="189"/>
      <c r="CH20" s="189"/>
      <c r="CI20" s="189"/>
      <c r="CJ20" s="189"/>
      <c r="CK20" s="189"/>
      <c r="CL20" s="189"/>
      <c r="CM20" s="190"/>
      <c r="CN20" s="189"/>
      <c r="CO20" s="219"/>
      <c r="CP20" s="219"/>
      <c r="CQ20" s="219"/>
      <c r="CR20" s="219"/>
      <c r="CS20" s="219"/>
      <c r="CT20" s="219"/>
      <c r="CU20" s="219"/>
      <c r="CV20" s="219"/>
      <c r="CW20" s="219"/>
      <c r="CX20" s="226"/>
      <c r="CY20" s="219"/>
      <c r="CZ20" s="220"/>
      <c r="DA20" s="194"/>
      <c r="DB20" s="195"/>
      <c r="DC20" s="196"/>
      <c r="DD20" s="198"/>
      <c r="DE20" s="189"/>
      <c r="DF20" s="189"/>
      <c r="DG20" s="189"/>
      <c r="DH20" s="201"/>
      <c r="DI20" s="202"/>
      <c r="DJ20" s="189"/>
      <c r="DK20" s="190"/>
      <c r="EA20" s="331"/>
      <c r="EB20" s="331"/>
      <c r="EC20" s="331"/>
      <c r="ED20" s="331"/>
      <c r="EE20" s="331"/>
      <c r="EF20" s="331"/>
      <c r="EG20" s="331"/>
      <c r="EH20" s="331"/>
      <c r="EI20" s="331"/>
      <c r="EJ20" s="331"/>
      <c r="EK20" s="331"/>
      <c r="EL20" s="331"/>
      <c r="EM20" s="331"/>
      <c r="EN20" s="331"/>
      <c r="EO20" s="331"/>
      <c r="EP20" s="331"/>
      <c r="EQ20" s="331"/>
      <c r="ER20" s="331"/>
      <c r="ES20" s="331"/>
      <c r="ET20" s="331"/>
      <c r="EU20" s="331"/>
      <c r="EV20" s="331"/>
      <c r="EW20" s="331"/>
      <c r="EX20" s="331"/>
      <c r="EY20" s="331"/>
      <c r="EZ20" s="331"/>
      <c r="FA20" s="331"/>
      <c r="FB20" s="331"/>
      <c r="FC20" s="331"/>
      <c r="FD20" s="331"/>
      <c r="FE20" s="331"/>
      <c r="FF20" s="331"/>
      <c r="FG20" s="331"/>
      <c r="FH20" s="331"/>
      <c r="FI20" s="331"/>
      <c r="FJ20" s="331"/>
      <c r="FK20" s="331"/>
      <c r="FL20" s="330"/>
      <c r="FM20" s="330"/>
      <c r="FN20" s="330"/>
      <c r="FO20" s="304"/>
      <c r="FP20" s="304"/>
      <c r="FQ20" s="304"/>
      <c r="FR20" s="304"/>
      <c r="FS20" s="304"/>
      <c r="FT20" s="304"/>
      <c r="FU20" s="304"/>
      <c r="FV20" s="304"/>
      <c r="FW20" s="304"/>
      <c r="FX20" s="304"/>
      <c r="FY20" s="304"/>
      <c r="FZ20" s="304"/>
      <c r="GA20" s="304"/>
      <c r="GB20" s="335"/>
      <c r="GC20" s="337"/>
      <c r="GD20" s="335"/>
      <c r="GE20" s="336"/>
      <c r="GF20" s="336"/>
      <c r="GG20" s="336"/>
      <c r="GH20" s="336"/>
      <c r="GI20" s="336"/>
      <c r="GJ20" s="336"/>
      <c r="GK20" s="336"/>
      <c r="GL20" s="336"/>
      <c r="GM20" s="337"/>
      <c r="GN20" s="335"/>
      <c r="GO20" s="336"/>
      <c r="GP20" s="336"/>
      <c r="GQ20" s="336"/>
      <c r="GR20" s="336"/>
      <c r="GS20" s="336"/>
      <c r="GT20" s="336"/>
      <c r="GU20" s="336"/>
      <c r="GV20" s="336"/>
      <c r="GW20" s="336"/>
      <c r="GX20" s="336"/>
      <c r="GY20" s="336"/>
      <c r="GZ20" s="337"/>
      <c r="HA20" s="335"/>
      <c r="HB20" s="336"/>
      <c r="HC20" s="337"/>
      <c r="HD20" s="335"/>
      <c r="HE20" s="336"/>
      <c r="HF20" s="336"/>
      <c r="HG20" s="337"/>
      <c r="HH20" s="407"/>
      <c r="HI20" s="408"/>
      <c r="HJ20" s="408"/>
      <c r="HK20" s="409"/>
    </row>
    <row r="21" spans="2:219" ht="15" customHeight="1">
      <c r="B21" s="172" t="s">
        <v>402</v>
      </c>
      <c r="C21" s="245"/>
      <c r="D21" s="245"/>
      <c r="E21" s="246" t="s">
        <v>96</v>
      </c>
      <c r="F21" s="251">
        <v>8.6549999999999994</v>
      </c>
      <c r="G21" s="245" t="s">
        <v>79</v>
      </c>
      <c r="H21" s="2"/>
      <c r="I21" s="2"/>
      <c r="J21" s="2"/>
      <c r="K21" s="245"/>
      <c r="L21" s="245"/>
      <c r="M21" s="245"/>
      <c r="N21" s="7"/>
      <c r="AA21" s="170" t="s">
        <v>78</v>
      </c>
      <c r="AB21" s="370" t="s">
        <v>57</v>
      </c>
      <c r="AC21" s="55" t="s">
        <v>36</v>
      </c>
      <c r="AD21" s="55" t="s">
        <v>40</v>
      </c>
      <c r="AE21" s="51" t="s">
        <v>69</v>
      </c>
      <c r="AF21" s="51" t="s">
        <v>70</v>
      </c>
      <c r="AG21" s="51" t="s">
        <v>49</v>
      </c>
      <c r="AH21" s="49" t="s">
        <v>71</v>
      </c>
      <c r="AI21" s="49" t="s">
        <v>87</v>
      </c>
      <c r="AJ21" s="49" t="s">
        <v>100</v>
      </c>
      <c r="AK21" s="51" t="s">
        <v>72</v>
      </c>
      <c r="AL21" s="51" t="s">
        <v>73</v>
      </c>
      <c r="AM21" s="51" t="s">
        <v>74</v>
      </c>
      <c r="AN21" s="49" t="s">
        <v>23</v>
      </c>
      <c r="AO21" s="49" t="s">
        <v>145</v>
      </c>
      <c r="AP21" s="49" t="s">
        <v>149</v>
      </c>
      <c r="AQ21" s="49" t="s">
        <v>146</v>
      </c>
      <c r="AR21" s="49" t="s">
        <v>150</v>
      </c>
      <c r="AS21" s="49" t="s">
        <v>147</v>
      </c>
      <c r="AT21" s="49" t="s">
        <v>148</v>
      </c>
      <c r="AU21" s="49" t="s">
        <v>151</v>
      </c>
      <c r="AV21" s="49" t="s">
        <v>232</v>
      </c>
      <c r="AW21" s="99" t="s">
        <v>173</v>
      </c>
      <c r="AX21" s="99" t="s">
        <v>173</v>
      </c>
      <c r="AY21" s="99" t="s">
        <v>216</v>
      </c>
      <c r="AZ21" s="215" t="s">
        <v>437</v>
      </c>
      <c r="BA21" s="100" t="s">
        <v>172</v>
      </c>
      <c r="BB21" s="338"/>
      <c r="BC21" s="365"/>
      <c r="BD21" s="370" t="s">
        <v>58</v>
      </c>
      <c r="BE21" s="52" t="s">
        <v>43</v>
      </c>
      <c r="BF21" s="52" t="s">
        <v>154</v>
      </c>
      <c r="BG21" s="52" t="s">
        <v>152</v>
      </c>
      <c r="BH21" s="52" t="s">
        <v>44</v>
      </c>
      <c r="BI21" s="52" t="s">
        <v>155</v>
      </c>
      <c r="BJ21" s="52" t="s">
        <v>153</v>
      </c>
      <c r="BK21" s="52" t="s">
        <v>464</v>
      </c>
      <c r="BL21" s="342" t="s">
        <v>79</v>
      </c>
      <c r="BM21" s="348" t="s">
        <v>160</v>
      </c>
      <c r="BN21" s="348" t="s">
        <v>159</v>
      </c>
      <c r="BO21" s="330" t="s">
        <v>107</v>
      </c>
      <c r="BP21" s="330" t="s">
        <v>161</v>
      </c>
      <c r="BQ21" s="330" t="s">
        <v>162</v>
      </c>
      <c r="BR21" s="330" t="s">
        <v>163</v>
      </c>
      <c r="BS21" s="330" t="s">
        <v>165</v>
      </c>
      <c r="BT21" s="330" t="s">
        <v>166</v>
      </c>
      <c r="BU21" s="340" t="s">
        <v>164</v>
      </c>
      <c r="BV21" s="340" t="s">
        <v>167</v>
      </c>
      <c r="BW21" s="340" t="s">
        <v>168</v>
      </c>
      <c r="BX21" s="330" t="s">
        <v>169</v>
      </c>
      <c r="BY21" s="330"/>
      <c r="BZ21" s="330"/>
      <c r="CA21" s="330"/>
      <c r="CB21" s="330"/>
      <c r="CC21" s="330" t="s">
        <v>63</v>
      </c>
      <c r="CD21" s="342" t="s">
        <v>156</v>
      </c>
      <c r="CE21" s="342" t="s">
        <v>158</v>
      </c>
      <c r="CF21" s="344" t="s">
        <v>264</v>
      </c>
      <c r="CG21" s="344" t="s">
        <v>265</v>
      </c>
      <c r="CH21" s="330" t="s">
        <v>236</v>
      </c>
      <c r="CI21" s="367" t="s">
        <v>49</v>
      </c>
      <c r="CJ21" s="330" t="s">
        <v>162</v>
      </c>
      <c r="CK21" s="372" t="s">
        <v>99</v>
      </c>
      <c r="CL21" s="371" t="s">
        <v>37</v>
      </c>
      <c r="CM21" s="330" t="s">
        <v>63</v>
      </c>
      <c r="CN21" s="372" t="s">
        <v>98</v>
      </c>
      <c r="CO21" s="372" t="s">
        <v>175</v>
      </c>
      <c r="CP21" s="372" t="s">
        <v>176</v>
      </c>
      <c r="CQ21" s="369" t="s">
        <v>84</v>
      </c>
      <c r="CR21" s="369" t="s">
        <v>87</v>
      </c>
      <c r="CS21" s="371" t="s">
        <v>177</v>
      </c>
      <c r="CT21" s="371" t="s">
        <v>178</v>
      </c>
      <c r="CU21" s="371" t="s">
        <v>357</v>
      </c>
      <c r="CV21" s="395"/>
      <c r="CW21" s="395"/>
      <c r="CX21" s="371" t="s">
        <v>93</v>
      </c>
      <c r="CY21" s="371" t="s">
        <v>37</v>
      </c>
      <c r="CZ21" s="330" t="s">
        <v>63</v>
      </c>
      <c r="DA21" s="372" t="s">
        <v>179</v>
      </c>
      <c r="DB21" s="372" t="s">
        <v>180</v>
      </c>
      <c r="DC21" s="330" t="s">
        <v>63</v>
      </c>
      <c r="DD21" s="342" t="s">
        <v>157</v>
      </c>
      <c r="DE21" s="342" t="s">
        <v>181</v>
      </c>
      <c r="DF21" s="372" t="s">
        <v>182</v>
      </c>
      <c r="DG21" s="330" t="s">
        <v>183</v>
      </c>
      <c r="DH21" s="341" t="s">
        <v>185</v>
      </c>
      <c r="DI21" s="328" t="s">
        <v>186</v>
      </c>
      <c r="DJ21" s="330" t="s">
        <v>429</v>
      </c>
      <c r="DK21" s="330" t="s">
        <v>63</v>
      </c>
      <c r="EA21" s="170" t="s">
        <v>78</v>
      </c>
      <c r="EB21" s="370" t="s">
        <v>57</v>
      </c>
      <c r="EC21" s="55" t="s">
        <v>36</v>
      </c>
      <c r="ED21" s="55" t="s">
        <v>40</v>
      </c>
      <c r="EE21" s="51" t="s">
        <v>69</v>
      </c>
      <c r="EF21" s="51" t="s">
        <v>70</v>
      </c>
      <c r="EG21" s="51" t="s">
        <v>49</v>
      </c>
      <c r="EH21" s="49" t="s">
        <v>71</v>
      </c>
      <c r="EI21" s="49" t="s">
        <v>87</v>
      </c>
      <c r="EJ21" s="49" t="s">
        <v>100</v>
      </c>
      <c r="EK21" s="51" t="s">
        <v>72</v>
      </c>
      <c r="EL21" s="51" t="s">
        <v>73</v>
      </c>
      <c r="EM21" s="51" t="s">
        <v>74</v>
      </c>
      <c r="EN21" s="49" t="s">
        <v>23</v>
      </c>
      <c r="EO21" s="49" t="s">
        <v>145</v>
      </c>
      <c r="EP21" s="49" t="s">
        <v>149</v>
      </c>
      <c r="EQ21" s="49" t="s">
        <v>146</v>
      </c>
      <c r="ER21" s="49" t="s">
        <v>150</v>
      </c>
      <c r="ES21" s="49" t="s">
        <v>147</v>
      </c>
      <c r="ET21" s="49" t="s">
        <v>148</v>
      </c>
      <c r="EU21" s="49" t="s">
        <v>151</v>
      </c>
      <c r="EV21" s="49" t="s">
        <v>232</v>
      </c>
      <c r="EW21" s="99" t="s">
        <v>173</v>
      </c>
      <c r="EX21" s="99" t="s">
        <v>173</v>
      </c>
      <c r="EY21" s="99" t="s">
        <v>216</v>
      </c>
      <c r="EZ21" s="215" t="s">
        <v>437</v>
      </c>
      <c r="FA21" s="100" t="s">
        <v>172</v>
      </c>
      <c r="FB21" s="338"/>
      <c r="FC21" s="365"/>
      <c r="FD21" s="370" t="s">
        <v>58</v>
      </c>
      <c r="FE21" s="307" t="s">
        <v>43</v>
      </c>
      <c r="FF21" s="52" t="s">
        <v>154</v>
      </c>
      <c r="FG21" s="52" t="s">
        <v>152</v>
      </c>
      <c r="FH21" s="52" t="s">
        <v>44</v>
      </c>
      <c r="FI21" s="52" t="s">
        <v>155</v>
      </c>
      <c r="FJ21" s="52" t="s">
        <v>153</v>
      </c>
      <c r="FK21" s="52" t="s">
        <v>464</v>
      </c>
      <c r="FL21" s="342" t="s">
        <v>79</v>
      </c>
      <c r="FM21" s="348" t="s">
        <v>160</v>
      </c>
      <c r="FN21" s="348" t="s">
        <v>159</v>
      </c>
      <c r="FO21" s="330" t="s">
        <v>107</v>
      </c>
      <c r="FP21" s="330" t="s">
        <v>161</v>
      </c>
      <c r="FQ21" s="330" t="s">
        <v>162</v>
      </c>
      <c r="FR21" s="330" t="s">
        <v>163</v>
      </c>
      <c r="FS21" s="330" t="s">
        <v>165</v>
      </c>
      <c r="FT21" s="330" t="s">
        <v>166</v>
      </c>
      <c r="FU21" s="340" t="s">
        <v>164</v>
      </c>
      <c r="FV21" s="340" t="s">
        <v>167</v>
      </c>
      <c r="FW21" s="340" t="s">
        <v>168</v>
      </c>
      <c r="FX21" s="305" t="s">
        <v>169</v>
      </c>
      <c r="FY21" s="192"/>
      <c r="FZ21" s="192"/>
      <c r="GA21" s="192"/>
      <c r="GB21" s="348" t="s">
        <v>37</v>
      </c>
      <c r="GC21" s="330" t="s">
        <v>63</v>
      </c>
      <c r="GD21" s="342" t="s">
        <v>156</v>
      </c>
      <c r="GE21" s="342" t="s">
        <v>158</v>
      </c>
      <c r="GF21" s="344" t="s">
        <v>264</v>
      </c>
      <c r="GG21" s="344" t="s">
        <v>265</v>
      </c>
      <c r="GH21" s="330" t="s">
        <v>236</v>
      </c>
      <c r="GI21" s="367" t="s">
        <v>49</v>
      </c>
      <c r="GJ21" s="330" t="s">
        <v>162</v>
      </c>
      <c r="GK21" s="372" t="s">
        <v>99</v>
      </c>
      <c r="GL21" s="410" t="s">
        <v>37</v>
      </c>
      <c r="GM21" s="330" t="s">
        <v>63</v>
      </c>
      <c r="GN21" s="372" t="s">
        <v>98</v>
      </c>
      <c r="GO21" s="372" t="s">
        <v>175</v>
      </c>
      <c r="GP21" s="372" t="s">
        <v>176</v>
      </c>
      <c r="GQ21" s="369" t="s">
        <v>84</v>
      </c>
      <c r="GR21" s="369" t="s">
        <v>87</v>
      </c>
      <c r="GS21" s="371" t="s">
        <v>177</v>
      </c>
      <c r="GT21" s="371" t="s">
        <v>178</v>
      </c>
      <c r="GU21" s="371" t="s">
        <v>357</v>
      </c>
      <c r="GV21" s="395"/>
      <c r="GW21" s="395"/>
      <c r="GX21" s="371" t="s">
        <v>93</v>
      </c>
      <c r="GY21" s="410" t="s">
        <v>37</v>
      </c>
      <c r="GZ21" s="330" t="s">
        <v>63</v>
      </c>
      <c r="HA21" s="344" t="s">
        <v>483</v>
      </c>
      <c r="HB21" s="344" t="s">
        <v>484</v>
      </c>
      <c r="HC21" s="330" t="s">
        <v>63</v>
      </c>
      <c r="HD21" s="342" t="s">
        <v>157</v>
      </c>
      <c r="HE21" s="344" t="s">
        <v>485</v>
      </c>
      <c r="HF21" s="344" t="s">
        <v>486</v>
      </c>
      <c r="HG21" s="330" t="s">
        <v>183</v>
      </c>
      <c r="HH21" s="341" t="s">
        <v>185</v>
      </c>
      <c r="HI21" s="328" t="s">
        <v>186</v>
      </c>
      <c r="HJ21" s="330" t="s">
        <v>429</v>
      </c>
      <c r="HK21" s="330" t="s">
        <v>63</v>
      </c>
    </row>
    <row r="22" spans="2:219" ht="15">
      <c r="B22" s="172" t="s">
        <v>403</v>
      </c>
      <c r="C22" s="2"/>
      <c r="D22" s="2"/>
      <c r="E22" s="252" t="s">
        <v>104</v>
      </c>
      <c r="F22" s="253">
        <v>19.473749999999999</v>
      </c>
      <c r="G22" s="254" t="s">
        <v>55</v>
      </c>
      <c r="H22" s="2" t="s">
        <v>94</v>
      </c>
      <c r="I22" s="2"/>
      <c r="J22" s="2"/>
      <c r="K22" s="2"/>
      <c r="L22" s="2"/>
      <c r="M22" s="2"/>
      <c r="N22" s="7"/>
      <c r="AA22" s="171">
        <f>23+COUNTA(AB23:AB1000007)</f>
        <v>257</v>
      </c>
      <c r="AB22" s="370"/>
      <c r="AC22" s="53" t="s">
        <v>55</v>
      </c>
      <c r="AD22" s="53" t="s">
        <v>55</v>
      </c>
      <c r="AE22" s="49" t="s">
        <v>52</v>
      </c>
      <c r="AF22" s="49" t="s">
        <v>52</v>
      </c>
      <c r="AG22" s="51" t="s">
        <v>1</v>
      </c>
      <c r="AH22" s="49" t="s">
        <v>1</v>
      </c>
      <c r="AI22" s="49" t="s">
        <v>1</v>
      </c>
      <c r="AJ22" s="49" t="s">
        <v>1</v>
      </c>
      <c r="AK22" s="51" t="s">
        <v>1</v>
      </c>
      <c r="AL22" s="51" t="s">
        <v>1</v>
      </c>
      <c r="AM22" s="51" t="s">
        <v>1</v>
      </c>
      <c r="AN22" s="51" t="s">
        <v>75</v>
      </c>
      <c r="AO22" s="50" t="s">
        <v>76</v>
      </c>
      <c r="AP22" s="50" t="s">
        <v>76</v>
      </c>
      <c r="AQ22" s="50" t="s">
        <v>77</v>
      </c>
      <c r="AR22" s="50" t="s">
        <v>77</v>
      </c>
      <c r="AS22" s="50" t="s">
        <v>77</v>
      </c>
      <c r="AT22" s="50" t="s">
        <v>80</v>
      </c>
      <c r="AU22" s="50" t="s">
        <v>80</v>
      </c>
      <c r="AV22" s="50" t="s">
        <v>231</v>
      </c>
      <c r="AW22" s="101" t="s">
        <v>234</v>
      </c>
      <c r="AX22" s="101" t="s">
        <v>233</v>
      </c>
      <c r="AY22" s="101" t="s">
        <v>220</v>
      </c>
      <c r="AZ22" s="216"/>
      <c r="BA22" s="101" t="s">
        <v>75</v>
      </c>
      <c r="BB22" s="339"/>
      <c r="BC22" s="366"/>
      <c r="BD22" s="370"/>
      <c r="BE22" s="52" t="s">
        <v>27</v>
      </c>
      <c r="BF22" s="52" t="s">
        <v>27</v>
      </c>
      <c r="BG22" s="52" t="s">
        <v>27</v>
      </c>
      <c r="BH22" s="52" t="s">
        <v>56</v>
      </c>
      <c r="BI22" s="52" t="s">
        <v>56</v>
      </c>
      <c r="BJ22" s="52" t="s">
        <v>56</v>
      </c>
      <c r="BK22" s="52" t="s">
        <v>56</v>
      </c>
      <c r="BL22" s="347"/>
      <c r="BM22" s="347"/>
      <c r="BN22" s="347"/>
      <c r="BO22" s="330"/>
      <c r="BP22" s="330"/>
      <c r="BQ22" s="330"/>
      <c r="BR22" s="330"/>
      <c r="BS22" s="330"/>
      <c r="BT22" s="330"/>
      <c r="BU22" s="340"/>
      <c r="BV22" s="340"/>
      <c r="BW22" s="340"/>
      <c r="BX22" s="81" t="s">
        <v>43</v>
      </c>
      <c r="BY22" s="81" t="s">
        <v>170</v>
      </c>
      <c r="BZ22" s="81" t="s">
        <v>171</v>
      </c>
      <c r="CA22" s="81" t="s">
        <v>107</v>
      </c>
      <c r="CB22" s="81" t="s">
        <v>37</v>
      </c>
      <c r="CC22" s="330"/>
      <c r="CD22" s="343"/>
      <c r="CE22" s="343"/>
      <c r="CF22" s="345"/>
      <c r="CG22" s="345"/>
      <c r="CH22" s="330"/>
      <c r="CI22" s="368"/>
      <c r="CJ22" s="330"/>
      <c r="CK22" s="331"/>
      <c r="CL22" s="371"/>
      <c r="CM22" s="330"/>
      <c r="CN22" s="331"/>
      <c r="CO22" s="331"/>
      <c r="CP22" s="331"/>
      <c r="CQ22" s="330"/>
      <c r="CR22" s="330"/>
      <c r="CS22" s="371"/>
      <c r="CT22" s="371"/>
      <c r="CU22" s="371"/>
      <c r="CV22" s="396"/>
      <c r="CW22" s="396"/>
      <c r="CX22" s="371"/>
      <c r="CY22" s="371"/>
      <c r="CZ22" s="330"/>
      <c r="DA22" s="331"/>
      <c r="DB22" s="331"/>
      <c r="DC22" s="330"/>
      <c r="DD22" s="343"/>
      <c r="DE22" s="343"/>
      <c r="DF22" s="331"/>
      <c r="DG22" s="330"/>
      <c r="DH22" s="329"/>
      <c r="DI22" s="329"/>
      <c r="DJ22" s="330"/>
      <c r="DK22" s="330"/>
      <c r="EA22" s="171">
        <f>23+COUNTA(EB23:EB1000007)-1</f>
        <v>25</v>
      </c>
      <c r="EB22" s="370"/>
      <c r="EC22" s="53" t="s">
        <v>55</v>
      </c>
      <c r="ED22" s="53" t="s">
        <v>55</v>
      </c>
      <c r="EE22" s="49" t="s">
        <v>52</v>
      </c>
      <c r="EF22" s="49" t="s">
        <v>52</v>
      </c>
      <c r="EG22" s="51" t="s">
        <v>1</v>
      </c>
      <c r="EH22" s="49" t="s">
        <v>1</v>
      </c>
      <c r="EI22" s="49" t="s">
        <v>1</v>
      </c>
      <c r="EJ22" s="49" t="s">
        <v>1</v>
      </c>
      <c r="EK22" s="51" t="s">
        <v>1</v>
      </c>
      <c r="EL22" s="51" t="s">
        <v>1</v>
      </c>
      <c r="EM22" s="51" t="s">
        <v>1</v>
      </c>
      <c r="EN22" s="51" t="s">
        <v>75</v>
      </c>
      <c r="EO22" s="50" t="s">
        <v>76</v>
      </c>
      <c r="EP22" s="50" t="s">
        <v>76</v>
      </c>
      <c r="EQ22" s="50" t="s">
        <v>77</v>
      </c>
      <c r="ER22" s="50" t="s">
        <v>77</v>
      </c>
      <c r="ES22" s="50" t="s">
        <v>77</v>
      </c>
      <c r="ET22" s="50" t="s">
        <v>80</v>
      </c>
      <c r="EU22" s="50" t="s">
        <v>80</v>
      </c>
      <c r="EV22" s="50" t="s">
        <v>231</v>
      </c>
      <c r="EW22" s="101" t="s">
        <v>234</v>
      </c>
      <c r="EX22" s="101" t="s">
        <v>233</v>
      </c>
      <c r="EY22" s="101" t="s">
        <v>220</v>
      </c>
      <c r="EZ22" s="216"/>
      <c r="FA22" s="101" t="s">
        <v>75</v>
      </c>
      <c r="FB22" s="339"/>
      <c r="FC22" s="366"/>
      <c r="FD22" s="370"/>
      <c r="FE22" s="307" t="s">
        <v>27</v>
      </c>
      <c r="FF22" s="52" t="s">
        <v>27</v>
      </c>
      <c r="FG22" s="52" t="s">
        <v>27</v>
      </c>
      <c r="FH22" s="52" t="s">
        <v>56</v>
      </c>
      <c r="FI22" s="52" t="s">
        <v>56</v>
      </c>
      <c r="FJ22" s="52" t="s">
        <v>56</v>
      </c>
      <c r="FK22" s="52" t="s">
        <v>56</v>
      </c>
      <c r="FL22" s="347"/>
      <c r="FM22" s="347"/>
      <c r="FN22" s="347"/>
      <c r="FO22" s="330"/>
      <c r="FP22" s="330"/>
      <c r="FQ22" s="330"/>
      <c r="FR22" s="330"/>
      <c r="FS22" s="330"/>
      <c r="FT22" s="330"/>
      <c r="FU22" s="340"/>
      <c r="FV22" s="340"/>
      <c r="FW22" s="340"/>
      <c r="FX22" s="81" t="s">
        <v>43</v>
      </c>
      <c r="FY22" s="81" t="s">
        <v>170</v>
      </c>
      <c r="FZ22" s="81" t="s">
        <v>171</v>
      </c>
      <c r="GA22" s="81" t="s">
        <v>107</v>
      </c>
      <c r="GB22" s="347"/>
      <c r="GC22" s="330"/>
      <c r="GD22" s="343"/>
      <c r="GE22" s="343"/>
      <c r="GF22" s="345"/>
      <c r="GG22" s="345"/>
      <c r="GH22" s="330"/>
      <c r="GI22" s="368"/>
      <c r="GJ22" s="330"/>
      <c r="GK22" s="331"/>
      <c r="GL22" s="410"/>
      <c r="GM22" s="330"/>
      <c r="GN22" s="331"/>
      <c r="GO22" s="331"/>
      <c r="GP22" s="331"/>
      <c r="GQ22" s="330"/>
      <c r="GR22" s="330"/>
      <c r="GS22" s="371"/>
      <c r="GT22" s="371"/>
      <c r="GU22" s="371"/>
      <c r="GV22" s="396"/>
      <c r="GW22" s="396"/>
      <c r="GX22" s="371"/>
      <c r="GY22" s="410"/>
      <c r="GZ22" s="330"/>
      <c r="HA22" s="345"/>
      <c r="HB22" s="345"/>
      <c r="HC22" s="330"/>
      <c r="HD22" s="343"/>
      <c r="HE22" s="345"/>
      <c r="HF22" s="345"/>
      <c r="HG22" s="330"/>
      <c r="HH22" s="329"/>
      <c r="HI22" s="329"/>
      <c r="HJ22" s="330"/>
      <c r="HK22" s="330"/>
    </row>
    <row r="23" spans="2:219" ht="15">
      <c r="B23" s="172" t="s">
        <v>403</v>
      </c>
      <c r="C23" s="2"/>
      <c r="D23" s="2"/>
      <c r="E23" s="252" t="s">
        <v>105</v>
      </c>
      <c r="F23" s="253">
        <v>2</v>
      </c>
      <c r="G23" s="254" t="s">
        <v>55</v>
      </c>
      <c r="H23" s="2" t="s">
        <v>95</v>
      </c>
      <c r="I23" s="2"/>
      <c r="J23" s="2"/>
      <c r="K23" s="2"/>
      <c r="L23" s="2"/>
      <c r="M23" s="2"/>
      <c r="N23" s="7"/>
      <c r="AA23" s="18" t="s">
        <v>488</v>
      </c>
      <c r="AB23" s="22" t="s">
        <v>489</v>
      </c>
      <c r="AC23" s="59">
        <v>0</v>
      </c>
      <c r="AD23" s="59">
        <v>8.6549999999999994</v>
      </c>
      <c r="AE23" s="22">
        <v>528</v>
      </c>
      <c r="AF23" s="22">
        <v>1528</v>
      </c>
      <c r="AG23" s="22">
        <v>528</v>
      </c>
      <c r="AH23" s="6">
        <v>10</v>
      </c>
      <c r="AI23" s="6">
        <v>300</v>
      </c>
      <c r="AJ23" s="6">
        <v>14</v>
      </c>
      <c r="AK23" s="24">
        <v>300</v>
      </c>
      <c r="AL23" s="24">
        <v>14</v>
      </c>
      <c r="AM23" s="5">
        <f>AG23-AJ23-AL23</f>
        <v>500</v>
      </c>
      <c r="AN23" s="26">
        <f>(AM23*AH23+AI23*AJ23+AK23*AL23)/100</f>
        <v>134</v>
      </c>
      <c r="AO23" s="26">
        <f>(AH23*AM23^3/12+AI23*AJ23^3/12+AI23*AJ23*(AM23/2+AJ23/2)^2+AK23*AL23^3/12+AK23*AL23*(AM23/2+AL23/2)^2)/10000</f>
        <v>65911.546666666676</v>
      </c>
      <c r="AP23" s="15">
        <f>(AM23*AH23^3/12+AJ23*AI23^3/12+AL23*AK23^3/12)/10000</f>
        <v>6304.166666666667</v>
      </c>
      <c r="AQ23" s="5">
        <f>AO23/(AG23/20)</f>
        <v>2496.6494949494954</v>
      </c>
      <c r="AR23" s="26">
        <f>AP23/(MAX(AI23,AK23)/20)</f>
        <v>420.27777777777777</v>
      </c>
      <c r="AS23" s="26">
        <f>(AH23*AM23^2/8+AI23*AJ23*(AM23/2+AJ23/2))/1000</f>
        <v>1391.9</v>
      </c>
      <c r="AT23" s="26">
        <f>SQRT(AO23/AN23)</f>
        <v>22.178305028345793</v>
      </c>
      <c r="AU23" s="26">
        <f>SQRT(AP23/AN23)</f>
        <v>6.8590101254115021</v>
      </c>
      <c r="AV23" s="95">
        <f>((2*AI23*AJ23^3+(AM23+AJ23)*AH23^3)/3)/1000000000000</f>
        <v>7.201333333333334E-7</v>
      </c>
      <c r="AW23" s="95">
        <f>(AI23^3*(AM23+AJ23)^2*AJ23/24)/1000000</f>
        <v>4161087</v>
      </c>
      <c r="AX23" s="95">
        <f>AW23/1000000000000</f>
        <v>4.1610870000000001E-6</v>
      </c>
      <c r="AY23" s="54">
        <f t="shared" ref="AY23" si="0">SQRT(($K$106*AV23)/($B$28*AX23))</f>
        <v>0.25762202780669918</v>
      </c>
      <c r="AZ23" s="54" t="str">
        <f>_xll.Dce_Name_SectI(AE23,AF23,AI23,AH23,AJ23,"x","-",$O$11)</f>
        <v>(528-1528)x300x10x14</v>
      </c>
      <c r="BA23" s="15">
        <f t="shared" ref="BA23" si="1">AI23*(AM23+AJ23)/400</f>
        <v>385.5</v>
      </c>
      <c r="BB23" s="54"/>
      <c r="BC23" s="54"/>
      <c r="BD23" s="22" t="s">
        <v>492</v>
      </c>
      <c r="BE23" s="23">
        <v>-167.40195854505612</v>
      </c>
      <c r="BF23" s="23">
        <v>-144.36028518905556</v>
      </c>
      <c r="BG23" s="23">
        <v>1.6673209767304326E-3</v>
      </c>
      <c r="BH23" s="23">
        <v>-2.3287650848327797E-5</v>
      </c>
      <c r="BI23" s="23">
        <v>-1.599165062610153E-6</v>
      </c>
      <c r="BJ23" s="23">
        <v>-2.1996619058940952</v>
      </c>
      <c r="BK23" s="23">
        <v>526.98793778823097</v>
      </c>
      <c r="BL23" s="92">
        <v>2.25</v>
      </c>
      <c r="BM23" s="93">
        <v>2</v>
      </c>
      <c r="BN23" s="5">
        <f>BL23*AD23</f>
        <v>19.473749999999999</v>
      </c>
      <c r="BO23" s="54">
        <f>_xll.Bimoment(BH23,AY23,AC23,AD23,$O$101)</f>
        <v>0</v>
      </c>
      <c r="BP23" s="5">
        <f t="shared" ref="BP23" si="2">(AI23*AJ23)/(AM23*AH23)</f>
        <v>0.84</v>
      </c>
      <c r="BQ23" s="5">
        <f>CJ23</f>
        <v>0.1069731781109704</v>
      </c>
      <c r="BR23" s="24" t="str">
        <f>IF(AND(BQ23&lt;20,BT23="CT.104"),"OK","Cal")</f>
        <v>Cal</v>
      </c>
      <c r="BS23" s="25">
        <f t="shared" ref="BS23" si="3">ABS(BE23)/(AN23*$D$28)*10</f>
        <v>5.4655490196613477E-2</v>
      </c>
      <c r="BT23" s="25" t="str">
        <f t="shared" ref="BT23" si="4">"CT."&amp;IF(AND(BS23&gt;0.1,ABS(BF23)*AS23/(AO23*AH23)*100&lt;=0.5*(0.58*$D$28/$E$28)),104,105)</f>
        <v>CT.105</v>
      </c>
      <c r="BU23" s="25">
        <f>IF(BT23="CT.104",IF(BS23&gt;0.1,1.5,1),1)</f>
        <v>1</v>
      </c>
      <c r="BV23" s="25" cm="1">
        <f t="array" ref="BV23">IF(BT23="CT.104",_xll.TCVN5575AnnexEHeSoCx(1,BP23),1)</f>
        <v>1</v>
      </c>
      <c r="BW23" s="25">
        <f>IF(BT23="CT.104",1.47,1)</f>
        <v>1</v>
      </c>
      <c r="BX23" s="25">
        <f t="shared" ref="BX23" si="5">IF(AND(BR23&lt;&gt;"Cal",$O$47="No"),"-",(ABS(BE23)/(AN23*$D$28*$F$28)*10)^BU23)</f>
        <v>5.7532094943803659E-2</v>
      </c>
      <c r="BY23" s="25">
        <f t="shared" ref="BY23" si="6">IF(AND(BR23&lt;&gt;"Cal",$O$47="No"),"-",ABS(BJ23)/(BV23*AQ23*$D$28*$F$28)*1000)</f>
        <v>4.0574465721082385E-3</v>
      </c>
      <c r="BZ23" s="25">
        <f t="shared" ref="BZ23" si="7">IF(AND(BR23&lt;&gt;"Cal",$O$47="No"),"-",ABS(BI23)/(BW23*AR23*$D$28*$F$28)*1000)</f>
        <v>1.7523115271930922E-8</v>
      </c>
      <c r="CA23" s="25">
        <f t="shared" ref="CA23" si="8">IF(AND(BR23&lt;&gt;"Cal",$O$47="No"),"-",ABS(BO23)*BA23/(AW23*$L$47)*100000)</f>
        <v>0</v>
      </c>
      <c r="CB23" s="25">
        <f>IF(AND(BR23&lt;&gt;"Cal",$O$47="No"),0,BX23+BY23+BZ23+CA23)</f>
        <v>6.1589559039027165E-2</v>
      </c>
      <c r="CC23" s="5" t="str">
        <f t="shared" ref="CC23" si="9">IF(OR(CB23&lt;=1,BR23="OK"),"OK","Check")</f>
        <v>OK</v>
      </c>
      <c r="CD23" s="5">
        <f>BN23/AT23*100</f>
        <v>87.805402509844015</v>
      </c>
      <c r="CE23" s="5">
        <f t="shared" ref="CE23" si="10">BM23/AU23*100</f>
        <v>29.158726455153193</v>
      </c>
      <c r="CF23" s="5">
        <f t="shared" ref="CF23" si="11">CD23*SQRT($D$28/$B$28)</f>
        <v>2.9248163326364334</v>
      </c>
      <c r="CG23" s="5">
        <f t="shared" ref="CG23" si="12">CE23*SQRT($D$28/$B$28)</f>
        <v>0.97128328026682387</v>
      </c>
      <c r="CH23" s="5">
        <f t="shared" ref="CH23" si="13">ABS((BJ23/BE23)*100*AN23/AQ23)</f>
        <v>7.0524923107206192E-2</v>
      </c>
      <c r="CI23" s="68">
        <f>_xll.DCETCVN5575PhuLucD2Eta(BP23,CH23,CF23)</f>
        <v>1.516813821241018</v>
      </c>
      <c r="CJ23" s="5">
        <f>CH23*CI23</f>
        <v>0.1069731781109704</v>
      </c>
      <c r="CK23" s="5">
        <f>MIN(noisuy2chieu(CJ23,CF23,Data!$DA$2:$EB$24),1)</f>
        <v>0.67502337694168091</v>
      </c>
      <c r="CL23" s="102">
        <f>IF(BE23&gt;0,"-",ABS(BE23)/(CK23*AN23*$D$28*$F$28)*10)</f>
        <v>8.5229781529142776E-2</v>
      </c>
      <c r="CM23" s="5" t="str">
        <f>IF(CL23="-","OK",IF(CL23&lt;=1,"OK","Check"))</f>
        <v>OK</v>
      </c>
      <c r="CN23" s="5">
        <f>FactorPhi7121(CG23,"c")</f>
        <v>0.90492218941026858</v>
      </c>
      <c r="CO23" s="5">
        <f>FactorPhi7121(3.14,"c")</f>
        <v>0.5370345235716667</v>
      </c>
      <c r="CP23" s="25">
        <f>_xll.DCETCVNPhuLucFHeSoOnDinh(1, 0.2, AG23, AH23, AI23, AJ23, AI23, AJ23, $D$28)</f>
        <v>1</v>
      </c>
      <c r="CQ23" s="68">
        <f>IF(CU23&lt;=1,0.7,IF(CU23&lt;=5,0.65+0.05*CU23,0.65+0.05*5))</f>
        <v>0.9</v>
      </c>
      <c r="CR23" s="68">
        <f>IF(CG23&lt;=3.14,1,SQRT(CO23/CN23))</f>
        <v>1</v>
      </c>
      <c r="CS23" s="5">
        <f>CR23/(1+CQ23*5)</f>
        <v>0.18181818181818182</v>
      </c>
      <c r="CT23" s="5">
        <f>1/(1+10*CN23/CP23)</f>
        <v>9.9510191986788829E-2</v>
      </c>
      <c r="CU23" s="26">
        <f>ABS((BK23/BE23)*100*AN23/AQ23)</f>
        <v>16.896134670220334</v>
      </c>
      <c r="CV23" s="5"/>
      <c r="CW23" s="25"/>
      <c r="CX23" s="72">
        <f>MAX(_xll.Dce_c_925(CU23, CQ23, CR23, CN23, CP23, CS23, CT23),0.3)</f>
        <v>0.3</v>
      </c>
      <c r="CY23" s="102">
        <f>IF(BE23&gt;0,"-",ABS(BE23)/(CX23*CN23*AN23*$D$28*$F$28)*10)</f>
        <v>0.21192280624443127</v>
      </c>
      <c r="CZ23" s="5" t="str">
        <f>IF(BE23&gt;0,"OK",IF(CY23&lt;=1,"OK","Check"))</f>
        <v>OK</v>
      </c>
      <c r="DA23" s="47">
        <f t="shared" ref="DA23" si="14">(((AI23-AH23)/2)/AJ23)*SQRT($D$28/$B$28)</f>
        <v>0.34499859601035404</v>
      </c>
      <c r="DB23" s="46">
        <f>IF(BE23&lt;0,0.36+0.1*MIN(MAX(0.8,CG23),4),0.5*SQRT($D$28/MIN(ABS(BJ23)*1000/(AQ23)+ABS(BI23)*1000/(AR23),$D$28)))</f>
        <v>0.45712832802668235</v>
      </c>
      <c r="DC23" s="5" t="str">
        <f>IF(DA23&lt;=DB23,"OK","Gia cường")</f>
        <v>OK</v>
      </c>
      <c r="DD23" s="5">
        <f>CF23</f>
        <v>2.9248163326364334</v>
      </c>
      <c r="DE23" s="5">
        <f t="shared" ref="DE23" si="15">(AM23/AH23)*SQRT($D$28/$B$28)</f>
        <v>1.6655104634982609</v>
      </c>
      <c r="DF23" s="5" t="str">
        <f>IF(BE23&gt;0,$L$81,IF(AND(CH23&gt;=1,CH23&lt;=10,CX23*CN23&gt;CK23),IF(DD23&lt;2,1.3+0.15*DD23^2,MIN(1.2+0.35*DD23,3.1)),"-"))</f>
        <v>-</v>
      </c>
      <c r="DG23" s="5" t="str">
        <f>IF(DF23="-","-",IF(DE23&lt;=DF23,"OK","Gia cường"))</f>
        <v>-</v>
      </c>
      <c r="DH23" s="203" t="str">
        <f>IF(OR(AC23=0,AC23=AD23),"-",MAX(CD23,CE23))</f>
        <v>-</v>
      </c>
      <c r="DI23" s="203">
        <f t="shared" ref="DI23" si="16">IF(BE23&lt;0,$DJ$15-60*MAX(CL23,0.5),$DJ$16)</f>
        <v>180</v>
      </c>
      <c r="DJ23" s="46">
        <f>IFERROR(DH23/DI23,0)</f>
        <v>0</v>
      </c>
      <c r="DK23" s="5" t="str">
        <f>IF(OR(DH23&lt;=DI23,DH23="-"),"OK","Check")</f>
        <v>OK</v>
      </c>
      <c r="EA23" s="18" t="s">
        <v>488</v>
      </c>
      <c r="EB23" s="18" t="s">
        <v>489</v>
      </c>
      <c r="EC23" s="77">
        <v>7.2811904761904795</v>
      </c>
      <c r="ED23" s="77">
        <v>8.6549999999999994</v>
      </c>
      <c r="EE23" s="18">
        <v>528</v>
      </c>
      <c r="EF23" s="18">
        <v>1528</v>
      </c>
      <c r="EG23" s="18">
        <v>1369.2698412698419</v>
      </c>
      <c r="EH23" s="5">
        <v>10</v>
      </c>
      <c r="EI23" s="5">
        <v>300</v>
      </c>
      <c r="EJ23" s="5">
        <v>14</v>
      </c>
      <c r="EK23" s="5">
        <v>300</v>
      </c>
      <c r="EL23" s="5">
        <v>14</v>
      </c>
      <c r="EM23" s="5">
        <v>1341.2698412698419</v>
      </c>
      <c r="EN23" s="26">
        <v>218.12698412698418</v>
      </c>
      <c r="EO23" s="26">
        <v>586811.79072745051</v>
      </c>
      <c r="EP23" s="15">
        <v>6311.1772486772488</v>
      </c>
      <c r="EQ23" s="5">
        <v>8571.1635945074104</v>
      </c>
      <c r="ER23" s="26">
        <v>420.74514991181661</v>
      </c>
      <c r="ES23" s="26">
        <v>5094.8226505417015</v>
      </c>
      <c r="ET23" s="26">
        <v>51.867428670398397</v>
      </c>
      <c r="EU23" s="26">
        <v>5.3789869588463937</v>
      </c>
      <c r="EV23" s="95">
        <v>1.0005566137566139E-6</v>
      </c>
      <c r="EW23" s="95">
        <v>28928912.396825422</v>
      </c>
      <c r="EX23" s="95">
        <v>2.8928912396825422E-5</v>
      </c>
      <c r="EY23" s="54">
        <v>0.11516876660535029</v>
      </c>
      <c r="EZ23" s="54" t="s">
        <v>494</v>
      </c>
      <c r="FA23" s="54">
        <v>1016.4523809523813</v>
      </c>
      <c r="FB23" s="54"/>
      <c r="FC23" s="54"/>
      <c r="FD23" s="15" t="s">
        <v>493</v>
      </c>
      <c r="FE23" s="26">
        <v>-285.55012935601638</v>
      </c>
      <c r="FF23" s="26">
        <v>-297.87481758888629</v>
      </c>
      <c r="FG23" s="26">
        <v>2.5509569080978665E-3</v>
      </c>
      <c r="FH23" s="26">
        <v>-3.5629488643153718E-5</v>
      </c>
      <c r="FI23" s="26">
        <v>-1.8620191927521134E-2</v>
      </c>
      <c r="FJ23" s="26">
        <v>2186.6137601081191</v>
      </c>
      <c r="FK23" s="26">
        <v>1093.3068800540595</v>
      </c>
      <c r="FL23" s="26">
        <v>2.25</v>
      </c>
      <c r="FM23" s="26">
        <v>2</v>
      </c>
      <c r="FN23" s="5">
        <v>19.473749999999999</v>
      </c>
      <c r="FO23" s="54">
        <v>1.6299316758071377E-4</v>
      </c>
      <c r="FP23" s="5">
        <v>0.31313609467455605</v>
      </c>
      <c r="FQ23" s="5">
        <v>23.631246922725634</v>
      </c>
      <c r="FR23" s="5" t="s">
        <v>431</v>
      </c>
      <c r="FS23" s="54">
        <v>4.1739434093663833E-2</v>
      </c>
      <c r="FT23" s="54" t="s">
        <v>432</v>
      </c>
      <c r="FU23" s="54">
        <v>1</v>
      </c>
      <c r="FV23" s="54">
        <v>1</v>
      </c>
      <c r="FW23" s="54">
        <v>1</v>
      </c>
      <c r="FX23" s="54">
        <v>4.3936246414382978E-2</v>
      </c>
      <c r="FY23" s="54">
        <v>0.8562139061895272</v>
      </c>
      <c r="FZ23" s="54">
        <v>1.4853028677008925E-4</v>
      </c>
      <c r="GA23" s="54">
        <v>1.9220926402666241E-6</v>
      </c>
      <c r="GB23" s="54">
        <v>0.90030060498332054</v>
      </c>
      <c r="GC23" s="5" t="s">
        <v>430</v>
      </c>
      <c r="GD23" s="5">
        <v>37.545238889226049</v>
      </c>
      <c r="GE23" s="5">
        <v>37.181722419139881</v>
      </c>
      <c r="GF23" s="5">
        <v>1.4649893473414815</v>
      </c>
      <c r="GG23" s="5">
        <v>1.4508051851943007</v>
      </c>
      <c r="GH23" s="5">
        <v>19.48764348492994</v>
      </c>
      <c r="GI23" s="68">
        <v>1.2126272189349112</v>
      </c>
      <c r="GJ23" s="5">
        <v>23.631246922725634</v>
      </c>
      <c r="GK23" s="5">
        <v>7.0280082523822784E-2</v>
      </c>
      <c r="GL23" s="54">
        <v>0.62515928889938277</v>
      </c>
      <c r="GM23" s="5" t="s">
        <v>430</v>
      </c>
      <c r="GN23" s="5">
        <v>0.83443108266874344</v>
      </c>
      <c r="GO23" s="5">
        <v>0.5370345235716667</v>
      </c>
      <c r="GP23" s="54">
        <v>1</v>
      </c>
      <c r="GQ23" s="68">
        <v>0.9</v>
      </c>
      <c r="GR23" s="68">
        <v>1</v>
      </c>
      <c r="GS23" s="5">
        <v>0.18181818181818182</v>
      </c>
      <c r="GT23" s="5">
        <v>0.10701698804196358</v>
      </c>
      <c r="GU23" s="68">
        <v>9.74382174246497</v>
      </c>
      <c r="GV23" s="5"/>
      <c r="GW23" s="54"/>
      <c r="GX23" s="68">
        <v>0.3</v>
      </c>
      <c r="GY23" s="54">
        <v>0.17551378149314462</v>
      </c>
      <c r="GZ23" s="5" t="s">
        <v>430</v>
      </c>
      <c r="HA23" s="77">
        <v>0.40412857671182012</v>
      </c>
      <c r="HB23" s="54">
        <v>0.50508051851943003</v>
      </c>
      <c r="HC23" s="5" t="s">
        <v>430</v>
      </c>
      <c r="HD23" s="5">
        <v>1.4649893473414815</v>
      </c>
      <c r="HE23" s="5">
        <v>5.233542487685642</v>
      </c>
      <c r="HF23" s="5" t="s">
        <v>237</v>
      </c>
      <c r="HG23" s="5" t="s">
        <v>237</v>
      </c>
      <c r="HH23" s="205">
        <v>37.545238889226049</v>
      </c>
      <c r="HI23" s="26">
        <v>172.49044266603704</v>
      </c>
      <c r="HJ23" s="54">
        <v>0.21766561850570645</v>
      </c>
      <c r="HK23" s="5" t="s">
        <v>430</v>
      </c>
    </row>
    <row r="24" spans="2:219">
      <c r="B24" s="8" t="s">
        <v>45</v>
      </c>
      <c r="C24" s="245"/>
      <c r="D24" s="245"/>
      <c r="E24" s="245"/>
      <c r="F24" s="245"/>
      <c r="G24" s="245"/>
      <c r="H24" s="245"/>
      <c r="I24" s="245"/>
      <c r="J24" s="245"/>
      <c r="K24" s="245"/>
      <c r="L24" s="245"/>
      <c r="M24" s="245"/>
      <c r="N24" s="7"/>
      <c r="AA24" s="18" t="s">
        <v>488</v>
      </c>
      <c r="AB24" s="22" t="s">
        <v>489</v>
      </c>
      <c r="AC24" s="59">
        <v>3.6405952380952398</v>
      </c>
      <c r="AD24" s="59">
        <v>8.6549999999999994</v>
      </c>
      <c r="AE24" s="22">
        <v>528</v>
      </c>
      <c r="AF24" s="22">
        <v>1528</v>
      </c>
      <c r="AG24" s="22">
        <v>948.63492063492095</v>
      </c>
      <c r="AH24" s="6">
        <v>10</v>
      </c>
      <c r="AI24" s="6">
        <v>300</v>
      </c>
      <c r="AJ24" s="6">
        <v>14</v>
      </c>
      <c r="AK24" s="24">
        <v>300</v>
      </c>
      <c r="AL24" s="24">
        <v>14</v>
      </c>
      <c r="AM24" s="5">
        <f t="shared" ref="AM24:AM87" si="17">AG24-AJ24-AL24</f>
        <v>920.63492063492095</v>
      </c>
      <c r="AN24" s="26">
        <f t="shared" ref="AN24:AN87" si="18">(AM24*AH24+AI24*AJ24+AK24*AL24)/100</f>
        <v>176.06349206349208</v>
      </c>
      <c r="AO24" s="26">
        <f t="shared" ref="AO24:AO87" si="19">(AH24*AM24^3/12+AI24*AJ24^3/12+AI24*AJ24*(AM24/2+AJ24/2)^2+AK24*AL24^3/12+AK24*AL24*(AM24/2+AL24/2)^2)/10000</f>
        <v>248482.7399356656</v>
      </c>
      <c r="AP24" s="15">
        <f t="shared" ref="AP24:AP87" si="20">(AM24*AH24^3/12+AJ24*AI24^3/12+AL24*AK24^3/12)/10000</f>
        <v>6307.6719576719579</v>
      </c>
      <c r="AQ24" s="5">
        <f t="shared" ref="AQ24:AQ87" si="21">AO24/(AG24/20)</f>
        <v>5238.7432621467533</v>
      </c>
      <c r="AR24" s="26">
        <f t="shared" ref="AR24:AR87" si="22">AP24/(MAX(AI24,AK24)/20)</f>
        <v>420.51146384479722</v>
      </c>
      <c r="AS24" s="26">
        <f t="shared" ref="AS24:AS87" si="23">(AH24*AM24^2/8+AI24*AJ24*(AM24/2+AJ24/2))/1000</f>
        <v>3022.1941546989178</v>
      </c>
      <c r="AT24" s="26">
        <f t="shared" ref="AT24:AT87" si="24">SQRT(AO24/AN24)</f>
        <v>37.567600585756203</v>
      </c>
      <c r="AU24" s="26">
        <f t="shared" ref="AU24:AU87" si="25">SQRT(AP24/AN24)</f>
        <v>5.9854925384629922</v>
      </c>
      <c r="AV24" s="95">
        <f t="shared" ref="AV24:AV87" si="26">((2*AI24*AJ24^3+(AM24+AJ24)*AH24^3)/3)/1000000000000</f>
        <v>8.6034497354497351E-7</v>
      </c>
      <c r="AW24" s="95">
        <f t="shared" ref="AW24:AW87" si="27">(AI24^3*(AM24+AJ24)^2*AJ24/24)/1000000</f>
        <v>13758293.349206358</v>
      </c>
      <c r="AX24" s="95">
        <f t="shared" ref="AX24:AX87" si="28">AW24/1000000000000</f>
        <v>1.3758293349206359E-5</v>
      </c>
      <c r="AY24" s="54">
        <f t="shared" ref="AY24:AY87" si="29">SQRT(($K$106*AV24)/($B$28*AX24))</f>
        <v>0.1548581140202015</v>
      </c>
      <c r="AZ24" s="54" t="str">
        <f>_xll.Dce_Name_SectI(AE24,AF24,AI24,AH24,AJ24,"x","-",$O$11)</f>
        <v>(528-1528)x300x10x14</v>
      </c>
      <c r="BA24" s="15">
        <f t="shared" ref="BA24:BA87" si="30">AI24*(AM24+AJ24)/400</f>
        <v>700.97619047619071</v>
      </c>
      <c r="BB24" s="54"/>
      <c r="BC24" s="54"/>
      <c r="BD24" s="22" t="s">
        <v>492</v>
      </c>
      <c r="BE24" s="23">
        <v>-162.50019285849029</v>
      </c>
      <c r="BF24" s="23">
        <v>-144.6968898763381</v>
      </c>
      <c r="BG24" s="23">
        <v>1.6673209767304122E-3</v>
      </c>
      <c r="BH24" s="23">
        <v>-2.3287650848327797E-5</v>
      </c>
      <c r="BI24" s="23">
        <v>-6.0859350258135742E-3</v>
      </c>
      <c r="BJ24" s="23">
        <v>525.17737654028156</v>
      </c>
      <c r="BK24" s="23">
        <v>526.98793778823097</v>
      </c>
      <c r="BL24" s="92">
        <v>2.25</v>
      </c>
      <c r="BM24" s="93">
        <v>2</v>
      </c>
      <c r="BN24" s="5">
        <f t="shared" ref="BN24:BN87" si="31">BL24*AD24</f>
        <v>19.473749999999999</v>
      </c>
      <c r="BO24" s="54">
        <f>_xll.Bimoment(BH24,AY24,AC24,AD24,$O$101)</f>
        <v>1.7909756067599776E-4</v>
      </c>
      <c r="BP24" s="5">
        <f t="shared" ref="BP24:BP87" si="32">(AI24*AJ24)/(AM24*AH24)</f>
        <v>0.45620689655172403</v>
      </c>
      <c r="BQ24" s="5">
        <f t="shared" ref="BQ24:BQ87" si="33">CJ24</f>
        <v>13.48188350281559</v>
      </c>
      <c r="BR24" s="24" t="str">
        <f t="shared" ref="BR24:BR87" si="34">IF(AND(BQ24&lt;20,BT24="CT.104"),"OK","Cal")</f>
        <v>Cal</v>
      </c>
      <c r="BS24" s="25">
        <f t="shared" ref="BS24:BS87" si="35">ABS(BE24)/(AN24*$D$28)*10</f>
        <v>4.0379657101173264E-2</v>
      </c>
      <c r="BT24" s="25" t="str">
        <f t="shared" ref="BT24:BT87" si="36">"CT."&amp;IF(AND(BS24&gt;0.1,ABS(BF24)*AS24/(AO24*AH24)*100&lt;=0.5*(0.58*$D$28/$E$28)),104,105)</f>
        <v>CT.105</v>
      </c>
      <c r="BU24" s="25">
        <f t="shared" ref="BU24:BU87" si="37">IF(BT24="CT.104",IF(BS24&gt;0.1,1.5,1),1)</f>
        <v>1</v>
      </c>
      <c r="BV24" s="25" cm="1">
        <f t="array" ref="BV24">IF(BT24="CT.104",_xll.TCVN5575AnnexEHeSoCx(1,BP24),1)</f>
        <v>1</v>
      </c>
      <c r="BW24" s="25">
        <f t="shared" ref="BW24:BW87" si="38">IF(BT24="CT.104",1.47,1)</f>
        <v>1</v>
      </c>
      <c r="BX24" s="25">
        <f t="shared" ref="BX24:BX87" si="39">IF(AND(BR24&lt;&gt;"Cal",$O$47="No"),"-",(ABS(BE24)/(AN24*$D$28*$F$28)*10)^BU24)</f>
        <v>4.2504902211761328E-2</v>
      </c>
      <c r="BY24" s="25">
        <f t="shared" ref="BY24:BY87" si="40">IF(AND(BR24&lt;&gt;"Cal",$O$47="No"),"-",ABS(BJ24)/(BV24*AQ24*$D$28*$F$28)*1000)</f>
        <v>0.4616717984667329</v>
      </c>
      <c r="BZ24" s="25">
        <f t="shared" ref="BZ24:BZ87" si="41">IF(AND(BR24&lt;&gt;"Cal",$O$47="No"),"-",ABS(BI24)/(BW24*AR24*$D$28*$F$28)*1000)</f>
        <v>6.6650578558459381E-5</v>
      </c>
      <c r="CA24" s="25">
        <f t="shared" ref="CA24:CA87" si="42">IF(AND(BR24&lt;&gt;"Cal",$O$47="No"),"-",ABS(BO24)*BA24/(AW24*$L$47)*100000)</f>
        <v>4.2022590835059416E-6</v>
      </c>
      <c r="CB24" s="25">
        <f t="shared" ref="CB24:CB87" si="43">IF(AND(BR24&lt;&gt;"Cal",$O$47="No"),0,BX24+BY24+BZ24+CA24)</f>
        <v>0.50424755351613615</v>
      </c>
      <c r="CC24" s="5" t="str">
        <f t="shared" ref="CC24:CC87" si="44">IF(OR(CB24&lt;=1,BR24="OK"),"OK","Check")</f>
        <v>OK</v>
      </c>
      <c r="CD24" s="5">
        <f t="shared" ref="CD24:CD87" si="45">BN24/AT24*100</f>
        <v>51.836555160202302</v>
      </c>
      <c r="CE24" s="5">
        <f t="shared" ref="CE24:CE87" si="46">BM24/AU24*100</f>
        <v>33.414125690541383</v>
      </c>
      <c r="CF24" s="5">
        <f t="shared" ref="CF24:CF87" si="47">CD24*SQRT($D$28/$B$28)</f>
        <v>1.7266865002204341</v>
      </c>
      <c r="CG24" s="5">
        <f t="shared" ref="CG24:CG87" si="48">CE24*SQRT($D$28/$B$28)</f>
        <v>1.1130315193248546</v>
      </c>
      <c r="CH24" s="5">
        <f t="shared" ref="CH24:CH87" si="49">ABS((BJ24/BE24)*100*AN24/AQ24)</f>
        <v>10.861613000934886</v>
      </c>
      <c r="CI24" s="68">
        <f>_xll.DCETCVN5575PhuLucD2Eta(BP24,CH24,CF24)</f>
        <v>1.2412413793103447</v>
      </c>
      <c r="CJ24" s="5">
        <f t="shared" ref="CJ24:CJ87" si="50">CH24*CI24</f>
        <v>13.48188350281559</v>
      </c>
      <c r="CK24" s="5">
        <f>MIN(noisuy2chieu(CJ24,CF24,Data!$DA$2:$EB$24),1)</f>
        <v>0.10038410872220993</v>
      </c>
      <c r="CL24" s="102">
        <f t="shared" ref="CL24:CL87" si="51">IF(BE24&gt;0,"-",ABS(BE24)/(CK24*AN24*$D$28*$F$28)*10)</f>
        <v>0.42342261890658345</v>
      </c>
      <c r="CM24" s="5" t="str">
        <f t="shared" ref="CM24:CM87" si="52">IF(CL24="-","OK",IF(CL24&lt;=1,"OK","Check"))</f>
        <v>OK</v>
      </c>
      <c r="CN24" s="5">
        <f t="shared" ref="CN24:CN87" si="53">FactorPhi7121(CG24,"c")</f>
        <v>0.88472625978979058</v>
      </c>
      <c r="CO24" s="5">
        <f t="shared" ref="CO24:CO87" si="54">FactorPhi7121(3.14,"c")</f>
        <v>0.5370345235716667</v>
      </c>
      <c r="CP24" s="25">
        <f>_xll.DCETCVNPhuLucFHeSoOnDinh(1, 0.2, AG24, AH24, AI24, AJ24, AI24, AJ24, $D$28)</f>
        <v>1</v>
      </c>
      <c r="CQ24" s="68">
        <f t="shared" ref="CQ24:CQ87" si="55">IF(CU24&lt;=1,0.7,IF(CU24&lt;=5,0.65+0.05*CU24,0.65+0.05*5))</f>
        <v>0.9</v>
      </c>
      <c r="CR24" s="68">
        <f t="shared" ref="CR24:CR87" si="56">IF(CG24&lt;=3.14,1,SQRT(CO24/CN24))</f>
        <v>1</v>
      </c>
      <c r="CS24" s="5">
        <f t="shared" ref="CS24:CS87" si="57">CR24/(1+CQ24*5)</f>
        <v>0.18181818181818182</v>
      </c>
      <c r="CT24" s="5">
        <f t="shared" ref="CT24:CT87" si="58">1/(1+10*CN24/CP24)</f>
        <v>0.10155106457844131</v>
      </c>
      <c r="CU24" s="26">
        <f t="shared" ref="CU24:CU87" si="59">ABS((BK24/BE24)*100*AN24/AQ24)</f>
        <v>10.899058664948951</v>
      </c>
      <c r="CV24" s="5"/>
      <c r="CW24" s="25"/>
      <c r="CX24" s="72">
        <f>MAX(_xll.Dce_c_925(CU24, CQ24, CR24, CN24, CP24, CS24, CT24),0.3)</f>
        <v>0.3</v>
      </c>
      <c r="CY24" s="102">
        <f t="shared" ref="CY24:CY87" si="60">IF(BE24&gt;0,"-",ABS(BE24)/(CX24*CN24*AN24*$D$28*$F$28)*10)</f>
        <v>0.1601433277296431</v>
      </c>
      <c r="CZ24" s="5" t="str">
        <f t="shared" ref="CZ24:CZ87" si="61">IF(BE24&gt;0,"OK",IF(CY24&lt;=1,"OK","Check"))</f>
        <v>OK</v>
      </c>
      <c r="DA24" s="47">
        <f t="shared" ref="DA24:DA87" si="62">(((AI24-AH24)/2)/AJ24)*SQRT($D$28/$B$28)</f>
        <v>0.34499859601035404</v>
      </c>
      <c r="DB24" s="46">
        <f t="shared" ref="DB24:DB87" si="63">IF(BE24&lt;0,0.36+0.1*MIN(MAX(0.8,CG24),4),0.5*SQRT($D$28/MIN(ABS(BJ24)*1000/(AQ24)+ABS(BI24)*1000/(AR24),$D$28)))</f>
        <v>0.47130315193248545</v>
      </c>
      <c r="DC24" s="5" t="str">
        <f t="shared" ref="DC24:DC87" si="64">IF(DA24&lt;=DB24,"OK","Gia cường")</f>
        <v>OK</v>
      </c>
      <c r="DD24" s="5">
        <f t="shared" ref="DD24:DD87" si="65">CF24</f>
        <v>1.7266865002204341</v>
      </c>
      <c r="DE24" s="5">
        <f t="shared" ref="DE24:DE87" si="66">(AM24/AH24)*SQRT($D$28/$B$28)</f>
        <v>3.0666541867587034</v>
      </c>
      <c r="DF24" s="5" t="str">
        <f t="shared" ref="DF24:DF87" si="67">IF(BE24&gt;0,$L$81,IF(AND(CH24&gt;=1,CH24&lt;=10,CX24*CN24&gt;CK24),IF(DD24&lt;2,1.3+0.15*DD24^2,MIN(1.2+0.35*DD24,3.1)),"-"))</f>
        <v>-</v>
      </c>
      <c r="DG24" s="5" t="str">
        <f t="shared" ref="DG24:DG87" si="68">IF(DF24="-","-",IF(DE24&lt;=DF24,"OK","Gia cường"))</f>
        <v>-</v>
      </c>
      <c r="DH24" s="203">
        <f t="shared" ref="DH24:DH87" si="69">IF(OR(AC24=0,AC24=AD24),"-",MAX(CD24,CE24))</f>
        <v>51.836555160202302</v>
      </c>
      <c r="DI24" s="203">
        <f t="shared" ref="DI24:DI87" si="70">IF(BE24&lt;0,$DJ$15-60*MAX(CL24,0.5),$DJ$16)</f>
        <v>180</v>
      </c>
      <c r="DJ24" s="46">
        <f t="shared" ref="DJ24:DJ87" si="71">IFERROR(DH24/DI24,0)</f>
        <v>0.28798086200112388</v>
      </c>
      <c r="DK24" s="5" t="str">
        <f t="shared" ref="DK24:DK87" si="72">IF(OR(DH24&lt;=DI24,DH24="-"),"OK","Check")</f>
        <v>OK</v>
      </c>
      <c r="EA24" s="18" t="s">
        <v>488</v>
      </c>
      <c r="EB24" s="18" t="s">
        <v>490</v>
      </c>
      <c r="EC24" s="77">
        <v>7.2811904761904795</v>
      </c>
      <c r="ED24" s="77">
        <v>8.6549999999999994</v>
      </c>
      <c r="EE24" s="18">
        <v>528</v>
      </c>
      <c r="EF24" s="18">
        <v>1528</v>
      </c>
      <c r="EG24" s="18">
        <v>1369.2698412698419</v>
      </c>
      <c r="EH24" s="5">
        <v>10</v>
      </c>
      <c r="EI24" s="5">
        <v>300</v>
      </c>
      <c r="EJ24" s="5">
        <v>14</v>
      </c>
      <c r="EK24" s="5">
        <v>300</v>
      </c>
      <c r="EL24" s="5">
        <v>14</v>
      </c>
      <c r="EM24" s="5">
        <v>1341.2698412698419</v>
      </c>
      <c r="EN24" s="26">
        <v>218.12698412698418</v>
      </c>
      <c r="EO24" s="26">
        <v>586811.79072745051</v>
      </c>
      <c r="EP24" s="15">
        <v>6311.1772486772488</v>
      </c>
      <c r="EQ24" s="5">
        <v>8571.1635945074104</v>
      </c>
      <c r="ER24" s="26">
        <v>420.74514991181661</v>
      </c>
      <c r="ES24" s="26">
        <v>5094.8226505417015</v>
      </c>
      <c r="ET24" s="26">
        <v>51.867428670398397</v>
      </c>
      <c r="EU24" s="26">
        <v>5.3789869588463937</v>
      </c>
      <c r="EV24" s="95">
        <v>1.0005566137566139E-6</v>
      </c>
      <c r="EW24" s="95">
        <v>28928912.396825422</v>
      </c>
      <c r="EX24" s="95">
        <v>2.8928912396825422E-5</v>
      </c>
      <c r="EY24" s="54">
        <v>0.11516876660535029</v>
      </c>
      <c r="EZ24" s="54" t="s">
        <v>494</v>
      </c>
      <c r="FA24" s="54">
        <v>1016.4523809523813</v>
      </c>
      <c r="FB24" s="54"/>
      <c r="FC24" s="54"/>
      <c r="FD24" s="15" t="s">
        <v>493</v>
      </c>
      <c r="FE24" s="26">
        <v>-285.40412768073134</v>
      </c>
      <c r="FF24" s="26">
        <v>-297.80728952471213</v>
      </c>
      <c r="FG24" s="26">
        <v>1.5853176439342797E-3</v>
      </c>
      <c r="FH24" s="26">
        <v>-2.2142301506951613E-5</v>
      </c>
      <c r="FI24" s="26">
        <v>-1.1571704211245147E-2</v>
      </c>
      <c r="FJ24" s="26">
        <v>2186.1228919376645</v>
      </c>
      <c r="FK24" s="26">
        <v>1093.0614459688322</v>
      </c>
      <c r="FL24" s="26">
        <v>2.25</v>
      </c>
      <c r="FM24" s="26">
        <v>2</v>
      </c>
      <c r="FN24" s="5">
        <v>19.473749999999999</v>
      </c>
      <c r="FO24" s="54">
        <v>1.0129373161348306E-4</v>
      </c>
      <c r="FP24" s="5">
        <v>0.31313609467455605</v>
      </c>
      <c r="FQ24" s="5">
        <v>23.638028110476064</v>
      </c>
      <c r="FR24" s="5" t="s">
        <v>431</v>
      </c>
      <c r="FS24" s="54">
        <v>4.1718092736484733E-2</v>
      </c>
      <c r="FT24" s="54" t="s">
        <v>432</v>
      </c>
      <c r="FU24" s="54">
        <v>1</v>
      </c>
      <c r="FV24" s="54">
        <v>1</v>
      </c>
      <c r="FW24" s="54">
        <v>1</v>
      </c>
      <c r="FX24" s="54">
        <v>4.3913781827878667E-2</v>
      </c>
      <c r="FY24" s="54">
        <v>0.85602169659068683</v>
      </c>
      <c r="FZ24" s="54">
        <v>9.2305629909997635E-5</v>
      </c>
      <c r="GA24" s="54">
        <v>1.1945036649650089E-6</v>
      </c>
      <c r="GB24" s="54">
        <v>0.90002897855214048</v>
      </c>
      <c r="GC24" s="5" t="s">
        <v>430</v>
      </c>
      <c r="GD24" s="5">
        <v>37.545238889226049</v>
      </c>
      <c r="GE24" s="5">
        <v>37.181722419139881</v>
      </c>
      <c r="GF24" s="5">
        <v>1.4649893473414815</v>
      </c>
      <c r="GG24" s="5">
        <v>1.4508051851943007</v>
      </c>
      <c r="GH24" s="5">
        <v>19.493235630351503</v>
      </c>
      <c r="GI24" s="68">
        <v>1.2126272189349112</v>
      </c>
      <c r="GJ24" s="5">
        <v>23.638028110476064</v>
      </c>
      <c r="GK24" s="5">
        <v>7.0280082523822784E-2</v>
      </c>
      <c r="GL24" s="54">
        <v>0.62483964518671786</v>
      </c>
      <c r="GM24" s="5" t="s">
        <v>430</v>
      </c>
      <c r="GN24" s="5">
        <v>0.83443108266874344</v>
      </c>
      <c r="GO24" s="5">
        <v>0.5370345235716667</v>
      </c>
      <c r="GP24" s="68">
        <v>1</v>
      </c>
      <c r="GQ24" s="68">
        <v>0.9</v>
      </c>
      <c r="GR24" s="68">
        <v>1</v>
      </c>
      <c r="GS24" s="5">
        <v>0.18181818181818182</v>
      </c>
      <c r="GT24" s="5">
        <v>0.10701698804196358</v>
      </c>
      <c r="GU24" s="68">
        <v>9.7466178151757514</v>
      </c>
      <c r="GV24" s="5"/>
      <c r="GW24" s="54"/>
      <c r="GX24" s="68">
        <v>0.3</v>
      </c>
      <c r="GY24" s="54">
        <v>0.1754240413617309</v>
      </c>
      <c r="GZ24" s="5" t="s">
        <v>430</v>
      </c>
      <c r="HA24" s="77">
        <v>0.40412857671182012</v>
      </c>
      <c r="HB24" s="54">
        <v>0.50508051851943003</v>
      </c>
      <c r="HC24" s="5" t="s">
        <v>430</v>
      </c>
      <c r="HD24" s="5">
        <v>1.4649893473414815</v>
      </c>
      <c r="HE24" s="5">
        <v>5.233542487685642</v>
      </c>
      <c r="HF24" s="5" t="s">
        <v>237</v>
      </c>
      <c r="HG24" s="5" t="s">
        <v>237</v>
      </c>
      <c r="HH24" s="205">
        <v>37.545238889226049</v>
      </c>
      <c r="HI24" s="26">
        <v>172.50962128879692</v>
      </c>
      <c r="HJ24" s="26">
        <v>0.21764141970013298</v>
      </c>
      <c r="HK24" s="5" t="s">
        <v>430</v>
      </c>
    </row>
    <row r="25" spans="2:219" ht="15" customHeight="1">
      <c r="B25" s="5" t="s">
        <v>222</v>
      </c>
      <c r="C25" s="417" t="s">
        <v>520</v>
      </c>
      <c r="D25" s="389"/>
      <c r="E25" s="390" t="s">
        <v>29</v>
      </c>
      <c r="F25" s="390"/>
      <c r="G25" s="350" t="s">
        <v>24</v>
      </c>
      <c r="H25" s="423"/>
      <c r="I25" s="423"/>
      <c r="J25" s="423"/>
      <c r="K25" s="423"/>
      <c r="L25" s="423"/>
      <c r="M25" s="423"/>
      <c r="N25" s="351"/>
      <c r="AA25" s="18" t="s">
        <v>488</v>
      </c>
      <c r="AB25" s="22" t="s">
        <v>489</v>
      </c>
      <c r="AC25" s="59">
        <v>7.2811904761904795</v>
      </c>
      <c r="AD25" s="59">
        <v>8.6549999999999994</v>
      </c>
      <c r="AE25" s="22">
        <v>528</v>
      </c>
      <c r="AF25" s="22">
        <v>1528</v>
      </c>
      <c r="AG25" s="22">
        <v>1369.2698412698419</v>
      </c>
      <c r="AH25" s="6">
        <v>10</v>
      </c>
      <c r="AI25" s="6">
        <v>300</v>
      </c>
      <c r="AJ25" s="6">
        <v>14</v>
      </c>
      <c r="AK25" s="24">
        <v>300</v>
      </c>
      <c r="AL25" s="24">
        <v>14</v>
      </c>
      <c r="AM25" s="5">
        <f t="shared" si="17"/>
        <v>1341.2698412698419</v>
      </c>
      <c r="AN25" s="26">
        <f t="shared" si="18"/>
        <v>218.12698412698418</v>
      </c>
      <c r="AO25" s="26">
        <f t="shared" si="19"/>
        <v>586811.79072745051</v>
      </c>
      <c r="AP25" s="15">
        <f t="shared" si="20"/>
        <v>6311.1772486772488</v>
      </c>
      <c r="AQ25" s="5">
        <f t="shared" si="21"/>
        <v>8571.1635945074104</v>
      </c>
      <c r="AR25" s="26">
        <f t="shared" si="22"/>
        <v>420.74514991181661</v>
      </c>
      <c r="AS25" s="26">
        <f t="shared" si="23"/>
        <v>5094.8226505417015</v>
      </c>
      <c r="AT25" s="26">
        <f t="shared" si="24"/>
        <v>51.867428670398397</v>
      </c>
      <c r="AU25" s="26">
        <f t="shared" si="25"/>
        <v>5.3789869588463937</v>
      </c>
      <c r="AV25" s="95">
        <f t="shared" si="26"/>
        <v>1.0005566137566139E-6</v>
      </c>
      <c r="AW25" s="95">
        <f t="shared" si="27"/>
        <v>28928912.396825422</v>
      </c>
      <c r="AX25" s="95">
        <f t="shared" si="28"/>
        <v>2.8928912396825422E-5</v>
      </c>
      <c r="AY25" s="54">
        <f t="shared" si="29"/>
        <v>0.11516876660535029</v>
      </c>
      <c r="AZ25" s="54" t="str">
        <f>_xll.Dce_Name_SectI(AE25,AF25,AI25,AH25,AJ25,"x","-",$O$11)</f>
        <v>(528-1528)x300x10x14</v>
      </c>
      <c r="BA25" s="15">
        <f t="shared" si="30"/>
        <v>1016.4523809523813</v>
      </c>
      <c r="BB25" s="54"/>
      <c r="BC25" s="54"/>
      <c r="BD25" s="22" t="s">
        <v>492</v>
      </c>
      <c r="BE25" s="23">
        <v>-156.05699142143206</v>
      </c>
      <c r="BF25" s="23">
        <v>-145.13934509421267</v>
      </c>
      <c r="BG25" s="23">
        <v>1.6673209767303849E-3</v>
      </c>
      <c r="BH25" s="23">
        <v>-2.3287650848327797E-5</v>
      </c>
      <c r="BI25" s="23">
        <v>-1.2170270886564451E-2</v>
      </c>
      <c r="BJ25" s="23">
        <v>1053.9758755764619</v>
      </c>
      <c r="BK25" s="23">
        <v>526.98793778823097</v>
      </c>
      <c r="BL25" s="92">
        <v>2.25</v>
      </c>
      <c r="BM25" s="93">
        <v>2</v>
      </c>
      <c r="BN25" s="5">
        <f t="shared" si="31"/>
        <v>19.473749999999999</v>
      </c>
      <c r="BO25" s="54">
        <f>_xll.Bimoment(BH25,AY25,AC25,AD25,$O$101)</f>
        <v>1.0653332735977957E-4</v>
      </c>
      <c r="BP25" s="5">
        <f t="shared" si="32"/>
        <v>0.31313609467455605</v>
      </c>
      <c r="BQ25" s="5">
        <f t="shared" si="33"/>
        <v>20.842238586269495</v>
      </c>
      <c r="BR25" s="24" t="str">
        <f t="shared" si="34"/>
        <v>Cal</v>
      </c>
      <c r="BS25" s="25">
        <f t="shared" si="35"/>
        <v>3.130054450628162E-2</v>
      </c>
      <c r="BT25" s="25" t="str">
        <f t="shared" si="36"/>
        <v>CT.105</v>
      </c>
      <c r="BU25" s="25">
        <f t="shared" si="37"/>
        <v>1</v>
      </c>
      <c r="BV25" s="25" cm="1">
        <f t="array" ref="BV25">IF(BT25="CT.104",_xll.TCVN5575AnnexEHeSoCx(1,BP25),1)</f>
        <v>1</v>
      </c>
      <c r="BW25" s="25">
        <f t="shared" si="38"/>
        <v>1</v>
      </c>
      <c r="BX25" s="25">
        <f t="shared" si="39"/>
        <v>3.2947941585559602E-2</v>
      </c>
      <c r="BY25" s="25">
        <f t="shared" si="40"/>
        <v>0.56629840459614755</v>
      </c>
      <c r="BZ25" s="25">
        <f t="shared" si="41"/>
        <v>1.3320961666995107E-4</v>
      </c>
      <c r="CA25" s="25">
        <f t="shared" si="42"/>
        <v>1.7238317475976156E-6</v>
      </c>
      <c r="CB25" s="25">
        <f t="shared" si="43"/>
        <v>0.59938127963012466</v>
      </c>
      <c r="CC25" s="5" t="str">
        <f t="shared" si="44"/>
        <v>OK</v>
      </c>
      <c r="CD25" s="5">
        <f t="shared" si="45"/>
        <v>37.545238889226049</v>
      </c>
      <c r="CE25" s="5">
        <f t="shared" si="46"/>
        <v>37.181722419139881</v>
      </c>
      <c r="CF25" s="5">
        <f t="shared" si="47"/>
        <v>1.2506397644909562</v>
      </c>
      <c r="CG25" s="5">
        <f t="shared" si="48"/>
        <v>1.2385309547993069</v>
      </c>
      <c r="CH25" s="5">
        <f t="shared" si="49"/>
        <v>17.187671743485925</v>
      </c>
      <c r="CI25" s="68">
        <f>_xll.DCETCVN5575PhuLucD2Eta(BP25,CH25,CF25)</f>
        <v>1.2126272189349112</v>
      </c>
      <c r="CJ25" s="5">
        <f t="shared" si="50"/>
        <v>20.842238586269495</v>
      </c>
      <c r="CK25" s="5">
        <f>MIN(noisuy2chieu(CJ25,CF25,Data!$DA$2:$EB$24),1)</f>
        <v>7.1994885802268982E-2</v>
      </c>
      <c r="CL25" s="102">
        <f t="shared" si="51"/>
        <v>0.45764280640780208</v>
      </c>
      <c r="CM25" s="5" t="str">
        <f t="shared" si="52"/>
        <v>OK</v>
      </c>
      <c r="CN25" s="5">
        <f t="shared" si="53"/>
        <v>0.86643683692746631</v>
      </c>
      <c r="CO25" s="5">
        <f t="shared" si="54"/>
        <v>0.5370345235716667</v>
      </c>
      <c r="CP25" s="25">
        <f>_xll.DCETCVNPhuLucFHeSoOnDinh(1, 0.2, AG25, AH25, AI25, AJ25, AI25, AJ25, $D$28)</f>
        <v>1</v>
      </c>
      <c r="CQ25" s="68">
        <f t="shared" si="55"/>
        <v>0.9</v>
      </c>
      <c r="CR25" s="68">
        <f t="shared" si="56"/>
        <v>1</v>
      </c>
      <c r="CS25" s="5">
        <f t="shared" si="57"/>
        <v>0.18181818181818182</v>
      </c>
      <c r="CT25" s="5">
        <f t="shared" si="58"/>
        <v>0.10347287704587492</v>
      </c>
      <c r="CU25" s="26">
        <f t="shared" si="59"/>
        <v>8.5938358717429626</v>
      </c>
      <c r="CV25" s="5"/>
      <c r="CW25" s="25"/>
      <c r="CX25" s="72">
        <f>MAX(_xll.Dce_c_925(CU25, CQ25, CR25, CN25, CP25, CS25, CT25),0.3)</f>
        <v>0.3</v>
      </c>
      <c r="CY25" s="102">
        <f t="shared" si="60"/>
        <v>0.12675646656636724</v>
      </c>
      <c r="CZ25" s="5" t="str">
        <f t="shared" si="61"/>
        <v>OK</v>
      </c>
      <c r="DA25" s="47">
        <f t="shared" si="62"/>
        <v>0.34499859601035404</v>
      </c>
      <c r="DB25" s="46">
        <f t="shared" si="63"/>
        <v>0.48385309547993066</v>
      </c>
      <c r="DC25" s="5" t="str">
        <f t="shared" si="64"/>
        <v>OK</v>
      </c>
      <c r="DD25" s="5">
        <f t="shared" si="65"/>
        <v>1.2506397644909562</v>
      </c>
      <c r="DE25" s="5">
        <f t="shared" si="66"/>
        <v>4.4677979100191463</v>
      </c>
      <c r="DF25" s="5" t="str">
        <f t="shared" si="67"/>
        <v>-</v>
      </c>
      <c r="DG25" s="5" t="str">
        <f t="shared" si="68"/>
        <v>-</v>
      </c>
      <c r="DH25" s="203">
        <f t="shared" si="69"/>
        <v>37.545238889226049</v>
      </c>
      <c r="DI25" s="203">
        <f t="shared" si="70"/>
        <v>180</v>
      </c>
      <c r="DJ25" s="46">
        <f t="shared" si="71"/>
        <v>0.20858466049570026</v>
      </c>
      <c r="DK25" s="5" t="str">
        <f t="shared" si="72"/>
        <v>OK</v>
      </c>
      <c r="EA25" s="18" t="s">
        <v>488</v>
      </c>
      <c r="EB25" s="18" t="s">
        <v>491</v>
      </c>
      <c r="EC25" s="77">
        <v>7.2811904761904795</v>
      </c>
      <c r="ED25" s="77">
        <v>8.6549999999999994</v>
      </c>
      <c r="EE25" s="18">
        <v>528</v>
      </c>
      <c r="EF25" s="18">
        <v>1528</v>
      </c>
      <c r="EG25" s="18">
        <v>1369.2698412698419</v>
      </c>
      <c r="EH25" s="5">
        <v>10</v>
      </c>
      <c r="EI25" s="5">
        <v>300</v>
      </c>
      <c r="EJ25" s="5">
        <v>14</v>
      </c>
      <c r="EK25" s="5">
        <v>300</v>
      </c>
      <c r="EL25" s="5">
        <v>14</v>
      </c>
      <c r="EM25" s="5">
        <v>1341.2698412698419</v>
      </c>
      <c r="EN25" s="26">
        <v>218.12698412698418</v>
      </c>
      <c r="EO25" s="26">
        <v>586811.79072745051</v>
      </c>
      <c r="EP25" s="15">
        <v>6311.1772486772488</v>
      </c>
      <c r="EQ25" s="5">
        <v>8571.1635945074104</v>
      </c>
      <c r="ER25" s="26">
        <v>420.74514991181661</v>
      </c>
      <c r="ES25" s="26">
        <v>5094.8226505417015</v>
      </c>
      <c r="ET25" s="26">
        <v>51.867428670398397</v>
      </c>
      <c r="EU25" s="26">
        <v>5.3789869588463937</v>
      </c>
      <c r="EV25" s="95">
        <v>1.0005566137566139E-6</v>
      </c>
      <c r="EW25" s="95">
        <v>28928912.396825422</v>
      </c>
      <c r="EX25" s="95">
        <v>2.8928912396825422E-5</v>
      </c>
      <c r="EY25" s="54">
        <v>0.11516876660535029</v>
      </c>
      <c r="EZ25" s="54" t="s">
        <v>494</v>
      </c>
      <c r="FA25" s="54">
        <v>1016.4523809523813</v>
      </c>
      <c r="FB25" s="54"/>
      <c r="FC25" s="54"/>
      <c r="FD25" s="15" t="s">
        <v>493</v>
      </c>
      <c r="FE25" s="26">
        <v>-292.22929489039143</v>
      </c>
      <c r="FF25" s="26">
        <v>-298.44268401899586</v>
      </c>
      <c r="FG25" s="26">
        <v>6.552399188675058E-4</v>
      </c>
      <c r="FH25" s="26">
        <v>2.3077811196621189E-4</v>
      </c>
      <c r="FI25" s="26">
        <v>-4.7663147192208441E-3</v>
      </c>
      <c r="FJ25" s="26">
        <v>2190.665280161762</v>
      </c>
      <c r="FK25" s="26">
        <v>1095.332640080881</v>
      </c>
      <c r="FL25" s="26">
        <v>2.25</v>
      </c>
      <c r="FM25" s="26">
        <v>2</v>
      </c>
      <c r="FN25" s="5">
        <v>19.473749999999999</v>
      </c>
      <c r="FO25" s="54">
        <v>-1.055733801133218E-3</v>
      </c>
      <c r="FP25" s="5">
        <v>0.31313609467455605</v>
      </c>
      <c r="FQ25" s="5">
        <v>23.133918308447704</v>
      </c>
      <c r="FR25" s="5" t="s">
        <v>431</v>
      </c>
      <c r="FS25" s="54">
        <v>4.2715741091848156E-2</v>
      </c>
      <c r="FT25" s="54" t="s">
        <v>432</v>
      </c>
      <c r="FU25" s="54">
        <v>1</v>
      </c>
      <c r="FV25" s="54">
        <v>1</v>
      </c>
      <c r="FW25" s="54">
        <v>1</v>
      </c>
      <c r="FX25" s="54">
        <v>4.4963937991419123E-2</v>
      </c>
      <c r="FY25" s="54">
        <v>0.85780036278027105</v>
      </c>
      <c r="FZ25" s="54">
        <v>3.8020128623701905E-5</v>
      </c>
      <c r="GA25" s="54">
        <v>1.2449713072997388E-5</v>
      </c>
      <c r="GB25" s="54">
        <v>0.90281477061338689</v>
      </c>
      <c r="GC25" s="5" t="s">
        <v>430</v>
      </c>
      <c r="GD25" s="5">
        <v>37.545238889226049</v>
      </c>
      <c r="GE25" s="5">
        <v>37.181722419139881</v>
      </c>
      <c r="GF25" s="5">
        <v>1.4649893473414815</v>
      </c>
      <c r="GG25" s="5">
        <v>1.4508051851943007</v>
      </c>
      <c r="GH25" s="5">
        <v>19.077518587094684</v>
      </c>
      <c r="GI25" s="68">
        <v>1.2126272189349112</v>
      </c>
      <c r="GJ25" s="5">
        <v>23.133918308447704</v>
      </c>
      <c r="GK25" s="5">
        <v>7.0280082523822784E-2</v>
      </c>
      <c r="GL25" s="54">
        <v>0.63978208870454478</v>
      </c>
      <c r="GM25" s="5" t="s">
        <v>430</v>
      </c>
      <c r="GN25" s="5">
        <v>0.83443108266874344</v>
      </c>
      <c r="GO25" s="5">
        <v>0.5370345235716667</v>
      </c>
      <c r="GP25" s="68">
        <v>1</v>
      </c>
      <c r="GQ25" s="68">
        <v>0.9</v>
      </c>
      <c r="GR25" s="68">
        <v>1</v>
      </c>
      <c r="GS25" s="5">
        <v>0.18181818181818182</v>
      </c>
      <c r="GT25" s="5">
        <v>0.10701698804196358</v>
      </c>
      <c r="GU25" s="68">
        <v>9.5387592935473418</v>
      </c>
      <c r="GV25" s="5"/>
      <c r="GW25" s="54"/>
      <c r="GX25" s="68">
        <v>0.3</v>
      </c>
      <c r="GY25" s="54">
        <v>0.17961913981604447</v>
      </c>
      <c r="GZ25" s="5" t="s">
        <v>430</v>
      </c>
      <c r="HA25" s="77">
        <v>0.40412857671182012</v>
      </c>
      <c r="HB25" s="54">
        <v>0.50508051851943003</v>
      </c>
      <c r="HC25" s="5" t="s">
        <v>430</v>
      </c>
      <c r="HD25" s="5">
        <v>1.4649893473414815</v>
      </c>
      <c r="HE25" s="5">
        <v>5.233542487685642</v>
      </c>
      <c r="HF25" s="5" t="s">
        <v>237</v>
      </c>
      <c r="HG25" s="5" t="s">
        <v>237</v>
      </c>
      <c r="HH25" s="205">
        <v>37.545238889226049</v>
      </c>
      <c r="HI25" s="26">
        <v>171.6130746777273</v>
      </c>
      <c r="HJ25" s="26">
        <v>0.21877842908958053</v>
      </c>
      <c r="HK25" s="5" t="s">
        <v>430</v>
      </c>
    </row>
    <row r="26" spans="2:219" ht="15" customHeight="1">
      <c r="B26" s="5" t="s">
        <v>18</v>
      </c>
      <c r="C26" s="5" t="s">
        <v>20</v>
      </c>
      <c r="D26" s="5" t="s">
        <v>106</v>
      </c>
      <c r="E26" s="418" t="s">
        <v>21</v>
      </c>
      <c r="F26" s="418" t="s">
        <v>30</v>
      </c>
      <c r="G26" s="5" t="s">
        <v>23</v>
      </c>
      <c r="H26" s="5" t="s">
        <v>112</v>
      </c>
      <c r="I26" s="5" t="s">
        <v>113</v>
      </c>
      <c r="J26" s="5" t="s">
        <v>114</v>
      </c>
      <c r="K26" s="5" t="s">
        <v>115</v>
      </c>
      <c r="L26" s="5" t="s">
        <v>259</v>
      </c>
      <c r="M26" s="5" t="s">
        <v>225</v>
      </c>
      <c r="N26" s="66" t="s">
        <v>172</v>
      </c>
      <c r="AA26" s="18" t="s">
        <v>488</v>
      </c>
      <c r="AB26" s="22" t="s">
        <v>489</v>
      </c>
      <c r="AC26" s="59">
        <v>0</v>
      </c>
      <c r="AD26" s="59">
        <v>8.6549999999999994</v>
      </c>
      <c r="AE26" s="22">
        <v>528</v>
      </c>
      <c r="AF26" s="22">
        <v>1528</v>
      </c>
      <c r="AG26" s="22">
        <v>528</v>
      </c>
      <c r="AH26" s="6">
        <v>10</v>
      </c>
      <c r="AI26" s="6">
        <v>300</v>
      </c>
      <c r="AJ26" s="6">
        <v>14</v>
      </c>
      <c r="AK26" s="24">
        <v>300</v>
      </c>
      <c r="AL26" s="24">
        <v>14</v>
      </c>
      <c r="AM26" s="5">
        <f t="shared" si="17"/>
        <v>500</v>
      </c>
      <c r="AN26" s="26">
        <f t="shared" si="18"/>
        <v>134</v>
      </c>
      <c r="AO26" s="26">
        <f t="shared" si="19"/>
        <v>65911.546666666676</v>
      </c>
      <c r="AP26" s="15">
        <f t="shared" si="20"/>
        <v>6304.166666666667</v>
      </c>
      <c r="AQ26" s="5">
        <f t="shared" si="21"/>
        <v>2496.6494949494954</v>
      </c>
      <c r="AR26" s="26">
        <f t="shared" si="22"/>
        <v>420.27777777777777</v>
      </c>
      <c r="AS26" s="26">
        <f t="shared" si="23"/>
        <v>1391.9</v>
      </c>
      <c r="AT26" s="26">
        <f t="shared" si="24"/>
        <v>22.178305028345793</v>
      </c>
      <c r="AU26" s="26">
        <f t="shared" si="25"/>
        <v>6.8590101254115021</v>
      </c>
      <c r="AV26" s="95">
        <f t="shared" si="26"/>
        <v>7.201333333333334E-7</v>
      </c>
      <c r="AW26" s="95">
        <f t="shared" si="27"/>
        <v>4161087</v>
      </c>
      <c r="AX26" s="95">
        <f t="shared" si="28"/>
        <v>4.1610870000000001E-6</v>
      </c>
      <c r="AY26" s="54">
        <f t="shared" si="29"/>
        <v>0.25762202780669918</v>
      </c>
      <c r="AZ26" s="54" t="str">
        <f>_xll.Dce_Name_SectI(AE26,AF26,AI26,AH26,AJ26,"x","-",$O$11)</f>
        <v>(528-1528)x300x10x14</v>
      </c>
      <c r="BA26" s="15">
        <f t="shared" si="30"/>
        <v>385.5</v>
      </c>
      <c r="BB26" s="54"/>
      <c r="BC26" s="54"/>
      <c r="BD26" s="22" t="s">
        <v>495</v>
      </c>
      <c r="BE26" s="23">
        <v>-271.68347113885591</v>
      </c>
      <c r="BF26" s="23">
        <v>-248.83469919155056</v>
      </c>
      <c r="BG26" s="23">
        <v>2.9471548548951993E-3</v>
      </c>
      <c r="BH26" s="23">
        <v>-4.1163227845510537E-5</v>
      </c>
      <c r="BI26" s="23">
        <v>-2.8266825307959877E-6</v>
      </c>
      <c r="BJ26" s="23">
        <v>-3.5559692120246096</v>
      </c>
      <c r="BK26" s="23">
        <v>907.55456694407155</v>
      </c>
      <c r="BL26" s="92">
        <v>2.25</v>
      </c>
      <c r="BM26" s="93">
        <v>2</v>
      </c>
      <c r="BN26" s="5">
        <f t="shared" si="31"/>
        <v>19.473749999999999</v>
      </c>
      <c r="BO26" s="54">
        <f>_xll.Bimoment(BH26,AY26,AC26,AD26,$O$101)</f>
        <v>0</v>
      </c>
      <c r="BP26" s="5">
        <f t="shared" si="32"/>
        <v>0.84</v>
      </c>
      <c r="BQ26" s="5">
        <f t="shared" si="33"/>
        <v>0.10655591184162218</v>
      </c>
      <c r="BR26" s="24" t="str">
        <f t="shared" si="34"/>
        <v>Cal</v>
      </c>
      <c r="BS26" s="25">
        <f t="shared" si="35"/>
        <v>8.8702625838245869E-2</v>
      </c>
      <c r="BT26" s="25" t="str">
        <f t="shared" si="36"/>
        <v>CT.105</v>
      </c>
      <c r="BU26" s="25">
        <f t="shared" si="37"/>
        <v>1</v>
      </c>
      <c r="BV26" s="25" cm="1">
        <f t="array" ref="BV26">IF(BT26="CT.104",_xll.TCVN5575AnnexEHeSoCx(1,BP26),1)</f>
        <v>1</v>
      </c>
      <c r="BW26" s="25">
        <f t="shared" si="38"/>
        <v>1</v>
      </c>
      <c r="BX26" s="25">
        <f t="shared" si="39"/>
        <v>9.3371185092890399E-2</v>
      </c>
      <c r="BY26" s="25">
        <f t="shared" si="40"/>
        <v>6.5592603350500284E-3</v>
      </c>
      <c r="BZ26" s="25">
        <f t="shared" si="41"/>
        <v>3.0973840651223995E-8</v>
      </c>
      <c r="CA26" s="25">
        <f t="shared" si="42"/>
        <v>0</v>
      </c>
      <c r="CB26" s="25">
        <f t="shared" si="43"/>
        <v>9.9930476401781071E-2</v>
      </c>
      <c r="CC26" s="5" t="str">
        <f t="shared" si="44"/>
        <v>OK</v>
      </c>
      <c r="CD26" s="5">
        <f t="shared" si="45"/>
        <v>87.805402509844015</v>
      </c>
      <c r="CE26" s="5">
        <f t="shared" si="46"/>
        <v>29.158726455153193</v>
      </c>
      <c r="CF26" s="5">
        <f t="shared" si="47"/>
        <v>2.9248163326364334</v>
      </c>
      <c r="CG26" s="5">
        <f t="shared" si="48"/>
        <v>0.97128328026682387</v>
      </c>
      <c r="CH26" s="5">
        <f t="shared" si="49"/>
        <v>7.0249299379937666E-2</v>
      </c>
      <c r="CI26" s="68">
        <f>_xll.DCETCVN5575PhuLucD2Eta(BP26,CH26,CF26)</f>
        <v>1.5168252606381614</v>
      </c>
      <c r="CJ26" s="5">
        <f t="shared" si="50"/>
        <v>0.10655591184162218</v>
      </c>
      <c r="CK26" s="5">
        <f>MIN(noisuy2chieu(CJ26,CF26,Data!$DA$2:$EB$24),1)</f>
        <v>0.67521810531616211</v>
      </c>
      <c r="CL26" s="102">
        <f t="shared" si="51"/>
        <v>0.1382829997563092</v>
      </c>
      <c r="CM26" s="5" t="str">
        <f t="shared" si="52"/>
        <v>OK</v>
      </c>
      <c r="CN26" s="5">
        <f t="shared" si="53"/>
        <v>0.90492218941026858</v>
      </c>
      <c r="CO26" s="5">
        <f t="shared" si="54"/>
        <v>0.5370345235716667</v>
      </c>
      <c r="CP26" s="25">
        <f>_xll.DCETCVNPhuLucFHeSoOnDinh(1, 0.2, AG26, AH26, AI26, AJ26, AI26, AJ26, $D$28)</f>
        <v>1</v>
      </c>
      <c r="CQ26" s="68">
        <f t="shared" si="55"/>
        <v>0.9</v>
      </c>
      <c r="CR26" s="68">
        <f t="shared" si="56"/>
        <v>1</v>
      </c>
      <c r="CS26" s="5">
        <f t="shared" si="57"/>
        <v>0.18181818181818182</v>
      </c>
      <c r="CT26" s="5">
        <f t="shared" si="58"/>
        <v>9.9510191986788829E-2</v>
      </c>
      <c r="CU26" s="26">
        <f t="shared" si="59"/>
        <v>17.929028255164358</v>
      </c>
      <c r="CV26" s="5"/>
      <c r="CW26" s="25"/>
      <c r="CX26" s="72">
        <f>MAX(_xll.Dce_c_925(CU26, CQ26, CR26, CN26, CP26, CS26, CT26),0.3)</f>
        <v>0.3</v>
      </c>
      <c r="CY26" s="102">
        <f t="shared" si="60"/>
        <v>0.34393817201653454</v>
      </c>
      <c r="CZ26" s="5" t="str">
        <f t="shared" si="61"/>
        <v>OK</v>
      </c>
      <c r="DA26" s="47">
        <f t="shared" si="62"/>
        <v>0.34499859601035404</v>
      </c>
      <c r="DB26" s="46">
        <f t="shared" si="63"/>
        <v>0.45712832802668235</v>
      </c>
      <c r="DC26" s="5" t="str">
        <f t="shared" si="64"/>
        <v>OK</v>
      </c>
      <c r="DD26" s="5">
        <f t="shared" si="65"/>
        <v>2.9248163326364334</v>
      </c>
      <c r="DE26" s="5">
        <f t="shared" si="66"/>
        <v>1.6655104634982609</v>
      </c>
      <c r="DF26" s="5" t="str">
        <f t="shared" si="67"/>
        <v>-</v>
      </c>
      <c r="DG26" s="5" t="str">
        <f t="shared" si="68"/>
        <v>-</v>
      </c>
      <c r="DH26" s="203" t="str">
        <f t="shared" si="69"/>
        <v>-</v>
      </c>
      <c r="DI26" s="203">
        <f t="shared" si="70"/>
        <v>180</v>
      </c>
      <c r="DJ26" s="46">
        <f t="shared" si="71"/>
        <v>0</v>
      </c>
      <c r="DK26" s="5" t="str">
        <f t="shared" si="72"/>
        <v>OK</v>
      </c>
      <c r="EB26" s="18"/>
      <c r="EC26" s="77"/>
      <c r="ED26" s="77"/>
      <c r="EE26" s="18"/>
      <c r="EF26" s="18"/>
      <c r="EG26" s="18"/>
      <c r="EH26" s="5"/>
      <c r="EI26" s="5"/>
      <c r="EJ26" s="5"/>
      <c r="EK26" s="5"/>
      <c r="EL26" s="5"/>
      <c r="EN26" s="26"/>
      <c r="EO26" s="26"/>
      <c r="EP26" s="15"/>
      <c r="EQ26" s="5"/>
      <c r="ER26" s="26"/>
      <c r="ES26" s="26"/>
      <c r="ET26" s="26"/>
      <c r="EU26" s="26"/>
      <c r="EV26" s="95"/>
      <c r="EW26" s="95"/>
      <c r="EX26" s="95"/>
      <c r="EY26" s="54"/>
      <c r="EZ26" s="54"/>
      <c r="FA26" s="54"/>
      <c r="FB26" s="54"/>
      <c r="FC26" s="54"/>
      <c r="FD26" s="15"/>
      <c r="FE26" s="26"/>
      <c r="FF26" s="26"/>
      <c r="FG26" s="26"/>
      <c r="FH26" s="26"/>
      <c r="FI26" s="26"/>
      <c r="FJ26" s="26"/>
      <c r="FK26" s="26"/>
      <c r="FL26" s="26"/>
      <c r="FM26" s="26"/>
      <c r="FN26" s="5"/>
      <c r="FO26" s="54"/>
      <c r="FP26" s="5"/>
      <c r="FQ26" s="5"/>
      <c r="FR26" s="5"/>
      <c r="FS26" s="54"/>
      <c r="FT26" s="54"/>
      <c r="FU26" s="54"/>
      <c r="FV26" s="54"/>
      <c r="FW26" s="54"/>
      <c r="FX26" s="54"/>
      <c r="FY26" s="54"/>
      <c r="FZ26" s="54"/>
      <c r="GA26" s="54"/>
      <c r="GB26" s="54"/>
      <c r="GC26" s="5"/>
      <c r="GD26" s="5"/>
      <c r="GE26" s="5"/>
      <c r="GF26" s="5"/>
      <c r="GG26" s="5"/>
      <c r="GH26" s="5"/>
      <c r="GI26" s="68"/>
      <c r="GJ26" s="5"/>
      <c r="GK26" s="5"/>
      <c r="GL26" s="54"/>
      <c r="GM26" s="5"/>
      <c r="GN26" s="5"/>
      <c r="GO26" s="5"/>
      <c r="GP26" s="68"/>
      <c r="GQ26" s="68"/>
      <c r="GR26" s="68"/>
      <c r="GS26" s="5"/>
      <c r="GT26" s="5"/>
      <c r="GU26" s="68"/>
      <c r="GV26" s="5"/>
      <c r="GW26" s="54"/>
      <c r="GX26" s="68"/>
      <c r="GY26" s="54"/>
      <c r="GZ26" s="5"/>
      <c r="HA26" s="77"/>
      <c r="HB26" s="54"/>
      <c r="HC26" s="5"/>
      <c r="HD26" s="5"/>
      <c r="HE26" s="5"/>
      <c r="HF26" s="5"/>
      <c r="HG26" s="5"/>
      <c r="HH26" s="205"/>
      <c r="HI26" s="26"/>
      <c r="HJ26" s="26"/>
      <c r="HK26" s="5"/>
    </row>
    <row r="27" spans="2:219" ht="15">
      <c r="B27" s="5" t="s">
        <v>47</v>
      </c>
      <c r="C27" s="5" t="s">
        <v>47</v>
      </c>
      <c r="D27" s="5" t="s">
        <v>47</v>
      </c>
      <c r="E27" s="419"/>
      <c r="F27" s="419"/>
      <c r="G27" s="13" t="s">
        <v>48</v>
      </c>
      <c r="H27" s="14" t="s">
        <v>25</v>
      </c>
      <c r="I27" s="14" t="s">
        <v>25</v>
      </c>
      <c r="J27" s="14" t="s">
        <v>26</v>
      </c>
      <c r="K27" s="14" t="s">
        <v>26</v>
      </c>
      <c r="L27" s="14" t="s">
        <v>26</v>
      </c>
      <c r="M27" s="14" t="s">
        <v>226</v>
      </c>
      <c r="N27" s="14" t="s">
        <v>48</v>
      </c>
      <c r="AA27" s="18" t="s">
        <v>488</v>
      </c>
      <c r="AB27" s="22" t="s">
        <v>489</v>
      </c>
      <c r="AC27" s="59">
        <v>3.6405952380952398</v>
      </c>
      <c r="AD27" s="59">
        <v>8.6549999999999994</v>
      </c>
      <c r="AE27" s="22">
        <v>528</v>
      </c>
      <c r="AF27" s="22">
        <v>1528</v>
      </c>
      <c r="AG27" s="22">
        <v>948.63492063492095</v>
      </c>
      <c r="AH27" s="6">
        <v>10</v>
      </c>
      <c r="AI27" s="6">
        <v>300</v>
      </c>
      <c r="AJ27" s="6">
        <v>14</v>
      </c>
      <c r="AK27" s="24">
        <v>300</v>
      </c>
      <c r="AL27" s="24">
        <v>14</v>
      </c>
      <c r="AM27" s="5">
        <f t="shared" si="17"/>
        <v>920.63492063492095</v>
      </c>
      <c r="AN27" s="26">
        <f t="shared" si="18"/>
        <v>176.06349206349208</v>
      </c>
      <c r="AO27" s="26">
        <f t="shared" si="19"/>
        <v>248482.7399356656</v>
      </c>
      <c r="AP27" s="15">
        <f t="shared" si="20"/>
        <v>6307.6719576719579</v>
      </c>
      <c r="AQ27" s="5">
        <f t="shared" si="21"/>
        <v>5238.7432621467533</v>
      </c>
      <c r="AR27" s="26">
        <f t="shared" si="22"/>
        <v>420.51146384479722</v>
      </c>
      <c r="AS27" s="26">
        <f t="shared" si="23"/>
        <v>3022.1941546989178</v>
      </c>
      <c r="AT27" s="26">
        <f t="shared" si="24"/>
        <v>37.567600585756203</v>
      </c>
      <c r="AU27" s="26">
        <f t="shared" si="25"/>
        <v>5.9854925384629922</v>
      </c>
      <c r="AV27" s="95">
        <f t="shared" si="26"/>
        <v>8.6034497354497351E-7</v>
      </c>
      <c r="AW27" s="95">
        <f t="shared" si="27"/>
        <v>13758293.349206358</v>
      </c>
      <c r="AX27" s="95">
        <f t="shared" si="28"/>
        <v>1.3758293349206359E-5</v>
      </c>
      <c r="AY27" s="54">
        <f t="shared" si="29"/>
        <v>0.1548581140202015</v>
      </c>
      <c r="AZ27" s="54" t="str">
        <f>_xll.Dce_Name_SectI(AE27,AF27,AI27,AH27,AJ27,"x","-",$O$11)</f>
        <v>(528-1528)x300x10x14</v>
      </c>
      <c r="BA27" s="15">
        <f t="shared" si="30"/>
        <v>700.97619047619071</v>
      </c>
      <c r="BB27" s="54"/>
      <c r="BC27" s="54"/>
      <c r="BD27" s="22" t="s">
        <v>495</v>
      </c>
      <c r="BE27" s="23">
        <v>-266.78170545229011</v>
      </c>
      <c r="BF27" s="23">
        <v>-249.1713038788331</v>
      </c>
      <c r="BG27" s="23">
        <v>2.9471548548951794E-3</v>
      </c>
      <c r="BH27" s="23">
        <v>-4.1163227845510537E-5</v>
      </c>
      <c r="BI27" s="23">
        <v>-1.0757492533366738E-2</v>
      </c>
      <c r="BJ27" s="23">
        <v>905.06585204305702</v>
      </c>
      <c r="BK27" s="23">
        <v>907.55456694407155</v>
      </c>
      <c r="BL27" s="92">
        <v>2.25</v>
      </c>
      <c r="BM27" s="93">
        <v>2</v>
      </c>
      <c r="BN27" s="5">
        <f t="shared" si="31"/>
        <v>19.473749999999999</v>
      </c>
      <c r="BO27" s="54">
        <f>_xll.Bimoment(BH27,AY27,AC27,AD27,$O$101)</f>
        <v>3.1657266525921907E-4</v>
      </c>
      <c r="BP27" s="5">
        <f t="shared" si="32"/>
        <v>0.45620689655172403</v>
      </c>
      <c r="BQ27" s="5">
        <f t="shared" si="33"/>
        <v>14.152154992105094</v>
      </c>
      <c r="BR27" s="24" t="str">
        <f t="shared" si="34"/>
        <v>Cal</v>
      </c>
      <c r="BS27" s="25">
        <f t="shared" si="35"/>
        <v>6.6292560011979321E-2</v>
      </c>
      <c r="BT27" s="25" t="str">
        <f t="shared" si="36"/>
        <v>CT.105</v>
      </c>
      <c r="BU27" s="25">
        <f t="shared" si="37"/>
        <v>1</v>
      </c>
      <c r="BV27" s="25" cm="1">
        <f t="array" ref="BV27">IF(BT27="CT.104",_xll.TCVN5575AnnexEHeSoCx(1,BP27),1)</f>
        <v>1</v>
      </c>
      <c r="BW27" s="25">
        <f t="shared" si="38"/>
        <v>1</v>
      </c>
      <c r="BX27" s="25">
        <f t="shared" si="39"/>
        <v>6.9781642117872966E-2</v>
      </c>
      <c r="BY27" s="25">
        <f t="shared" si="40"/>
        <v>0.79562334233850074</v>
      </c>
      <c r="BZ27" s="25">
        <f t="shared" si="41"/>
        <v>1.1781149456017264E-4</v>
      </c>
      <c r="CA27" s="25">
        <f t="shared" si="42"/>
        <v>7.4279088623764018E-6</v>
      </c>
      <c r="CB27" s="25">
        <f t="shared" si="43"/>
        <v>0.86553022385979617</v>
      </c>
      <c r="CC27" s="5" t="str">
        <f t="shared" si="44"/>
        <v>OK</v>
      </c>
      <c r="CD27" s="5">
        <f t="shared" si="45"/>
        <v>51.836555160202302</v>
      </c>
      <c r="CE27" s="5">
        <f t="shared" si="46"/>
        <v>33.414125690541383</v>
      </c>
      <c r="CF27" s="5">
        <f t="shared" si="47"/>
        <v>1.7266865002204341</v>
      </c>
      <c r="CG27" s="5">
        <f t="shared" si="48"/>
        <v>1.1130315193248546</v>
      </c>
      <c r="CH27" s="5">
        <f t="shared" si="49"/>
        <v>11.401613922964989</v>
      </c>
      <c r="CI27" s="68">
        <f>_xll.DCETCVN5575PhuLucD2Eta(BP27,CH27,CF27)</f>
        <v>1.2412413793103447</v>
      </c>
      <c r="CJ27" s="5">
        <f t="shared" si="50"/>
        <v>14.152154992105094</v>
      </c>
      <c r="CK27" s="5">
        <f>MIN(noisuy2chieu(CJ27,CF27,Data!$DA$2:$EB$24),1)</f>
        <v>9.5916911959648132E-2</v>
      </c>
      <c r="CL27" s="102">
        <f t="shared" si="51"/>
        <v>0.72752177579726318</v>
      </c>
      <c r="CM27" s="5" t="str">
        <f t="shared" si="52"/>
        <v>OK</v>
      </c>
      <c r="CN27" s="5">
        <f t="shared" si="53"/>
        <v>0.88472625978979058</v>
      </c>
      <c r="CO27" s="5">
        <f t="shared" si="54"/>
        <v>0.5370345235716667</v>
      </c>
      <c r="CP27" s="25">
        <f>_xll.DCETCVNPhuLucFHeSoOnDinh(1, 0.2, AG27, AH27, AI27, AJ27, AI27, AJ27, $D$28)</f>
        <v>1</v>
      </c>
      <c r="CQ27" s="68">
        <f t="shared" si="55"/>
        <v>0.9</v>
      </c>
      <c r="CR27" s="68">
        <f t="shared" si="56"/>
        <v>1</v>
      </c>
      <c r="CS27" s="5">
        <f t="shared" si="57"/>
        <v>0.18181818181818182</v>
      </c>
      <c r="CT27" s="5">
        <f t="shared" si="58"/>
        <v>0.10155106457844131</v>
      </c>
      <c r="CU27" s="26">
        <f t="shared" si="59"/>
        <v>11.432965637761923</v>
      </c>
      <c r="CV27" s="5"/>
      <c r="CW27" s="25"/>
      <c r="CX27" s="72">
        <f>MAX(_xll.Dce_c_925(CU27, CQ27, CR27, CN27, CP27, CS27, CT27),0.3)</f>
        <v>0.3</v>
      </c>
      <c r="CY27" s="102">
        <f t="shared" si="60"/>
        <v>0.26291236543776819</v>
      </c>
      <c r="CZ27" s="5" t="str">
        <f t="shared" si="61"/>
        <v>OK</v>
      </c>
      <c r="DA27" s="47">
        <f t="shared" si="62"/>
        <v>0.34499859601035404</v>
      </c>
      <c r="DB27" s="46">
        <f t="shared" si="63"/>
        <v>0.47130315193248545</v>
      </c>
      <c r="DC27" s="5" t="str">
        <f t="shared" si="64"/>
        <v>OK</v>
      </c>
      <c r="DD27" s="5">
        <f t="shared" si="65"/>
        <v>1.7266865002204341</v>
      </c>
      <c r="DE27" s="5">
        <f t="shared" si="66"/>
        <v>3.0666541867587034</v>
      </c>
      <c r="DF27" s="5" t="str">
        <f t="shared" si="67"/>
        <v>-</v>
      </c>
      <c r="DG27" s="5" t="str">
        <f t="shared" si="68"/>
        <v>-</v>
      </c>
      <c r="DH27" s="203">
        <f t="shared" si="69"/>
        <v>51.836555160202302</v>
      </c>
      <c r="DI27" s="203">
        <f t="shared" si="70"/>
        <v>166.34869345216421</v>
      </c>
      <c r="DJ27" s="46">
        <f t="shared" si="71"/>
        <v>0.31161384008771065</v>
      </c>
      <c r="DK27" s="5" t="str">
        <f t="shared" si="72"/>
        <v>OK</v>
      </c>
      <c r="EB27" s="18"/>
      <c r="EC27" s="77"/>
      <c r="ED27" s="77"/>
      <c r="EE27" s="18"/>
      <c r="EF27" s="18"/>
      <c r="EG27" s="18"/>
      <c r="EH27" s="5"/>
      <c r="EI27" s="5"/>
      <c r="EJ27" s="5"/>
      <c r="EK27" s="5"/>
      <c r="EL27" s="5"/>
      <c r="EN27" s="26"/>
      <c r="EO27" s="26"/>
      <c r="EP27" s="15"/>
      <c r="EQ27" s="5"/>
      <c r="ER27" s="26"/>
      <c r="ES27" s="26"/>
      <c r="ET27" s="26"/>
      <c r="EU27" s="26"/>
      <c r="EV27" s="95"/>
      <c r="EW27" s="95"/>
      <c r="EX27" s="95"/>
      <c r="EY27" s="54"/>
      <c r="EZ27" s="54"/>
      <c r="FA27" s="54"/>
      <c r="FB27" s="54"/>
      <c r="FC27" s="54"/>
      <c r="FD27" s="15"/>
      <c r="FE27" s="26"/>
      <c r="FF27" s="26"/>
      <c r="FG27" s="26"/>
      <c r="FH27" s="26"/>
      <c r="FI27" s="26"/>
      <c r="FJ27" s="26"/>
      <c r="FK27" s="26"/>
      <c r="FL27" s="26"/>
      <c r="FM27" s="26"/>
      <c r="FN27" s="5"/>
      <c r="FO27" s="54"/>
      <c r="FP27" s="5"/>
      <c r="FQ27" s="5"/>
      <c r="FR27" s="5"/>
      <c r="FS27" s="54"/>
      <c r="FT27" s="54"/>
      <c r="FU27" s="54"/>
      <c r="FV27" s="54"/>
      <c r="FW27" s="54"/>
      <c r="FX27" s="54"/>
      <c r="FY27" s="54"/>
      <c r="FZ27" s="54"/>
      <c r="GA27" s="54"/>
      <c r="GB27" s="54"/>
      <c r="GC27" s="5"/>
      <c r="GD27" s="5"/>
      <c r="GE27" s="5"/>
      <c r="GF27" s="5"/>
      <c r="GG27" s="5"/>
      <c r="GH27" s="5"/>
      <c r="GI27" s="68"/>
      <c r="GJ27" s="5"/>
      <c r="GK27" s="5"/>
      <c r="GL27" s="54"/>
      <c r="GM27" s="5"/>
      <c r="GN27" s="5"/>
      <c r="GO27" s="5"/>
      <c r="GP27" s="68"/>
      <c r="GQ27" s="68"/>
      <c r="GR27" s="68"/>
      <c r="GS27" s="5"/>
      <c r="GT27" s="5"/>
      <c r="GU27" s="68"/>
      <c r="GV27" s="5"/>
      <c r="GW27" s="54"/>
      <c r="GX27" s="68"/>
      <c r="GY27" s="54"/>
      <c r="GZ27" s="5"/>
      <c r="HA27" s="32"/>
      <c r="HB27" s="54"/>
      <c r="HC27" s="5"/>
      <c r="HD27" s="5"/>
      <c r="HE27" s="5"/>
      <c r="HF27" s="5"/>
      <c r="HG27" s="5"/>
      <c r="HH27" s="205"/>
      <c r="HI27" s="26"/>
      <c r="HJ27" s="26"/>
      <c r="HK27" s="5"/>
    </row>
    <row r="28" spans="2:219" ht="15" customHeight="1">
      <c r="B28" s="24">
        <f>VLOOKUP(C25,Data!$A$3:$D$99,2,FALSE)</f>
        <v>206000</v>
      </c>
      <c r="C28" s="5">
        <f>VLOOKUP(C25,Data!$A$3:$D$99,3,FALSE)</f>
        <v>240</v>
      </c>
      <c r="D28" s="56">
        <f>C28/E28</f>
        <v>228.57142857142856</v>
      </c>
      <c r="E28" s="24">
        <f>VLOOKUP(C25,Data!$A$3:$E$99,5,FALSE)</f>
        <v>1.05</v>
      </c>
      <c r="F28" s="60">
        <v>0.95</v>
      </c>
      <c r="G28" s="19">
        <f>(F20*F17+2*(F18*F19))/100</f>
        <v>218.12698412698418</v>
      </c>
      <c r="H28" s="20">
        <f>(F17*F20^3/12+2*(F18*F19^3/12+F18*F19*(F20/2+F19/2)^2))/10000</f>
        <v>586811.79072745051</v>
      </c>
      <c r="I28" s="20">
        <f>(2*F19*F18^3/12+F20*F17^3/12)/10000</f>
        <v>6311.1772486772488</v>
      </c>
      <c r="J28" s="16">
        <f>H28/((F20+2*F19)/20)</f>
        <v>8571.1635945074104</v>
      </c>
      <c r="K28" s="16">
        <f>I28/(F18/20)</f>
        <v>420.74514991181661</v>
      </c>
      <c r="L28" s="20">
        <f>(F17*(F20/2)*(F20/4)+F18*F19*(F20/2+F19/2))/1000</f>
        <v>5094.8226505417015</v>
      </c>
      <c r="M28" s="173">
        <f>(F18^3*(F20+F19)^2*F19/24)/1000000</f>
        <v>28928912.396825422</v>
      </c>
      <c r="N28" s="20">
        <f>F18*(F20+F19)/400</f>
        <v>1016.4523809523813</v>
      </c>
      <c r="AA28" s="18" t="s">
        <v>488</v>
      </c>
      <c r="AB28" s="22" t="s">
        <v>489</v>
      </c>
      <c r="AC28" s="59">
        <v>7.2811904761904795</v>
      </c>
      <c r="AD28" s="59">
        <v>8.6549999999999994</v>
      </c>
      <c r="AE28" s="22">
        <v>528</v>
      </c>
      <c r="AF28" s="22">
        <v>1528</v>
      </c>
      <c r="AG28" s="22">
        <v>1369.2698412698419</v>
      </c>
      <c r="AH28" s="6">
        <v>10</v>
      </c>
      <c r="AI28" s="6">
        <v>300</v>
      </c>
      <c r="AJ28" s="6">
        <v>14</v>
      </c>
      <c r="AK28" s="24">
        <v>300</v>
      </c>
      <c r="AL28" s="24">
        <v>14</v>
      </c>
      <c r="AM28" s="5">
        <f t="shared" si="17"/>
        <v>1341.2698412698419</v>
      </c>
      <c r="AN28" s="26">
        <f t="shared" si="18"/>
        <v>218.12698412698418</v>
      </c>
      <c r="AO28" s="26">
        <f t="shared" si="19"/>
        <v>586811.79072745051</v>
      </c>
      <c r="AP28" s="15">
        <f t="shared" si="20"/>
        <v>6311.1772486772488</v>
      </c>
      <c r="AQ28" s="5">
        <f t="shared" si="21"/>
        <v>8571.1635945074104</v>
      </c>
      <c r="AR28" s="26">
        <f t="shared" si="22"/>
        <v>420.74514991181661</v>
      </c>
      <c r="AS28" s="26">
        <f t="shared" si="23"/>
        <v>5094.8226505417015</v>
      </c>
      <c r="AT28" s="26">
        <f t="shared" si="24"/>
        <v>51.867428670398397</v>
      </c>
      <c r="AU28" s="26">
        <f t="shared" si="25"/>
        <v>5.3789869588463937</v>
      </c>
      <c r="AV28" s="95">
        <f t="shared" si="26"/>
        <v>1.0005566137566139E-6</v>
      </c>
      <c r="AW28" s="95">
        <f t="shared" si="27"/>
        <v>28928912.396825422</v>
      </c>
      <c r="AX28" s="95">
        <f t="shared" si="28"/>
        <v>2.8928912396825422E-5</v>
      </c>
      <c r="AY28" s="54">
        <f t="shared" si="29"/>
        <v>0.11516876660535029</v>
      </c>
      <c r="AZ28" s="54" t="str">
        <f>_xll.Dce_Name_SectI(AE28,AF28,AI28,AH28,AJ28,"x","-",$O$11)</f>
        <v>(528-1528)x300x10x14</v>
      </c>
      <c r="BA28" s="15">
        <f t="shared" si="30"/>
        <v>1016.4523809523813</v>
      </c>
      <c r="BB28" s="54"/>
      <c r="BC28" s="54"/>
      <c r="BD28" s="22" t="s">
        <v>495</v>
      </c>
      <c r="BE28" s="23">
        <v>-260.33850401523188</v>
      </c>
      <c r="BF28" s="23">
        <v>-249.61375909670767</v>
      </c>
      <c r="BG28" s="23">
        <v>2.9471548548951516E-3</v>
      </c>
      <c r="BH28" s="23">
        <v>-4.1163227845510537E-5</v>
      </c>
      <c r="BI28" s="23">
        <v>-2.1512158384202593E-2</v>
      </c>
      <c r="BJ28" s="23">
        <v>1815.1091338881431</v>
      </c>
      <c r="BK28" s="23">
        <v>907.55456694407155</v>
      </c>
      <c r="BL28" s="92">
        <v>2.25</v>
      </c>
      <c r="BM28" s="93">
        <v>2</v>
      </c>
      <c r="BN28" s="5">
        <f t="shared" si="31"/>
        <v>19.473749999999999</v>
      </c>
      <c r="BO28" s="54">
        <f>_xll.Bimoment(BH28,AY28,AC28,AD28,$O$101)</f>
        <v>1.8830820059146747E-4</v>
      </c>
      <c r="BP28" s="5">
        <f t="shared" si="32"/>
        <v>0.31313609467455605</v>
      </c>
      <c r="BQ28" s="5">
        <f t="shared" si="33"/>
        <v>21.515986342609867</v>
      </c>
      <c r="BR28" s="24" t="str">
        <f t="shared" si="34"/>
        <v>Cal</v>
      </c>
      <c r="BS28" s="25">
        <f t="shared" si="35"/>
        <v>5.2216416947459085E-2</v>
      </c>
      <c r="BT28" s="25" t="str">
        <f t="shared" si="36"/>
        <v>CT.105</v>
      </c>
      <c r="BU28" s="25">
        <f t="shared" si="37"/>
        <v>1</v>
      </c>
      <c r="BV28" s="25" cm="1">
        <f t="array" ref="BV28">IF(BT28="CT.104",_xll.TCVN5575AnnexEHeSoCx(1,BP28),1)</f>
        <v>1</v>
      </c>
      <c r="BW28" s="25">
        <f t="shared" si="38"/>
        <v>1</v>
      </c>
      <c r="BX28" s="25">
        <f t="shared" si="39"/>
        <v>5.4964649418377982E-2</v>
      </c>
      <c r="BY28" s="25">
        <f t="shared" si="40"/>
        <v>0.97525325817021591</v>
      </c>
      <c r="BZ28" s="25">
        <f t="shared" si="41"/>
        <v>2.3546118231981608E-4</v>
      </c>
      <c r="CA28" s="25">
        <f t="shared" si="42"/>
        <v>3.0470432357405664E-6</v>
      </c>
      <c r="CB28" s="25">
        <f t="shared" si="43"/>
        <v>1.0304564158141496</v>
      </c>
      <c r="CC28" s="5" t="str">
        <f t="shared" si="44"/>
        <v>Check</v>
      </c>
      <c r="CD28" s="5">
        <f t="shared" si="45"/>
        <v>37.545238889226049</v>
      </c>
      <c r="CE28" s="5">
        <f t="shared" si="46"/>
        <v>37.181722419139881</v>
      </c>
      <c r="CF28" s="5">
        <f t="shared" si="47"/>
        <v>1.2506397644909562</v>
      </c>
      <c r="CG28" s="5">
        <f t="shared" si="48"/>
        <v>1.2385309547993069</v>
      </c>
      <c r="CH28" s="5">
        <f t="shared" si="49"/>
        <v>17.743281699967149</v>
      </c>
      <c r="CI28" s="68">
        <f>_xll.DCETCVN5575PhuLucD2Eta(BP28,CH28,CF28)</f>
        <v>1.2126272189349112</v>
      </c>
      <c r="CJ28" s="5">
        <f t="shared" si="50"/>
        <v>21.515986342609867</v>
      </c>
      <c r="CK28" s="5">
        <f>MIN(noisuy2chieu(CJ28,CF28,Data!$DA$2:$EB$24),1)</f>
        <v>7.1994885802268982E-2</v>
      </c>
      <c r="CL28" s="102">
        <f t="shared" si="51"/>
        <v>0.76345213699395487</v>
      </c>
      <c r="CM28" s="5" t="str">
        <f t="shared" si="52"/>
        <v>OK</v>
      </c>
      <c r="CN28" s="5">
        <f t="shared" si="53"/>
        <v>0.86643683692746631</v>
      </c>
      <c r="CO28" s="5">
        <f t="shared" si="54"/>
        <v>0.5370345235716667</v>
      </c>
      <c r="CP28" s="25">
        <f>_xll.DCETCVNPhuLucFHeSoOnDinh(1, 0.2, AG28, AH28, AI28, AJ28, AI28, AJ28, $D$28)</f>
        <v>1</v>
      </c>
      <c r="CQ28" s="68">
        <f t="shared" si="55"/>
        <v>0.9</v>
      </c>
      <c r="CR28" s="68">
        <f t="shared" si="56"/>
        <v>1</v>
      </c>
      <c r="CS28" s="5">
        <f t="shared" si="57"/>
        <v>0.18181818181818182</v>
      </c>
      <c r="CT28" s="5">
        <f t="shared" si="58"/>
        <v>0.10347287704587492</v>
      </c>
      <c r="CU28" s="26">
        <f t="shared" si="59"/>
        <v>8.8716408499835744</v>
      </c>
      <c r="CV28" s="5"/>
      <c r="CW28" s="25"/>
      <c r="CX28" s="72">
        <f>MAX(_xll.Dce_c_925(CU28, CQ28, CR28, CN28, CP28, CS28, CT28),0.3)</f>
        <v>0.3</v>
      </c>
      <c r="CY28" s="102">
        <f t="shared" si="60"/>
        <v>0.21145857407329721</v>
      </c>
      <c r="CZ28" s="5" t="str">
        <f t="shared" si="61"/>
        <v>OK</v>
      </c>
      <c r="DA28" s="47">
        <f t="shared" si="62"/>
        <v>0.34499859601035404</v>
      </c>
      <c r="DB28" s="46">
        <f t="shared" si="63"/>
        <v>0.48385309547993066</v>
      </c>
      <c r="DC28" s="5" t="str">
        <f t="shared" si="64"/>
        <v>OK</v>
      </c>
      <c r="DD28" s="5">
        <f t="shared" si="65"/>
        <v>1.2506397644909562</v>
      </c>
      <c r="DE28" s="5">
        <f t="shared" si="66"/>
        <v>4.4677979100191463</v>
      </c>
      <c r="DF28" s="5" t="str">
        <f t="shared" si="67"/>
        <v>-</v>
      </c>
      <c r="DG28" s="5" t="str">
        <f t="shared" si="68"/>
        <v>-</v>
      </c>
      <c r="DH28" s="203">
        <f t="shared" si="69"/>
        <v>37.545238889226049</v>
      </c>
      <c r="DI28" s="203">
        <f t="shared" si="70"/>
        <v>164.19287178036271</v>
      </c>
      <c r="DJ28" s="46">
        <f t="shared" si="71"/>
        <v>0.22866546203936008</v>
      </c>
      <c r="DK28" s="5" t="str">
        <f t="shared" si="72"/>
        <v>OK</v>
      </c>
      <c r="EB28" s="18"/>
      <c r="EC28" s="77"/>
      <c r="ED28" s="77"/>
      <c r="EE28" s="18"/>
      <c r="EF28" s="18"/>
      <c r="EG28" s="18"/>
      <c r="EH28" s="5"/>
      <c r="EI28" s="5"/>
      <c r="EJ28" s="5"/>
      <c r="EK28" s="5"/>
      <c r="EL28" s="5"/>
      <c r="EN28" s="26"/>
      <c r="EO28" s="26"/>
      <c r="EP28" s="15"/>
      <c r="EQ28" s="5"/>
      <c r="ER28" s="26"/>
      <c r="ES28" s="26"/>
      <c r="ET28" s="26"/>
      <c r="EU28" s="26"/>
      <c r="EV28" s="95"/>
      <c r="EW28" s="95"/>
      <c r="EX28" s="95"/>
      <c r="EY28" s="54"/>
      <c r="EZ28" s="54"/>
      <c r="FA28" s="54"/>
      <c r="FB28" s="54"/>
      <c r="FC28" s="54"/>
      <c r="FD28" s="15"/>
      <c r="FE28" s="26"/>
      <c r="FF28" s="26"/>
      <c r="FG28" s="26"/>
      <c r="FH28" s="26"/>
      <c r="FI28" s="26"/>
      <c r="FJ28" s="26"/>
      <c r="FK28" s="26"/>
      <c r="FL28" s="26"/>
      <c r="FM28" s="26"/>
      <c r="FN28" s="5"/>
      <c r="FO28" s="54"/>
      <c r="FP28" s="5"/>
      <c r="FQ28" s="5"/>
      <c r="FR28" s="5"/>
      <c r="FS28" s="54"/>
      <c r="FT28" s="54"/>
      <c r="FU28" s="54"/>
      <c r="FV28" s="54"/>
      <c r="FW28" s="54"/>
      <c r="FX28" s="54"/>
      <c r="FY28" s="54"/>
      <c r="FZ28" s="54"/>
      <c r="GA28" s="54"/>
      <c r="GB28" s="54"/>
      <c r="GC28" s="5"/>
      <c r="GD28" s="5"/>
      <c r="GE28" s="5"/>
      <c r="GF28" s="5"/>
      <c r="GG28" s="5"/>
      <c r="GH28" s="5"/>
      <c r="GI28" s="68"/>
      <c r="GJ28" s="5"/>
      <c r="GK28" s="5"/>
      <c r="GL28" s="54"/>
      <c r="GM28" s="5"/>
      <c r="GN28" s="5"/>
      <c r="GO28" s="5"/>
      <c r="GP28" s="68"/>
      <c r="GQ28" s="68"/>
      <c r="GR28" s="68"/>
      <c r="GS28" s="5"/>
      <c r="GT28" s="5"/>
      <c r="GU28" s="68"/>
      <c r="GV28" s="5"/>
      <c r="GW28" s="54"/>
      <c r="GX28" s="68"/>
      <c r="GY28" s="54"/>
      <c r="GZ28" s="5"/>
      <c r="HA28" s="77"/>
      <c r="HB28" s="54"/>
      <c r="HC28" s="5"/>
      <c r="HD28" s="5"/>
      <c r="HE28" s="5"/>
      <c r="HF28" s="5"/>
      <c r="HG28" s="5"/>
      <c r="HH28" s="205"/>
      <c r="HI28" s="26"/>
      <c r="HJ28" s="26"/>
      <c r="HK28" s="5"/>
    </row>
    <row r="29" spans="2:219">
      <c r="B29" s="8" t="s">
        <v>46</v>
      </c>
      <c r="C29" s="2"/>
      <c r="D29" s="2"/>
      <c r="E29" s="2"/>
      <c r="F29" s="2"/>
      <c r="G29" s="2"/>
      <c r="H29" s="2"/>
      <c r="I29" s="2"/>
      <c r="J29" s="2"/>
      <c r="K29" s="2"/>
      <c r="L29" s="255"/>
      <c r="M29" s="2"/>
      <c r="N29" s="10"/>
      <c r="P29" s="1">
        <f>_xlfn.MINIFS($AC$23:$AC$10006,$AB$23:$AB$10006,$D$32)</f>
        <v>0</v>
      </c>
      <c r="AA29" s="18" t="s">
        <v>488</v>
      </c>
      <c r="AB29" s="22" t="s">
        <v>489</v>
      </c>
      <c r="AC29" s="59">
        <v>0</v>
      </c>
      <c r="AD29" s="59">
        <v>8.6549999999999994</v>
      </c>
      <c r="AE29" s="22">
        <v>528</v>
      </c>
      <c r="AF29" s="22">
        <v>1528</v>
      </c>
      <c r="AG29" s="22">
        <v>528</v>
      </c>
      <c r="AH29" s="6">
        <v>10</v>
      </c>
      <c r="AI29" s="6">
        <v>300</v>
      </c>
      <c r="AJ29" s="6">
        <v>14</v>
      </c>
      <c r="AK29" s="24">
        <v>300</v>
      </c>
      <c r="AL29" s="24">
        <v>14</v>
      </c>
      <c r="AM29" s="5">
        <f t="shared" si="17"/>
        <v>500</v>
      </c>
      <c r="AN29" s="26">
        <f t="shared" si="18"/>
        <v>134</v>
      </c>
      <c r="AO29" s="26">
        <f t="shared" si="19"/>
        <v>65911.546666666676</v>
      </c>
      <c r="AP29" s="15">
        <f t="shared" si="20"/>
        <v>6304.166666666667</v>
      </c>
      <c r="AQ29" s="5">
        <f t="shared" si="21"/>
        <v>2496.6494949494954</v>
      </c>
      <c r="AR29" s="26">
        <f t="shared" si="22"/>
        <v>420.27777777777777</v>
      </c>
      <c r="AS29" s="26">
        <f t="shared" si="23"/>
        <v>1391.9</v>
      </c>
      <c r="AT29" s="26">
        <f t="shared" si="24"/>
        <v>22.178305028345793</v>
      </c>
      <c r="AU29" s="26">
        <f t="shared" si="25"/>
        <v>6.8590101254115021</v>
      </c>
      <c r="AV29" s="95">
        <f t="shared" si="26"/>
        <v>7.201333333333334E-7</v>
      </c>
      <c r="AW29" s="95">
        <f t="shared" si="27"/>
        <v>4161087</v>
      </c>
      <c r="AX29" s="95">
        <f t="shared" si="28"/>
        <v>4.1610870000000001E-6</v>
      </c>
      <c r="AY29" s="54">
        <f t="shared" si="29"/>
        <v>0.25762202780669918</v>
      </c>
      <c r="AZ29" s="54" t="str">
        <f>_xll.Dce_Name_SectI(AE29,AF29,AI29,AH29,AJ29,"x","-",$O$11)</f>
        <v>(528-1528)x300x10x14</v>
      </c>
      <c r="BA29" s="15">
        <f t="shared" si="30"/>
        <v>385.5</v>
      </c>
      <c r="BB29" s="54"/>
      <c r="BC29" s="54"/>
      <c r="BD29" s="22" t="s">
        <v>496</v>
      </c>
      <c r="BE29" s="23">
        <v>47.417387947251314</v>
      </c>
      <c r="BF29" s="23">
        <v>42.504758893028452</v>
      </c>
      <c r="BG29" s="23">
        <v>-2.7398569225063705E-3</v>
      </c>
      <c r="BH29" s="23">
        <v>3.8267875397831119E-5</v>
      </c>
      <c r="BI29" s="23">
        <v>2.6278584168981656E-6</v>
      </c>
      <c r="BJ29" s="23">
        <v>0.62151647085286177</v>
      </c>
      <c r="BK29" s="23">
        <v>-229.76497427525089</v>
      </c>
      <c r="BL29" s="92">
        <v>2.25</v>
      </c>
      <c r="BM29" s="93">
        <v>2</v>
      </c>
      <c r="BN29" s="5">
        <f t="shared" si="31"/>
        <v>19.473749999999999</v>
      </c>
      <c r="BO29" s="54">
        <f>_xll.Bimoment(BH29,AY29,AC29,AD29,$O$101)</f>
        <v>0</v>
      </c>
      <c r="BP29" s="5">
        <f t="shared" si="32"/>
        <v>0.84</v>
      </c>
      <c r="BQ29" s="5">
        <f t="shared" si="33"/>
        <v>0.10670790606151785</v>
      </c>
      <c r="BR29" s="24" t="str">
        <f t="shared" si="34"/>
        <v>Cal</v>
      </c>
      <c r="BS29" s="25">
        <f t="shared" si="35"/>
        <v>1.5481423303673469E-2</v>
      </c>
      <c r="BT29" s="25" t="str">
        <f t="shared" si="36"/>
        <v>CT.105</v>
      </c>
      <c r="BU29" s="25">
        <f t="shared" si="37"/>
        <v>1</v>
      </c>
      <c r="BV29" s="25" cm="1">
        <f t="array" ref="BV29">IF(BT29="CT.104",_xll.TCVN5575AnnexEHeSoCx(1,BP29),1)</f>
        <v>1</v>
      </c>
      <c r="BW29" s="25">
        <f t="shared" si="38"/>
        <v>1</v>
      </c>
      <c r="BX29" s="25">
        <f t="shared" si="39"/>
        <v>1.6296235056498388E-2</v>
      </c>
      <c r="BY29" s="25">
        <f t="shared" si="40"/>
        <v>1.1464352168910849E-3</v>
      </c>
      <c r="BZ29" s="25">
        <f t="shared" si="41"/>
        <v>2.879519258784994E-8</v>
      </c>
      <c r="CA29" s="25">
        <f t="shared" si="42"/>
        <v>0</v>
      </c>
      <c r="CB29" s="25">
        <f t="shared" si="43"/>
        <v>1.7442699068582063E-2</v>
      </c>
      <c r="CC29" s="5" t="str">
        <f t="shared" si="44"/>
        <v>OK</v>
      </c>
      <c r="CD29" s="5">
        <f t="shared" si="45"/>
        <v>87.805402509844015</v>
      </c>
      <c r="CE29" s="5">
        <f t="shared" si="46"/>
        <v>29.158726455153193</v>
      </c>
      <c r="CF29" s="5">
        <f t="shared" si="47"/>
        <v>2.9248163326364334</v>
      </c>
      <c r="CG29" s="5">
        <f t="shared" si="48"/>
        <v>0.97128328026682387</v>
      </c>
      <c r="CH29" s="5">
        <f t="shared" si="49"/>
        <v>7.0349698130668853E-2</v>
      </c>
      <c r="CI29" s="68">
        <f>_xll.DCETCVN5575PhuLucD2Eta(BP29,CH29,CF29)</f>
        <v>1.5168210937212065</v>
      </c>
      <c r="CJ29" s="5">
        <f t="shared" si="50"/>
        <v>0.10670790606151785</v>
      </c>
      <c r="CK29" s="5">
        <f>MIN(noisuy2chieu(CJ29,CF29,Data!$DA$2:$EB$24),1)</f>
        <v>0.67514717578887939</v>
      </c>
      <c r="CL29" s="102" t="str">
        <f t="shared" si="51"/>
        <v>-</v>
      </c>
      <c r="CM29" s="5" t="str">
        <f t="shared" si="52"/>
        <v>OK</v>
      </c>
      <c r="CN29" s="5">
        <f t="shared" si="53"/>
        <v>0.90492218941026858</v>
      </c>
      <c r="CO29" s="5">
        <f t="shared" si="54"/>
        <v>0.5370345235716667</v>
      </c>
      <c r="CP29" s="25">
        <f>_xll.DCETCVNPhuLucFHeSoOnDinh(1, 0.2, AG29, AH29, AI29, AJ29, AI29, AJ29, $D$28)</f>
        <v>1</v>
      </c>
      <c r="CQ29" s="68">
        <f t="shared" si="55"/>
        <v>0.9</v>
      </c>
      <c r="CR29" s="68">
        <f t="shared" si="56"/>
        <v>1</v>
      </c>
      <c r="CS29" s="5">
        <f t="shared" si="57"/>
        <v>0.18181818181818182</v>
      </c>
      <c r="CT29" s="5">
        <f t="shared" si="58"/>
        <v>9.9510191986788829E-2</v>
      </c>
      <c r="CU29" s="26">
        <f t="shared" si="59"/>
        <v>26.007189413796642</v>
      </c>
      <c r="CV29" s="5"/>
      <c r="CW29" s="25"/>
      <c r="CX29" s="72">
        <f>MAX(_xll.Dce_c_925(CU29, CQ29, CR29, CN29, CP29, CS29, CT29),0.3)</f>
        <v>0.3</v>
      </c>
      <c r="CY29" s="102" t="str">
        <f t="shared" si="60"/>
        <v>-</v>
      </c>
      <c r="CZ29" s="5" t="str">
        <f t="shared" si="61"/>
        <v>OK</v>
      </c>
      <c r="DA29" s="47">
        <f t="shared" si="62"/>
        <v>0.34499859601035404</v>
      </c>
      <c r="DB29" s="46">
        <f t="shared" si="63"/>
        <v>15.150535674754426</v>
      </c>
      <c r="DC29" s="5" t="str">
        <f t="shared" si="64"/>
        <v>OK</v>
      </c>
      <c r="DD29" s="5">
        <f t="shared" si="65"/>
        <v>2.9248163326364334</v>
      </c>
      <c r="DE29" s="5">
        <f t="shared" si="66"/>
        <v>1.6655104634982609</v>
      </c>
      <c r="DF29" s="5">
        <f t="shared" si="67"/>
        <v>3.2</v>
      </c>
      <c r="DG29" s="5" t="str">
        <f t="shared" si="68"/>
        <v>OK</v>
      </c>
      <c r="DH29" s="203" t="str">
        <f t="shared" si="69"/>
        <v>-</v>
      </c>
      <c r="DI29" s="203" t="str">
        <f t="shared" si="70"/>
        <v>-</v>
      </c>
      <c r="DJ29" s="46">
        <f t="shared" si="71"/>
        <v>0</v>
      </c>
      <c r="DK29" s="5" t="str">
        <f t="shared" si="72"/>
        <v>OK</v>
      </c>
      <c r="EB29" s="18"/>
      <c r="EC29" s="77"/>
      <c r="ED29" s="77"/>
      <c r="EE29" s="18"/>
      <c r="EF29" s="18"/>
      <c r="EG29" s="18"/>
      <c r="EH29" s="5"/>
      <c r="EI29" s="5"/>
      <c r="EJ29" s="5"/>
      <c r="EK29" s="5"/>
      <c r="EL29" s="5"/>
      <c r="EN29" s="26"/>
      <c r="EO29" s="26"/>
      <c r="EP29" s="15"/>
      <c r="EQ29" s="5"/>
      <c r="ER29" s="26"/>
      <c r="ES29" s="26"/>
      <c r="ET29" s="26"/>
      <c r="EU29" s="26"/>
      <c r="EV29" s="95"/>
      <c r="EW29" s="95"/>
      <c r="EX29" s="95"/>
      <c r="EY29" s="54"/>
      <c r="EZ29" s="54"/>
      <c r="FA29" s="54"/>
      <c r="FB29" s="54"/>
      <c r="FC29" s="54"/>
      <c r="FD29" s="15"/>
      <c r="FE29" s="26"/>
      <c r="FF29" s="26"/>
      <c r="FG29" s="26"/>
      <c r="FH29" s="26"/>
      <c r="FI29" s="26"/>
      <c r="FJ29" s="26"/>
      <c r="FK29" s="26"/>
      <c r="FL29" s="26"/>
      <c r="FM29" s="26"/>
      <c r="FN29" s="5"/>
      <c r="FO29" s="54"/>
      <c r="FP29" s="5"/>
      <c r="FQ29" s="5"/>
      <c r="FR29" s="5"/>
      <c r="FS29" s="54"/>
      <c r="FT29" s="54"/>
      <c r="FU29" s="54"/>
      <c r="FV29" s="54"/>
      <c r="FW29" s="54"/>
      <c r="FX29" s="54"/>
      <c r="FY29" s="54"/>
      <c r="FZ29" s="54"/>
      <c r="GA29" s="54"/>
      <c r="GB29" s="54"/>
      <c r="GC29" s="5"/>
      <c r="GD29" s="5"/>
      <c r="GE29" s="5"/>
      <c r="GF29" s="5"/>
      <c r="GG29" s="5"/>
      <c r="GH29" s="5"/>
      <c r="GI29" s="68"/>
      <c r="GJ29" s="5"/>
      <c r="GK29" s="5"/>
      <c r="GL29" s="54"/>
      <c r="GM29" s="5"/>
      <c r="GN29" s="5"/>
      <c r="GO29" s="5"/>
      <c r="GP29" s="68"/>
      <c r="GQ29" s="68"/>
      <c r="GR29" s="68"/>
      <c r="GS29" s="5"/>
      <c r="GT29" s="5"/>
      <c r="GU29" s="68"/>
      <c r="GV29" s="5"/>
      <c r="GW29" s="54"/>
      <c r="GX29" s="68"/>
      <c r="GY29" s="54"/>
      <c r="GZ29" s="5"/>
      <c r="HA29" s="77"/>
      <c r="HB29" s="54"/>
      <c r="HC29" s="5"/>
      <c r="HD29" s="5"/>
      <c r="HE29" s="5"/>
      <c r="HF29" s="5"/>
      <c r="HG29" s="5"/>
      <c r="HH29" s="205"/>
      <c r="HI29" s="26"/>
      <c r="HJ29" s="26"/>
      <c r="HK29" s="5"/>
    </row>
    <row r="30" spans="2:219" ht="15">
      <c r="B30" s="11"/>
      <c r="C30" s="2"/>
      <c r="D30" s="422" t="s">
        <v>57</v>
      </c>
      <c r="E30" s="43" t="s">
        <v>36</v>
      </c>
      <c r="F30" s="5" t="s">
        <v>49</v>
      </c>
      <c r="G30" s="420" t="s">
        <v>58</v>
      </c>
      <c r="H30" s="5" t="s">
        <v>43</v>
      </c>
      <c r="I30" s="5" t="s">
        <v>108</v>
      </c>
      <c r="J30" s="5" t="s">
        <v>109</v>
      </c>
      <c r="K30" s="5" t="s">
        <v>110</v>
      </c>
      <c r="L30" s="5" t="s">
        <v>111</v>
      </c>
      <c r="M30" s="5" t="s">
        <v>44</v>
      </c>
      <c r="N30" s="5" t="s">
        <v>107</v>
      </c>
      <c r="AA30" s="18" t="s">
        <v>488</v>
      </c>
      <c r="AB30" s="22" t="s">
        <v>489</v>
      </c>
      <c r="AC30" s="59">
        <v>3.6405952380952398</v>
      </c>
      <c r="AD30" s="59">
        <v>8.6549999999999994</v>
      </c>
      <c r="AE30" s="22">
        <v>528</v>
      </c>
      <c r="AF30" s="22">
        <v>1528</v>
      </c>
      <c r="AG30" s="22">
        <v>948.63492063492095</v>
      </c>
      <c r="AH30" s="6">
        <v>10</v>
      </c>
      <c r="AI30" s="6">
        <v>300</v>
      </c>
      <c r="AJ30" s="6">
        <v>14</v>
      </c>
      <c r="AK30" s="24">
        <v>300</v>
      </c>
      <c r="AL30" s="24">
        <v>14</v>
      </c>
      <c r="AM30" s="5">
        <f t="shared" si="17"/>
        <v>920.63492063492095</v>
      </c>
      <c r="AN30" s="26">
        <f t="shared" si="18"/>
        <v>176.06349206349208</v>
      </c>
      <c r="AO30" s="26">
        <f t="shared" si="19"/>
        <v>248482.7399356656</v>
      </c>
      <c r="AP30" s="15">
        <f t="shared" si="20"/>
        <v>6307.6719576719579</v>
      </c>
      <c r="AQ30" s="5">
        <f t="shared" si="21"/>
        <v>5238.7432621467533</v>
      </c>
      <c r="AR30" s="26">
        <f t="shared" si="22"/>
        <v>420.51146384479722</v>
      </c>
      <c r="AS30" s="26">
        <f t="shared" si="23"/>
        <v>3022.1941546989178</v>
      </c>
      <c r="AT30" s="26">
        <f t="shared" si="24"/>
        <v>37.567600585756203</v>
      </c>
      <c r="AU30" s="26">
        <f t="shared" si="25"/>
        <v>5.9854925384629922</v>
      </c>
      <c r="AV30" s="95">
        <f t="shared" si="26"/>
        <v>8.6034497354497351E-7</v>
      </c>
      <c r="AW30" s="95">
        <f t="shared" si="27"/>
        <v>13758293.349206358</v>
      </c>
      <c r="AX30" s="95">
        <f t="shared" si="28"/>
        <v>1.3758293349206359E-5</v>
      </c>
      <c r="AY30" s="54">
        <f t="shared" si="29"/>
        <v>0.1548581140202015</v>
      </c>
      <c r="AZ30" s="54" t="str">
        <f>_xll.Dce_Name_SectI(AE30,AF30,AI30,AH30,AJ30,"x","-",$O$11)</f>
        <v>(528-1528)x300x10x14</v>
      </c>
      <c r="BA30" s="15">
        <f t="shared" si="30"/>
        <v>700.97619047619071</v>
      </c>
      <c r="BB30" s="54"/>
      <c r="BC30" s="54"/>
      <c r="BD30" s="22" t="s">
        <v>496</v>
      </c>
      <c r="BE30" s="23">
        <v>53.754241133817146</v>
      </c>
      <c r="BF30" s="23">
        <v>63.066445080745922</v>
      </c>
      <c r="BG30" s="23">
        <v>-2.739856922505108E-3</v>
      </c>
      <c r="BH30" s="23">
        <v>3.8267875397831119E-5</v>
      </c>
      <c r="BI30" s="23">
        <v>1.0000828540578488E-2</v>
      </c>
      <c r="BJ30" s="23">
        <v>-192.03424973419112</v>
      </c>
      <c r="BK30" s="23">
        <v>-229.76497427525089</v>
      </c>
      <c r="BL30" s="92">
        <v>2.25</v>
      </c>
      <c r="BM30" s="93">
        <v>2</v>
      </c>
      <c r="BN30" s="5">
        <f t="shared" si="31"/>
        <v>19.473749999999999</v>
      </c>
      <c r="BO30" s="54">
        <f>_xll.Bimoment(BH30,AY30,AC30,AD30,$O$101)</f>
        <v>-2.9430547463299498E-4</v>
      </c>
      <c r="BP30" s="5">
        <f t="shared" si="32"/>
        <v>0.45620689655172403</v>
      </c>
      <c r="BQ30" s="5">
        <f t="shared" si="33"/>
        <v>14.902680794725466</v>
      </c>
      <c r="BR30" s="24" t="str">
        <f t="shared" si="34"/>
        <v>Cal</v>
      </c>
      <c r="BS30" s="25">
        <f t="shared" si="35"/>
        <v>1.3357386145427651E-2</v>
      </c>
      <c r="BT30" s="25" t="str">
        <f t="shared" si="36"/>
        <v>CT.105</v>
      </c>
      <c r="BU30" s="25">
        <f t="shared" si="37"/>
        <v>1</v>
      </c>
      <c r="BV30" s="25" cm="1">
        <f t="array" ref="BV30">IF(BT30="CT.104",_xll.TCVN5575AnnexEHeSoCx(1,BP30),1)</f>
        <v>1</v>
      </c>
      <c r="BW30" s="25">
        <f t="shared" si="38"/>
        <v>1</v>
      </c>
      <c r="BX30" s="25">
        <f t="shared" si="39"/>
        <v>1.406040646887121E-2</v>
      </c>
      <c r="BY30" s="25">
        <f t="shared" si="40"/>
        <v>0.16881305517392881</v>
      </c>
      <c r="BZ30" s="25">
        <f t="shared" si="41"/>
        <v>1.0952483151172036E-4</v>
      </c>
      <c r="CA30" s="25">
        <f t="shared" si="42"/>
        <v>6.905442203869037E-6</v>
      </c>
      <c r="CB30" s="25">
        <f t="shared" si="43"/>
        <v>0.1829898919165156</v>
      </c>
      <c r="CC30" s="5" t="str">
        <f t="shared" si="44"/>
        <v>OK</v>
      </c>
      <c r="CD30" s="5">
        <f t="shared" si="45"/>
        <v>51.836555160202302</v>
      </c>
      <c r="CE30" s="5">
        <f t="shared" si="46"/>
        <v>33.414125690541383</v>
      </c>
      <c r="CF30" s="5">
        <f t="shared" si="47"/>
        <v>1.7266865002204341</v>
      </c>
      <c r="CG30" s="5">
        <f t="shared" si="48"/>
        <v>1.1130315193248546</v>
      </c>
      <c r="CH30" s="5">
        <f t="shared" si="49"/>
        <v>12.006271337010739</v>
      </c>
      <c r="CI30" s="68">
        <f>_xll.DCETCVN5575PhuLucD2Eta(BP30,CH30,CF30)</f>
        <v>1.2412413793103447</v>
      </c>
      <c r="CJ30" s="5">
        <f t="shared" si="50"/>
        <v>14.902680794725466</v>
      </c>
      <c r="CK30" s="5">
        <f>MIN(noisuy2chieu(CJ30,CF30,Data!$DA$2:$EB$24),1)</f>
        <v>9.1890782117843628E-2</v>
      </c>
      <c r="CL30" s="102" t="str">
        <f t="shared" si="51"/>
        <v>-</v>
      </c>
      <c r="CM30" s="5" t="str">
        <f t="shared" si="52"/>
        <v>OK</v>
      </c>
      <c r="CN30" s="5">
        <f t="shared" si="53"/>
        <v>0.88472625978979058</v>
      </c>
      <c r="CO30" s="5">
        <f t="shared" si="54"/>
        <v>0.5370345235716667</v>
      </c>
      <c r="CP30" s="25">
        <f>_xll.DCETCVNPhuLucFHeSoOnDinh(1, 0.2, AG30, AH30, AI30, AJ30, AI30, AJ30, $D$28)</f>
        <v>1</v>
      </c>
      <c r="CQ30" s="68">
        <f t="shared" si="55"/>
        <v>0.9</v>
      </c>
      <c r="CR30" s="68">
        <f t="shared" si="56"/>
        <v>1</v>
      </c>
      <c r="CS30" s="5">
        <f t="shared" si="57"/>
        <v>0.18181818181818182</v>
      </c>
      <c r="CT30" s="5">
        <f t="shared" si="58"/>
        <v>0.10155106457844131</v>
      </c>
      <c r="CU30" s="26">
        <f t="shared" si="59"/>
        <v>14.36525322284106</v>
      </c>
      <c r="CV30" s="5"/>
      <c r="CW30" s="25"/>
      <c r="CX30" s="72">
        <f>MAX(_xll.Dce_c_925(CU30, CQ30, CR30, CN30, CP30, CS30, CT30),0.3)</f>
        <v>0.3</v>
      </c>
      <c r="CY30" s="102" t="str">
        <f t="shared" si="60"/>
        <v>-</v>
      </c>
      <c r="CZ30" s="5" t="str">
        <f t="shared" si="61"/>
        <v>OK</v>
      </c>
      <c r="DA30" s="47">
        <f t="shared" si="62"/>
        <v>0.34499859601035404</v>
      </c>
      <c r="DB30" s="46">
        <f t="shared" si="63"/>
        <v>1.2481430095691599</v>
      </c>
      <c r="DC30" s="5" t="str">
        <f t="shared" si="64"/>
        <v>OK</v>
      </c>
      <c r="DD30" s="5">
        <f t="shared" si="65"/>
        <v>1.7266865002204341</v>
      </c>
      <c r="DE30" s="5">
        <f t="shared" si="66"/>
        <v>3.0666541867587034</v>
      </c>
      <c r="DF30" s="5">
        <f t="shared" si="67"/>
        <v>3.2</v>
      </c>
      <c r="DG30" s="5" t="str">
        <f t="shared" si="68"/>
        <v>OK</v>
      </c>
      <c r="DH30" s="203">
        <f t="shared" si="69"/>
        <v>51.836555160202302</v>
      </c>
      <c r="DI30" s="203" t="str">
        <f t="shared" si="70"/>
        <v>-</v>
      </c>
      <c r="DJ30" s="46">
        <f t="shared" si="71"/>
        <v>0</v>
      </c>
      <c r="DK30" s="5" t="str">
        <f t="shared" si="72"/>
        <v>OK</v>
      </c>
      <c r="EB30" s="18"/>
      <c r="EC30" s="77"/>
      <c r="ED30" s="77"/>
      <c r="EE30" s="18"/>
      <c r="EF30" s="18"/>
      <c r="EG30" s="18"/>
      <c r="EH30" s="5"/>
      <c r="EI30" s="5"/>
      <c r="EJ30" s="5"/>
      <c r="EK30" s="5"/>
      <c r="EL30" s="5"/>
      <c r="EN30" s="26"/>
      <c r="EO30" s="26"/>
      <c r="EP30" s="15"/>
      <c r="EQ30" s="5"/>
      <c r="ER30" s="26"/>
      <c r="ES30" s="26"/>
      <c r="ET30" s="26"/>
      <c r="EU30" s="26"/>
      <c r="EV30" s="95"/>
      <c r="EW30" s="95"/>
      <c r="EX30" s="95"/>
      <c r="EY30" s="54"/>
      <c r="EZ30" s="54"/>
      <c r="FA30" s="54"/>
      <c r="FB30" s="54"/>
      <c r="FC30" s="54"/>
      <c r="FD30" s="15"/>
      <c r="FE30" s="26"/>
      <c r="FF30" s="26"/>
      <c r="FG30" s="26"/>
      <c r="FH30" s="26"/>
      <c r="FI30" s="26"/>
      <c r="FJ30" s="26"/>
      <c r="FK30" s="26"/>
      <c r="FL30" s="26"/>
      <c r="FM30" s="26"/>
      <c r="FN30" s="5"/>
      <c r="FO30" s="54"/>
      <c r="FP30" s="5"/>
      <c r="FQ30" s="5"/>
      <c r="FR30" s="5"/>
      <c r="FS30" s="54"/>
      <c r="FT30" s="54"/>
      <c r="FU30" s="54"/>
      <c r="FV30" s="54"/>
      <c r="FW30" s="54"/>
      <c r="FX30" s="54"/>
      <c r="FY30" s="54"/>
      <c r="FZ30" s="54"/>
      <c r="GA30" s="54"/>
      <c r="GB30" s="54"/>
      <c r="GC30" s="5"/>
      <c r="GD30" s="5"/>
      <c r="GE30" s="5"/>
      <c r="GF30" s="5"/>
      <c r="GG30" s="5"/>
      <c r="GH30" s="5"/>
      <c r="GI30" s="68"/>
      <c r="GJ30" s="5"/>
      <c r="GK30" s="5"/>
      <c r="GL30" s="54"/>
      <c r="GM30" s="5"/>
      <c r="GN30" s="5"/>
      <c r="GO30" s="5"/>
      <c r="GP30" s="68"/>
      <c r="GQ30" s="68"/>
      <c r="GR30" s="68"/>
      <c r="GS30" s="5"/>
      <c r="GT30" s="5"/>
      <c r="GU30" s="68"/>
      <c r="GV30" s="5"/>
      <c r="GW30" s="54"/>
      <c r="GX30" s="68"/>
      <c r="GY30" s="54"/>
      <c r="GZ30" s="5"/>
      <c r="HA30" s="77"/>
      <c r="HB30" s="54"/>
      <c r="HC30" s="5"/>
      <c r="HD30" s="5"/>
      <c r="HE30" s="5"/>
      <c r="HF30" s="5"/>
      <c r="HG30" s="5"/>
      <c r="HH30" s="205"/>
      <c r="HI30" s="26"/>
      <c r="HJ30" s="26"/>
      <c r="HK30" s="5"/>
    </row>
    <row r="31" spans="2:219">
      <c r="B31" s="11"/>
      <c r="C31" s="2"/>
      <c r="D31" s="422"/>
      <c r="E31" s="24" t="s">
        <v>55</v>
      </c>
      <c r="F31" s="5" t="s">
        <v>52</v>
      </c>
      <c r="G31" s="421"/>
      <c r="H31" s="5" t="s">
        <v>42</v>
      </c>
      <c r="I31" s="5" t="s">
        <v>42</v>
      </c>
      <c r="J31" s="5" t="s">
        <v>42</v>
      </c>
      <c r="K31" s="5" t="s">
        <v>41</v>
      </c>
      <c r="L31" s="5" t="s">
        <v>41</v>
      </c>
      <c r="M31" s="5" t="s">
        <v>41</v>
      </c>
      <c r="N31" s="5" t="s">
        <v>41</v>
      </c>
      <c r="AA31" s="18" t="s">
        <v>488</v>
      </c>
      <c r="AB31" s="22" t="s">
        <v>489</v>
      </c>
      <c r="AC31" s="59">
        <v>7.2811904761904795</v>
      </c>
      <c r="AD31" s="59">
        <v>8.6549999999999994</v>
      </c>
      <c r="AE31" s="22">
        <v>528</v>
      </c>
      <c r="AF31" s="22">
        <v>1528</v>
      </c>
      <c r="AG31" s="22">
        <v>1369.2698412698419</v>
      </c>
      <c r="AH31" s="6">
        <v>10</v>
      </c>
      <c r="AI31" s="6">
        <v>300</v>
      </c>
      <c r="AJ31" s="6">
        <v>14</v>
      </c>
      <c r="AK31" s="24">
        <v>300</v>
      </c>
      <c r="AL31" s="24">
        <v>14</v>
      </c>
      <c r="AM31" s="5">
        <f t="shared" si="17"/>
        <v>1341.2698412698419</v>
      </c>
      <c r="AN31" s="26">
        <f t="shared" si="18"/>
        <v>218.12698412698418</v>
      </c>
      <c r="AO31" s="26">
        <f t="shared" si="19"/>
        <v>586811.79072745051</v>
      </c>
      <c r="AP31" s="15">
        <f t="shared" si="20"/>
        <v>6311.1772486772488</v>
      </c>
      <c r="AQ31" s="5">
        <f t="shared" si="21"/>
        <v>8571.1635945074104</v>
      </c>
      <c r="AR31" s="26">
        <f t="shared" si="22"/>
        <v>420.74514991181661</v>
      </c>
      <c r="AS31" s="26">
        <f t="shared" si="23"/>
        <v>5094.8226505417015</v>
      </c>
      <c r="AT31" s="26">
        <f t="shared" si="24"/>
        <v>51.867428670398397</v>
      </c>
      <c r="AU31" s="26">
        <f t="shared" si="25"/>
        <v>5.3789869588463937</v>
      </c>
      <c r="AV31" s="95">
        <f t="shared" si="26"/>
        <v>1.0005566137566139E-6</v>
      </c>
      <c r="AW31" s="95">
        <f t="shared" si="27"/>
        <v>28928912.396825422</v>
      </c>
      <c r="AX31" s="95">
        <f t="shared" si="28"/>
        <v>2.8928912396825422E-5</v>
      </c>
      <c r="AY31" s="54">
        <f t="shared" si="29"/>
        <v>0.11516876660535029</v>
      </c>
      <c r="AZ31" s="54" t="str">
        <f>_xll.Dce_Name_SectI(AE31,AF31,AI31,AH31,AJ31,"x","-",$O$11)</f>
        <v>(528-1528)x300x10x14</v>
      </c>
      <c r="BA31" s="15">
        <f t="shared" si="30"/>
        <v>1016.4523809523813</v>
      </c>
      <c r="BB31" s="54"/>
      <c r="BC31" s="54"/>
      <c r="BD31" s="22" t="s">
        <v>496</v>
      </c>
      <c r="BE31" s="23">
        <v>61.632530070875362</v>
      </c>
      <c r="BF31" s="23">
        <v>83.522280737871398</v>
      </c>
      <c r="BG31" s="23">
        <v>-2.7398569225038534E-3</v>
      </c>
      <c r="BH31" s="23">
        <v>3.8267875397831119E-5</v>
      </c>
      <c r="BI31" s="23">
        <v>1.9999029222735484E-2</v>
      </c>
      <c r="BJ31" s="23">
        <v>-459.52994855050179</v>
      </c>
      <c r="BK31" s="23">
        <v>-229.76497427525089</v>
      </c>
      <c r="BL31" s="92">
        <v>2.25</v>
      </c>
      <c r="BM31" s="93">
        <v>2</v>
      </c>
      <c r="BN31" s="5">
        <f t="shared" si="31"/>
        <v>19.473749999999999</v>
      </c>
      <c r="BO31" s="54">
        <f>_xll.Bimoment(BH31,AY31,AC31,AD31,$O$101)</f>
        <v>-1.7506291740942769E-4</v>
      </c>
      <c r="BP31" s="5">
        <f t="shared" si="32"/>
        <v>0.31313609467455605</v>
      </c>
      <c r="BQ31" s="5">
        <f t="shared" si="33"/>
        <v>23.009159090630565</v>
      </c>
      <c r="BR31" s="24" t="str">
        <f t="shared" si="34"/>
        <v>Cal</v>
      </c>
      <c r="BS31" s="25">
        <f t="shared" si="35"/>
        <v>1.2361713069993464E-2</v>
      </c>
      <c r="BT31" s="25" t="str">
        <f t="shared" si="36"/>
        <v>CT.105</v>
      </c>
      <c r="BU31" s="25">
        <f t="shared" si="37"/>
        <v>1</v>
      </c>
      <c r="BV31" s="25" cm="1">
        <f t="array" ref="BV31">IF(BT31="CT.104",_xll.TCVN5575AnnexEHeSoCx(1,BP31),1)</f>
        <v>1</v>
      </c>
      <c r="BW31" s="25">
        <f t="shared" si="38"/>
        <v>1</v>
      </c>
      <c r="BX31" s="25">
        <f t="shared" si="39"/>
        <v>1.3012329547361541E-2</v>
      </c>
      <c r="BY31" s="25">
        <f t="shared" si="40"/>
        <v>0.24690420602460947</v>
      </c>
      <c r="BZ31" s="25">
        <f t="shared" si="41"/>
        <v>2.188992374420174E-4</v>
      </c>
      <c r="CA31" s="25">
        <f t="shared" si="42"/>
        <v>2.8327193220791489E-6</v>
      </c>
      <c r="CB31" s="25">
        <f t="shared" si="43"/>
        <v>0.26013826752873509</v>
      </c>
      <c r="CC31" s="5" t="str">
        <f t="shared" si="44"/>
        <v>OK</v>
      </c>
      <c r="CD31" s="5">
        <f t="shared" si="45"/>
        <v>37.545238889226049</v>
      </c>
      <c r="CE31" s="5">
        <f t="shared" si="46"/>
        <v>37.181722419139881</v>
      </c>
      <c r="CF31" s="5">
        <f t="shared" si="47"/>
        <v>1.2506397644909562</v>
      </c>
      <c r="CG31" s="5">
        <f t="shared" si="48"/>
        <v>1.2385309547993069</v>
      </c>
      <c r="CH31" s="5">
        <f t="shared" si="49"/>
        <v>18.974635181651486</v>
      </c>
      <c r="CI31" s="68">
        <f>_xll.DCETCVN5575PhuLucD2Eta(BP31,CH31,CF31)</f>
        <v>1.2126272189349112</v>
      </c>
      <c r="CJ31" s="5">
        <f t="shared" si="50"/>
        <v>23.009159090630565</v>
      </c>
      <c r="CK31" s="5">
        <f>MIN(noisuy2chieu(CJ31,CF31,Data!$DA$2:$EB$24),1)</f>
        <v>7.1994885802268982E-2</v>
      </c>
      <c r="CL31" s="102" t="str">
        <f t="shared" si="51"/>
        <v>-</v>
      </c>
      <c r="CM31" s="5" t="str">
        <f t="shared" si="52"/>
        <v>OK</v>
      </c>
      <c r="CN31" s="5">
        <f t="shared" si="53"/>
        <v>0.86643683692746631</v>
      </c>
      <c r="CO31" s="5">
        <f t="shared" si="54"/>
        <v>0.5370345235716667</v>
      </c>
      <c r="CP31" s="25">
        <f>_xll.DCETCVNPhuLucFHeSoOnDinh(1, 0.2, AG31, AH31, AI31, AJ31, AI31, AJ31, $D$28)</f>
        <v>1</v>
      </c>
      <c r="CQ31" s="68">
        <f t="shared" si="55"/>
        <v>0.9</v>
      </c>
      <c r="CR31" s="68">
        <f t="shared" si="56"/>
        <v>1</v>
      </c>
      <c r="CS31" s="5">
        <f t="shared" si="57"/>
        <v>0.18181818181818182</v>
      </c>
      <c r="CT31" s="5">
        <f t="shared" si="58"/>
        <v>0.10347287704587492</v>
      </c>
      <c r="CU31" s="26">
        <f t="shared" si="59"/>
        <v>9.487317590825743</v>
      </c>
      <c r="CV31" s="5"/>
      <c r="CW31" s="25"/>
      <c r="CX31" s="72">
        <f>MAX(_xll.Dce_c_925(CU31, CQ31, CR31, CN31, CP31, CS31, CT31),0.3)</f>
        <v>0.3</v>
      </c>
      <c r="CY31" s="102" t="str">
        <f t="shared" si="60"/>
        <v>-</v>
      </c>
      <c r="CZ31" s="5" t="str">
        <f t="shared" si="61"/>
        <v>OK</v>
      </c>
      <c r="DA31" s="47">
        <f t="shared" si="62"/>
        <v>0.34499859601035404</v>
      </c>
      <c r="DB31" s="46">
        <f t="shared" si="63"/>
        <v>1.0319330582886002</v>
      </c>
      <c r="DC31" s="5" t="str">
        <f t="shared" si="64"/>
        <v>OK</v>
      </c>
      <c r="DD31" s="5">
        <f t="shared" si="65"/>
        <v>1.2506397644909562</v>
      </c>
      <c r="DE31" s="5">
        <f t="shared" si="66"/>
        <v>4.4677979100191463</v>
      </c>
      <c r="DF31" s="5">
        <f t="shared" si="67"/>
        <v>3.2</v>
      </c>
      <c r="DG31" s="5" t="str">
        <f t="shared" si="68"/>
        <v>Gia cường</v>
      </c>
      <c r="DH31" s="203">
        <f t="shared" si="69"/>
        <v>37.545238889226049</v>
      </c>
      <c r="DI31" s="203" t="str">
        <f t="shared" si="70"/>
        <v>-</v>
      </c>
      <c r="DJ31" s="46">
        <f t="shared" si="71"/>
        <v>0</v>
      </c>
      <c r="DK31" s="5" t="str">
        <f t="shared" si="72"/>
        <v>OK</v>
      </c>
      <c r="EB31" s="18"/>
      <c r="EC31" s="77"/>
      <c r="ED31" s="77"/>
      <c r="EE31" s="18"/>
      <c r="EF31" s="18"/>
      <c r="EG31" s="18"/>
      <c r="EH31" s="5"/>
      <c r="EI31" s="5"/>
      <c r="EJ31" s="5"/>
      <c r="EK31" s="5"/>
      <c r="EL31" s="5"/>
      <c r="EN31" s="26"/>
      <c r="EO31" s="26"/>
      <c r="EP31" s="15"/>
      <c r="EQ31" s="5"/>
      <c r="ER31" s="26"/>
      <c r="ES31" s="26"/>
      <c r="ET31" s="26"/>
      <c r="EU31" s="26"/>
      <c r="EV31" s="95"/>
      <c r="EW31" s="95"/>
      <c r="EX31" s="95"/>
      <c r="EY31" s="54"/>
      <c r="EZ31" s="54"/>
      <c r="FA31" s="54"/>
      <c r="FB31" s="54"/>
      <c r="FC31" s="54"/>
      <c r="FD31" s="15"/>
      <c r="FE31" s="26"/>
      <c r="FF31" s="26"/>
      <c r="FG31" s="26"/>
      <c r="FH31" s="26"/>
      <c r="FI31" s="26"/>
      <c r="FJ31" s="26"/>
      <c r="FK31" s="26"/>
      <c r="FL31" s="26"/>
      <c r="FM31" s="26"/>
      <c r="FN31" s="5"/>
      <c r="FO31" s="54"/>
      <c r="FP31" s="5"/>
      <c r="FQ31" s="5"/>
      <c r="FR31" s="5"/>
      <c r="FS31" s="54"/>
      <c r="FT31" s="54"/>
      <c r="FU31" s="54"/>
      <c r="FV31" s="54"/>
      <c r="FW31" s="54"/>
      <c r="FX31" s="54"/>
      <c r="FY31" s="54"/>
      <c r="FZ31" s="54"/>
      <c r="GA31" s="54"/>
      <c r="GB31" s="54"/>
      <c r="GC31" s="5"/>
      <c r="GD31" s="5"/>
      <c r="GE31" s="5"/>
      <c r="GF31" s="5"/>
      <c r="GG31" s="5"/>
      <c r="GH31" s="5"/>
      <c r="GI31" s="68"/>
      <c r="GJ31" s="5"/>
      <c r="GK31" s="5"/>
      <c r="GL31" s="54"/>
      <c r="GM31" s="5"/>
      <c r="GN31" s="5"/>
      <c r="GO31" s="5"/>
      <c r="GP31" s="68"/>
      <c r="GQ31" s="68"/>
      <c r="GR31" s="68"/>
      <c r="GS31" s="5"/>
      <c r="GT31" s="5"/>
      <c r="GU31" s="68"/>
      <c r="GV31" s="5"/>
      <c r="GW31" s="54"/>
      <c r="GX31" s="68"/>
      <c r="GY31" s="54"/>
      <c r="GZ31" s="5"/>
      <c r="HA31" s="77"/>
      <c r="HB31" s="54"/>
      <c r="HC31" s="5"/>
      <c r="HD31" s="5"/>
      <c r="HE31" s="5"/>
      <c r="HF31" s="5"/>
      <c r="HG31" s="5"/>
      <c r="HH31" s="205"/>
      <c r="HI31" s="26"/>
      <c r="HJ31" s="26"/>
      <c r="HK31" s="5"/>
    </row>
    <row r="32" spans="2:219">
      <c r="B32" s="11"/>
      <c r="C32" s="2"/>
      <c r="D32" s="22">
        <v>207</v>
      </c>
      <c r="E32" s="60">
        <v>7.2811904761904795</v>
      </c>
      <c r="F32" s="56">
        <v>1369.2698412698419</v>
      </c>
      <c r="G32" s="94" t="s">
        <v>493</v>
      </c>
      <c r="H32" s="91">
        <v>-285.55012935601638</v>
      </c>
      <c r="I32" s="91">
        <v>-297.87481758888629</v>
      </c>
      <c r="J32" s="91">
        <v>2.5509569080978665E-3</v>
      </c>
      <c r="K32" s="91">
        <v>-1.8620191927521134E-2</v>
      </c>
      <c r="L32" s="91">
        <v>2186.6137601081191</v>
      </c>
      <c r="M32" s="91">
        <v>-3.5629488643153718E-5</v>
      </c>
      <c r="N32" s="174">
        <f>N106</f>
        <v>1.6299316758071377E-4</v>
      </c>
      <c r="AA32" s="18" t="s">
        <v>488</v>
      </c>
      <c r="AB32" s="22" t="s">
        <v>489</v>
      </c>
      <c r="AC32" s="59">
        <v>0</v>
      </c>
      <c r="AD32" s="59">
        <v>8.6549999999999994</v>
      </c>
      <c r="AE32" s="22">
        <v>528</v>
      </c>
      <c r="AF32" s="22">
        <v>1528</v>
      </c>
      <c r="AG32" s="22">
        <v>528</v>
      </c>
      <c r="AH32" s="6">
        <v>10</v>
      </c>
      <c r="AI32" s="6">
        <v>300</v>
      </c>
      <c r="AJ32" s="6">
        <v>14</v>
      </c>
      <c r="AK32" s="24">
        <v>300</v>
      </c>
      <c r="AL32" s="24">
        <v>14</v>
      </c>
      <c r="AM32" s="5">
        <f t="shared" si="17"/>
        <v>500</v>
      </c>
      <c r="AN32" s="26">
        <f t="shared" si="18"/>
        <v>134</v>
      </c>
      <c r="AO32" s="26">
        <f t="shared" si="19"/>
        <v>65911.546666666676</v>
      </c>
      <c r="AP32" s="15">
        <f t="shared" si="20"/>
        <v>6304.166666666667</v>
      </c>
      <c r="AQ32" s="5">
        <f t="shared" si="21"/>
        <v>2496.6494949494954</v>
      </c>
      <c r="AR32" s="26">
        <f t="shared" si="22"/>
        <v>420.27777777777777</v>
      </c>
      <c r="AS32" s="26">
        <f t="shared" si="23"/>
        <v>1391.9</v>
      </c>
      <c r="AT32" s="26">
        <f t="shared" si="24"/>
        <v>22.178305028345793</v>
      </c>
      <c r="AU32" s="26">
        <f t="shared" si="25"/>
        <v>6.8590101254115021</v>
      </c>
      <c r="AV32" s="95">
        <f t="shared" si="26"/>
        <v>7.201333333333334E-7</v>
      </c>
      <c r="AW32" s="95">
        <f t="shared" si="27"/>
        <v>4161087</v>
      </c>
      <c r="AX32" s="95">
        <f t="shared" si="28"/>
        <v>4.1610870000000001E-6</v>
      </c>
      <c r="AY32" s="54">
        <f t="shared" si="29"/>
        <v>0.25762202780669918</v>
      </c>
      <c r="AZ32" s="54" t="str">
        <f>_xll.Dce_Name_SectI(AE32,AF32,AI32,AH32,AJ32,"x","-",$O$11)</f>
        <v>(528-1528)x300x10x14</v>
      </c>
      <c r="BA32" s="15">
        <f t="shared" si="30"/>
        <v>385.5</v>
      </c>
      <c r="BB32" s="54"/>
      <c r="BC32" s="54"/>
      <c r="BD32" s="22" t="s">
        <v>497</v>
      </c>
      <c r="BE32" s="23">
        <v>-62.867496804876694</v>
      </c>
      <c r="BF32" s="23">
        <v>-51.920468738571515</v>
      </c>
      <c r="BG32" s="23">
        <v>-3.8139689826341156E-4</v>
      </c>
      <c r="BH32" s="23">
        <v>5.3270113705614833E-6</v>
      </c>
      <c r="BI32" s="23">
        <v>3.6580634590888117E-7</v>
      </c>
      <c r="BJ32" s="23">
        <v>-0.82827897863089106</v>
      </c>
      <c r="BK32" s="23">
        <v>157.66167136903539</v>
      </c>
      <c r="BL32" s="92">
        <v>2.25</v>
      </c>
      <c r="BM32" s="93">
        <v>2</v>
      </c>
      <c r="BN32" s="5">
        <f t="shared" si="31"/>
        <v>19.473749999999999</v>
      </c>
      <c r="BO32" s="54">
        <f>_xll.Bimoment(BH32,AY32,AC32,AD32,$O$101)</f>
        <v>0</v>
      </c>
      <c r="BP32" s="5">
        <f t="shared" si="32"/>
        <v>0.84</v>
      </c>
      <c r="BQ32" s="5">
        <f t="shared" si="33"/>
        <v>0.10725751695002318</v>
      </c>
      <c r="BR32" s="24" t="str">
        <f t="shared" si="34"/>
        <v>Cal</v>
      </c>
      <c r="BS32" s="25">
        <f t="shared" si="35"/>
        <v>2.0525768546368325E-2</v>
      </c>
      <c r="BT32" s="25" t="str">
        <f t="shared" si="36"/>
        <v>CT.105</v>
      </c>
      <c r="BU32" s="25">
        <f t="shared" si="37"/>
        <v>1</v>
      </c>
      <c r="BV32" s="25" cm="1">
        <f t="array" ref="BV32">IF(BT32="CT.104",_xll.TCVN5575AnnexEHeSoCx(1,BP32),1)</f>
        <v>1</v>
      </c>
      <c r="BW32" s="25">
        <f t="shared" si="38"/>
        <v>1</v>
      </c>
      <c r="BX32" s="25">
        <f t="shared" si="39"/>
        <v>2.1606072154071922E-2</v>
      </c>
      <c r="BY32" s="25">
        <f t="shared" si="40"/>
        <v>1.5278246595943122E-3</v>
      </c>
      <c r="BZ32" s="25">
        <f t="shared" si="41"/>
        <v>4.0083834473613791E-9</v>
      </c>
      <c r="CA32" s="25">
        <f t="shared" si="42"/>
        <v>0</v>
      </c>
      <c r="CB32" s="25">
        <f t="shared" si="43"/>
        <v>2.3133900822049684E-2</v>
      </c>
      <c r="CC32" s="5" t="str">
        <f t="shared" si="44"/>
        <v>OK</v>
      </c>
      <c r="CD32" s="5">
        <f t="shared" si="45"/>
        <v>87.805402509844015</v>
      </c>
      <c r="CE32" s="5">
        <f t="shared" si="46"/>
        <v>29.158726455153193</v>
      </c>
      <c r="CF32" s="5">
        <f t="shared" si="47"/>
        <v>2.9248163326364334</v>
      </c>
      <c r="CG32" s="5">
        <f t="shared" si="48"/>
        <v>0.97128328026682387</v>
      </c>
      <c r="CH32" s="5">
        <f t="shared" si="49"/>
        <v>7.0712744486802787E-2</v>
      </c>
      <c r="CI32" s="68">
        <f>_xll.DCETCVN5575PhuLucD2Eta(BP32,CH32,CF32)</f>
        <v>1.5168060259638316</v>
      </c>
      <c r="CJ32" s="5">
        <f t="shared" si="50"/>
        <v>0.10725751695002318</v>
      </c>
      <c r="CK32" s="5">
        <f>MIN(noisuy2chieu(CJ32,CF32,Data!$DA$2:$EB$24),1)</f>
        <v>0.67489069700241089</v>
      </c>
      <c r="CL32" s="102">
        <f t="shared" si="51"/>
        <v>3.2014179851696398E-2</v>
      </c>
      <c r="CM32" s="5" t="str">
        <f t="shared" si="52"/>
        <v>OK</v>
      </c>
      <c r="CN32" s="5">
        <f t="shared" si="53"/>
        <v>0.90492218941026858</v>
      </c>
      <c r="CO32" s="5">
        <f t="shared" si="54"/>
        <v>0.5370345235716667</v>
      </c>
      <c r="CP32" s="25">
        <f>_xll.DCETCVNPhuLucFHeSoOnDinh(1, 0.2, AG32, AH32, AI32, AJ32, AI32, AJ32, $D$28)</f>
        <v>1</v>
      </c>
      <c r="CQ32" s="68">
        <f t="shared" si="55"/>
        <v>0.9</v>
      </c>
      <c r="CR32" s="68">
        <f t="shared" si="56"/>
        <v>1</v>
      </c>
      <c r="CS32" s="5">
        <f t="shared" si="57"/>
        <v>0.18181818181818182</v>
      </c>
      <c r="CT32" s="5">
        <f t="shared" si="58"/>
        <v>9.9510191986788829E-2</v>
      </c>
      <c r="CU32" s="26">
        <f t="shared" si="59"/>
        <v>13.460065715188335</v>
      </c>
      <c r="CV32" s="5"/>
      <c r="CW32" s="25"/>
      <c r="CX32" s="72">
        <f>MAX(_xll.Dce_c_925(CU32, CQ32, CR32, CN32, CP32, CS32, CT32),0.3)</f>
        <v>0.3</v>
      </c>
      <c r="CY32" s="102">
        <f t="shared" si="60"/>
        <v>7.958721905195866E-2</v>
      </c>
      <c r="CZ32" s="5" t="str">
        <f t="shared" si="61"/>
        <v>OK</v>
      </c>
      <c r="DA32" s="47">
        <f t="shared" si="62"/>
        <v>0.34499859601035404</v>
      </c>
      <c r="DB32" s="46">
        <f t="shared" si="63"/>
        <v>0.45712832802668235</v>
      </c>
      <c r="DC32" s="5" t="str">
        <f t="shared" si="64"/>
        <v>OK</v>
      </c>
      <c r="DD32" s="5">
        <f t="shared" si="65"/>
        <v>2.9248163326364334</v>
      </c>
      <c r="DE32" s="5">
        <f t="shared" si="66"/>
        <v>1.6655104634982609</v>
      </c>
      <c r="DF32" s="5" t="str">
        <f t="shared" si="67"/>
        <v>-</v>
      </c>
      <c r="DG32" s="5" t="str">
        <f t="shared" si="68"/>
        <v>-</v>
      </c>
      <c r="DH32" s="203" t="str">
        <f t="shared" si="69"/>
        <v>-</v>
      </c>
      <c r="DI32" s="203">
        <f t="shared" si="70"/>
        <v>180</v>
      </c>
      <c r="DJ32" s="46">
        <f t="shared" si="71"/>
        <v>0</v>
      </c>
      <c r="DK32" s="5" t="str">
        <f t="shared" si="72"/>
        <v>OK</v>
      </c>
      <c r="EB32" s="18"/>
      <c r="EC32" s="77"/>
      <c r="ED32" s="77"/>
      <c r="EE32" s="18"/>
      <c r="EF32" s="18"/>
      <c r="EG32" s="18"/>
      <c r="EH32" s="5"/>
      <c r="EI32" s="5"/>
      <c r="EJ32" s="5"/>
      <c r="EK32" s="5"/>
      <c r="EL32" s="5"/>
      <c r="EN32" s="26"/>
      <c r="EO32" s="26"/>
      <c r="EP32" s="15"/>
      <c r="EQ32" s="5"/>
      <c r="ER32" s="26"/>
      <c r="ES32" s="26"/>
      <c r="ET32" s="26"/>
      <c r="EU32" s="26"/>
      <c r="EV32" s="95"/>
      <c r="EW32" s="95"/>
      <c r="EX32" s="95"/>
      <c r="EY32" s="54"/>
      <c r="EZ32" s="54"/>
      <c r="FA32" s="54"/>
      <c r="FB32" s="54"/>
      <c r="FC32" s="54"/>
      <c r="FD32" s="15"/>
      <c r="FE32" s="26"/>
      <c r="FF32" s="26"/>
      <c r="FG32" s="26"/>
      <c r="FH32" s="26"/>
      <c r="FI32" s="26"/>
      <c r="FJ32" s="26"/>
      <c r="FK32" s="26"/>
      <c r="FL32" s="26"/>
      <c r="FM32" s="26"/>
      <c r="FN32" s="5"/>
      <c r="FO32" s="54"/>
      <c r="FP32" s="5"/>
      <c r="FQ32" s="5"/>
      <c r="FR32" s="5"/>
      <c r="FS32" s="54"/>
      <c r="FT32" s="54"/>
      <c r="FU32" s="54"/>
      <c r="FV32" s="54"/>
      <c r="FW32" s="54"/>
      <c r="FX32" s="54"/>
      <c r="FY32" s="54"/>
      <c r="FZ32" s="54"/>
      <c r="GA32" s="54"/>
      <c r="GB32" s="54"/>
      <c r="GC32" s="5"/>
      <c r="GD32" s="5"/>
      <c r="GE32" s="5"/>
      <c r="GF32" s="5"/>
      <c r="GG32" s="5"/>
      <c r="GH32" s="5"/>
      <c r="GI32" s="68"/>
      <c r="GJ32" s="5"/>
      <c r="GK32" s="5"/>
      <c r="GL32" s="54"/>
      <c r="GM32" s="5"/>
      <c r="GN32" s="5"/>
      <c r="GO32" s="5"/>
      <c r="GP32" s="68"/>
      <c r="GQ32" s="68"/>
      <c r="GR32" s="68"/>
      <c r="GS32" s="5"/>
      <c r="GT32" s="5"/>
      <c r="GU32" s="68"/>
      <c r="GV32" s="5"/>
      <c r="GW32" s="54"/>
      <c r="GX32" s="68"/>
      <c r="GY32" s="54"/>
      <c r="GZ32" s="5"/>
      <c r="HA32" s="77"/>
      <c r="HB32" s="54"/>
      <c r="HC32" s="5"/>
      <c r="HD32" s="5"/>
      <c r="HE32" s="5"/>
      <c r="HF32" s="5"/>
      <c r="HG32" s="5"/>
      <c r="HH32" s="205"/>
      <c r="HI32" s="26"/>
      <c r="HJ32" s="26"/>
      <c r="HK32" s="5"/>
    </row>
    <row r="33" spans="2:219">
      <c r="B33" s="11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10"/>
      <c r="AA33" s="18" t="s">
        <v>488</v>
      </c>
      <c r="AB33" s="22" t="s">
        <v>489</v>
      </c>
      <c r="AC33" s="59">
        <v>3.6405952380952398</v>
      </c>
      <c r="AD33" s="59">
        <v>8.6549999999999994</v>
      </c>
      <c r="AE33" s="22">
        <v>528</v>
      </c>
      <c r="AF33" s="22">
        <v>1528</v>
      </c>
      <c r="AG33" s="22">
        <v>948.63492063492095</v>
      </c>
      <c r="AH33" s="6">
        <v>10</v>
      </c>
      <c r="AI33" s="6">
        <v>300</v>
      </c>
      <c r="AJ33" s="6">
        <v>14</v>
      </c>
      <c r="AK33" s="24">
        <v>300</v>
      </c>
      <c r="AL33" s="24">
        <v>14</v>
      </c>
      <c r="AM33" s="5">
        <f t="shared" si="17"/>
        <v>920.63492063492095</v>
      </c>
      <c r="AN33" s="26">
        <f t="shared" si="18"/>
        <v>176.06349206349208</v>
      </c>
      <c r="AO33" s="26">
        <f t="shared" si="19"/>
        <v>248482.7399356656</v>
      </c>
      <c r="AP33" s="15">
        <f t="shared" si="20"/>
        <v>6307.6719576719579</v>
      </c>
      <c r="AQ33" s="5">
        <f t="shared" si="21"/>
        <v>5238.7432621467533</v>
      </c>
      <c r="AR33" s="26">
        <f t="shared" si="22"/>
        <v>420.51146384479722</v>
      </c>
      <c r="AS33" s="26">
        <f t="shared" si="23"/>
        <v>3022.1941546989178</v>
      </c>
      <c r="AT33" s="26">
        <f t="shared" si="24"/>
        <v>37.567600585756203</v>
      </c>
      <c r="AU33" s="26">
        <f t="shared" si="25"/>
        <v>5.9854925384629922</v>
      </c>
      <c r="AV33" s="95">
        <f t="shared" si="26"/>
        <v>8.6034497354497351E-7</v>
      </c>
      <c r="AW33" s="95">
        <f t="shared" si="27"/>
        <v>13758293.349206358</v>
      </c>
      <c r="AX33" s="95">
        <f t="shared" si="28"/>
        <v>1.3758293349206359E-5</v>
      </c>
      <c r="AY33" s="54">
        <f t="shared" si="29"/>
        <v>0.1548581140202015</v>
      </c>
      <c r="AZ33" s="54" t="str">
        <f>_xll.Dce_Name_SectI(AE33,AF33,AI33,AH33,AJ33,"x","-",$O$11)</f>
        <v>(528-1528)x300x10x14</v>
      </c>
      <c r="BA33" s="15">
        <f t="shared" si="30"/>
        <v>700.97619047619071</v>
      </c>
      <c r="BB33" s="54"/>
      <c r="BC33" s="54"/>
      <c r="BD33" s="22" t="s">
        <v>497</v>
      </c>
      <c r="BE33" s="23">
        <v>-57.350693618310856</v>
      </c>
      <c r="BF33" s="23">
        <v>-43.300663050854041</v>
      </c>
      <c r="BG33" s="23">
        <v>-3.8139689826288204E-4</v>
      </c>
      <c r="BH33" s="23">
        <v>5.3270113705614833E-6</v>
      </c>
      <c r="BI33" s="23">
        <v>1.3921475074507471E-3</v>
      </c>
      <c r="BJ33" s="23">
        <v>172.87852869927576</v>
      </c>
      <c r="BK33" s="23">
        <v>157.66167136903539</v>
      </c>
      <c r="BL33" s="92">
        <v>2.25</v>
      </c>
      <c r="BM33" s="93">
        <v>2</v>
      </c>
      <c r="BN33" s="5">
        <f t="shared" si="31"/>
        <v>19.473749999999999</v>
      </c>
      <c r="BO33" s="54">
        <f>_xll.Bimoment(BH33,AY33,AC33,AD33,$O$101)</f>
        <v>-4.0968268906752895E-5</v>
      </c>
      <c r="BP33" s="5">
        <f t="shared" si="32"/>
        <v>0.45620689655172403</v>
      </c>
      <c r="BQ33" s="5">
        <f t="shared" si="33"/>
        <v>12.574792414875432</v>
      </c>
      <c r="BR33" s="24" t="str">
        <f t="shared" si="34"/>
        <v>Cal</v>
      </c>
      <c r="BS33" s="25">
        <f t="shared" si="35"/>
        <v>1.4251068273122005E-2</v>
      </c>
      <c r="BT33" s="25" t="str">
        <f t="shared" si="36"/>
        <v>CT.105</v>
      </c>
      <c r="BU33" s="25">
        <f t="shared" si="37"/>
        <v>1</v>
      </c>
      <c r="BV33" s="25" cm="1">
        <f t="array" ref="BV33">IF(BT33="CT.104",_xll.TCVN5575AnnexEHeSoCx(1,BP33),1)</f>
        <v>1</v>
      </c>
      <c r="BW33" s="25">
        <f t="shared" si="38"/>
        <v>1</v>
      </c>
      <c r="BX33" s="25">
        <f t="shared" si="39"/>
        <v>1.5001124498023164E-2</v>
      </c>
      <c r="BY33" s="25">
        <f t="shared" si="40"/>
        <v>0.15197368513218049</v>
      </c>
      <c r="BZ33" s="25">
        <f t="shared" si="41"/>
        <v>1.5246208909025532E-5</v>
      </c>
      <c r="CA33" s="25">
        <f t="shared" si="42"/>
        <v>9.6125977092656593E-7</v>
      </c>
      <c r="CB33" s="25">
        <f t="shared" si="43"/>
        <v>0.16699101709888359</v>
      </c>
      <c r="CC33" s="5" t="str">
        <f t="shared" si="44"/>
        <v>OK</v>
      </c>
      <c r="CD33" s="5">
        <f t="shared" si="45"/>
        <v>51.836555160202302</v>
      </c>
      <c r="CE33" s="5">
        <f t="shared" si="46"/>
        <v>33.414125690541383</v>
      </c>
      <c r="CF33" s="5">
        <f t="shared" si="47"/>
        <v>1.7266865002204341</v>
      </c>
      <c r="CG33" s="5">
        <f t="shared" si="48"/>
        <v>1.1130315193248546</v>
      </c>
      <c r="CH33" s="5">
        <f t="shared" si="49"/>
        <v>10.130819536375919</v>
      </c>
      <c r="CI33" s="68">
        <f>_xll.DCETCVN5575PhuLucD2Eta(BP33,CH33,CF33)</f>
        <v>1.2412413793103447</v>
      </c>
      <c r="CJ33" s="5">
        <f t="shared" si="50"/>
        <v>12.574792414875432</v>
      </c>
      <c r="CK33" s="5">
        <f>MIN(noisuy2chieu(CJ33,CF33,Data!$DA$2:$EB$24),1)</f>
        <v>0.10677604377269745</v>
      </c>
      <c r="CL33" s="102">
        <f t="shared" si="51"/>
        <v>0.14049148074784676</v>
      </c>
      <c r="CM33" s="5" t="str">
        <f t="shared" si="52"/>
        <v>OK</v>
      </c>
      <c r="CN33" s="5">
        <f t="shared" si="53"/>
        <v>0.88472625978979058</v>
      </c>
      <c r="CO33" s="5">
        <f t="shared" si="54"/>
        <v>0.5370345235716667</v>
      </c>
      <c r="CP33" s="25">
        <f>_xll.DCETCVNPhuLucFHeSoOnDinh(1, 0.2, AG33, AH33, AI33, AJ33, AI33, AJ33, $D$28)</f>
        <v>1</v>
      </c>
      <c r="CQ33" s="68">
        <f t="shared" si="55"/>
        <v>0.9</v>
      </c>
      <c r="CR33" s="68">
        <f t="shared" si="56"/>
        <v>1</v>
      </c>
      <c r="CS33" s="5">
        <f t="shared" si="57"/>
        <v>0.18181818181818182</v>
      </c>
      <c r="CT33" s="5">
        <f t="shared" si="58"/>
        <v>0.10155106457844131</v>
      </c>
      <c r="CU33" s="26">
        <f t="shared" si="59"/>
        <v>9.2390995715929822</v>
      </c>
      <c r="CV33" s="5"/>
      <c r="CW33" s="25"/>
      <c r="CX33" s="72">
        <f>MAX(_xll.Dce_c_925(CU33, CQ33, CR33, CN33, CP33, CS33, CT33),0.3)</f>
        <v>0.3</v>
      </c>
      <c r="CY33" s="102">
        <f t="shared" si="60"/>
        <v>5.6518892452253749E-2</v>
      </c>
      <c r="CZ33" s="5" t="str">
        <f t="shared" si="61"/>
        <v>OK</v>
      </c>
      <c r="DA33" s="47">
        <f t="shared" si="62"/>
        <v>0.34499859601035404</v>
      </c>
      <c r="DB33" s="46">
        <f t="shared" si="63"/>
        <v>0.47130315193248545</v>
      </c>
      <c r="DC33" s="5" t="str">
        <f t="shared" si="64"/>
        <v>OK</v>
      </c>
      <c r="DD33" s="5">
        <f t="shared" si="65"/>
        <v>1.7266865002204341</v>
      </c>
      <c r="DE33" s="5">
        <f t="shared" si="66"/>
        <v>3.0666541867587034</v>
      </c>
      <c r="DF33" s="5" t="str">
        <f t="shared" si="67"/>
        <v>-</v>
      </c>
      <c r="DG33" s="5" t="str">
        <f t="shared" si="68"/>
        <v>-</v>
      </c>
      <c r="DH33" s="203">
        <f t="shared" si="69"/>
        <v>51.836555160202302</v>
      </c>
      <c r="DI33" s="203">
        <f t="shared" si="70"/>
        <v>180</v>
      </c>
      <c r="DJ33" s="46">
        <f t="shared" si="71"/>
        <v>0.28798086200112388</v>
      </c>
      <c r="DK33" s="5" t="str">
        <f t="shared" si="72"/>
        <v>OK</v>
      </c>
      <c r="EB33" s="18"/>
      <c r="EC33" s="77"/>
      <c r="ED33" s="77"/>
      <c r="EE33" s="18"/>
      <c r="EF33" s="18"/>
      <c r="EG33" s="18"/>
      <c r="EH33" s="5"/>
      <c r="EI33" s="5"/>
      <c r="EJ33" s="5"/>
      <c r="EK33" s="5"/>
      <c r="EL33" s="5"/>
      <c r="EN33" s="26"/>
      <c r="EO33" s="26"/>
      <c r="EP33" s="15"/>
      <c r="EQ33" s="5"/>
      <c r="ER33" s="26"/>
      <c r="ES33" s="26"/>
      <c r="ET33" s="26"/>
      <c r="EU33" s="26"/>
      <c r="EV33" s="95"/>
      <c r="EW33" s="95"/>
      <c r="EX33" s="95"/>
      <c r="EY33" s="54"/>
      <c r="EZ33" s="54"/>
      <c r="FA33" s="54"/>
      <c r="FB33" s="54"/>
      <c r="FC33" s="54"/>
      <c r="FD33" s="15"/>
      <c r="FE33" s="26"/>
      <c r="FF33" s="26"/>
      <c r="FG33" s="26"/>
      <c r="FH33" s="26"/>
      <c r="FI33" s="26"/>
      <c r="FJ33" s="26"/>
      <c r="FK33" s="26"/>
      <c r="FL33" s="26"/>
      <c r="FM33" s="26"/>
      <c r="FN33" s="5"/>
      <c r="FO33" s="54"/>
      <c r="FP33" s="5"/>
      <c r="FQ33" s="5"/>
      <c r="FR33" s="5"/>
      <c r="FS33" s="54"/>
      <c r="FT33" s="54"/>
      <c r="FU33" s="54"/>
      <c r="FV33" s="54"/>
      <c r="FW33" s="54"/>
      <c r="FX33" s="54"/>
      <c r="FY33" s="54"/>
      <c r="FZ33" s="54"/>
      <c r="GA33" s="54"/>
      <c r="GB33" s="54"/>
      <c r="GC33" s="5"/>
      <c r="GD33" s="5"/>
      <c r="GE33" s="5"/>
      <c r="GF33" s="5"/>
      <c r="GG33" s="5"/>
      <c r="GH33" s="5"/>
      <c r="GI33" s="68"/>
      <c r="GJ33" s="5"/>
      <c r="GK33" s="5"/>
      <c r="GL33" s="54"/>
      <c r="GM33" s="5"/>
      <c r="GN33" s="5"/>
      <c r="GO33" s="5"/>
      <c r="GP33" s="68"/>
      <c r="GQ33" s="68"/>
      <c r="GR33" s="68"/>
      <c r="GS33" s="5"/>
      <c r="GT33" s="5"/>
      <c r="GU33" s="68"/>
      <c r="GV33" s="5"/>
      <c r="GW33" s="54"/>
      <c r="GX33" s="68"/>
      <c r="GY33" s="54"/>
      <c r="GZ33" s="5"/>
      <c r="HA33" s="77"/>
      <c r="HB33" s="54"/>
      <c r="HC33" s="5"/>
      <c r="HD33" s="5"/>
      <c r="HE33" s="5"/>
      <c r="HF33" s="5"/>
      <c r="HG33" s="5"/>
      <c r="HH33" s="205"/>
      <c r="HI33" s="26"/>
      <c r="HJ33" s="26"/>
      <c r="HK33" s="5"/>
    </row>
    <row r="34" spans="2:219">
      <c r="B34" s="381" t="s">
        <v>28</v>
      </c>
      <c r="C34" s="382"/>
      <c r="D34" s="382"/>
      <c r="E34" s="2"/>
      <c r="F34" s="2"/>
      <c r="G34" s="2"/>
      <c r="H34" s="2"/>
      <c r="I34" s="2"/>
      <c r="J34" s="2"/>
      <c r="K34" s="2"/>
      <c r="L34" s="2"/>
      <c r="M34" s="245"/>
      <c r="N34" s="7"/>
      <c r="AA34" s="18" t="s">
        <v>488</v>
      </c>
      <c r="AB34" s="22" t="s">
        <v>489</v>
      </c>
      <c r="AC34" s="59">
        <v>7.2811904761904795</v>
      </c>
      <c r="AD34" s="59">
        <v>8.6549999999999994</v>
      </c>
      <c r="AE34" s="22">
        <v>528</v>
      </c>
      <c r="AF34" s="22">
        <v>1528</v>
      </c>
      <c r="AG34" s="22">
        <v>1369.2698412698419</v>
      </c>
      <c r="AH34" s="6">
        <v>10</v>
      </c>
      <c r="AI34" s="6">
        <v>300</v>
      </c>
      <c r="AJ34" s="6">
        <v>14</v>
      </c>
      <c r="AK34" s="24">
        <v>300</v>
      </c>
      <c r="AL34" s="24">
        <v>14</v>
      </c>
      <c r="AM34" s="5">
        <f t="shared" si="17"/>
        <v>1341.2698412698419</v>
      </c>
      <c r="AN34" s="26">
        <f t="shared" si="18"/>
        <v>218.12698412698418</v>
      </c>
      <c r="AO34" s="26">
        <f t="shared" si="19"/>
        <v>586811.79072745051</v>
      </c>
      <c r="AP34" s="15">
        <f t="shared" si="20"/>
        <v>6311.1772486772488</v>
      </c>
      <c r="AQ34" s="5">
        <f t="shared" si="21"/>
        <v>8571.1635945074104</v>
      </c>
      <c r="AR34" s="26">
        <f t="shared" si="22"/>
        <v>420.74514991181661</v>
      </c>
      <c r="AS34" s="26">
        <f t="shared" si="23"/>
        <v>5094.8226505417015</v>
      </c>
      <c r="AT34" s="26">
        <f t="shared" si="24"/>
        <v>51.867428670398397</v>
      </c>
      <c r="AU34" s="26">
        <f t="shared" si="25"/>
        <v>5.3789869588463937</v>
      </c>
      <c r="AV34" s="95">
        <f t="shared" si="26"/>
        <v>1.0005566137566139E-6</v>
      </c>
      <c r="AW34" s="95">
        <f t="shared" si="27"/>
        <v>28928912.396825422</v>
      </c>
      <c r="AX34" s="95">
        <f t="shared" si="28"/>
        <v>2.8928912396825422E-5</v>
      </c>
      <c r="AY34" s="54">
        <f t="shared" si="29"/>
        <v>0.11516876660535029</v>
      </c>
      <c r="AZ34" s="54" t="str">
        <f>_xll.Dce_Name_SectI(AE34,AF34,AI34,AH34,AJ34,"x","-",$O$11)</f>
        <v>(528-1528)x300x10x14</v>
      </c>
      <c r="BA34" s="15">
        <f t="shared" si="30"/>
        <v>1016.4523809523813</v>
      </c>
      <c r="BB34" s="54"/>
      <c r="BC34" s="54"/>
      <c r="BD34" s="22" t="s">
        <v>497</v>
      </c>
      <c r="BE34" s="23">
        <v>-50.292454681252622</v>
      </c>
      <c r="BF34" s="23">
        <v>-34.786707893728604</v>
      </c>
      <c r="BG34" s="23">
        <v>-3.8139689826235989E-4</v>
      </c>
      <c r="BH34" s="23">
        <v>5.3270113705614833E-6</v>
      </c>
      <c r="BI34" s="23">
        <v>2.7839292085536666E-3</v>
      </c>
      <c r="BJ34" s="23">
        <v>315.32334273807078</v>
      </c>
      <c r="BK34" s="23">
        <v>157.66167136903539</v>
      </c>
      <c r="BL34" s="92">
        <v>2.25</v>
      </c>
      <c r="BM34" s="93">
        <v>2</v>
      </c>
      <c r="BN34" s="5">
        <f t="shared" si="31"/>
        <v>19.473749999999999</v>
      </c>
      <c r="BO34" s="54">
        <f>_xll.Bimoment(BH34,AY34,AC34,AD34,$O$101)</f>
        <v>-2.4369321314779376E-5</v>
      </c>
      <c r="BP34" s="5">
        <f t="shared" si="32"/>
        <v>0.31313609467455605</v>
      </c>
      <c r="BQ34" s="5">
        <f t="shared" si="33"/>
        <v>19.348629621341502</v>
      </c>
      <c r="BR34" s="24" t="str">
        <f t="shared" si="34"/>
        <v>Cal</v>
      </c>
      <c r="BS34" s="25">
        <f t="shared" si="35"/>
        <v>1.0087220070965108E-2</v>
      </c>
      <c r="BT34" s="25" t="str">
        <f t="shared" si="36"/>
        <v>CT.105</v>
      </c>
      <c r="BU34" s="25">
        <f t="shared" si="37"/>
        <v>1</v>
      </c>
      <c r="BV34" s="25" cm="1">
        <f t="array" ref="BV34">IF(BT34="CT.104",_xll.TCVN5575AnnexEHeSoCx(1,BP34),1)</f>
        <v>1</v>
      </c>
      <c r="BW34" s="25">
        <f t="shared" si="38"/>
        <v>1</v>
      </c>
      <c r="BX34" s="25">
        <f t="shared" si="39"/>
        <v>1.0618126390489587E-2</v>
      </c>
      <c r="BY34" s="25">
        <f t="shared" si="40"/>
        <v>0.1694223843850583</v>
      </c>
      <c r="BZ34" s="25">
        <f t="shared" si="41"/>
        <v>3.0471478093155282E-5</v>
      </c>
      <c r="CA34" s="25">
        <f t="shared" si="42"/>
        <v>3.9432364304134016E-7</v>
      </c>
      <c r="CB34" s="25">
        <f t="shared" si="43"/>
        <v>0.18007137657728409</v>
      </c>
      <c r="CC34" s="5" t="str">
        <f t="shared" si="44"/>
        <v>OK</v>
      </c>
      <c r="CD34" s="5">
        <f t="shared" si="45"/>
        <v>37.545238889226049</v>
      </c>
      <c r="CE34" s="5">
        <f t="shared" si="46"/>
        <v>37.181722419139881</v>
      </c>
      <c r="CF34" s="5">
        <f t="shared" si="47"/>
        <v>1.2506397644909562</v>
      </c>
      <c r="CG34" s="5">
        <f t="shared" si="48"/>
        <v>1.2385309547993069</v>
      </c>
      <c r="CH34" s="5">
        <f t="shared" si="49"/>
        <v>15.955958533023871</v>
      </c>
      <c r="CI34" s="68">
        <f>_xll.DCETCVN5575PhuLucD2Eta(BP34,CH34,CF34)</f>
        <v>1.2126272189349112</v>
      </c>
      <c r="CJ34" s="5">
        <f t="shared" si="50"/>
        <v>19.348629621341502</v>
      </c>
      <c r="CK34" s="5">
        <f>MIN(noisuy2chieu(CJ34,CF34,Data!$DA$2:$EB$24),1)</f>
        <v>7.4600368738174438E-2</v>
      </c>
      <c r="CL34" s="102">
        <f t="shared" si="51"/>
        <v>0.14233343038499069</v>
      </c>
      <c r="CM34" s="5" t="str">
        <f t="shared" si="52"/>
        <v>OK</v>
      </c>
      <c r="CN34" s="5">
        <f t="shared" si="53"/>
        <v>0.86643683692746631</v>
      </c>
      <c r="CO34" s="5">
        <f t="shared" si="54"/>
        <v>0.5370345235716667</v>
      </c>
      <c r="CP34" s="25">
        <f>_xll.DCETCVNPhuLucFHeSoOnDinh(1, 0.2, AG34, AH34, AI34, AJ34, AI34, AJ34, $D$28)</f>
        <v>1</v>
      </c>
      <c r="CQ34" s="68">
        <f t="shared" si="55"/>
        <v>0.9</v>
      </c>
      <c r="CR34" s="68">
        <f t="shared" si="56"/>
        <v>1</v>
      </c>
      <c r="CS34" s="5">
        <f t="shared" si="57"/>
        <v>0.18181818181818182</v>
      </c>
      <c r="CT34" s="5">
        <f t="shared" si="58"/>
        <v>0.10347287704587492</v>
      </c>
      <c r="CU34" s="26">
        <f t="shared" si="59"/>
        <v>7.9779792665119356</v>
      </c>
      <c r="CV34" s="5"/>
      <c r="CW34" s="25"/>
      <c r="CX34" s="72">
        <f>MAX(_xll.Dce_c_925(CU34, CQ34, CR34, CN34, CP34, CS34, CT34),0.3)</f>
        <v>0.3</v>
      </c>
      <c r="CY34" s="102">
        <f t="shared" si="60"/>
        <v>4.0849780533890531E-2</v>
      </c>
      <c r="CZ34" s="5" t="str">
        <f t="shared" si="61"/>
        <v>OK</v>
      </c>
      <c r="DA34" s="47">
        <f t="shared" si="62"/>
        <v>0.34499859601035404</v>
      </c>
      <c r="DB34" s="46">
        <f t="shared" si="63"/>
        <v>0.48385309547993066</v>
      </c>
      <c r="DC34" s="5" t="str">
        <f t="shared" si="64"/>
        <v>OK</v>
      </c>
      <c r="DD34" s="5">
        <f t="shared" si="65"/>
        <v>1.2506397644909562</v>
      </c>
      <c r="DE34" s="5">
        <f t="shared" si="66"/>
        <v>4.4677979100191463</v>
      </c>
      <c r="DF34" s="5" t="str">
        <f t="shared" si="67"/>
        <v>-</v>
      </c>
      <c r="DG34" s="5" t="str">
        <f t="shared" si="68"/>
        <v>-</v>
      </c>
      <c r="DH34" s="203">
        <f t="shared" si="69"/>
        <v>37.545238889226049</v>
      </c>
      <c r="DI34" s="203">
        <f t="shared" si="70"/>
        <v>180</v>
      </c>
      <c r="DJ34" s="46">
        <f t="shared" si="71"/>
        <v>0.20858466049570026</v>
      </c>
      <c r="DK34" s="5" t="str">
        <f t="shared" si="72"/>
        <v>OK</v>
      </c>
      <c r="EB34" s="18"/>
      <c r="EC34" s="77"/>
      <c r="ED34" s="77"/>
      <c r="EE34" s="18"/>
      <c r="EF34" s="18"/>
      <c r="EG34" s="18"/>
      <c r="EH34" s="5"/>
      <c r="EI34" s="5"/>
      <c r="EJ34" s="5"/>
      <c r="EK34" s="5"/>
      <c r="EL34" s="5"/>
      <c r="EN34" s="26"/>
      <c r="EO34" s="26"/>
      <c r="EP34" s="15"/>
      <c r="EQ34" s="5"/>
      <c r="ER34" s="26"/>
      <c r="ES34" s="26"/>
      <c r="ET34" s="26"/>
      <c r="EU34" s="26"/>
      <c r="EV34" s="95"/>
      <c r="EW34" s="95"/>
      <c r="EX34" s="95"/>
      <c r="EY34" s="54"/>
      <c r="EZ34" s="54"/>
      <c r="FA34" s="54"/>
      <c r="FB34" s="54"/>
      <c r="FC34" s="54"/>
      <c r="FD34" s="15"/>
      <c r="FE34" s="26"/>
      <c r="FF34" s="26"/>
      <c r="FG34" s="26"/>
      <c r="FH34" s="26"/>
      <c r="FI34" s="26"/>
      <c r="FJ34" s="26"/>
      <c r="FK34" s="26"/>
      <c r="FL34" s="26"/>
      <c r="FM34" s="26"/>
      <c r="FN34" s="5"/>
      <c r="FO34" s="54"/>
      <c r="FP34" s="5"/>
      <c r="FQ34" s="5"/>
      <c r="FR34" s="5"/>
      <c r="FS34" s="54"/>
      <c r="FT34" s="54"/>
      <c r="FU34" s="54"/>
      <c r="FV34" s="54"/>
      <c r="FW34" s="54"/>
      <c r="FX34" s="54"/>
      <c r="FY34" s="54"/>
      <c r="FZ34" s="54"/>
      <c r="GA34" s="54"/>
      <c r="GB34" s="54"/>
      <c r="GC34" s="5"/>
      <c r="GD34" s="5"/>
      <c r="GE34" s="5"/>
      <c r="GF34" s="5"/>
      <c r="GG34" s="5"/>
      <c r="GH34" s="5"/>
      <c r="GI34" s="68"/>
      <c r="GJ34" s="5"/>
      <c r="GK34" s="5"/>
      <c r="GL34" s="54"/>
      <c r="GM34" s="5"/>
      <c r="GN34" s="5"/>
      <c r="GO34" s="5"/>
      <c r="GP34" s="68"/>
      <c r="GQ34" s="68"/>
      <c r="GR34" s="68"/>
      <c r="GS34" s="5"/>
      <c r="GT34" s="5"/>
      <c r="GU34" s="68"/>
      <c r="GV34" s="5"/>
      <c r="GW34" s="54"/>
      <c r="GX34" s="68"/>
      <c r="GY34" s="54"/>
      <c r="GZ34" s="5"/>
      <c r="HA34" s="77"/>
      <c r="HB34" s="54"/>
      <c r="HC34" s="5"/>
      <c r="HD34" s="5"/>
      <c r="HE34" s="5"/>
      <c r="HF34" s="5"/>
      <c r="HG34" s="5"/>
      <c r="HH34" s="205"/>
      <c r="HI34" s="26"/>
      <c r="HJ34" s="26"/>
      <c r="HK34" s="5"/>
    </row>
    <row r="35" spans="2:219">
      <c r="B35" s="69" t="s">
        <v>116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10"/>
      <c r="AA35" s="18" t="s">
        <v>488</v>
      </c>
      <c r="AB35" s="22" t="s">
        <v>489</v>
      </c>
      <c r="AC35" s="59">
        <v>0</v>
      </c>
      <c r="AD35" s="59">
        <v>8.6549999999999994</v>
      </c>
      <c r="AE35" s="22">
        <v>528</v>
      </c>
      <c r="AF35" s="22">
        <v>1528</v>
      </c>
      <c r="AG35" s="22">
        <v>528</v>
      </c>
      <c r="AH35" s="6">
        <v>10</v>
      </c>
      <c r="AI35" s="6">
        <v>300</v>
      </c>
      <c r="AJ35" s="6">
        <v>14</v>
      </c>
      <c r="AK35" s="24">
        <v>300</v>
      </c>
      <c r="AL35" s="24">
        <v>14</v>
      </c>
      <c r="AM35" s="5">
        <f t="shared" si="17"/>
        <v>500</v>
      </c>
      <c r="AN35" s="26">
        <f t="shared" si="18"/>
        <v>134</v>
      </c>
      <c r="AO35" s="26">
        <f t="shared" si="19"/>
        <v>65911.546666666676</v>
      </c>
      <c r="AP35" s="15">
        <f t="shared" si="20"/>
        <v>6304.166666666667</v>
      </c>
      <c r="AQ35" s="5">
        <f t="shared" si="21"/>
        <v>2496.6494949494954</v>
      </c>
      <c r="AR35" s="26">
        <f t="shared" si="22"/>
        <v>420.27777777777777</v>
      </c>
      <c r="AS35" s="26">
        <f t="shared" si="23"/>
        <v>1391.9</v>
      </c>
      <c r="AT35" s="26">
        <f t="shared" si="24"/>
        <v>22.178305028345793</v>
      </c>
      <c r="AU35" s="26">
        <f t="shared" si="25"/>
        <v>6.8590101254115021</v>
      </c>
      <c r="AV35" s="95">
        <f t="shared" si="26"/>
        <v>7.201333333333334E-7</v>
      </c>
      <c r="AW35" s="95">
        <f t="shared" si="27"/>
        <v>4161087</v>
      </c>
      <c r="AX35" s="95">
        <f t="shared" si="28"/>
        <v>4.1610870000000001E-6</v>
      </c>
      <c r="AY35" s="54">
        <f t="shared" si="29"/>
        <v>0.25762202780669918</v>
      </c>
      <c r="AZ35" s="54" t="str">
        <f>_xll.Dce_Name_SectI(AE35,AF35,AI35,AH35,AJ35,"x","-",$O$11)</f>
        <v>(528-1528)x300x10x14</v>
      </c>
      <c r="BA35" s="15">
        <f t="shared" si="30"/>
        <v>385.5</v>
      </c>
      <c r="BB35" s="54"/>
      <c r="BC35" s="54"/>
      <c r="BD35" s="22" t="s">
        <v>498</v>
      </c>
      <c r="BE35" s="23">
        <v>48.06642643877629</v>
      </c>
      <c r="BF35" s="23">
        <v>43.237667180093894</v>
      </c>
      <c r="BG35" s="23">
        <v>1.1418149175000363E-3</v>
      </c>
      <c r="BH35" s="23">
        <v>-1.5947851375520181E-5</v>
      </c>
      <c r="BI35" s="23">
        <v>-1.095140379153703E-6</v>
      </c>
      <c r="BJ35" s="23">
        <v>0.62987871222418335</v>
      </c>
      <c r="BK35" s="23">
        <v>-232.43529928497958</v>
      </c>
      <c r="BL35" s="92">
        <v>2.25</v>
      </c>
      <c r="BM35" s="93">
        <v>2</v>
      </c>
      <c r="BN35" s="5">
        <f t="shared" si="31"/>
        <v>19.473749999999999</v>
      </c>
      <c r="BO35" s="54">
        <f>_xll.Bimoment(BH35,AY35,AC35,AD35,$O$101)</f>
        <v>0</v>
      </c>
      <c r="BP35" s="5">
        <f t="shared" si="32"/>
        <v>0.84</v>
      </c>
      <c r="BQ35" s="5">
        <f t="shared" si="33"/>
        <v>0.10668340537000361</v>
      </c>
      <c r="BR35" s="24" t="str">
        <f t="shared" si="34"/>
        <v>Cal</v>
      </c>
      <c r="BS35" s="25">
        <f t="shared" si="35"/>
        <v>1.5693329527585544E-2</v>
      </c>
      <c r="BT35" s="25" t="str">
        <f t="shared" si="36"/>
        <v>CT.105</v>
      </c>
      <c r="BU35" s="25">
        <f t="shared" si="37"/>
        <v>1</v>
      </c>
      <c r="BV35" s="25" cm="1">
        <f t="array" ref="BV35">IF(BT35="CT.104",_xll.TCVN5575AnnexEHeSoCx(1,BP35),1)</f>
        <v>1</v>
      </c>
      <c r="BW35" s="25">
        <f t="shared" si="38"/>
        <v>1</v>
      </c>
      <c r="BX35" s="25">
        <f t="shared" si="39"/>
        <v>1.651929423956373E-2</v>
      </c>
      <c r="BY35" s="25">
        <f t="shared" si="40"/>
        <v>1.1618600180827111E-3</v>
      </c>
      <c r="BZ35" s="25">
        <f t="shared" si="41"/>
        <v>1.2000181564455993E-8</v>
      </c>
      <c r="CA35" s="25">
        <f t="shared" si="42"/>
        <v>0</v>
      </c>
      <c r="CB35" s="25">
        <f t="shared" si="43"/>
        <v>1.7681166257828004E-2</v>
      </c>
      <c r="CC35" s="5" t="str">
        <f t="shared" si="44"/>
        <v>OK</v>
      </c>
      <c r="CD35" s="5">
        <f t="shared" si="45"/>
        <v>87.805402509844015</v>
      </c>
      <c r="CE35" s="5">
        <f t="shared" si="46"/>
        <v>29.158726455153193</v>
      </c>
      <c r="CF35" s="5">
        <f t="shared" si="47"/>
        <v>2.9248163326364334</v>
      </c>
      <c r="CG35" s="5">
        <f t="shared" si="48"/>
        <v>0.97128328026682387</v>
      </c>
      <c r="CH35" s="5">
        <f t="shared" si="49"/>
        <v>7.0333514327752283E-2</v>
      </c>
      <c r="CI35" s="68">
        <f>_xll.DCETCVN5575PhuLucD2Eta(BP35,CH35,CF35)</f>
        <v>1.5168217654084766</v>
      </c>
      <c r="CJ35" s="5">
        <f t="shared" si="50"/>
        <v>0.10668340537000361</v>
      </c>
      <c r="CK35" s="5">
        <f>MIN(noisuy2chieu(CJ35,CF35,Data!$DA$2:$EB$24),1)</f>
        <v>0.67515861988067627</v>
      </c>
      <c r="CL35" s="102" t="str">
        <f t="shared" si="51"/>
        <v>-</v>
      </c>
      <c r="CM35" s="5" t="str">
        <f t="shared" si="52"/>
        <v>OK</v>
      </c>
      <c r="CN35" s="5">
        <f t="shared" si="53"/>
        <v>0.90492218941026858</v>
      </c>
      <c r="CO35" s="5">
        <f t="shared" si="54"/>
        <v>0.5370345235716667</v>
      </c>
      <c r="CP35" s="25">
        <f>_xll.DCETCVNPhuLucFHeSoOnDinh(1, 0.2, AG35, AH35, AI35, AJ35, AI35, AJ35, $D$28)</f>
        <v>1</v>
      </c>
      <c r="CQ35" s="68">
        <f t="shared" si="55"/>
        <v>0.9</v>
      </c>
      <c r="CR35" s="68">
        <f t="shared" si="56"/>
        <v>1</v>
      </c>
      <c r="CS35" s="5">
        <f t="shared" si="57"/>
        <v>0.18181818181818182</v>
      </c>
      <c r="CT35" s="5">
        <f t="shared" si="58"/>
        <v>9.9510191986788829E-2</v>
      </c>
      <c r="CU35" s="26">
        <f t="shared" si="59"/>
        <v>25.954189489606065</v>
      </c>
      <c r="CV35" s="5"/>
      <c r="CW35" s="25"/>
      <c r="CX35" s="72">
        <f>MAX(_xll.Dce_c_925(CU35, CQ35, CR35, CN35, CP35, CS35, CT35),0.3)</f>
        <v>0.3</v>
      </c>
      <c r="CY35" s="102" t="str">
        <f t="shared" si="60"/>
        <v>-</v>
      </c>
      <c r="CZ35" s="5" t="str">
        <f t="shared" si="61"/>
        <v>OK</v>
      </c>
      <c r="DA35" s="47">
        <f t="shared" si="62"/>
        <v>0.34499859601035404</v>
      </c>
      <c r="DB35" s="46">
        <f t="shared" si="63"/>
        <v>15.049742020254021</v>
      </c>
      <c r="DC35" s="5" t="str">
        <f t="shared" si="64"/>
        <v>OK</v>
      </c>
      <c r="DD35" s="5">
        <f t="shared" si="65"/>
        <v>2.9248163326364334</v>
      </c>
      <c r="DE35" s="5">
        <f t="shared" si="66"/>
        <v>1.6655104634982609</v>
      </c>
      <c r="DF35" s="5">
        <f t="shared" si="67"/>
        <v>3.2</v>
      </c>
      <c r="DG35" s="5" t="str">
        <f t="shared" si="68"/>
        <v>OK</v>
      </c>
      <c r="DH35" s="203" t="str">
        <f t="shared" si="69"/>
        <v>-</v>
      </c>
      <c r="DI35" s="203" t="str">
        <f t="shared" si="70"/>
        <v>-</v>
      </c>
      <c r="DJ35" s="46">
        <f t="shared" si="71"/>
        <v>0</v>
      </c>
      <c r="DK35" s="5" t="str">
        <f t="shared" si="72"/>
        <v>OK</v>
      </c>
      <c r="EB35" s="18"/>
      <c r="EC35" s="77"/>
      <c r="ED35" s="77"/>
      <c r="EE35" s="18"/>
      <c r="EF35" s="18"/>
      <c r="EG35" s="18"/>
      <c r="EH35" s="5"/>
      <c r="EI35" s="5"/>
      <c r="EJ35" s="5"/>
      <c r="EK35" s="5"/>
      <c r="EL35" s="5"/>
      <c r="EN35" s="26"/>
      <c r="EO35" s="26"/>
      <c r="EP35" s="15"/>
      <c r="EQ35" s="5"/>
      <c r="ER35" s="26"/>
      <c r="ES35" s="26"/>
      <c r="ET35" s="26"/>
      <c r="EU35" s="26"/>
      <c r="EV35" s="95"/>
      <c r="EW35" s="95"/>
      <c r="EX35" s="95"/>
      <c r="EY35" s="54"/>
      <c r="EZ35" s="54"/>
      <c r="FA35" s="54"/>
      <c r="FB35" s="54"/>
      <c r="FC35" s="54"/>
      <c r="FD35" s="15"/>
      <c r="FE35" s="26"/>
      <c r="FF35" s="26"/>
      <c r="FG35" s="26"/>
      <c r="FH35" s="26"/>
      <c r="FI35" s="26"/>
      <c r="FJ35" s="26"/>
      <c r="FK35" s="26"/>
      <c r="FL35" s="26"/>
      <c r="FM35" s="26"/>
      <c r="FN35" s="5"/>
      <c r="FO35" s="54"/>
      <c r="FP35" s="5"/>
      <c r="FQ35" s="5"/>
      <c r="FR35" s="5"/>
      <c r="FS35" s="54"/>
      <c r="FT35" s="54"/>
      <c r="FU35" s="54"/>
      <c r="FV35" s="54"/>
      <c r="FW35" s="54"/>
      <c r="FX35" s="54"/>
      <c r="FY35" s="54"/>
      <c r="FZ35" s="54"/>
      <c r="GA35" s="54"/>
      <c r="GB35" s="54"/>
      <c r="GC35" s="5"/>
      <c r="GD35" s="5"/>
      <c r="GE35" s="5"/>
      <c r="GF35" s="5"/>
      <c r="GG35" s="5"/>
      <c r="GH35" s="5"/>
      <c r="GI35" s="68"/>
      <c r="GJ35" s="5"/>
      <c r="GK35" s="5"/>
      <c r="GL35" s="54"/>
      <c r="GM35" s="5"/>
      <c r="GN35" s="5"/>
      <c r="GO35" s="5"/>
      <c r="GP35" s="68"/>
      <c r="GQ35" s="68"/>
      <c r="GR35" s="68"/>
      <c r="GS35" s="5"/>
      <c r="GT35" s="5"/>
      <c r="GU35" s="68"/>
      <c r="GV35" s="5"/>
      <c r="GW35" s="54"/>
      <c r="GX35" s="68"/>
      <c r="GY35" s="54"/>
      <c r="GZ35" s="5"/>
      <c r="HA35" s="77"/>
      <c r="HB35" s="54"/>
      <c r="HC35" s="5"/>
      <c r="HD35" s="5"/>
      <c r="HE35" s="5"/>
      <c r="HF35" s="5"/>
      <c r="HG35" s="5"/>
      <c r="HH35" s="205"/>
      <c r="HI35" s="26"/>
      <c r="HJ35" s="26"/>
      <c r="HK35" s="5"/>
    </row>
    <row r="36" spans="2:219" ht="15">
      <c r="B36" s="11"/>
      <c r="C36" s="256" t="s">
        <v>119</v>
      </c>
      <c r="D36" s="257">
        <f>ABS(H32)/(G28*D28)*10</f>
        <v>5.727314394102169E-2</v>
      </c>
      <c r="E36" s="82" t="str">
        <f>IF(D36&gt;0.1,"&gt; 0.1","≤ 0.1")</f>
        <v>≤ 0.1</v>
      </c>
      <c r="F36" s="258" t="s">
        <v>260</v>
      </c>
      <c r="G36" s="259">
        <f>ABS(I32)*L28/(H28*F17)*100</f>
        <v>25.862114423374056</v>
      </c>
      <c r="H36" s="32" t="str">
        <f>IF(G36&lt;J36,"&lt;","&gt;")</f>
        <v>&lt;</v>
      </c>
      <c r="I36" s="2" t="s">
        <v>261</v>
      </c>
      <c r="J36" s="260">
        <f>0.5*(0.58*$D$28/$E$28)</f>
        <v>63.129251700680264</v>
      </c>
      <c r="K36" s="2" t="s">
        <v>47</v>
      </c>
      <c r="L36" s="252" t="s">
        <v>189</v>
      </c>
      <c r="M36" s="257">
        <f>L58</f>
        <v>23.631246922725634</v>
      </c>
      <c r="N36" s="177" t="str">
        <f>IF(M36&lt;20,"&lt; 20","&gt; 20")</f>
        <v>&gt; 20</v>
      </c>
      <c r="AA36" s="18" t="s">
        <v>488</v>
      </c>
      <c r="AB36" s="22" t="s">
        <v>489</v>
      </c>
      <c r="AC36" s="59">
        <v>3.6405952380952398</v>
      </c>
      <c r="AD36" s="59">
        <v>8.6549999999999994</v>
      </c>
      <c r="AE36" s="22">
        <v>528</v>
      </c>
      <c r="AF36" s="22">
        <v>1528</v>
      </c>
      <c r="AG36" s="22">
        <v>948.63492063492095</v>
      </c>
      <c r="AH36" s="6">
        <v>10</v>
      </c>
      <c r="AI36" s="6">
        <v>300</v>
      </c>
      <c r="AJ36" s="6">
        <v>14</v>
      </c>
      <c r="AK36" s="24">
        <v>300</v>
      </c>
      <c r="AL36" s="24">
        <v>14</v>
      </c>
      <c r="AM36" s="5">
        <f t="shared" si="17"/>
        <v>920.63492063492095</v>
      </c>
      <c r="AN36" s="26">
        <f t="shared" si="18"/>
        <v>176.06349206349208</v>
      </c>
      <c r="AO36" s="26">
        <f t="shared" si="19"/>
        <v>248482.7399356656</v>
      </c>
      <c r="AP36" s="15">
        <f t="shared" si="20"/>
        <v>6307.6719576719579</v>
      </c>
      <c r="AQ36" s="5">
        <f t="shared" si="21"/>
        <v>5238.7432621467533</v>
      </c>
      <c r="AR36" s="26">
        <f t="shared" si="22"/>
        <v>420.51146384479722</v>
      </c>
      <c r="AS36" s="26">
        <f t="shared" si="23"/>
        <v>3022.1941546989178</v>
      </c>
      <c r="AT36" s="26">
        <f t="shared" si="24"/>
        <v>37.567600585756203</v>
      </c>
      <c r="AU36" s="26">
        <f t="shared" si="25"/>
        <v>5.9854925384629922</v>
      </c>
      <c r="AV36" s="95">
        <f t="shared" si="26"/>
        <v>8.6034497354497351E-7</v>
      </c>
      <c r="AW36" s="95">
        <f t="shared" si="27"/>
        <v>13758293.349206358</v>
      </c>
      <c r="AX36" s="95">
        <f t="shared" si="28"/>
        <v>1.3758293349206359E-5</v>
      </c>
      <c r="AY36" s="54">
        <f t="shared" si="29"/>
        <v>0.1548581140202015</v>
      </c>
      <c r="AZ36" s="54" t="str">
        <f>_xll.Dce_Name_SectI(AE36,AF36,AI36,AH36,AJ36,"x","-",$O$11)</f>
        <v>(528-1528)x300x10x14</v>
      </c>
      <c r="BA36" s="15">
        <f t="shared" si="30"/>
        <v>700.97619047619071</v>
      </c>
      <c r="BB36" s="54"/>
      <c r="BC36" s="54"/>
      <c r="BD36" s="22" t="s">
        <v>498</v>
      </c>
      <c r="BE36" s="23">
        <v>54.403279625342094</v>
      </c>
      <c r="BF36" s="23">
        <v>63.799353367811392</v>
      </c>
      <c r="BG36" s="23">
        <v>1.1418149175012986E-3</v>
      </c>
      <c r="BH36" s="23">
        <v>-1.5947851375520181E-5</v>
      </c>
      <c r="BI36" s="23">
        <v>-4.1677706310893972E-3</v>
      </c>
      <c r="BJ36" s="23">
        <v>-194.70039362323394</v>
      </c>
      <c r="BK36" s="23">
        <v>-232.43529928497958</v>
      </c>
      <c r="BL36" s="92">
        <v>2.25</v>
      </c>
      <c r="BM36" s="93">
        <v>2</v>
      </c>
      <c r="BN36" s="5">
        <f t="shared" si="31"/>
        <v>19.473749999999999</v>
      </c>
      <c r="BO36" s="54">
        <f>_xll.Bimoment(BH36,AY36,AC36,AD36,$O$101)</f>
        <v>1.2264960935654508E-4</v>
      </c>
      <c r="BP36" s="5">
        <f t="shared" si="32"/>
        <v>0.45620689655172403</v>
      </c>
      <c r="BQ36" s="5">
        <f t="shared" si="33"/>
        <v>14.929325592441248</v>
      </c>
      <c r="BR36" s="24" t="str">
        <f t="shared" si="34"/>
        <v>Cal</v>
      </c>
      <c r="BS36" s="25">
        <f t="shared" si="35"/>
        <v>1.3518665656991448E-2</v>
      </c>
      <c r="BT36" s="25" t="str">
        <f t="shared" si="36"/>
        <v>CT.105</v>
      </c>
      <c r="BU36" s="25">
        <f t="shared" si="37"/>
        <v>1</v>
      </c>
      <c r="BV36" s="25" cm="1">
        <f t="array" ref="BV36">IF(BT36="CT.104",_xll.TCVN5575AnnexEHeSoCx(1,BP36),1)</f>
        <v>1</v>
      </c>
      <c r="BW36" s="25">
        <f t="shared" si="38"/>
        <v>1</v>
      </c>
      <c r="BX36" s="25">
        <f t="shared" si="39"/>
        <v>1.4230174375780471E-2</v>
      </c>
      <c r="BY36" s="25">
        <f t="shared" si="40"/>
        <v>0.17115680320880078</v>
      </c>
      <c r="BZ36" s="25">
        <f t="shared" si="41"/>
        <v>4.5643655852853807E-5</v>
      </c>
      <c r="CA36" s="25">
        <f t="shared" si="42"/>
        <v>2.8777914844937933E-6</v>
      </c>
      <c r="CB36" s="25">
        <f t="shared" si="43"/>
        <v>0.18543549903191861</v>
      </c>
      <c r="CC36" s="5" t="str">
        <f t="shared" si="44"/>
        <v>OK</v>
      </c>
      <c r="CD36" s="5">
        <f t="shared" si="45"/>
        <v>51.836555160202302</v>
      </c>
      <c r="CE36" s="5">
        <f t="shared" si="46"/>
        <v>33.414125690541383</v>
      </c>
      <c r="CF36" s="5">
        <f t="shared" si="47"/>
        <v>1.7266865002204341</v>
      </c>
      <c r="CG36" s="5">
        <f t="shared" si="48"/>
        <v>1.1130315193248546</v>
      </c>
      <c r="CH36" s="5">
        <f t="shared" si="49"/>
        <v>12.027737586976226</v>
      </c>
      <c r="CI36" s="68">
        <f>_xll.DCETCVN5575PhuLucD2Eta(BP36,CH36,CF36)</f>
        <v>1.2412413793103447</v>
      </c>
      <c r="CJ36" s="5">
        <f t="shared" si="50"/>
        <v>14.929325592441248</v>
      </c>
      <c r="CK36" s="5">
        <f>MIN(noisuy2chieu(CJ36,CF36,Data!$DA$2:$EB$24),1)</f>
        <v>9.1747842729091644E-2</v>
      </c>
      <c r="CL36" s="102" t="str">
        <f t="shared" si="51"/>
        <v>-</v>
      </c>
      <c r="CM36" s="5" t="str">
        <f t="shared" si="52"/>
        <v>OK</v>
      </c>
      <c r="CN36" s="5">
        <f t="shared" si="53"/>
        <v>0.88472625978979058</v>
      </c>
      <c r="CO36" s="5">
        <f t="shared" si="54"/>
        <v>0.5370345235716667</v>
      </c>
      <c r="CP36" s="25">
        <f>_xll.DCETCVNPhuLucFHeSoOnDinh(1, 0.2, AG36, AH36, AI36, AJ36, AI36, AJ36, $D$28)</f>
        <v>1</v>
      </c>
      <c r="CQ36" s="68">
        <f t="shared" si="55"/>
        <v>0.9</v>
      </c>
      <c r="CR36" s="68">
        <f t="shared" si="56"/>
        <v>1</v>
      </c>
      <c r="CS36" s="5">
        <f t="shared" si="57"/>
        <v>0.18181818181818182</v>
      </c>
      <c r="CT36" s="5">
        <f t="shared" si="58"/>
        <v>0.10155106457844131</v>
      </c>
      <c r="CU36" s="26">
        <f t="shared" si="59"/>
        <v>14.358834790852756</v>
      </c>
      <c r="CV36" s="5"/>
      <c r="CW36" s="25"/>
      <c r="CX36" s="72">
        <f>MAX(_xll.Dce_c_925(CU36, CQ36, CR36, CN36, CP36, CS36, CT36),0.3)</f>
        <v>0.3</v>
      </c>
      <c r="CY36" s="102" t="str">
        <f t="shared" si="60"/>
        <v>-</v>
      </c>
      <c r="CZ36" s="5" t="str">
        <f t="shared" si="61"/>
        <v>OK</v>
      </c>
      <c r="DA36" s="47">
        <f t="shared" si="62"/>
        <v>0.34499859601035404</v>
      </c>
      <c r="DB36" s="46">
        <f t="shared" si="63"/>
        <v>1.2398045275342087</v>
      </c>
      <c r="DC36" s="5" t="str">
        <f t="shared" si="64"/>
        <v>OK</v>
      </c>
      <c r="DD36" s="5">
        <f t="shared" si="65"/>
        <v>1.7266865002204341</v>
      </c>
      <c r="DE36" s="5">
        <f t="shared" si="66"/>
        <v>3.0666541867587034</v>
      </c>
      <c r="DF36" s="5">
        <f t="shared" si="67"/>
        <v>3.2</v>
      </c>
      <c r="DG36" s="5" t="str">
        <f t="shared" si="68"/>
        <v>OK</v>
      </c>
      <c r="DH36" s="203">
        <f t="shared" si="69"/>
        <v>51.836555160202302</v>
      </c>
      <c r="DI36" s="203" t="str">
        <f t="shared" si="70"/>
        <v>-</v>
      </c>
      <c r="DJ36" s="46">
        <f t="shared" si="71"/>
        <v>0</v>
      </c>
      <c r="DK36" s="5" t="str">
        <f t="shared" si="72"/>
        <v>OK</v>
      </c>
      <c r="EB36" s="18"/>
      <c r="EC36" s="77"/>
      <c r="ED36" s="77"/>
      <c r="EE36" s="18"/>
      <c r="EF36" s="18"/>
      <c r="EG36" s="18"/>
      <c r="EH36" s="5"/>
      <c r="EI36" s="5"/>
      <c r="EJ36" s="5"/>
      <c r="EK36" s="5"/>
      <c r="EL36" s="5"/>
      <c r="EN36" s="26"/>
      <c r="EO36" s="26"/>
      <c r="EP36" s="15"/>
      <c r="EQ36" s="5"/>
      <c r="ER36" s="26"/>
      <c r="ES36" s="26"/>
      <c r="ET36" s="26"/>
      <c r="EU36" s="26"/>
      <c r="EV36" s="95"/>
      <c r="EW36" s="95"/>
      <c r="EX36" s="95"/>
      <c r="EY36" s="54"/>
      <c r="EZ36" s="54"/>
      <c r="FA36" s="54"/>
      <c r="FB36" s="54"/>
      <c r="FC36" s="54"/>
      <c r="FD36" s="15"/>
      <c r="FE36" s="26"/>
      <c r="FF36" s="26"/>
      <c r="FG36" s="26"/>
      <c r="FH36" s="26"/>
      <c r="FI36" s="26"/>
      <c r="FJ36" s="26"/>
      <c r="FK36" s="26"/>
      <c r="FL36" s="26"/>
      <c r="FM36" s="26"/>
      <c r="FN36" s="5"/>
      <c r="FO36" s="54"/>
      <c r="FP36" s="5"/>
      <c r="FQ36" s="5"/>
      <c r="FR36" s="5"/>
      <c r="FS36" s="54"/>
      <c r="FT36" s="54"/>
      <c r="FU36" s="54"/>
      <c r="FV36" s="54"/>
      <c r="FW36" s="54"/>
      <c r="FX36" s="54"/>
      <c r="FY36" s="54"/>
      <c r="FZ36" s="54"/>
      <c r="GA36" s="54"/>
      <c r="GB36" s="54"/>
      <c r="GC36" s="5"/>
      <c r="GD36" s="5"/>
      <c r="GE36" s="5"/>
      <c r="GF36" s="5"/>
      <c r="GG36" s="5"/>
      <c r="GH36" s="5"/>
      <c r="GI36" s="68"/>
      <c r="GJ36" s="5"/>
      <c r="GK36" s="5"/>
      <c r="GL36" s="54"/>
      <c r="GM36" s="5"/>
      <c r="GN36" s="5"/>
      <c r="GO36" s="5"/>
      <c r="GP36" s="68"/>
      <c r="GQ36" s="68"/>
      <c r="GR36" s="68"/>
      <c r="GS36" s="5"/>
      <c r="GT36" s="5"/>
      <c r="GU36" s="68"/>
      <c r="GV36" s="5"/>
      <c r="GW36" s="54"/>
      <c r="GX36" s="68"/>
      <c r="GY36" s="54"/>
      <c r="GZ36" s="5"/>
      <c r="HA36" s="77"/>
      <c r="HB36" s="54"/>
      <c r="HC36" s="5"/>
      <c r="HD36" s="5"/>
      <c r="HE36" s="5"/>
      <c r="HF36" s="5"/>
      <c r="HG36" s="5"/>
      <c r="HH36" s="205"/>
      <c r="HI36" s="26"/>
      <c r="HJ36" s="26"/>
      <c r="HK36" s="5"/>
    </row>
    <row r="37" spans="2:219">
      <c r="B37" s="172" t="s">
        <v>426</v>
      </c>
      <c r="C37" s="2"/>
      <c r="D37" s="2"/>
      <c r="E37" s="2"/>
      <c r="F37" s="2"/>
      <c r="G37" s="2"/>
      <c r="H37" s="261" t="str">
        <f>"("&amp;IF(AND(G36&lt;=J36,D36&gt;0.1),104,105)&amp;")"</f>
        <v>(105)</v>
      </c>
      <c r="I37" s="2"/>
      <c r="J37" s="2"/>
      <c r="K37" s="2"/>
      <c r="L37" s="2"/>
      <c r="M37" s="2"/>
      <c r="N37" s="10"/>
      <c r="AA37" s="18" t="s">
        <v>488</v>
      </c>
      <c r="AB37" s="22" t="s">
        <v>489</v>
      </c>
      <c r="AC37" s="59">
        <v>7.2811904761904795</v>
      </c>
      <c r="AD37" s="59">
        <v>8.6549999999999994</v>
      </c>
      <c r="AE37" s="22">
        <v>528</v>
      </c>
      <c r="AF37" s="22">
        <v>1528</v>
      </c>
      <c r="AG37" s="22">
        <v>1369.2698412698419</v>
      </c>
      <c r="AH37" s="6">
        <v>10</v>
      </c>
      <c r="AI37" s="6">
        <v>300</v>
      </c>
      <c r="AJ37" s="6">
        <v>14</v>
      </c>
      <c r="AK37" s="24">
        <v>300</v>
      </c>
      <c r="AL37" s="24">
        <v>14</v>
      </c>
      <c r="AM37" s="5">
        <f t="shared" si="17"/>
        <v>1341.2698412698419</v>
      </c>
      <c r="AN37" s="26">
        <f t="shared" si="18"/>
        <v>218.12698412698418</v>
      </c>
      <c r="AO37" s="26">
        <f t="shared" si="19"/>
        <v>586811.79072745051</v>
      </c>
      <c r="AP37" s="15">
        <f t="shared" si="20"/>
        <v>6311.1772486772488</v>
      </c>
      <c r="AQ37" s="5">
        <f t="shared" si="21"/>
        <v>8571.1635945074104</v>
      </c>
      <c r="AR37" s="26">
        <f t="shared" si="22"/>
        <v>420.74514991181661</v>
      </c>
      <c r="AS37" s="26">
        <f t="shared" si="23"/>
        <v>5094.8226505417015</v>
      </c>
      <c r="AT37" s="26">
        <f t="shared" si="24"/>
        <v>51.867428670398397</v>
      </c>
      <c r="AU37" s="26">
        <f t="shared" si="25"/>
        <v>5.3789869588463937</v>
      </c>
      <c r="AV37" s="95">
        <f t="shared" si="26"/>
        <v>1.0005566137566139E-6</v>
      </c>
      <c r="AW37" s="95">
        <f t="shared" si="27"/>
        <v>28928912.396825422</v>
      </c>
      <c r="AX37" s="95">
        <f t="shared" si="28"/>
        <v>2.8928912396825422E-5</v>
      </c>
      <c r="AY37" s="54">
        <f t="shared" si="29"/>
        <v>0.11516876660535029</v>
      </c>
      <c r="AZ37" s="54" t="str">
        <f>_xll.Dce_Name_SectI(AE37,AF37,AI37,AH37,AJ37,"x","-",$O$11)</f>
        <v>(528-1528)x300x10x14</v>
      </c>
      <c r="BA37" s="15">
        <f t="shared" si="30"/>
        <v>1016.4523809523813</v>
      </c>
      <c r="BB37" s="54"/>
      <c r="BC37" s="54"/>
      <c r="BD37" s="22" t="s">
        <v>498</v>
      </c>
      <c r="BE37" s="23">
        <v>62.281568562400338</v>
      </c>
      <c r="BF37" s="23">
        <v>84.25518902493684</v>
      </c>
      <c r="BG37" s="23">
        <v>1.1418149175025541E-3</v>
      </c>
      <c r="BH37" s="23">
        <v>-1.5947851375520181E-5</v>
      </c>
      <c r="BI37" s="23">
        <v>-8.3344461218042339E-3</v>
      </c>
      <c r="BJ37" s="23">
        <v>-464.87059856995916</v>
      </c>
      <c r="BK37" s="23">
        <v>-232.43529928497958</v>
      </c>
      <c r="BL37" s="92">
        <v>2.25</v>
      </c>
      <c r="BM37" s="93">
        <v>2</v>
      </c>
      <c r="BN37" s="5">
        <f t="shared" si="31"/>
        <v>19.473749999999999</v>
      </c>
      <c r="BO37" s="54">
        <f>_xll.Bimoment(BH37,AY37,AC37,AD37,$O$101)</f>
        <v>7.295616386293426E-5</v>
      </c>
      <c r="BP37" s="5">
        <f t="shared" si="32"/>
        <v>0.31313609467455605</v>
      </c>
      <c r="BQ37" s="5">
        <f t="shared" si="33"/>
        <v>23.034005189931328</v>
      </c>
      <c r="BR37" s="24" t="str">
        <f t="shared" si="34"/>
        <v>Cal</v>
      </c>
      <c r="BS37" s="25">
        <f t="shared" si="35"/>
        <v>1.2491891525987186E-2</v>
      </c>
      <c r="BT37" s="25" t="str">
        <f t="shared" si="36"/>
        <v>CT.105</v>
      </c>
      <c r="BU37" s="25">
        <f t="shared" si="37"/>
        <v>1</v>
      </c>
      <c r="BV37" s="25" cm="1">
        <f t="array" ref="BV37">IF(BT37="CT.104",_xll.TCVN5575AnnexEHeSoCx(1,BP37),1)</f>
        <v>1</v>
      </c>
      <c r="BW37" s="25">
        <f t="shared" si="38"/>
        <v>1</v>
      </c>
      <c r="BX37" s="25">
        <f t="shared" si="39"/>
        <v>1.3149359501039144E-2</v>
      </c>
      <c r="BY37" s="25">
        <f t="shared" si="40"/>
        <v>0.24977372292305933</v>
      </c>
      <c r="BZ37" s="25">
        <f t="shared" si="41"/>
        <v>9.1224622967723366E-5</v>
      </c>
      <c r="CA37" s="25">
        <f t="shared" si="42"/>
        <v>1.1805146292402465E-6</v>
      </c>
      <c r="CB37" s="25">
        <f t="shared" si="43"/>
        <v>0.2630154875616954</v>
      </c>
      <c r="CC37" s="5" t="str">
        <f t="shared" si="44"/>
        <v>OK</v>
      </c>
      <c r="CD37" s="5">
        <f t="shared" si="45"/>
        <v>37.545238889226049</v>
      </c>
      <c r="CE37" s="5">
        <f t="shared" si="46"/>
        <v>37.181722419139881</v>
      </c>
      <c r="CF37" s="5">
        <f t="shared" si="47"/>
        <v>1.2506397644909562</v>
      </c>
      <c r="CG37" s="5">
        <f t="shared" si="48"/>
        <v>1.2385309547993069</v>
      </c>
      <c r="CH37" s="5">
        <f t="shared" si="49"/>
        <v>18.995124660126649</v>
      </c>
      <c r="CI37" s="68">
        <f>_xll.DCETCVN5575PhuLucD2Eta(BP37,CH37,CF37)</f>
        <v>1.2126272189349112</v>
      </c>
      <c r="CJ37" s="5">
        <f t="shared" si="50"/>
        <v>23.034005189931328</v>
      </c>
      <c r="CK37" s="5">
        <f>MIN(noisuy2chieu(CJ37,CF37,Data!$DA$2:$EB$24),1)</f>
        <v>7.1994885802268982E-2</v>
      </c>
      <c r="CL37" s="102" t="str">
        <f t="shared" si="51"/>
        <v>-</v>
      </c>
      <c r="CM37" s="5" t="str">
        <f t="shared" si="52"/>
        <v>OK</v>
      </c>
      <c r="CN37" s="5">
        <f t="shared" si="53"/>
        <v>0.86643683692746631</v>
      </c>
      <c r="CO37" s="5">
        <f t="shared" si="54"/>
        <v>0.5370345235716667</v>
      </c>
      <c r="CP37" s="25">
        <f>_xll.DCETCVNPhuLucFHeSoOnDinh(1, 0.2, AG37, AH37, AI37, AJ37, AI37, AJ37, $D$28)</f>
        <v>1</v>
      </c>
      <c r="CQ37" s="68">
        <f t="shared" si="55"/>
        <v>0.9</v>
      </c>
      <c r="CR37" s="68">
        <f t="shared" si="56"/>
        <v>1</v>
      </c>
      <c r="CS37" s="5">
        <f t="shared" si="57"/>
        <v>0.18181818181818182</v>
      </c>
      <c r="CT37" s="5">
        <f t="shared" si="58"/>
        <v>0.10347287704587492</v>
      </c>
      <c r="CU37" s="26">
        <f t="shared" si="59"/>
        <v>9.4975623300633245</v>
      </c>
      <c r="CV37" s="5"/>
      <c r="CW37" s="25"/>
      <c r="CX37" s="72">
        <f>MAX(_xll.Dce_c_925(CU37, CQ37, CR37, CN37, CP37, CS37, CT37),0.3)</f>
        <v>0.3</v>
      </c>
      <c r="CY37" s="102" t="str">
        <f t="shared" si="60"/>
        <v>-</v>
      </c>
      <c r="CZ37" s="5" t="str">
        <f t="shared" si="61"/>
        <v>OK</v>
      </c>
      <c r="DA37" s="47">
        <f t="shared" si="62"/>
        <v>0.34499859601035404</v>
      </c>
      <c r="DB37" s="46">
        <f t="shared" si="63"/>
        <v>1.026255586202</v>
      </c>
      <c r="DC37" s="5" t="str">
        <f t="shared" si="64"/>
        <v>OK</v>
      </c>
      <c r="DD37" s="5">
        <f t="shared" si="65"/>
        <v>1.2506397644909562</v>
      </c>
      <c r="DE37" s="5">
        <f t="shared" si="66"/>
        <v>4.4677979100191463</v>
      </c>
      <c r="DF37" s="5">
        <f t="shared" si="67"/>
        <v>3.2</v>
      </c>
      <c r="DG37" s="5" t="str">
        <f t="shared" si="68"/>
        <v>Gia cường</v>
      </c>
      <c r="DH37" s="203">
        <f t="shared" si="69"/>
        <v>37.545238889226049</v>
      </c>
      <c r="DI37" s="203" t="str">
        <f t="shared" si="70"/>
        <v>-</v>
      </c>
      <c r="DJ37" s="46">
        <f t="shared" si="71"/>
        <v>0</v>
      </c>
      <c r="DK37" s="5" t="str">
        <f t="shared" si="72"/>
        <v>OK</v>
      </c>
      <c r="EB37" s="18"/>
      <c r="EC37" s="77"/>
      <c r="ED37" s="77"/>
      <c r="EE37" s="18"/>
      <c r="EF37" s="18"/>
      <c r="EG37" s="18"/>
      <c r="EH37" s="5"/>
      <c r="EI37" s="5"/>
      <c r="EJ37" s="5"/>
      <c r="EK37" s="5"/>
      <c r="EL37" s="5"/>
      <c r="EN37" s="26"/>
      <c r="EO37" s="26"/>
      <c r="EP37" s="15"/>
      <c r="EQ37" s="5"/>
      <c r="ER37" s="26"/>
      <c r="ES37" s="26"/>
      <c r="ET37" s="26"/>
      <c r="EU37" s="26"/>
      <c r="EV37" s="26"/>
      <c r="EW37" s="95"/>
      <c r="EX37" s="95"/>
      <c r="EY37" s="54"/>
      <c r="EZ37" s="54"/>
      <c r="FA37" s="54"/>
      <c r="FB37" s="54"/>
      <c r="FC37" s="54"/>
      <c r="FD37" s="15"/>
      <c r="FE37" s="26"/>
      <c r="FF37" s="26"/>
      <c r="FG37" s="26"/>
      <c r="FH37" s="26"/>
      <c r="FI37" s="26"/>
      <c r="FJ37" s="26"/>
      <c r="FK37" s="26"/>
      <c r="FL37" s="26"/>
      <c r="FM37" s="26"/>
      <c r="FN37" s="5"/>
      <c r="FO37" s="54"/>
      <c r="FP37" s="5"/>
      <c r="FQ37" s="5"/>
      <c r="FR37" s="5"/>
      <c r="FS37" s="54"/>
      <c r="FT37" s="54"/>
      <c r="FU37" s="54"/>
      <c r="FV37" s="54"/>
      <c r="FW37" s="54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68"/>
      <c r="GJ37" s="5"/>
      <c r="GK37" s="5"/>
      <c r="GL37" s="54"/>
      <c r="GM37" s="5"/>
      <c r="GN37" s="5"/>
      <c r="GO37" s="5"/>
      <c r="GP37" s="68"/>
      <c r="GQ37" s="68"/>
      <c r="GR37" s="68"/>
      <c r="GS37" s="5"/>
      <c r="GT37" s="5"/>
      <c r="GU37" s="68"/>
      <c r="GV37" s="5"/>
      <c r="GW37" s="54"/>
      <c r="GX37" s="68"/>
      <c r="GY37" s="77"/>
      <c r="GZ37" s="5"/>
      <c r="HA37" s="77"/>
      <c r="HB37" s="54"/>
      <c r="HC37" s="5"/>
      <c r="HD37" s="5"/>
      <c r="HE37" s="5"/>
      <c r="HF37" s="5"/>
      <c r="HG37" s="5"/>
      <c r="HH37" s="205"/>
      <c r="HI37" s="26"/>
      <c r="HJ37" s="26"/>
      <c r="HK37" s="5"/>
    </row>
    <row r="38" spans="2:219">
      <c r="B38" s="172" t="s">
        <v>404</v>
      </c>
      <c r="C38" s="2"/>
      <c r="D38" s="2"/>
      <c r="E38" s="435" t="str">
        <f>IF(AND(H37="(104)",M36&lt;=20),"Không cần tính toán độ bền của cấu kiện","Tính toán")</f>
        <v>Tính toán</v>
      </c>
      <c r="F38" s="435"/>
      <c r="G38" s="435"/>
      <c r="H38" s="435"/>
      <c r="I38" s="435"/>
      <c r="J38" s="2"/>
      <c r="K38" s="2"/>
      <c r="L38" s="2"/>
      <c r="M38" s="2"/>
      <c r="N38" s="10"/>
      <c r="AA38" s="18" t="s">
        <v>488</v>
      </c>
      <c r="AB38" s="22" t="s">
        <v>489</v>
      </c>
      <c r="AC38" s="59">
        <v>0</v>
      </c>
      <c r="AD38" s="59">
        <v>8.6549999999999994</v>
      </c>
      <c r="AE38" s="22">
        <v>528</v>
      </c>
      <c r="AF38" s="22">
        <v>1528</v>
      </c>
      <c r="AG38" s="22">
        <v>528</v>
      </c>
      <c r="AH38" s="6">
        <v>10</v>
      </c>
      <c r="AI38" s="6">
        <v>300</v>
      </c>
      <c r="AJ38" s="6">
        <v>14</v>
      </c>
      <c r="AK38" s="24">
        <v>300</v>
      </c>
      <c r="AL38" s="24">
        <v>14</v>
      </c>
      <c r="AM38" s="5">
        <f t="shared" si="17"/>
        <v>500</v>
      </c>
      <c r="AN38" s="26">
        <f t="shared" si="18"/>
        <v>134</v>
      </c>
      <c r="AO38" s="26">
        <f t="shared" si="19"/>
        <v>65911.546666666676</v>
      </c>
      <c r="AP38" s="15">
        <f t="shared" si="20"/>
        <v>6304.166666666667</v>
      </c>
      <c r="AQ38" s="5">
        <f t="shared" si="21"/>
        <v>2496.6494949494954</v>
      </c>
      <c r="AR38" s="26">
        <f t="shared" si="22"/>
        <v>420.27777777777777</v>
      </c>
      <c r="AS38" s="26">
        <f t="shared" si="23"/>
        <v>1391.9</v>
      </c>
      <c r="AT38" s="26">
        <f t="shared" si="24"/>
        <v>22.178305028345793</v>
      </c>
      <c r="AU38" s="26">
        <f t="shared" si="25"/>
        <v>6.8590101254115021</v>
      </c>
      <c r="AV38" s="95">
        <f t="shared" si="26"/>
        <v>7.201333333333334E-7</v>
      </c>
      <c r="AW38" s="95">
        <f t="shared" si="27"/>
        <v>4161087</v>
      </c>
      <c r="AX38" s="95">
        <f t="shared" si="28"/>
        <v>4.1610870000000001E-6</v>
      </c>
      <c r="AY38" s="54">
        <f t="shared" si="29"/>
        <v>0.25762202780669918</v>
      </c>
      <c r="AZ38" s="54" t="str">
        <f>_xll.Dce_Name_SectI(AE38,AF38,AI38,AH38,AJ38,"x","-",$O$11)</f>
        <v>(528-1528)x300x10x14</v>
      </c>
      <c r="BA38" s="15">
        <f t="shared" si="30"/>
        <v>385.5</v>
      </c>
      <c r="BB38" s="54"/>
      <c r="BC38" s="54"/>
      <c r="BD38" s="22" t="s">
        <v>499</v>
      </c>
      <c r="BE38" s="23">
        <v>-62.218428314590227</v>
      </c>
      <c r="BF38" s="23">
        <v>-51.187558295415911</v>
      </c>
      <c r="BG38" s="23">
        <v>3.5111195492141898E-3</v>
      </c>
      <c r="BH38" s="23">
        <v>-4.9040183198075807E-5</v>
      </c>
      <c r="BI38" s="23">
        <v>-3.3675937571586712E-6</v>
      </c>
      <c r="BJ38" s="23">
        <v>-0.81991632033155226</v>
      </c>
      <c r="BK38" s="23">
        <v>154.99133869983359</v>
      </c>
      <c r="BL38" s="92">
        <v>2.25</v>
      </c>
      <c r="BM38" s="93">
        <v>2</v>
      </c>
      <c r="BN38" s="5">
        <f t="shared" si="31"/>
        <v>19.473749999999999</v>
      </c>
      <c r="BO38" s="54">
        <f>_xll.Bimoment(BH38,AY38,AC38,AD38,$O$101)</f>
        <v>0</v>
      </c>
      <c r="BP38" s="5">
        <f t="shared" si="32"/>
        <v>0.84</v>
      </c>
      <c r="BQ38" s="5">
        <f t="shared" si="33"/>
        <v>0.10728217483478156</v>
      </c>
      <c r="BR38" s="24" t="str">
        <f t="shared" si="34"/>
        <v>Cal</v>
      </c>
      <c r="BS38" s="25">
        <f t="shared" si="35"/>
        <v>2.0313852528084497E-2</v>
      </c>
      <c r="BT38" s="25" t="str">
        <f t="shared" si="36"/>
        <v>CT.105</v>
      </c>
      <c r="BU38" s="25">
        <f t="shared" si="37"/>
        <v>1</v>
      </c>
      <c r="BV38" s="25" cm="1">
        <f t="array" ref="BV38">IF(BT38="CT.104",_xll.TCVN5575AnnexEHeSoCx(1,BP38),1)</f>
        <v>1</v>
      </c>
      <c r="BW38" s="25">
        <f t="shared" si="38"/>
        <v>1</v>
      </c>
      <c r="BX38" s="25">
        <f t="shared" si="39"/>
        <v>2.1383002661141577E-2</v>
      </c>
      <c r="BY38" s="25">
        <f t="shared" si="40"/>
        <v>1.5123990893467006E-3</v>
      </c>
      <c r="BZ38" s="25">
        <f t="shared" si="41"/>
        <v>3.6900964744320497E-8</v>
      </c>
      <c r="CA38" s="25">
        <f t="shared" si="42"/>
        <v>0</v>
      </c>
      <c r="CB38" s="25">
        <f t="shared" si="43"/>
        <v>2.2895438651453024E-2</v>
      </c>
      <c r="CC38" s="5" t="str">
        <f t="shared" si="44"/>
        <v>OK</v>
      </c>
      <c r="CD38" s="5">
        <f t="shared" si="45"/>
        <v>87.805402509844015</v>
      </c>
      <c r="CE38" s="5">
        <f t="shared" si="46"/>
        <v>29.158726455153193</v>
      </c>
      <c r="CF38" s="5">
        <f t="shared" si="47"/>
        <v>2.9248163326364334</v>
      </c>
      <c r="CG38" s="5">
        <f t="shared" si="48"/>
        <v>0.97128328026682387</v>
      </c>
      <c r="CH38" s="5">
        <f t="shared" si="49"/>
        <v>7.0729032461615854E-2</v>
      </c>
      <c r="CI38" s="68">
        <f>_xll.DCETCVN5575PhuLucD2Eta(BP38,CH38,CF38)</f>
        <v>1.5168053499530456</v>
      </c>
      <c r="CJ38" s="5">
        <f t="shared" si="50"/>
        <v>0.10728217483478156</v>
      </c>
      <c r="CK38" s="5">
        <f>MIN(noisuy2chieu(CJ38,CF38,Data!$DA$2:$EB$24),1)</f>
        <v>0.67487919330596924</v>
      </c>
      <c r="CL38" s="102">
        <f t="shared" si="51"/>
        <v>3.1684193072236543E-2</v>
      </c>
      <c r="CM38" s="5" t="str">
        <f t="shared" si="52"/>
        <v>OK</v>
      </c>
      <c r="CN38" s="5">
        <f t="shared" si="53"/>
        <v>0.90492218941026858</v>
      </c>
      <c r="CO38" s="5">
        <f t="shared" si="54"/>
        <v>0.5370345235716667</v>
      </c>
      <c r="CP38" s="25">
        <f>_xll.DCETCVNPhuLucFHeSoOnDinh(1, 0.2, AG38, AH38, AI38, AJ38, AI38, AJ38, $D$28)</f>
        <v>1</v>
      </c>
      <c r="CQ38" s="68">
        <f t="shared" si="55"/>
        <v>0.9</v>
      </c>
      <c r="CR38" s="68">
        <f t="shared" si="56"/>
        <v>1</v>
      </c>
      <c r="CS38" s="5">
        <f t="shared" si="57"/>
        <v>0.18181818181818182</v>
      </c>
      <c r="CT38" s="5">
        <f t="shared" si="58"/>
        <v>9.9510191986788829E-2</v>
      </c>
      <c r="CU38" s="26">
        <f t="shared" si="59"/>
        <v>13.370129553875609</v>
      </c>
      <c r="CV38" s="5"/>
      <c r="CW38" s="25"/>
      <c r="CX38" s="72">
        <f>MAX(_xll.Dce_c_925(CU38, CQ38, CR38, CN38, CP38, CS38, CT38),0.3)</f>
        <v>0.3</v>
      </c>
      <c r="CY38" s="102">
        <f t="shared" si="60"/>
        <v>7.8765529645802024E-2</v>
      </c>
      <c r="CZ38" s="5" t="str">
        <f t="shared" si="61"/>
        <v>OK</v>
      </c>
      <c r="DA38" s="47">
        <f t="shared" si="62"/>
        <v>0.34499859601035404</v>
      </c>
      <c r="DB38" s="46">
        <f t="shared" si="63"/>
        <v>0.45712832802668235</v>
      </c>
      <c r="DC38" s="5" t="str">
        <f t="shared" si="64"/>
        <v>OK</v>
      </c>
      <c r="DD38" s="5">
        <f t="shared" si="65"/>
        <v>2.9248163326364334</v>
      </c>
      <c r="DE38" s="5">
        <f t="shared" si="66"/>
        <v>1.6655104634982609</v>
      </c>
      <c r="DF38" s="5" t="str">
        <f t="shared" si="67"/>
        <v>-</v>
      </c>
      <c r="DG38" s="5" t="str">
        <f t="shared" si="68"/>
        <v>-</v>
      </c>
      <c r="DH38" s="203" t="str">
        <f t="shared" si="69"/>
        <v>-</v>
      </c>
      <c r="DI38" s="203">
        <f t="shared" si="70"/>
        <v>180</v>
      </c>
      <c r="DJ38" s="46">
        <f t="shared" si="71"/>
        <v>0</v>
      </c>
      <c r="DK38" s="5" t="str">
        <f t="shared" si="72"/>
        <v>OK</v>
      </c>
      <c r="EB38" s="18"/>
      <c r="EC38" s="77"/>
      <c r="ED38" s="77"/>
      <c r="EE38" s="18"/>
      <c r="EF38" s="18"/>
      <c r="EG38" s="18"/>
      <c r="EH38" s="5"/>
      <c r="EI38" s="5"/>
      <c r="EJ38" s="5"/>
      <c r="EK38" s="5"/>
      <c r="EL38" s="5"/>
      <c r="EN38" s="26"/>
      <c r="EO38" s="26"/>
      <c r="EP38" s="15"/>
      <c r="EQ38" s="5"/>
      <c r="ER38" s="26"/>
      <c r="ES38" s="26"/>
      <c r="ET38" s="26"/>
      <c r="EU38" s="26"/>
      <c r="EV38" s="26"/>
      <c r="EW38" s="95"/>
      <c r="EX38" s="95"/>
      <c r="EY38" s="54"/>
      <c r="EZ38" s="54"/>
      <c r="FA38" s="54"/>
      <c r="FB38" s="54"/>
      <c r="FC38" s="54"/>
      <c r="FD38" s="15"/>
      <c r="FE38" s="26"/>
      <c r="FF38" s="26"/>
      <c r="FG38" s="26"/>
      <c r="FH38" s="26"/>
      <c r="FI38" s="26"/>
      <c r="FJ38" s="26"/>
      <c r="FK38" s="26"/>
      <c r="FL38" s="26"/>
      <c r="FM38" s="26"/>
      <c r="FN38" s="5"/>
      <c r="FO38" s="54"/>
      <c r="FP38" s="5"/>
      <c r="FQ38" s="5"/>
      <c r="FR38" s="5"/>
      <c r="FS38" s="54"/>
      <c r="FT38" s="54"/>
      <c r="FU38" s="54"/>
      <c r="FV38" s="54"/>
      <c r="FW38" s="54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68"/>
      <c r="GJ38" s="5"/>
      <c r="GK38" s="5"/>
      <c r="GL38" s="54"/>
      <c r="GM38" s="5"/>
      <c r="GN38" s="5"/>
      <c r="GO38" s="5"/>
      <c r="GP38" s="68"/>
      <c r="GQ38" s="68"/>
      <c r="GR38" s="68"/>
      <c r="GS38" s="5"/>
      <c r="GT38" s="5"/>
      <c r="GU38" s="68"/>
      <c r="GV38" s="5"/>
      <c r="GW38" s="54"/>
      <c r="GX38" s="68"/>
      <c r="GY38" s="77"/>
      <c r="GZ38" s="5"/>
      <c r="HA38" s="77"/>
      <c r="HB38" s="54"/>
      <c r="HC38" s="5"/>
      <c r="HD38" s="5"/>
      <c r="HE38" s="5"/>
      <c r="HF38" s="5"/>
      <c r="HG38" s="5"/>
      <c r="HH38" s="205"/>
      <c r="HI38" s="26"/>
      <c r="HJ38" s="26"/>
      <c r="HK38" s="5"/>
    </row>
    <row r="39" spans="2:219">
      <c r="B39" s="79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10"/>
      <c r="AA39" s="18" t="s">
        <v>488</v>
      </c>
      <c r="AB39" s="22" t="s">
        <v>489</v>
      </c>
      <c r="AC39" s="59">
        <v>3.6405952380952398</v>
      </c>
      <c r="AD39" s="59">
        <v>8.6549999999999994</v>
      </c>
      <c r="AE39" s="22">
        <v>528</v>
      </c>
      <c r="AF39" s="22">
        <v>1528</v>
      </c>
      <c r="AG39" s="22">
        <v>948.63492063492095</v>
      </c>
      <c r="AH39" s="6">
        <v>10</v>
      </c>
      <c r="AI39" s="6">
        <v>300</v>
      </c>
      <c r="AJ39" s="6">
        <v>14</v>
      </c>
      <c r="AK39" s="24">
        <v>300</v>
      </c>
      <c r="AL39" s="24">
        <v>14</v>
      </c>
      <c r="AM39" s="5">
        <f t="shared" si="17"/>
        <v>920.63492063492095</v>
      </c>
      <c r="AN39" s="26">
        <f t="shared" si="18"/>
        <v>176.06349206349208</v>
      </c>
      <c r="AO39" s="26">
        <f t="shared" si="19"/>
        <v>248482.7399356656</v>
      </c>
      <c r="AP39" s="15">
        <f t="shared" si="20"/>
        <v>6307.6719576719579</v>
      </c>
      <c r="AQ39" s="5">
        <f t="shared" si="21"/>
        <v>5238.7432621467533</v>
      </c>
      <c r="AR39" s="26">
        <f t="shared" si="22"/>
        <v>420.51146384479722</v>
      </c>
      <c r="AS39" s="26">
        <f t="shared" si="23"/>
        <v>3022.1941546989178</v>
      </c>
      <c r="AT39" s="26">
        <f t="shared" si="24"/>
        <v>37.567600585756203</v>
      </c>
      <c r="AU39" s="26">
        <f t="shared" si="25"/>
        <v>5.9854925384629922</v>
      </c>
      <c r="AV39" s="95">
        <f t="shared" si="26"/>
        <v>8.6034497354497351E-7</v>
      </c>
      <c r="AW39" s="95">
        <f t="shared" si="27"/>
        <v>13758293.349206358</v>
      </c>
      <c r="AX39" s="95">
        <f t="shared" si="28"/>
        <v>1.3758293349206359E-5</v>
      </c>
      <c r="AY39" s="54">
        <f t="shared" si="29"/>
        <v>0.1548581140202015</v>
      </c>
      <c r="AZ39" s="54" t="str">
        <f>_xll.Dce_Name_SectI(AE39,AF39,AI39,AH39,AJ39,"x","-",$O$11)</f>
        <v>(528-1528)x300x10x14</v>
      </c>
      <c r="BA39" s="15">
        <f t="shared" si="30"/>
        <v>700.97619047619071</v>
      </c>
      <c r="BB39" s="54"/>
      <c r="BC39" s="54"/>
      <c r="BD39" s="22" t="s">
        <v>499</v>
      </c>
      <c r="BE39" s="23">
        <v>-56.701625128024403</v>
      </c>
      <c r="BF39" s="23">
        <v>-42.567752607698438</v>
      </c>
      <c r="BG39" s="23">
        <v>3.5111195492147189E-3</v>
      </c>
      <c r="BH39" s="23">
        <v>-4.9040183198075807E-5</v>
      </c>
      <c r="BI39" s="23">
        <v>-1.2816035869880737E-2</v>
      </c>
      <c r="BJ39" s="23">
        <v>170.21237735922369</v>
      </c>
      <c r="BK39" s="23">
        <v>154.99133869983359</v>
      </c>
      <c r="BL39" s="92">
        <v>2.25</v>
      </c>
      <c r="BM39" s="93">
        <v>2</v>
      </c>
      <c r="BN39" s="5">
        <f t="shared" si="31"/>
        <v>19.473749999999999</v>
      </c>
      <c r="BO39" s="54">
        <f>_xll.Bimoment(BH39,AY39,AC39,AD39,$O$101)</f>
        <v>3.7715170341065562E-4</v>
      </c>
      <c r="BP39" s="5">
        <f t="shared" si="32"/>
        <v>0.45620689655172403</v>
      </c>
      <c r="BQ39" s="5">
        <f t="shared" si="33"/>
        <v>12.522587431497353</v>
      </c>
      <c r="BR39" s="24" t="str">
        <f t="shared" si="34"/>
        <v>Cal</v>
      </c>
      <c r="BS39" s="25">
        <f t="shared" si="35"/>
        <v>1.4089781307168883E-2</v>
      </c>
      <c r="BT39" s="25" t="str">
        <f t="shared" si="36"/>
        <v>CT.105</v>
      </c>
      <c r="BU39" s="25">
        <f t="shared" si="37"/>
        <v>1</v>
      </c>
      <c r="BV39" s="25" cm="1">
        <f t="array" ref="BV39">IF(BT39="CT.104",_xll.TCVN5575AnnexEHeSoCx(1,BP39),1)</f>
        <v>1</v>
      </c>
      <c r="BW39" s="25">
        <f t="shared" si="38"/>
        <v>1</v>
      </c>
      <c r="BX39" s="25">
        <f t="shared" si="39"/>
        <v>1.4831348744388299E-2</v>
      </c>
      <c r="BY39" s="25">
        <f t="shared" si="40"/>
        <v>0.14962993054729137</v>
      </c>
      <c r="BZ39" s="25">
        <f t="shared" si="41"/>
        <v>1.4035578788311654E-4</v>
      </c>
      <c r="CA39" s="25">
        <f t="shared" si="42"/>
        <v>8.8493062972776121E-6</v>
      </c>
      <c r="CB39" s="25">
        <f t="shared" si="43"/>
        <v>0.16461048438586007</v>
      </c>
      <c r="CC39" s="5" t="str">
        <f t="shared" si="44"/>
        <v>OK</v>
      </c>
      <c r="CD39" s="5">
        <f t="shared" si="45"/>
        <v>51.836555160202302</v>
      </c>
      <c r="CE39" s="5">
        <f t="shared" si="46"/>
        <v>33.414125690541383</v>
      </c>
      <c r="CF39" s="5">
        <f t="shared" si="47"/>
        <v>1.7266865002204341</v>
      </c>
      <c r="CG39" s="5">
        <f t="shared" si="48"/>
        <v>1.1130315193248546</v>
      </c>
      <c r="CH39" s="5">
        <f t="shared" si="49"/>
        <v>10.088760848800513</v>
      </c>
      <c r="CI39" s="68">
        <f>_xll.DCETCVN5575PhuLucD2Eta(BP39,CH39,CF39)</f>
        <v>1.2412413793103447</v>
      </c>
      <c r="CJ39" s="5">
        <f t="shared" si="50"/>
        <v>12.522587431497353</v>
      </c>
      <c r="CK39" s="5">
        <f>MIN(noisuy2chieu(CJ39,CF39,Data!$DA$2:$EB$24),1)</f>
        <v>0.10714390873908997</v>
      </c>
      <c r="CL39" s="102">
        <f t="shared" si="51"/>
        <v>0.1384245629913004</v>
      </c>
      <c r="CM39" s="5" t="str">
        <f t="shared" si="52"/>
        <v>OK</v>
      </c>
      <c r="CN39" s="5">
        <f t="shared" si="53"/>
        <v>0.88472625978979058</v>
      </c>
      <c r="CO39" s="5">
        <f t="shared" si="54"/>
        <v>0.5370345235716667</v>
      </c>
      <c r="CP39" s="25">
        <f>_xll.DCETCVNPhuLucFHeSoOnDinh(1, 0.2, AG39, AH39, AI39, AJ39, AI39, AJ39, $D$28)</f>
        <v>1</v>
      </c>
      <c r="CQ39" s="68">
        <f t="shared" si="55"/>
        <v>0.9</v>
      </c>
      <c r="CR39" s="68">
        <f t="shared" si="56"/>
        <v>1</v>
      </c>
      <c r="CS39" s="5">
        <f t="shared" si="57"/>
        <v>0.18181818181818182</v>
      </c>
      <c r="CT39" s="5">
        <f t="shared" si="58"/>
        <v>0.10155106457844131</v>
      </c>
      <c r="CU39" s="26">
        <f t="shared" si="59"/>
        <v>9.1865854530544624</v>
      </c>
      <c r="CV39" s="5"/>
      <c r="CW39" s="25"/>
      <c r="CX39" s="72">
        <f>MAX(_xll.Dce_c_925(CU39, CQ39, CR39, CN39, CP39, CS39, CT39),0.3)</f>
        <v>0.3</v>
      </c>
      <c r="CY39" s="102">
        <f t="shared" si="60"/>
        <v>5.5879237900893025E-2</v>
      </c>
      <c r="CZ39" s="5" t="str">
        <f t="shared" si="61"/>
        <v>OK</v>
      </c>
      <c r="DA39" s="47">
        <f t="shared" si="62"/>
        <v>0.34499859601035404</v>
      </c>
      <c r="DB39" s="46">
        <f t="shared" si="63"/>
        <v>0.47130315193248545</v>
      </c>
      <c r="DC39" s="5" t="str">
        <f t="shared" si="64"/>
        <v>OK</v>
      </c>
      <c r="DD39" s="5">
        <f t="shared" si="65"/>
        <v>1.7266865002204341</v>
      </c>
      <c r="DE39" s="5">
        <f t="shared" si="66"/>
        <v>3.0666541867587034</v>
      </c>
      <c r="DF39" s="5" t="str">
        <f t="shared" si="67"/>
        <v>-</v>
      </c>
      <c r="DG39" s="5" t="str">
        <f t="shared" si="68"/>
        <v>-</v>
      </c>
      <c r="DH39" s="203">
        <f t="shared" si="69"/>
        <v>51.836555160202302</v>
      </c>
      <c r="DI39" s="203">
        <f t="shared" si="70"/>
        <v>180</v>
      </c>
      <c r="DJ39" s="46">
        <f t="shared" si="71"/>
        <v>0.28798086200112388</v>
      </c>
      <c r="DK39" s="5" t="str">
        <f t="shared" si="72"/>
        <v>OK</v>
      </c>
      <c r="EB39" s="18"/>
      <c r="EC39" s="77"/>
      <c r="ED39" s="77"/>
      <c r="EE39" s="18"/>
      <c r="EF39" s="18"/>
      <c r="EG39" s="18"/>
      <c r="EH39" s="5"/>
      <c r="EI39" s="5"/>
      <c r="EJ39" s="5"/>
      <c r="EK39" s="5"/>
      <c r="EL39" s="5"/>
      <c r="EN39" s="26"/>
      <c r="EO39" s="26"/>
      <c r="EP39" s="15"/>
      <c r="EQ39" s="5"/>
      <c r="ER39" s="26"/>
      <c r="ES39" s="26"/>
      <c r="ET39" s="26"/>
      <c r="EU39" s="26"/>
      <c r="EV39" s="26"/>
      <c r="EW39" s="95"/>
      <c r="EX39" s="95"/>
      <c r="EY39" s="54"/>
      <c r="EZ39" s="54"/>
      <c r="FA39" s="54"/>
      <c r="FB39" s="54"/>
      <c r="FC39" s="54"/>
      <c r="FD39" s="15"/>
      <c r="FE39" s="26"/>
      <c r="FF39" s="26"/>
      <c r="FG39" s="26"/>
      <c r="FH39" s="26"/>
      <c r="FI39" s="26"/>
      <c r="FJ39" s="26"/>
      <c r="FK39" s="26"/>
      <c r="FL39" s="26"/>
      <c r="FM39" s="26"/>
      <c r="FN39" s="5"/>
      <c r="FO39" s="54"/>
      <c r="FP39" s="5"/>
      <c r="FQ39" s="5"/>
      <c r="FR39" s="5"/>
      <c r="FS39" s="54"/>
      <c r="FT39" s="54"/>
      <c r="FU39" s="54"/>
      <c r="FV39" s="54"/>
      <c r="FW39" s="54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68"/>
      <c r="GJ39" s="5"/>
      <c r="GK39" s="5"/>
      <c r="GL39" s="54"/>
      <c r="GM39" s="5"/>
      <c r="GN39" s="5"/>
      <c r="GO39" s="5"/>
      <c r="GP39" s="68"/>
      <c r="GQ39" s="68"/>
      <c r="GR39" s="68"/>
      <c r="GS39" s="5"/>
      <c r="GT39" s="5"/>
      <c r="GU39" s="68"/>
      <c r="GV39" s="5"/>
      <c r="GW39" s="54"/>
      <c r="GX39" s="68"/>
      <c r="GY39" s="77"/>
      <c r="GZ39" s="5"/>
      <c r="HA39" s="77"/>
      <c r="HB39" s="54"/>
      <c r="HC39" s="5"/>
      <c r="HD39" s="5"/>
      <c r="HE39" s="5"/>
      <c r="HF39" s="5"/>
      <c r="HG39" s="5"/>
      <c r="HH39" s="205"/>
      <c r="HI39" s="26"/>
      <c r="HJ39" s="26"/>
      <c r="HK39" s="5"/>
    </row>
    <row r="40" spans="2:219">
      <c r="B40" s="80"/>
      <c r="C40" s="2"/>
      <c r="D40" s="2"/>
      <c r="E40" s="2"/>
      <c r="F40" s="252"/>
      <c r="G40" s="257"/>
      <c r="H40" s="2"/>
      <c r="I40" s="2"/>
      <c r="J40" s="2"/>
      <c r="K40" s="2"/>
      <c r="L40" s="2"/>
      <c r="M40" s="2"/>
      <c r="N40" s="10"/>
      <c r="AA40" s="18" t="s">
        <v>488</v>
      </c>
      <c r="AB40" s="22" t="s">
        <v>489</v>
      </c>
      <c r="AC40" s="59">
        <v>7.2811904761904795</v>
      </c>
      <c r="AD40" s="59">
        <v>8.6549999999999994</v>
      </c>
      <c r="AE40" s="22">
        <v>528</v>
      </c>
      <c r="AF40" s="22">
        <v>1528</v>
      </c>
      <c r="AG40" s="22">
        <v>1369.2698412698419</v>
      </c>
      <c r="AH40" s="6">
        <v>10</v>
      </c>
      <c r="AI40" s="6">
        <v>300</v>
      </c>
      <c r="AJ40" s="6">
        <v>14</v>
      </c>
      <c r="AK40" s="24">
        <v>300</v>
      </c>
      <c r="AL40" s="24">
        <v>14</v>
      </c>
      <c r="AM40" s="5">
        <f t="shared" si="17"/>
        <v>1341.2698412698419</v>
      </c>
      <c r="AN40" s="26">
        <f t="shared" si="18"/>
        <v>218.12698412698418</v>
      </c>
      <c r="AO40" s="26">
        <f t="shared" si="19"/>
        <v>586811.79072745051</v>
      </c>
      <c r="AP40" s="15">
        <f t="shared" si="20"/>
        <v>6311.1772486772488</v>
      </c>
      <c r="AQ40" s="5">
        <f t="shared" si="21"/>
        <v>8571.1635945074104</v>
      </c>
      <c r="AR40" s="26">
        <f t="shared" si="22"/>
        <v>420.74514991181661</v>
      </c>
      <c r="AS40" s="26">
        <f t="shared" si="23"/>
        <v>5094.8226505417015</v>
      </c>
      <c r="AT40" s="26">
        <f t="shared" si="24"/>
        <v>51.867428670398397</v>
      </c>
      <c r="AU40" s="26">
        <f t="shared" si="25"/>
        <v>5.3789869588463937</v>
      </c>
      <c r="AV40" s="95">
        <f t="shared" si="26"/>
        <v>1.0005566137566139E-6</v>
      </c>
      <c r="AW40" s="95">
        <f t="shared" si="27"/>
        <v>28928912.396825422</v>
      </c>
      <c r="AX40" s="95">
        <f t="shared" si="28"/>
        <v>2.8928912396825422E-5</v>
      </c>
      <c r="AY40" s="54">
        <f t="shared" si="29"/>
        <v>0.11516876660535029</v>
      </c>
      <c r="AZ40" s="54" t="str">
        <f>_xll.Dce_Name_SectI(AE40,AF40,AI40,AH40,AJ40,"x","-",$O$11)</f>
        <v>(528-1528)x300x10x14</v>
      </c>
      <c r="BA40" s="15">
        <f t="shared" si="30"/>
        <v>1016.4523809523813</v>
      </c>
      <c r="BB40" s="54"/>
      <c r="BC40" s="54"/>
      <c r="BD40" s="22" t="s">
        <v>499</v>
      </c>
      <c r="BE40" s="23">
        <v>-49.643386190966169</v>
      </c>
      <c r="BF40" s="23">
        <v>-34.053797450573001</v>
      </c>
      <c r="BG40" s="23">
        <v>3.511119549215241E-3</v>
      </c>
      <c r="BH40" s="23">
        <v>-4.9040183198075807E-5</v>
      </c>
      <c r="BI40" s="23">
        <v>-2.562870414600623E-2</v>
      </c>
      <c r="BJ40" s="23">
        <v>309.98267739966718</v>
      </c>
      <c r="BK40" s="23">
        <v>154.99133869983359</v>
      </c>
      <c r="BL40" s="92">
        <v>2.25</v>
      </c>
      <c r="BM40" s="93">
        <v>2</v>
      </c>
      <c r="BN40" s="5">
        <f t="shared" si="31"/>
        <v>19.473749999999999</v>
      </c>
      <c r="BO40" s="54">
        <f>_xll.Bimoment(BH40,AY40,AC40,AD40,$O$101)</f>
        <v>2.2434267519943167E-4</v>
      </c>
      <c r="BP40" s="5">
        <f t="shared" si="32"/>
        <v>0.31313609467455605</v>
      </c>
      <c r="BQ40" s="5">
        <f t="shared" si="33"/>
        <v>19.269611131619609</v>
      </c>
      <c r="BR40" s="24" t="str">
        <f t="shared" si="34"/>
        <v>Cal</v>
      </c>
      <c r="BS40" s="25">
        <f t="shared" si="35"/>
        <v>9.9570355980825569E-3</v>
      </c>
      <c r="BT40" s="25" t="str">
        <f t="shared" si="36"/>
        <v>CT.105</v>
      </c>
      <c r="BU40" s="25">
        <f t="shared" si="37"/>
        <v>1</v>
      </c>
      <c r="BV40" s="25" cm="1">
        <f t="array" ref="BV40">IF(BT40="CT.104",_xll.TCVN5575AnnexEHeSoCx(1,BP40),1)</f>
        <v>1</v>
      </c>
      <c r="BW40" s="25">
        <f t="shared" si="38"/>
        <v>1</v>
      </c>
      <c r="BX40" s="25">
        <f t="shared" si="39"/>
        <v>1.0481090103244795E-2</v>
      </c>
      <c r="BY40" s="25">
        <f t="shared" si="40"/>
        <v>0.16655285925577984</v>
      </c>
      <c r="BZ40" s="25">
        <f t="shared" si="41"/>
        <v>2.8051880577333743E-4</v>
      </c>
      <c r="CA40" s="25">
        <f t="shared" si="42"/>
        <v>3.6301224737280255E-6</v>
      </c>
      <c r="CB40" s="25">
        <f t="shared" si="43"/>
        <v>0.17731809828727171</v>
      </c>
      <c r="CC40" s="5" t="str">
        <f t="shared" si="44"/>
        <v>OK</v>
      </c>
      <c r="CD40" s="5">
        <f t="shared" si="45"/>
        <v>37.545238889226049</v>
      </c>
      <c r="CE40" s="5">
        <f t="shared" si="46"/>
        <v>37.181722419139881</v>
      </c>
      <c r="CF40" s="5">
        <f t="shared" si="47"/>
        <v>1.2506397644909562</v>
      </c>
      <c r="CG40" s="5">
        <f t="shared" si="48"/>
        <v>1.2385309547993069</v>
      </c>
      <c r="CH40" s="5">
        <f t="shared" si="49"/>
        <v>15.890795481685391</v>
      </c>
      <c r="CI40" s="68">
        <f>_xll.DCETCVN5575PhuLucD2Eta(BP40,CH40,CF40)</f>
        <v>1.2126272189349112</v>
      </c>
      <c r="CJ40" s="5">
        <f t="shared" si="50"/>
        <v>19.269611131619609</v>
      </c>
      <c r="CK40" s="5">
        <f>MIN(noisuy2chieu(CJ40,CF40,Data!$DA$2:$EB$24),1)</f>
        <v>7.4916437268257141E-2</v>
      </c>
      <c r="CL40" s="102">
        <f t="shared" si="51"/>
        <v>0.13990374456428856</v>
      </c>
      <c r="CM40" s="5" t="str">
        <f t="shared" si="52"/>
        <v>OK</v>
      </c>
      <c r="CN40" s="5">
        <f t="shared" si="53"/>
        <v>0.86643683692746631</v>
      </c>
      <c r="CO40" s="5">
        <f t="shared" si="54"/>
        <v>0.5370345235716667</v>
      </c>
      <c r="CP40" s="25">
        <f>_xll.DCETCVNPhuLucFHeSoOnDinh(1, 0.2, AG40, AH40, AI40, AJ40, AI40, AJ40, $D$28)</f>
        <v>1</v>
      </c>
      <c r="CQ40" s="68">
        <f t="shared" si="55"/>
        <v>0.9</v>
      </c>
      <c r="CR40" s="68">
        <f t="shared" si="56"/>
        <v>1</v>
      </c>
      <c r="CS40" s="5">
        <f t="shared" si="57"/>
        <v>0.18181818181818182</v>
      </c>
      <c r="CT40" s="5">
        <f t="shared" si="58"/>
        <v>0.10347287704587492</v>
      </c>
      <c r="CU40" s="26">
        <f t="shared" si="59"/>
        <v>7.9453977408426955</v>
      </c>
      <c r="CV40" s="5"/>
      <c r="CW40" s="25"/>
      <c r="CX40" s="72">
        <f>MAX(_xll.Dce_c_925(CU40, CQ40, CR40, CN40, CP40, CS40, CT40),0.3)</f>
        <v>0.3</v>
      </c>
      <c r="CY40" s="102">
        <f t="shared" si="60"/>
        <v>4.0322578082793055E-2</v>
      </c>
      <c r="CZ40" s="5" t="str">
        <f t="shared" si="61"/>
        <v>OK</v>
      </c>
      <c r="DA40" s="47">
        <f t="shared" si="62"/>
        <v>0.34499859601035404</v>
      </c>
      <c r="DB40" s="46">
        <f t="shared" si="63"/>
        <v>0.48385309547993066</v>
      </c>
      <c r="DC40" s="5" t="str">
        <f t="shared" si="64"/>
        <v>OK</v>
      </c>
      <c r="DD40" s="5">
        <f t="shared" si="65"/>
        <v>1.2506397644909562</v>
      </c>
      <c r="DE40" s="5">
        <f t="shared" si="66"/>
        <v>4.4677979100191463</v>
      </c>
      <c r="DF40" s="5" t="str">
        <f t="shared" si="67"/>
        <v>-</v>
      </c>
      <c r="DG40" s="5" t="str">
        <f t="shared" si="68"/>
        <v>-</v>
      </c>
      <c r="DH40" s="203">
        <f t="shared" si="69"/>
        <v>37.545238889226049</v>
      </c>
      <c r="DI40" s="203">
        <f t="shared" si="70"/>
        <v>180</v>
      </c>
      <c r="DJ40" s="46">
        <f t="shared" si="71"/>
        <v>0.20858466049570026</v>
      </c>
      <c r="DK40" s="5" t="str">
        <f t="shared" si="72"/>
        <v>OK</v>
      </c>
      <c r="EB40" s="18"/>
      <c r="EC40" s="77"/>
      <c r="ED40" s="77"/>
      <c r="EE40" s="18"/>
      <c r="EF40" s="18"/>
      <c r="EG40" s="18"/>
      <c r="EH40" s="5"/>
      <c r="EI40" s="5"/>
      <c r="EJ40" s="5"/>
      <c r="EK40" s="5"/>
      <c r="EL40" s="5"/>
      <c r="EN40" s="26"/>
      <c r="EO40" s="26"/>
      <c r="EP40" s="15"/>
      <c r="EQ40" s="5"/>
      <c r="ER40" s="26"/>
      <c r="ES40" s="26"/>
      <c r="ET40" s="26"/>
      <c r="EU40" s="26"/>
      <c r="EV40" s="26"/>
      <c r="EW40" s="95"/>
      <c r="EX40" s="95"/>
      <c r="EY40" s="54"/>
      <c r="EZ40" s="54"/>
      <c r="FA40" s="54"/>
      <c r="FB40" s="54"/>
      <c r="FC40" s="54"/>
      <c r="FD40" s="15"/>
      <c r="FE40" s="26"/>
      <c r="FF40" s="26"/>
      <c r="FG40" s="26"/>
      <c r="FH40" s="26"/>
      <c r="FI40" s="26"/>
      <c r="FJ40" s="26"/>
      <c r="FK40" s="26"/>
      <c r="FL40" s="26"/>
      <c r="FM40" s="26"/>
      <c r="FN40" s="5"/>
      <c r="FO40" s="54"/>
      <c r="FP40" s="5"/>
      <c r="FQ40" s="5"/>
      <c r="FR40" s="5"/>
      <c r="FS40" s="54"/>
      <c r="FT40" s="54"/>
      <c r="FU40" s="54"/>
      <c r="FV40" s="54"/>
      <c r="FW40" s="54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68"/>
      <c r="GJ40" s="5"/>
      <c r="GK40" s="5"/>
      <c r="GL40" s="54"/>
      <c r="GM40" s="5"/>
      <c r="GN40" s="5"/>
      <c r="GO40" s="5"/>
      <c r="GP40" s="68"/>
      <c r="GQ40" s="68"/>
      <c r="GR40" s="68"/>
      <c r="GS40" s="5"/>
      <c r="GT40" s="5"/>
      <c r="GU40" s="68"/>
      <c r="GV40" s="5"/>
      <c r="GW40" s="54"/>
      <c r="GX40" s="68"/>
      <c r="GY40" s="77"/>
      <c r="GZ40" s="5"/>
      <c r="HA40" s="77"/>
      <c r="HB40" s="54"/>
      <c r="HC40" s="5"/>
      <c r="HD40" s="5"/>
      <c r="HE40" s="5"/>
      <c r="HF40" s="5"/>
      <c r="HG40" s="5"/>
      <c r="HH40" s="205"/>
      <c r="HI40" s="26"/>
      <c r="HJ40" s="26"/>
      <c r="HK40" s="5"/>
    </row>
    <row r="41" spans="2:219">
      <c r="B41" s="11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10"/>
      <c r="AA41" s="18" t="s">
        <v>488</v>
      </c>
      <c r="AB41" s="22" t="s">
        <v>489</v>
      </c>
      <c r="AC41" s="59">
        <v>0</v>
      </c>
      <c r="AD41" s="59">
        <v>8.6549999999999994</v>
      </c>
      <c r="AE41" s="22">
        <v>528</v>
      </c>
      <c r="AF41" s="22">
        <v>1528</v>
      </c>
      <c r="AG41" s="22">
        <v>528</v>
      </c>
      <c r="AH41" s="6">
        <v>10</v>
      </c>
      <c r="AI41" s="6">
        <v>300</v>
      </c>
      <c r="AJ41" s="6">
        <v>14</v>
      </c>
      <c r="AK41" s="24">
        <v>300</v>
      </c>
      <c r="AL41" s="24">
        <v>14</v>
      </c>
      <c r="AM41" s="5">
        <f t="shared" si="17"/>
        <v>500</v>
      </c>
      <c r="AN41" s="26">
        <f t="shared" si="18"/>
        <v>134</v>
      </c>
      <c r="AO41" s="26">
        <f t="shared" si="19"/>
        <v>65911.546666666676</v>
      </c>
      <c r="AP41" s="15">
        <f t="shared" si="20"/>
        <v>6304.166666666667</v>
      </c>
      <c r="AQ41" s="5">
        <f t="shared" si="21"/>
        <v>2496.6494949494954</v>
      </c>
      <c r="AR41" s="26">
        <f t="shared" si="22"/>
        <v>420.27777777777777</v>
      </c>
      <c r="AS41" s="26">
        <f t="shared" si="23"/>
        <v>1391.9</v>
      </c>
      <c r="AT41" s="26">
        <f t="shared" si="24"/>
        <v>22.178305028345793</v>
      </c>
      <c r="AU41" s="26">
        <f t="shared" si="25"/>
        <v>6.8590101254115021</v>
      </c>
      <c r="AV41" s="95">
        <f t="shared" si="26"/>
        <v>7.201333333333334E-7</v>
      </c>
      <c r="AW41" s="95">
        <f t="shared" si="27"/>
        <v>4161087</v>
      </c>
      <c r="AX41" s="95">
        <f t="shared" si="28"/>
        <v>4.1610870000000001E-6</v>
      </c>
      <c r="AY41" s="54">
        <f t="shared" si="29"/>
        <v>0.25762202780669918</v>
      </c>
      <c r="AZ41" s="54" t="str">
        <f>_xll.Dce_Name_SectI(AE41,AF41,AI41,AH41,AJ41,"x","-",$O$11)</f>
        <v>(528-1528)x300x10x14</v>
      </c>
      <c r="BA41" s="15">
        <f t="shared" si="30"/>
        <v>385.5</v>
      </c>
      <c r="BB41" s="54"/>
      <c r="BC41" s="54"/>
      <c r="BD41" s="22" t="s">
        <v>500</v>
      </c>
      <c r="BE41" s="23">
        <v>49.494753809732202</v>
      </c>
      <c r="BF41" s="23">
        <v>101.36546866489422</v>
      </c>
      <c r="BG41" s="23">
        <v>-3.1147633199198636E-3</v>
      </c>
      <c r="BH41" s="23">
        <v>4.350423324710198E-5</v>
      </c>
      <c r="BI41" s="23">
        <v>2.9874395811257944E-6</v>
      </c>
      <c r="BJ41" s="23">
        <v>0.59407663150550416</v>
      </c>
      <c r="BK41" s="23">
        <v>-313.90729604834405</v>
      </c>
      <c r="BL41" s="92">
        <v>2.25</v>
      </c>
      <c r="BM41" s="93">
        <v>2</v>
      </c>
      <c r="BN41" s="5">
        <f t="shared" si="31"/>
        <v>19.473749999999999</v>
      </c>
      <c r="BO41" s="54">
        <f>_xll.Bimoment(BH41,AY41,AC41,AD41,$O$101)</f>
        <v>0</v>
      </c>
      <c r="BP41" s="5">
        <f t="shared" si="32"/>
        <v>0.84</v>
      </c>
      <c r="BQ41" s="5">
        <f t="shared" si="33"/>
        <v>9.7731670986781385E-2</v>
      </c>
      <c r="BR41" s="24" t="str">
        <f t="shared" si="34"/>
        <v>Cal</v>
      </c>
      <c r="BS41" s="25">
        <f t="shared" si="35"/>
        <v>1.6159667755043162E-2</v>
      </c>
      <c r="BT41" s="25" t="str">
        <f t="shared" si="36"/>
        <v>CT.105</v>
      </c>
      <c r="BU41" s="25">
        <f t="shared" si="37"/>
        <v>1</v>
      </c>
      <c r="BV41" s="25" cm="1">
        <f t="array" ref="BV41">IF(BT41="CT.104",_xll.TCVN5575AnnexEHeSoCx(1,BP41),1)</f>
        <v>1</v>
      </c>
      <c r="BW41" s="25">
        <f t="shared" si="38"/>
        <v>1</v>
      </c>
      <c r="BX41" s="25">
        <f t="shared" si="39"/>
        <v>1.7010176584255961E-2</v>
      </c>
      <c r="BY41" s="25">
        <f t="shared" si="40"/>
        <v>1.0958203102089225E-3</v>
      </c>
      <c r="BZ41" s="25">
        <f t="shared" si="41"/>
        <v>3.2735362578864763E-8</v>
      </c>
      <c r="CA41" s="25">
        <f t="shared" si="42"/>
        <v>0</v>
      </c>
      <c r="CB41" s="25">
        <f t="shared" si="43"/>
        <v>1.8106029629827464E-2</v>
      </c>
      <c r="CC41" s="5" t="str">
        <f t="shared" si="44"/>
        <v>OK</v>
      </c>
      <c r="CD41" s="5">
        <f t="shared" si="45"/>
        <v>87.805402509844015</v>
      </c>
      <c r="CE41" s="5">
        <f t="shared" si="46"/>
        <v>29.158726455153193</v>
      </c>
      <c r="CF41" s="5">
        <f t="shared" si="47"/>
        <v>2.9248163326364334</v>
      </c>
      <c r="CG41" s="5">
        <f t="shared" si="48"/>
        <v>0.97128328026682387</v>
      </c>
      <c r="CH41" s="5">
        <f t="shared" si="49"/>
        <v>6.4421454109017104E-2</v>
      </c>
      <c r="CI41" s="68">
        <f>_xll.DCETCVN5575PhuLucD2Eta(BP41,CH41,CF41)</f>
        <v>1.5170671376246043</v>
      </c>
      <c r="CJ41" s="5">
        <f t="shared" si="50"/>
        <v>9.7731670986781385E-2</v>
      </c>
      <c r="CK41" s="5">
        <f>MIN(noisuy2chieu(CJ41,CF41,Data!$DA$2:$EB$24),1)</f>
        <v>0.72923648357391357</v>
      </c>
      <c r="CL41" s="102" t="str">
        <f t="shared" si="51"/>
        <v>-</v>
      </c>
      <c r="CM41" s="5" t="str">
        <f t="shared" si="52"/>
        <v>OK</v>
      </c>
      <c r="CN41" s="5">
        <f t="shared" si="53"/>
        <v>0.90492218941026858</v>
      </c>
      <c r="CO41" s="5">
        <f t="shared" si="54"/>
        <v>0.5370345235716667</v>
      </c>
      <c r="CP41" s="25">
        <f>_xll.DCETCVNPhuLucFHeSoOnDinh(1, 0.2, AG41, AH41, AI41, AJ41, AI41, AJ41, $D$28)</f>
        <v>1</v>
      </c>
      <c r="CQ41" s="68">
        <f t="shared" si="55"/>
        <v>0.9</v>
      </c>
      <c r="CR41" s="68">
        <f t="shared" si="56"/>
        <v>1</v>
      </c>
      <c r="CS41" s="5">
        <f t="shared" si="57"/>
        <v>0.18181818181818182</v>
      </c>
      <c r="CT41" s="5">
        <f t="shared" si="58"/>
        <v>9.9510191986788829E-2</v>
      </c>
      <c r="CU41" s="26">
        <f t="shared" si="59"/>
        <v>34.039993149733377</v>
      </c>
      <c r="CV41" s="5"/>
      <c r="CW41" s="25"/>
      <c r="CX41" s="72">
        <f>MAX(_xll.Dce_c_925(CU41, CQ41, CR41, CN41, CP41, CS41, CT41),0.3)</f>
        <v>0.3</v>
      </c>
      <c r="CY41" s="102" t="str">
        <f t="shared" si="60"/>
        <v>-</v>
      </c>
      <c r="CZ41" s="5" t="str">
        <f t="shared" si="61"/>
        <v>OK</v>
      </c>
      <c r="DA41" s="47">
        <f t="shared" si="62"/>
        <v>0.34499859601035404</v>
      </c>
      <c r="DB41" s="46">
        <f t="shared" si="63"/>
        <v>15.496443680170119</v>
      </c>
      <c r="DC41" s="5" t="str">
        <f t="shared" si="64"/>
        <v>OK</v>
      </c>
      <c r="DD41" s="5">
        <f t="shared" si="65"/>
        <v>2.9248163326364334</v>
      </c>
      <c r="DE41" s="5">
        <f t="shared" si="66"/>
        <v>1.6655104634982609</v>
      </c>
      <c r="DF41" s="5">
        <f t="shared" si="67"/>
        <v>3.2</v>
      </c>
      <c r="DG41" s="5" t="str">
        <f t="shared" si="68"/>
        <v>OK</v>
      </c>
      <c r="DH41" s="203" t="str">
        <f t="shared" si="69"/>
        <v>-</v>
      </c>
      <c r="DI41" s="203" t="str">
        <f t="shared" si="70"/>
        <v>-</v>
      </c>
      <c r="DJ41" s="46">
        <f t="shared" si="71"/>
        <v>0</v>
      </c>
      <c r="DK41" s="5" t="str">
        <f t="shared" si="72"/>
        <v>OK</v>
      </c>
      <c r="EB41" s="18"/>
      <c r="EC41" s="77"/>
      <c r="ED41" s="77"/>
      <c r="EE41" s="18"/>
      <c r="EF41" s="18"/>
      <c r="EG41" s="18"/>
      <c r="EH41" s="5"/>
      <c r="EI41" s="5"/>
      <c r="EJ41" s="5"/>
      <c r="EK41" s="5"/>
      <c r="EL41" s="5"/>
      <c r="EN41" s="26"/>
      <c r="EO41" s="26"/>
      <c r="EP41" s="15"/>
      <c r="EQ41" s="5"/>
      <c r="ER41" s="26"/>
      <c r="ES41" s="26"/>
      <c r="ET41" s="26"/>
      <c r="EU41" s="26"/>
      <c r="EV41" s="26"/>
      <c r="EW41" s="95"/>
      <c r="EX41" s="95"/>
      <c r="EY41" s="54"/>
      <c r="EZ41" s="54"/>
      <c r="FA41" s="54"/>
      <c r="FB41" s="54"/>
      <c r="FC41" s="54"/>
      <c r="FD41" s="15"/>
      <c r="FE41" s="26"/>
      <c r="FF41" s="26"/>
      <c r="FG41" s="26"/>
      <c r="FH41" s="26"/>
      <c r="FI41" s="26"/>
      <c r="FJ41" s="26"/>
      <c r="FK41" s="26"/>
      <c r="FL41" s="26"/>
      <c r="FM41" s="26"/>
      <c r="FN41" s="5"/>
      <c r="FO41" s="54"/>
      <c r="FP41" s="5"/>
      <c r="FQ41" s="5"/>
      <c r="FR41" s="5"/>
      <c r="FS41" s="54"/>
      <c r="FT41" s="54"/>
      <c r="FU41" s="54"/>
      <c r="FV41" s="54"/>
      <c r="FW41" s="54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68"/>
      <c r="GJ41" s="5"/>
      <c r="GK41" s="5"/>
      <c r="GL41" s="54"/>
      <c r="GM41" s="5"/>
      <c r="GN41" s="5"/>
      <c r="GO41" s="5"/>
      <c r="GP41" s="68"/>
      <c r="GQ41" s="68"/>
      <c r="GR41" s="68"/>
      <c r="GS41" s="5"/>
      <c r="GT41" s="5"/>
      <c r="GU41" s="68"/>
      <c r="GV41" s="5"/>
      <c r="GW41" s="54"/>
      <c r="GX41" s="68"/>
      <c r="GY41" s="77"/>
      <c r="GZ41" s="5"/>
      <c r="HA41" s="77"/>
      <c r="HB41" s="54"/>
      <c r="HC41" s="5"/>
      <c r="HD41" s="5"/>
      <c r="HE41" s="5"/>
      <c r="HF41" s="5"/>
      <c r="HG41" s="5"/>
      <c r="HH41" s="205"/>
      <c r="HI41" s="26"/>
      <c r="HJ41" s="26"/>
      <c r="HK41" s="5"/>
    </row>
    <row r="42" spans="2:219">
      <c r="B42" s="11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10"/>
      <c r="AA42" s="18" t="s">
        <v>488</v>
      </c>
      <c r="AB42" s="22" t="s">
        <v>489</v>
      </c>
      <c r="AC42" s="59">
        <v>3.6405952380952398</v>
      </c>
      <c r="AD42" s="59">
        <v>8.6549999999999994</v>
      </c>
      <c r="AE42" s="22">
        <v>528</v>
      </c>
      <c r="AF42" s="22">
        <v>1528</v>
      </c>
      <c r="AG42" s="22">
        <v>948.63492063492095</v>
      </c>
      <c r="AH42" s="6">
        <v>10</v>
      </c>
      <c r="AI42" s="6">
        <v>300</v>
      </c>
      <c r="AJ42" s="6">
        <v>14</v>
      </c>
      <c r="AK42" s="24">
        <v>300</v>
      </c>
      <c r="AL42" s="24">
        <v>14</v>
      </c>
      <c r="AM42" s="5">
        <f t="shared" si="17"/>
        <v>920.63492063492095</v>
      </c>
      <c r="AN42" s="26">
        <f t="shared" si="18"/>
        <v>176.06349206349208</v>
      </c>
      <c r="AO42" s="26">
        <f t="shared" si="19"/>
        <v>248482.7399356656</v>
      </c>
      <c r="AP42" s="15">
        <f t="shared" si="20"/>
        <v>6307.6719576719579</v>
      </c>
      <c r="AQ42" s="5">
        <f t="shared" si="21"/>
        <v>5238.7432621467533</v>
      </c>
      <c r="AR42" s="26">
        <f t="shared" si="22"/>
        <v>420.51146384479722</v>
      </c>
      <c r="AS42" s="26">
        <f t="shared" si="23"/>
        <v>3022.1941546989178</v>
      </c>
      <c r="AT42" s="26">
        <f t="shared" si="24"/>
        <v>37.567600585756203</v>
      </c>
      <c r="AU42" s="26">
        <f t="shared" si="25"/>
        <v>5.9854925384629922</v>
      </c>
      <c r="AV42" s="95">
        <f t="shared" si="26"/>
        <v>8.6034497354497351E-7</v>
      </c>
      <c r="AW42" s="95">
        <f t="shared" si="27"/>
        <v>13758293.349206358</v>
      </c>
      <c r="AX42" s="95">
        <f t="shared" si="28"/>
        <v>1.3758293349206359E-5</v>
      </c>
      <c r="AY42" s="54">
        <f t="shared" si="29"/>
        <v>0.1548581140202015</v>
      </c>
      <c r="AZ42" s="54" t="str">
        <f>_xll.Dce_Name_SectI(AE42,AF42,AI42,AH42,AJ42,"x","-",$O$11)</f>
        <v>(528-1528)x300x10x14</v>
      </c>
      <c r="BA42" s="15">
        <f t="shared" si="30"/>
        <v>700.97619047619071</v>
      </c>
      <c r="BB42" s="54"/>
      <c r="BC42" s="54"/>
      <c r="BD42" s="22" t="s">
        <v>500</v>
      </c>
      <c r="BE42" s="23">
        <v>53.372769496298019</v>
      </c>
      <c r="BF42" s="23">
        <v>86.120626477611665</v>
      </c>
      <c r="BG42" s="23">
        <v>-3.1147633199207999E-3</v>
      </c>
      <c r="BH42" s="23">
        <v>4.350423324710198E-5</v>
      </c>
      <c r="BI42" s="23">
        <v>1.1369284888981653E-2</v>
      </c>
      <c r="BJ42" s="23">
        <v>-341.52232637448947</v>
      </c>
      <c r="BK42" s="23">
        <v>-313.90729604834405</v>
      </c>
      <c r="BL42" s="92">
        <v>2.25</v>
      </c>
      <c r="BM42" s="93">
        <v>2</v>
      </c>
      <c r="BN42" s="5">
        <f t="shared" si="31"/>
        <v>19.473749999999999</v>
      </c>
      <c r="BO42" s="54">
        <f>_xll.Bimoment(BH42,AY42,AC42,AD42,$O$101)</f>
        <v>-3.3457655752319417E-4</v>
      </c>
      <c r="BP42" s="5">
        <f t="shared" si="32"/>
        <v>0.45620689655172403</v>
      </c>
      <c r="BQ42" s="5">
        <f t="shared" si="33"/>
        <v>26.693025586847817</v>
      </c>
      <c r="BR42" s="24" t="str">
        <f t="shared" si="34"/>
        <v>Cal</v>
      </c>
      <c r="BS42" s="25">
        <f t="shared" si="35"/>
        <v>1.3262594295363452E-2</v>
      </c>
      <c r="BT42" s="25" t="str">
        <f t="shared" si="36"/>
        <v>CT.105</v>
      </c>
      <c r="BU42" s="25">
        <f t="shared" si="37"/>
        <v>1</v>
      </c>
      <c r="BV42" s="25" cm="1">
        <f t="array" ref="BV42">IF(BT42="CT.104",_xll.TCVN5575AnnexEHeSoCx(1,BP42),1)</f>
        <v>1</v>
      </c>
      <c r="BW42" s="25">
        <f t="shared" si="38"/>
        <v>1</v>
      </c>
      <c r="BX42" s="25">
        <f t="shared" si="39"/>
        <v>1.3960625574066791E-2</v>
      </c>
      <c r="BY42" s="25">
        <f t="shared" si="40"/>
        <v>0.30022471202500395</v>
      </c>
      <c r="BZ42" s="25">
        <f t="shared" si="41"/>
        <v>1.2451158489738844E-4</v>
      </c>
      <c r="CA42" s="25">
        <f t="shared" si="42"/>
        <v>7.8503435371937866E-6</v>
      </c>
      <c r="CB42" s="25">
        <f t="shared" si="43"/>
        <v>0.31431769952750532</v>
      </c>
      <c r="CC42" s="5" t="str">
        <f t="shared" si="44"/>
        <v>OK</v>
      </c>
      <c r="CD42" s="5">
        <f t="shared" si="45"/>
        <v>51.836555160202302</v>
      </c>
      <c r="CE42" s="5">
        <f t="shared" si="46"/>
        <v>33.414125690541383</v>
      </c>
      <c r="CF42" s="5">
        <f t="shared" si="47"/>
        <v>1.7266865002204341</v>
      </c>
      <c r="CG42" s="5">
        <f t="shared" si="48"/>
        <v>1.1130315193248546</v>
      </c>
      <c r="CH42" s="5">
        <f t="shared" si="49"/>
        <v>21.505104512128757</v>
      </c>
      <c r="CI42" s="68">
        <f>_xll.DCETCVN5575PhuLucD2Eta(BP42,CH42,CF42)</f>
        <v>1.2412413793103447</v>
      </c>
      <c r="CJ42" s="5">
        <f t="shared" si="50"/>
        <v>26.693025586847817</v>
      </c>
      <c r="CK42" s="5">
        <f>MIN(noisuy2chieu(CJ42,CF42,Data!$DA$2:$EB$24),1)</f>
        <v>6.8639881908893585E-2</v>
      </c>
      <c r="CL42" s="102" t="str">
        <f t="shared" si="51"/>
        <v>-</v>
      </c>
      <c r="CM42" s="5" t="str">
        <f t="shared" si="52"/>
        <v>OK</v>
      </c>
      <c r="CN42" s="5">
        <f t="shared" si="53"/>
        <v>0.88472625978979058</v>
      </c>
      <c r="CO42" s="5">
        <f t="shared" si="54"/>
        <v>0.5370345235716667</v>
      </c>
      <c r="CP42" s="25">
        <f>_xll.DCETCVNPhuLucFHeSoOnDinh(1, 0.2, AG42, AH42, AI42, AJ42, AI42, AJ42, $D$28)</f>
        <v>1</v>
      </c>
      <c r="CQ42" s="68">
        <f t="shared" si="55"/>
        <v>0.9</v>
      </c>
      <c r="CR42" s="68">
        <f t="shared" si="56"/>
        <v>1</v>
      </c>
      <c r="CS42" s="5">
        <f t="shared" si="57"/>
        <v>0.18181818181818182</v>
      </c>
      <c r="CT42" s="5">
        <f t="shared" si="58"/>
        <v>0.10155106457844131</v>
      </c>
      <c r="CU42" s="26">
        <f t="shared" si="59"/>
        <v>19.766231040594214</v>
      </c>
      <c r="CV42" s="5"/>
      <c r="CW42" s="25"/>
      <c r="CX42" s="72">
        <f>MAX(_xll.Dce_c_925(CU42, CQ42, CR42, CN42, CP42, CS42, CT42),0.3)</f>
        <v>0.3</v>
      </c>
      <c r="CY42" s="102" t="str">
        <f t="shared" si="60"/>
        <v>-</v>
      </c>
      <c r="CZ42" s="5" t="str">
        <f t="shared" si="61"/>
        <v>OK</v>
      </c>
      <c r="DA42" s="47">
        <f t="shared" si="62"/>
        <v>0.34499859601035404</v>
      </c>
      <c r="DB42" s="46">
        <f t="shared" si="63"/>
        <v>0.93604115725413062</v>
      </c>
      <c r="DC42" s="5" t="str">
        <f t="shared" si="64"/>
        <v>OK</v>
      </c>
      <c r="DD42" s="5">
        <f t="shared" si="65"/>
        <v>1.7266865002204341</v>
      </c>
      <c r="DE42" s="5">
        <f t="shared" si="66"/>
        <v>3.0666541867587034</v>
      </c>
      <c r="DF42" s="5">
        <f t="shared" si="67"/>
        <v>3.2</v>
      </c>
      <c r="DG42" s="5" t="str">
        <f t="shared" si="68"/>
        <v>OK</v>
      </c>
      <c r="DH42" s="203">
        <f t="shared" si="69"/>
        <v>51.836555160202302</v>
      </c>
      <c r="DI42" s="203" t="str">
        <f t="shared" si="70"/>
        <v>-</v>
      </c>
      <c r="DJ42" s="46">
        <f t="shared" si="71"/>
        <v>0</v>
      </c>
      <c r="DK42" s="5" t="str">
        <f t="shared" si="72"/>
        <v>OK</v>
      </c>
      <c r="EB42" s="18"/>
      <c r="EC42" s="77"/>
      <c r="ED42" s="77"/>
      <c r="EE42" s="18"/>
      <c r="EF42" s="18"/>
      <c r="EG42" s="18"/>
      <c r="EH42" s="5"/>
      <c r="EI42" s="5"/>
      <c r="EJ42" s="5"/>
      <c r="EK42" s="5"/>
      <c r="EL42" s="5"/>
      <c r="EN42" s="26"/>
      <c r="EO42" s="26"/>
      <c r="EP42" s="15"/>
      <c r="EQ42" s="5"/>
      <c r="ER42" s="26"/>
      <c r="ES42" s="26"/>
      <c r="ET42" s="26"/>
      <c r="EU42" s="26"/>
      <c r="EV42" s="26"/>
      <c r="EW42" s="95"/>
      <c r="EX42" s="95"/>
      <c r="EY42" s="54"/>
      <c r="EZ42" s="54"/>
      <c r="FA42" s="54"/>
      <c r="FB42" s="54"/>
      <c r="FC42" s="54"/>
      <c r="FD42" s="15"/>
      <c r="FE42" s="26"/>
      <c r="FF42" s="26"/>
      <c r="FG42" s="26"/>
      <c r="FH42" s="26"/>
      <c r="FI42" s="26"/>
      <c r="FJ42" s="26"/>
      <c r="FK42" s="26"/>
      <c r="FL42" s="26"/>
      <c r="FM42" s="26"/>
      <c r="FN42" s="5"/>
      <c r="FO42" s="54"/>
      <c r="FP42" s="5"/>
      <c r="FQ42" s="5"/>
      <c r="FR42" s="5"/>
      <c r="FS42" s="54"/>
      <c r="FT42" s="54"/>
      <c r="FU42" s="54"/>
      <c r="FV42" s="54"/>
      <c r="FW42" s="54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68"/>
      <c r="GJ42" s="5"/>
      <c r="GK42" s="5"/>
      <c r="GL42" s="54"/>
      <c r="GM42" s="5"/>
      <c r="GN42" s="5"/>
      <c r="GO42" s="5"/>
      <c r="GP42" s="68"/>
      <c r="GQ42" s="68"/>
      <c r="GR42" s="68"/>
      <c r="GS42" s="5"/>
      <c r="GT42" s="5"/>
      <c r="GU42" s="68"/>
      <c r="GV42" s="5"/>
      <c r="GW42" s="54"/>
      <c r="GX42" s="68"/>
      <c r="GY42" s="77"/>
      <c r="GZ42" s="5"/>
      <c r="HA42" s="77"/>
      <c r="HB42" s="54"/>
      <c r="HC42" s="5"/>
      <c r="HD42" s="5"/>
      <c r="HE42" s="5"/>
      <c r="HF42" s="5"/>
      <c r="HG42" s="5"/>
      <c r="HH42" s="205"/>
      <c r="HI42" s="26"/>
      <c r="HJ42" s="26"/>
      <c r="HK42" s="5"/>
    </row>
    <row r="43" spans="2:219">
      <c r="B43" s="79"/>
      <c r="C43" s="261"/>
      <c r="D43" s="256"/>
      <c r="E43" s="262"/>
      <c r="F43" s="256"/>
      <c r="G43" s="262"/>
      <c r="H43" s="2"/>
      <c r="I43" s="2"/>
      <c r="J43" s="2"/>
      <c r="K43" s="2"/>
      <c r="L43" s="2"/>
      <c r="M43" s="2"/>
      <c r="N43" s="10"/>
      <c r="AA43" s="18" t="s">
        <v>488</v>
      </c>
      <c r="AB43" s="22" t="s">
        <v>489</v>
      </c>
      <c r="AC43" s="59">
        <v>7.2811904761904795</v>
      </c>
      <c r="AD43" s="59">
        <v>8.6549999999999994</v>
      </c>
      <c r="AE43" s="22">
        <v>528</v>
      </c>
      <c r="AF43" s="22">
        <v>1528</v>
      </c>
      <c r="AG43" s="22">
        <v>1369.2698412698419</v>
      </c>
      <c r="AH43" s="6">
        <v>10</v>
      </c>
      <c r="AI43" s="6">
        <v>300</v>
      </c>
      <c r="AJ43" s="6">
        <v>14</v>
      </c>
      <c r="AK43" s="24">
        <v>300</v>
      </c>
      <c r="AL43" s="24">
        <v>14</v>
      </c>
      <c r="AM43" s="5">
        <f t="shared" si="17"/>
        <v>1341.2698412698419</v>
      </c>
      <c r="AN43" s="26">
        <f t="shared" si="18"/>
        <v>218.12698412698418</v>
      </c>
      <c r="AO43" s="26">
        <f t="shared" si="19"/>
        <v>586811.79072745051</v>
      </c>
      <c r="AP43" s="15">
        <f t="shared" si="20"/>
        <v>6311.1772486772488</v>
      </c>
      <c r="AQ43" s="5">
        <f t="shared" si="21"/>
        <v>8571.1635945074104</v>
      </c>
      <c r="AR43" s="26">
        <f t="shared" si="22"/>
        <v>420.74514991181661</v>
      </c>
      <c r="AS43" s="26">
        <f t="shared" si="23"/>
        <v>5094.8226505417015</v>
      </c>
      <c r="AT43" s="26">
        <f t="shared" si="24"/>
        <v>51.867428670398397</v>
      </c>
      <c r="AU43" s="26">
        <f t="shared" si="25"/>
        <v>5.3789869588463937</v>
      </c>
      <c r="AV43" s="95">
        <f t="shared" si="26"/>
        <v>1.0005566137566139E-6</v>
      </c>
      <c r="AW43" s="95">
        <f t="shared" si="27"/>
        <v>28928912.396825422</v>
      </c>
      <c r="AX43" s="95">
        <f t="shared" si="28"/>
        <v>2.8928912396825422E-5</v>
      </c>
      <c r="AY43" s="54">
        <f t="shared" si="29"/>
        <v>0.11516876660535029</v>
      </c>
      <c r="AZ43" s="54" t="str">
        <f>_xll.Dce_Name_SectI(AE43,AF43,AI43,AH43,AJ43,"x","-",$O$11)</f>
        <v>(528-1528)x300x10x14</v>
      </c>
      <c r="BA43" s="15">
        <f t="shared" si="30"/>
        <v>1016.4523809523813</v>
      </c>
      <c r="BB43" s="54"/>
      <c r="BC43" s="54"/>
      <c r="BD43" s="22" t="s">
        <v>500</v>
      </c>
      <c r="BE43" s="23">
        <v>58.792220933356276</v>
      </c>
      <c r="BF43" s="23">
        <v>70.769933759737086</v>
      </c>
      <c r="BG43" s="23">
        <v>-3.1147633199217423E-3</v>
      </c>
      <c r="BH43" s="23">
        <v>4.350423324710198E-5</v>
      </c>
      <c r="BI43" s="23">
        <v>2.2735582338385601E-2</v>
      </c>
      <c r="BJ43" s="23">
        <v>-627.8145920966881</v>
      </c>
      <c r="BK43" s="23">
        <v>-313.90729604834405</v>
      </c>
      <c r="BL43" s="92">
        <v>2.25</v>
      </c>
      <c r="BM43" s="93">
        <v>2</v>
      </c>
      <c r="BN43" s="5">
        <f t="shared" si="31"/>
        <v>19.473749999999999</v>
      </c>
      <c r="BO43" s="54">
        <f>_xll.Bimoment(BH43,AY43,AC43,AD43,$O$101)</f>
        <v>-1.9901752874238579E-4</v>
      </c>
      <c r="BP43" s="5">
        <f t="shared" si="32"/>
        <v>0.31313609467455605</v>
      </c>
      <c r="BQ43" s="5">
        <f t="shared" si="33"/>
        <v>32.954024625735798</v>
      </c>
      <c r="BR43" s="24" t="str">
        <f t="shared" si="34"/>
        <v>Cal</v>
      </c>
      <c r="BS43" s="25">
        <f t="shared" si="35"/>
        <v>1.1792028740180703E-2</v>
      </c>
      <c r="BT43" s="25" t="str">
        <f t="shared" si="36"/>
        <v>CT.105</v>
      </c>
      <c r="BU43" s="25">
        <f t="shared" si="37"/>
        <v>1</v>
      </c>
      <c r="BV43" s="25" cm="1">
        <f t="array" ref="BV43">IF(BT43="CT.104",_xll.TCVN5575AnnexEHeSoCx(1,BP43),1)</f>
        <v>1</v>
      </c>
      <c r="BW43" s="25">
        <f t="shared" si="38"/>
        <v>1</v>
      </c>
      <c r="BX43" s="25">
        <f t="shared" si="39"/>
        <v>1.2412661831769161E-2</v>
      </c>
      <c r="BY43" s="25">
        <f t="shared" si="40"/>
        <v>0.33732309261071242</v>
      </c>
      <c r="BZ43" s="25">
        <f t="shared" si="41"/>
        <v>2.4885216083463861E-4</v>
      </c>
      <c r="CA43" s="25">
        <f t="shared" si="42"/>
        <v>3.2203324807075232E-6</v>
      </c>
      <c r="CB43" s="25">
        <f t="shared" si="43"/>
        <v>0.34998782693579689</v>
      </c>
      <c r="CC43" s="5" t="str">
        <f t="shared" si="44"/>
        <v>OK</v>
      </c>
      <c r="CD43" s="5">
        <f t="shared" si="45"/>
        <v>37.545238889226049</v>
      </c>
      <c r="CE43" s="5">
        <f t="shared" si="46"/>
        <v>37.181722419139881</v>
      </c>
      <c r="CF43" s="5">
        <f t="shared" si="47"/>
        <v>1.2506397644909562</v>
      </c>
      <c r="CG43" s="5">
        <f t="shared" si="48"/>
        <v>1.2385309547993069</v>
      </c>
      <c r="CH43" s="5">
        <f t="shared" si="49"/>
        <v>27.175725656793649</v>
      </c>
      <c r="CI43" s="68">
        <f>_xll.DCETCVN5575PhuLucD2Eta(BP43,CH43,CF43)</f>
        <v>1.2126272189349112</v>
      </c>
      <c r="CJ43" s="5">
        <f t="shared" si="50"/>
        <v>32.954024625735798</v>
      </c>
      <c r="CK43" s="5">
        <f>MIN(noisuy2chieu(CJ43,CF43,Data!$DA$2:$EB$24),1)</f>
        <v>7.1994885802268982E-2</v>
      </c>
      <c r="CL43" s="102" t="str">
        <f t="shared" si="51"/>
        <v>-</v>
      </c>
      <c r="CM43" s="5" t="str">
        <f t="shared" si="52"/>
        <v>OK</v>
      </c>
      <c r="CN43" s="5">
        <f t="shared" si="53"/>
        <v>0.86643683692746631</v>
      </c>
      <c r="CO43" s="5">
        <f t="shared" si="54"/>
        <v>0.5370345235716667</v>
      </c>
      <c r="CP43" s="25">
        <f>_xll.DCETCVNPhuLucFHeSoOnDinh(1, 0.2, AG43, AH43, AI43, AJ43, AI43, AJ43, $D$28)</f>
        <v>1</v>
      </c>
      <c r="CQ43" s="68">
        <f t="shared" si="55"/>
        <v>0.9</v>
      </c>
      <c r="CR43" s="68">
        <f t="shared" si="56"/>
        <v>1</v>
      </c>
      <c r="CS43" s="5">
        <f t="shared" si="57"/>
        <v>0.18181818181818182</v>
      </c>
      <c r="CT43" s="5">
        <f t="shared" si="58"/>
        <v>0.10347287704587492</v>
      </c>
      <c r="CU43" s="26">
        <f t="shared" si="59"/>
        <v>13.587862828396824</v>
      </c>
      <c r="CV43" s="5"/>
      <c r="CW43" s="25"/>
      <c r="CX43" s="72">
        <f>MAX(_xll.Dce_c_925(CU43, CQ43, CR43, CN43, CP43, CS43, CT43),0.3)</f>
        <v>0.3</v>
      </c>
      <c r="CY43" s="102" t="str">
        <f t="shared" si="60"/>
        <v>-</v>
      </c>
      <c r="CZ43" s="5" t="str">
        <f t="shared" si="61"/>
        <v>OK</v>
      </c>
      <c r="DA43" s="47">
        <f t="shared" si="62"/>
        <v>0.34499859601035404</v>
      </c>
      <c r="DB43" s="46">
        <f t="shared" si="63"/>
        <v>0.8829274697022973</v>
      </c>
      <c r="DC43" s="5" t="str">
        <f t="shared" si="64"/>
        <v>OK</v>
      </c>
      <c r="DD43" s="5">
        <f t="shared" si="65"/>
        <v>1.2506397644909562</v>
      </c>
      <c r="DE43" s="5">
        <f t="shared" si="66"/>
        <v>4.4677979100191463</v>
      </c>
      <c r="DF43" s="5">
        <f t="shared" si="67"/>
        <v>3.2</v>
      </c>
      <c r="DG43" s="5" t="str">
        <f t="shared" si="68"/>
        <v>Gia cường</v>
      </c>
      <c r="DH43" s="203">
        <f t="shared" si="69"/>
        <v>37.545238889226049</v>
      </c>
      <c r="DI43" s="203" t="str">
        <f t="shared" si="70"/>
        <v>-</v>
      </c>
      <c r="DJ43" s="46">
        <f t="shared" si="71"/>
        <v>0</v>
      </c>
      <c r="DK43" s="5" t="str">
        <f t="shared" si="72"/>
        <v>OK</v>
      </c>
      <c r="EB43" s="18"/>
      <c r="EC43" s="77"/>
      <c r="ED43" s="77"/>
      <c r="EE43" s="18"/>
      <c r="EF43" s="18"/>
      <c r="EG43" s="18"/>
      <c r="EH43" s="5"/>
      <c r="EI43" s="5"/>
      <c r="EJ43" s="5"/>
      <c r="EK43" s="5"/>
      <c r="EL43" s="5"/>
      <c r="EN43" s="26"/>
      <c r="EO43" s="26"/>
      <c r="EP43" s="15"/>
      <c r="EQ43" s="5"/>
      <c r="ER43" s="26"/>
      <c r="ES43" s="26"/>
      <c r="ET43" s="26"/>
      <c r="EU43" s="26"/>
      <c r="EV43" s="26"/>
      <c r="EW43" s="95"/>
      <c r="EX43" s="95"/>
      <c r="EY43" s="54"/>
      <c r="EZ43" s="54"/>
      <c r="FA43" s="54"/>
      <c r="FB43" s="54"/>
      <c r="FC43" s="54"/>
      <c r="FD43" s="15"/>
      <c r="FE43" s="26"/>
      <c r="FF43" s="26"/>
      <c r="FG43" s="26"/>
      <c r="FH43" s="26"/>
      <c r="FI43" s="26"/>
      <c r="FJ43" s="26"/>
      <c r="FK43" s="26"/>
      <c r="FL43" s="26"/>
      <c r="FM43" s="26"/>
      <c r="FN43" s="5"/>
      <c r="FO43" s="54"/>
      <c r="FP43" s="5"/>
      <c r="FQ43" s="5"/>
      <c r="FR43" s="5"/>
      <c r="FS43" s="54"/>
      <c r="FT43" s="54"/>
      <c r="FU43" s="54"/>
      <c r="FV43" s="54"/>
      <c r="FW43" s="54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68"/>
      <c r="GJ43" s="5"/>
      <c r="GK43" s="5"/>
      <c r="GL43" s="54"/>
      <c r="GM43" s="5"/>
      <c r="GN43" s="5"/>
      <c r="GO43" s="5"/>
      <c r="GP43" s="68"/>
      <c r="GQ43" s="68"/>
      <c r="GR43" s="68"/>
      <c r="GS43" s="5"/>
      <c r="GT43" s="5"/>
      <c r="GU43" s="68"/>
      <c r="GV43" s="5"/>
      <c r="GW43" s="54"/>
      <c r="GX43" s="68"/>
      <c r="GY43" s="77"/>
      <c r="GZ43" s="5"/>
      <c r="HA43" s="77"/>
      <c r="HB43" s="54"/>
      <c r="HC43" s="5"/>
      <c r="HD43" s="5"/>
      <c r="HE43" s="5"/>
      <c r="HF43" s="5"/>
      <c r="HG43" s="5"/>
      <c r="HH43" s="205"/>
      <c r="HI43" s="26"/>
      <c r="HJ43" s="26"/>
      <c r="HK43" s="5"/>
    </row>
    <row r="44" spans="2:219">
      <c r="B44" s="69"/>
      <c r="C44" s="2"/>
      <c r="D44" s="2"/>
      <c r="E44" s="2"/>
      <c r="F44" s="2"/>
      <c r="G44" s="2"/>
      <c r="H44" s="2"/>
      <c r="I44" s="2"/>
      <c r="J44" s="2"/>
      <c r="K44" s="2" t="s">
        <v>121</v>
      </c>
      <c r="L44" s="2"/>
      <c r="M44" s="2"/>
      <c r="N44" s="10"/>
      <c r="AA44" s="18" t="s">
        <v>488</v>
      </c>
      <c r="AB44" s="22" t="s">
        <v>489</v>
      </c>
      <c r="AC44" s="59">
        <v>0</v>
      </c>
      <c r="AD44" s="59">
        <v>8.6549999999999994</v>
      </c>
      <c r="AE44" s="22">
        <v>528</v>
      </c>
      <c r="AF44" s="22">
        <v>1528</v>
      </c>
      <c r="AG44" s="22">
        <v>528</v>
      </c>
      <c r="AH44" s="6">
        <v>10</v>
      </c>
      <c r="AI44" s="6">
        <v>300</v>
      </c>
      <c r="AJ44" s="6">
        <v>14</v>
      </c>
      <c r="AK44" s="24">
        <v>300</v>
      </c>
      <c r="AL44" s="24">
        <v>14</v>
      </c>
      <c r="AM44" s="5">
        <f t="shared" si="17"/>
        <v>500</v>
      </c>
      <c r="AN44" s="26">
        <f t="shared" si="18"/>
        <v>134</v>
      </c>
      <c r="AO44" s="26">
        <f t="shared" si="19"/>
        <v>65911.546666666676</v>
      </c>
      <c r="AP44" s="15">
        <f t="shared" si="20"/>
        <v>6304.166666666667</v>
      </c>
      <c r="AQ44" s="5">
        <f t="shared" si="21"/>
        <v>2496.6494949494954</v>
      </c>
      <c r="AR44" s="26">
        <f t="shared" si="22"/>
        <v>420.27777777777777</v>
      </c>
      <c r="AS44" s="26">
        <f t="shared" si="23"/>
        <v>1391.9</v>
      </c>
      <c r="AT44" s="26">
        <f t="shared" si="24"/>
        <v>22.178305028345793</v>
      </c>
      <c r="AU44" s="26">
        <f t="shared" si="25"/>
        <v>6.8590101254115021</v>
      </c>
      <c r="AV44" s="95">
        <f t="shared" si="26"/>
        <v>7.201333333333334E-7</v>
      </c>
      <c r="AW44" s="95">
        <f t="shared" si="27"/>
        <v>4161087</v>
      </c>
      <c r="AX44" s="95">
        <f t="shared" si="28"/>
        <v>4.1610870000000001E-6</v>
      </c>
      <c r="AY44" s="54">
        <f t="shared" si="29"/>
        <v>0.25762202780669918</v>
      </c>
      <c r="AZ44" s="54" t="str">
        <f>_xll.Dce_Name_SectI(AE44,AF44,AI44,AH44,AJ44,"x","-",$O$11)</f>
        <v>(528-1528)x300x10x14</v>
      </c>
      <c r="BA44" s="15">
        <f t="shared" si="30"/>
        <v>385.5</v>
      </c>
      <c r="BB44" s="54"/>
      <c r="BC44" s="54"/>
      <c r="BD44" s="22" t="s">
        <v>501</v>
      </c>
      <c r="BE44" s="23">
        <v>-203.41858557900679</v>
      </c>
      <c r="BF44" s="23">
        <v>-118.58112212628522</v>
      </c>
      <c r="BG44" s="23">
        <v>7.2126094136662489E-4</v>
      </c>
      <c r="BH44" s="23">
        <v>-1.0073928900015856E-5</v>
      </c>
      <c r="BI44" s="23">
        <v>-6.9177759717820042E-7</v>
      </c>
      <c r="BJ44" s="23">
        <v>-2.7274353726093157</v>
      </c>
      <c r="BK44" s="23">
        <v>530.57634889194094</v>
      </c>
      <c r="BL44" s="92">
        <v>2.25</v>
      </c>
      <c r="BM44" s="93">
        <v>2</v>
      </c>
      <c r="BN44" s="5">
        <f t="shared" si="31"/>
        <v>19.473749999999999</v>
      </c>
      <c r="BO44" s="54">
        <f>_xll.Bimoment(BH44,AY44,AC44,AD44,$O$101)</f>
        <v>0</v>
      </c>
      <c r="BP44" s="5">
        <f t="shared" si="32"/>
        <v>0.84</v>
      </c>
      <c r="BQ44" s="5">
        <f t="shared" si="33"/>
        <v>0.10915062959045665</v>
      </c>
      <c r="BR44" s="24" t="str">
        <f t="shared" si="34"/>
        <v>Cal</v>
      </c>
      <c r="BS44" s="25">
        <f t="shared" si="35"/>
        <v>6.6414650142399612E-2</v>
      </c>
      <c r="BT44" s="25" t="str">
        <f t="shared" si="36"/>
        <v>CT.105</v>
      </c>
      <c r="BU44" s="25">
        <f t="shared" si="37"/>
        <v>1</v>
      </c>
      <c r="BV44" s="25" cm="1">
        <f t="array" ref="BV44">IF(BT44="CT.104",_xll.TCVN5575AnnexEHeSoCx(1,BP44),1)</f>
        <v>1</v>
      </c>
      <c r="BW44" s="25">
        <f t="shared" si="38"/>
        <v>1</v>
      </c>
      <c r="BX44" s="25">
        <f t="shared" si="39"/>
        <v>6.991015804463116E-2</v>
      </c>
      <c r="BY44" s="25">
        <f t="shared" si="40"/>
        <v>5.0309655650204402E-3</v>
      </c>
      <c r="BZ44" s="25">
        <f t="shared" si="41"/>
        <v>7.580267266536792E-9</v>
      </c>
      <c r="CA44" s="25">
        <f t="shared" si="42"/>
        <v>0</v>
      </c>
      <c r="CB44" s="25">
        <f t="shared" si="43"/>
        <v>7.4941131189918866E-2</v>
      </c>
      <c r="CC44" s="5" t="str">
        <f t="shared" si="44"/>
        <v>OK</v>
      </c>
      <c r="CD44" s="5">
        <f t="shared" si="45"/>
        <v>87.805402509844015</v>
      </c>
      <c r="CE44" s="5">
        <f t="shared" si="46"/>
        <v>29.158726455153193</v>
      </c>
      <c r="CF44" s="5">
        <f t="shared" si="47"/>
        <v>2.9248163326364334</v>
      </c>
      <c r="CG44" s="5">
        <f t="shared" si="48"/>
        <v>0.97128328026682387</v>
      </c>
      <c r="CH44" s="5">
        <f t="shared" si="49"/>
        <v>7.1963298406629753E-2</v>
      </c>
      <c r="CI44" s="68">
        <f>_xll.DCETCVN5575PhuLucD2Eta(BP44,CH44,CF44)</f>
        <v>1.51675412338244</v>
      </c>
      <c r="CJ44" s="5">
        <f t="shared" si="50"/>
        <v>0.10915062959045665</v>
      </c>
      <c r="CK44" s="5">
        <f>MIN(noisuy2chieu(CJ44,CF44,Data!$DA$2:$EB$24),1)</f>
        <v>0.67400723695755005</v>
      </c>
      <c r="CL44" s="102">
        <f t="shared" si="51"/>
        <v>0.10372315638657482</v>
      </c>
      <c r="CM44" s="5" t="str">
        <f t="shared" si="52"/>
        <v>OK</v>
      </c>
      <c r="CN44" s="5">
        <f t="shared" si="53"/>
        <v>0.90492218941026858</v>
      </c>
      <c r="CO44" s="5">
        <f t="shared" si="54"/>
        <v>0.5370345235716667</v>
      </c>
      <c r="CP44" s="25">
        <f>_xll.DCETCVNPhuLucFHeSoOnDinh(1, 0.2, AG44, AH44, AI44, AJ44, AI44, AJ44, $D$28)</f>
        <v>1</v>
      </c>
      <c r="CQ44" s="68">
        <f t="shared" si="55"/>
        <v>0.9</v>
      </c>
      <c r="CR44" s="68">
        <f t="shared" si="56"/>
        <v>1</v>
      </c>
      <c r="CS44" s="5">
        <f t="shared" si="57"/>
        <v>0.18181818181818182</v>
      </c>
      <c r="CT44" s="5">
        <f t="shared" si="58"/>
        <v>9.9510191986788829E-2</v>
      </c>
      <c r="CU44" s="26">
        <f t="shared" si="59"/>
        <v>13.999240644254906</v>
      </c>
      <c r="CV44" s="5"/>
      <c r="CW44" s="25"/>
      <c r="CX44" s="72">
        <f>MAX(_xll.Dce_c_925(CU44, CQ44, CR44, CN44, CP44, CS44, CT44),0.3)</f>
        <v>0.3</v>
      </c>
      <c r="CY44" s="102">
        <f t="shared" si="60"/>
        <v>0.25751811909998262</v>
      </c>
      <c r="CZ44" s="5" t="str">
        <f t="shared" si="61"/>
        <v>OK</v>
      </c>
      <c r="DA44" s="47">
        <f t="shared" si="62"/>
        <v>0.34499859601035404</v>
      </c>
      <c r="DB44" s="46">
        <f t="shared" si="63"/>
        <v>0.45712832802668235</v>
      </c>
      <c r="DC44" s="5" t="str">
        <f t="shared" si="64"/>
        <v>OK</v>
      </c>
      <c r="DD44" s="5">
        <f t="shared" si="65"/>
        <v>2.9248163326364334</v>
      </c>
      <c r="DE44" s="5">
        <f t="shared" si="66"/>
        <v>1.6655104634982609</v>
      </c>
      <c r="DF44" s="5" t="str">
        <f t="shared" si="67"/>
        <v>-</v>
      </c>
      <c r="DG44" s="5" t="str">
        <f t="shared" si="68"/>
        <v>-</v>
      </c>
      <c r="DH44" s="203" t="str">
        <f t="shared" si="69"/>
        <v>-</v>
      </c>
      <c r="DI44" s="203">
        <f t="shared" si="70"/>
        <v>180</v>
      </c>
      <c r="DJ44" s="46">
        <f t="shared" si="71"/>
        <v>0</v>
      </c>
      <c r="DK44" s="5" t="str">
        <f t="shared" si="72"/>
        <v>OK</v>
      </c>
      <c r="EB44" s="18"/>
      <c r="EC44" s="77"/>
      <c r="ED44" s="77"/>
      <c r="EE44" s="18"/>
      <c r="EF44" s="18"/>
      <c r="EG44" s="18"/>
      <c r="EH44" s="5"/>
      <c r="EI44" s="5"/>
      <c r="EJ44" s="5"/>
      <c r="EK44" s="5"/>
      <c r="EL44" s="5"/>
      <c r="EN44" s="26"/>
      <c r="EO44" s="26"/>
      <c r="EP44" s="15"/>
      <c r="EQ44" s="5"/>
      <c r="ER44" s="26"/>
      <c r="ES44" s="26"/>
      <c r="ET44" s="26"/>
      <c r="EU44" s="26"/>
      <c r="EV44" s="26"/>
      <c r="EW44" s="95"/>
      <c r="EX44" s="95"/>
      <c r="EY44" s="54"/>
      <c r="EZ44" s="54"/>
      <c r="FA44" s="54"/>
      <c r="FB44" s="54"/>
      <c r="FC44" s="54"/>
      <c r="FD44" s="15"/>
      <c r="FE44" s="26"/>
      <c r="FF44" s="26"/>
      <c r="FG44" s="26"/>
      <c r="FH44" s="26"/>
      <c r="FI44" s="26"/>
      <c r="FJ44" s="26"/>
      <c r="FK44" s="26"/>
      <c r="FL44" s="26"/>
      <c r="FM44" s="26"/>
      <c r="FN44" s="5"/>
      <c r="FO44" s="54"/>
      <c r="FP44" s="5"/>
      <c r="FQ44" s="5"/>
      <c r="FR44" s="5"/>
      <c r="FS44" s="54"/>
      <c r="FT44" s="54"/>
      <c r="FU44" s="54"/>
      <c r="FV44" s="54"/>
      <c r="FW44" s="54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68"/>
      <c r="GJ44" s="5"/>
      <c r="GK44" s="5"/>
      <c r="GL44" s="54"/>
      <c r="GM44" s="5"/>
      <c r="GN44" s="5"/>
      <c r="GO44" s="5"/>
      <c r="GP44" s="68"/>
      <c r="GQ44" s="68"/>
      <c r="GR44" s="68"/>
      <c r="GS44" s="5"/>
      <c r="GT44" s="5"/>
      <c r="GU44" s="68"/>
      <c r="GV44" s="5"/>
      <c r="GW44" s="54"/>
      <c r="GX44" s="68"/>
      <c r="GY44" s="77"/>
      <c r="GZ44" s="5"/>
      <c r="HA44" s="77"/>
      <c r="HB44" s="54"/>
      <c r="HC44" s="5"/>
      <c r="HD44" s="5"/>
      <c r="HE44" s="5"/>
      <c r="HF44" s="5"/>
      <c r="HG44" s="5"/>
      <c r="HH44" s="205"/>
      <c r="HI44" s="26"/>
      <c r="HJ44" s="26"/>
      <c r="HK44" s="5"/>
    </row>
    <row r="45" spans="2:219">
      <c r="B45" s="69"/>
      <c r="C45" s="2"/>
      <c r="D45" s="2"/>
      <c r="E45" s="2"/>
      <c r="F45" s="2"/>
      <c r="G45" s="2"/>
      <c r="H45" s="2"/>
      <c r="I45" s="2"/>
      <c r="J45" s="2"/>
      <c r="K45" s="2"/>
      <c r="L45" s="2"/>
      <c r="M45" s="263"/>
      <c r="N45" s="10"/>
      <c r="AA45" s="18" t="s">
        <v>488</v>
      </c>
      <c r="AB45" s="22" t="s">
        <v>489</v>
      </c>
      <c r="AC45" s="59">
        <v>3.6405952380952398</v>
      </c>
      <c r="AD45" s="59">
        <v>8.6549999999999994</v>
      </c>
      <c r="AE45" s="22">
        <v>528</v>
      </c>
      <c r="AF45" s="22">
        <v>1528</v>
      </c>
      <c r="AG45" s="22">
        <v>948.63492063492095</v>
      </c>
      <c r="AH45" s="6">
        <v>10</v>
      </c>
      <c r="AI45" s="6">
        <v>300</v>
      </c>
      <c r="AJ45" s="6">
        <v>14</v>
      </c>
      <c r="AK45" s="24">
        <v>300</v>
      </c>
      <c r="AL45" s="24">
        <v>14</v>
      </c>
      <c r="AM45" s="5">
        <f t="shared" si="17"/>
        <v>920.63492063492095</v>
      </c>
      <c r="AN45" s="26">
        <f t="shared" si="18"/>
        <v>176.06349206349208</v>
      </c>
      <c r="AO45" s="26">
        <f t="shared" si="19"/>
        <v>248482.7399356656</v>
      </c>
      <c r="AP45" s="15">
        <f t="shared" si="20"/>
        <v>6307.6719576719579</v>
      </c>
      <c r="AQ45" s="5">
        <f t="shared" si="21"/>
        <v>5238.7432621467533</v>
      </c>
      <c r="AR45" s="26">
        <f t="shared" si="22"/>
        <v>420.51146384479722</v>
      </c>
      <c r="AS45" s="26">
        <f t="shared" si="23"/>
        <v>3022.1941546989178</v>
      </c>
      <c r="AT45" s="26">
        <f t="shared" si="24"/>
        <v>37.567600585756203</v>
      </c>
      <c r="AU45" s="26">
        <f t="shared" si="25"/>
        <v>5.9854925384629922</v>
      </c>
      <c r="AV45" s="95">
        <f t="shared" si="26"/>
        <v>8.6034497354497351E-7</v>
      </c>
      <c r="AW45" s="95">
        <f t="shared" si="27"/>
        <v>13758293.349206358</v>
      </c>
      <c r="AX45" s="95">
        <f t="shared" si="28"/>
        <v>1.3758293349206359E-5</v>
      </c>
      <c r="AY45" s="54">
        <f t="shared" si="29"/>
        <v>0.1548581140202015</v>
      </c>
      <c r="AZ45" s="54" t="str">
        <f>_xll.Dce_Name_SectI(AE45,AF45,AI45,AH45,AJ45,"x","-",$O$11)</f>
        <v>(528-1528)x300x10x14</v>
      </c>
      <c r="BA45" s="15">
        <f t="shared" si="30"/>
        <v>700.97619047619071</v>
      </c>
      <c r="BB45" s="54"/>
      <c r="BC45" s="54"/>
      <c r="BD45" s="22" t="s">
        <v>501</v>
      </c>
      <c r="BE45" s="23">
        <v>-200.35956989244096</v>
      </c>
      <c r="BF45" s="23">
        <v>-145.7525543135678</v>
      </c>
      <c r="BG45" s="23">
        <v>7.2126094136495738E-4</v>
      </c>
      <c r="BH45" s="23">
        <v>-1.0073928900015856E-5</v>
      </c>
      <c r="BI45" s="23">
        <v>-2.6326947762737867E-3</v>
      </c>
      <c r="BJ45" s="23">
        <v>479.5394918862213</v>
      </c>
      <c r="BK45" s="23">
        <v>530.57634889194094</v>
      </c>
      <c r="BL45" s="92">
        <v>2.25</v>
      </c>
      <c r="BM45" s="93">
        <v>2</v>
      </c>
      <c r="BN45" s="5">
        <f t="shared" si="31"/>
        <v>19.473749999999999</v>
      </c>
      <c r="BO45" s="54">
        <f>_xll.Bimoment(BH45,AY45,AC45,AD45,$O$101)</f>
        <v>7.7475229432419609E-5</v>
      </c>
      <c r="BP45" s="5">
        <f t="shared" si="32"/>
        <v>0.45620689655172403</v>
      </c>
      <c r="BQ45" s="5">
        <f t="shared" si="33"/>
        <v>9.9841875260666075</v>
      </c>
      <c r="BR45" s="24" t="str">
        <f t="shared" si="34"/>
        <v>Cal</v>
      </c>
      <c r="BS45" s="25">
        <f t="shared" si="35"/>
        <v>4.9787330014067828E-2</v>
      </c>
      <c r="BT45" s="25" t="str">
        <f t="shared" si="36"/>
        <v>CT.105</v>
      </c>
      <c r="BU45" s="25">
        <f t="shared" si="37"/>
        <v>1</v>
      </c>
      <c r="BV45" s="25" cm="1">
        <f t="array" ref="BV45">IF(BT45="CT.104",_xll.TCVN5575AnnexEHeSoCx(1,BP45),1)</f>
        <v>1</v>
      </c>
      <c r="BW45" s="25">
        <f t="shared" si="38"/>
        <v>1</v>
      </c>
      <c r="BX45" s="25">
        <f t="shared" si="39"/>
        <v>5.2407715804281926E-2</v>
      </c>
      <c r="BY45" s="25">
        <f t="shared" si="40"/>
        <v>0.42155254499610817</v>
      </c>
      <c r="BZ45" s="25">
        <f t="shared" si="41"/>
        <v>2.8832156318169791E-5</v>
      </c>
      <c r="CA45" s="25">
        <f t="shared" si="42"/>
        <v>1.8178415462513023E-6</v>
      </c>
      <c r="CB45" s="25">
        <f t="shared" si="43"/>
        <v>0.47399091079825451</v>
      </c>
      <c r="CC45" s="5" t="str">
        <f t="shared" si="44"/>
        <v>OK</v>
      </c>
      <c r="CD45" s="5">
        <f t="shared" si="45"/>
        <v>51.836555160202302</v>
      </c>
      <c r="CE45" s="5">
        <f t="shared" si="46"/>
        <v>33.414125690541383</v>
      </c>
      <c r="CF45" s="5">
        <f t="shared" si="47"/>
        <v>1.7266865002204341</v>
      </c>
      <c r="CG45" s="5">
        <f t="shared" si="48"/>
        <v>1.1130315193248546</v>
      </c>
      <c r="CH45" s="5">
        <f t="shared" si="49"/>
        <v>8.043711475050884</v>
      </c>
      <c r="CI45" s="68">
        <f>_xll.DCETCVN5575PhuLucD2Eta(BP45,CH45,CF45)</f>
        <v>1.2412413793103447</v>
      </c>
      <c r="CJ45" s="5">
        <f t="shared" si="50"/>
        <v>9.9841875260666075</v>
      </c>
      <c r="CK45" s="5">
        <f>MIN(noisuy2chieu(CJ45,CF45,Data!$DA$2:$EB$24),1)</f>
        <v>0.13013385236263275</v>
      </c>
      <c r="CL45" s="102">
        <f t="shared" si="51"/>
        <v>0.40272161972306697</v>
      </c>
      <c r="CM45" s="5" t="str">
        <f t="shared" si="52"/>
        <v>OK</v>
      </c>
      <c r="CN45" s="5">
        <f t="shared" si="53"/>
        <v>0.88472625978979058</v>
      </c>
      <c r="CO45" s="5">
        <f t="shared" si="54"/>
        <v>0.5370345235716667</v>
      </c>
      <c r="CP45" s="25">
        <f>_xll.DCETCVNPhuLucFHeSoOnDinh(1, 0.2, AG45, AH45, AI45, AJ45, AI45, AJ45, $D$28)</f>
        <v>1</v>
      </c>
      <c r="CQ45" s="68">
        <f t="shared" si="55"/>
        <v>0.9</v>
      </c>
      <c r="CR45" s="68">
        <f t="shared" si="56"/>
        <v>1</v>
      </c>
      <c r="CS45" s="5">
        <f t="shared" si="57"/>
        <v>0.18181818181818182</v>
      </c>
      <c r="CT45" s="5">
        <f t="shared" si="58"/>
        <v>0.10155106457844131</v>
      </c>
      <c r="CU45" s="26">
        <f t="shared" si="59"/>
        <v>8.8997947784982703</v>
      </c>
      <c r="CV45" s="5"/>
      <c r="CW45" s="25"/>
      <c r="CX45" s="72">
        <f>MAX(_xll.Dce_c_925(CU45, CQ45, CR45, CN45, CP45, CS45, CT45),0.3)</f>
        <v>0.3</v>
      </c>
      <c r="CY45" s="102">
        <f t="shared" si="60"/>
        <v>0.19745360113508975</v>
      </c>
      <c r="CZ45" s="5" t="str">
        <f t="shared" si="61"/>
        <v>OK</v>
      </c>
      <c r="DA45" s="47">
        <f t="shared" si="62"/>
        <v>0.34499859601035404</v>
      </c>
      <c r="DB45" s="46">
        <f t="shared" si="63"/>
        <v>0.47130315193248545</v>
      </c>
      <c r="DC45" s="5" t="str">
        <f t="shared" si="64"/>
        <v>OK</v>
      </c>
      <c r="DD45" s="5">
        <f t="shared" si="65"/>
        <v>1.7266865002204341</v>
      </c>
      <c r="DE45" s="5">
        <f t="shared" si="66"/>
        <v>3.0666541867587034</v>
      </c>
      <c r="DF45" s="5">
        <f t="shared" si="67"/>
        <v>1.7472169405065237</v>
      </c>
      <c r="DG45" s="5" t="str">
        <f t="shared" si="68"/>
        <v>Gia cường</v>
      </c>
      <c r="DH45" s="203">
        <f t="shared" si="69"/>
        <v>51.836555160202302</v>
      </c>
      <c r="DI45" s="203">
        <f t="shared" si="70"/>
        <v>180</v>
      </c>
      <c r="DJ45" s="46">
        <f t="shared" si="71"/>
        <v>0.28798086200112388</v>
      </c>
      <c r="DK45" s="5" t="str">
        <f t="shared" si="72"/>
        <v>OK</v>
      </c>
      <c r="EB45" s="18"/>
      <c r="EC45" s="77"/>
      <c r="ED45" s="77"/>
      <c r="EE45" s="18"/>
      <c r="EF45" s="18"/>
      <c r="EG45" s="18"/>
      <c r="EH45" s="5"/>
      <c r="EI45" s="5"/>
      <c r="EJ45" s="5"/>
      <c r="EK45" s="5"/>
      <c r="EL45" s="5"/>
      <c r="EN45" s="26"/>
      <c r="EO45" s="26"/>
      <c r="EP45" s="15"/>
      <c r="EQ45" s="5"/>
      <c r="ER45" s="26"/>
      <c r="ES45" s="26"/>
      <c r="ET45" s="26"/>
      <c r="EU45" s="26"/>
      <c r="EV45" s="26"/>
      <c r="EW45" s="95"/>
      <c r="EX45" s="95"/>
      <c r="EY45" s="54"/>
      <c r="EZ45" s="54"/>
      <c r="FA45" s="54"/>
      <c r="FB45" s="54"/>
      <c r="FC45" s="54"/>
      <c r="FD45" s="15"/>
      <c r="FE45" s="26"/>
      <c r="FF45" s="26"/>
      <c r="FG45" s="26"/>
      <c r="FH45" s="26"/>
      <c r="FI45" s="26"/>
      <c r="FJ45" s="26"/>
      <c r="FK45" s="26"/>
      <c r="FL45" s="26"/>
      <c r="FM45" s="26"/>
      <c r="FN45" s="5"/>
      <c r="FO45" s="54"/>
      <c r="FP45" s="5"/>
      <c r="FQ45" s="5"/>
      <c r="FR45" s="5"/>
      <c r="FS45" s="54"/>
      <c r="FT45" s="54"/>
      <c r="FU45" s="54"/>
      <c r="FV45" s="54"/>
      <c r="FW45" s="54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68"/>
      <c r="GJ45" s="5"/>
      <c r="GK45" s="5"/>
      <c r="GL45" s="54"/>
      <c r="GM45" s="5"/>
      <c r="GN45" s="5"/>
      <c r="GO45" s="5"/>
      <c r="GP45" s="68"/>
      <c r="GQ45" s="68"/>
      <c r="GR45" s="68"/>
      <c r="GS45" s="5"/>
      <c r="GT45" s="5"/>
      <c r="GU45" s="68"/>
      <c r="GV45" s="5"/>
      <c r="GW45" s="54"/>
      <c r="GX45" s="68"/>
      <c r="GY45" s="77"/>
      <c r="GZ45" s="5"/>
      <c r="HA45" s="77"/>
      <c r="HB45" s="54"/>
      <c r="HC45" s="5"/>
      <c r="HD45" s="5"/>
      <c r="HE45" s="5"/>
      <c r="HF45" s="5"/>
      <c r="HG45" s="5"/>
      <c r="HH45" s="205"/>
      <c r="HI45" s="26"/>
      <c r="HJ45" s="26"/>
      <c r="HK45" s="5"/>
    </row>
    <row r="46" spans="2:219" ht="15">
      <c r="B46" s="9" t="s">
        <v>405</v>
      </c>
      <c r="C46" s="2"/>
      <c r="D46" s="2"/>
      <c r="E46" s="254" t="s">
        <v>190</v>
      </c>
      <c r="F46" s="264">
        <f>(F18*F19)/(F20*F17)</f>
        <v>0.31313609467455605</v>
      </c>
      <c r="G46" s="252" t="s">
        <v>117</v>
      </c>
      <c r="H46" s="32">
        <v>1.5</v>
      </c>
      <c r="I46" s="252" t="s">
        <v>118</v>
      </c>
      <c r="J46" s="265" cm="1">
        <f t="array" ref="J46">_xll.TCVN5575AnnexEHeSoCx(1,F46)</f>
        <v>1.1723218934911244</v>
      </c>
      <c r="K46" s="252" t="s">
        <v>120</v>
      </c>
      <c r="L46" s="32">
        <v>1.47</v>
      </c>
      <c r="M46" s="2"/>
      <c r="N46" s="10"/>
      <c r="O46" s="237" t="s">
        <v>393</v>
      </c>
      <c r="AA46" s="18" t="s">
        <v>488</v>
      </c>
      <c r="AB46" s="22" t="s">
        <v>489</v>
      </c>
      <c r="AC46" s="59">
        <v>7.2811904761904795</v>
      </c>
      <c r="AD46" s="59">
        <v>8.6549999999999994</v>
      </c>
      <c r="AE46" s="22">
        <v>528</v>
      </c>
      <c r="AF46" s="22">
        <v>1528</v>
      </c>
      <c r="AG46" s="22">
        <v>1369.2698412698419</v>
      </c>
      <c r="AH46" s="6">
        <v>10</v>
      </c>
      <c r="AI46" s="6">
        <v>300</v>
      </c>
      <c r="AJ46" s="6">
        <v>14</v>
      </c>
      <c r="AK46" s="24">
        <v>300</v>
      </c>
      <c r="AL46" s="24">
        <v>14</v>
      </c>
      <c r="AM46" s="5">
        <f t="shared" si="17"/>
        <v>1341.2698412698419</v>
      </c>
      <c r="AN46" s="26">
        <f t="shared" si="18"/>
        <v>218.12698412698418</v>
      </c>
      <c r="AO46" s="26">
        <f t="shared" si="19"/>
        <v>586811.79072745051</v>
      </c>
      <c r="AP46" s="15">
        <f t="shared" si="20"/>
        <v>6311.1772486772488</v>
      </c>
      <c r="AQ46" s="5">
        <f t="shared" si="21"/>
        <v>8571.1635945074104</v>
      </c>
      <c r="AR46" s="26">
        <f t="shared" si="22"/>
        <v>420.74514991181661</v>
      </c>
      <c r="AS46" s="26">
        <f t="shared" si="23"/>
        <v>5094.8226505417015</v>
      </c>
      <c r="AT46" s="26">
        <f t="shared" si="24"/>
        <v>51.867428670398397</v>
      </c>
      <c r="AU46" s="26">
        <f t="shared" si="25"/>
        <v>5.3789869588463937</v>
      </c>
      <c r="AV46" s="95">
        <f t="shared" si="26"/>
        <v>1.0005566137566139E-6</v>
      </c>
      <c r="AW46" s="95">
        <f t="shared" si="27"/>
        <v>28928912.396825422</v>
      </c>
      <c r="AX46" s="95">
        <f t="shared" si="28"/>
        <v>2.8928912396825422E-5</v>
      </c>
      <c r="AY46" s="54">
        <f t="shared" si="29"/>
        <v>0.11516876660535029</v>
      </c>
      <c r="AZ46" s="54" t="str">
        <f>_xll.Dce_Name_SectI(AE46,AF46,AI46,AH46,AJ46,"x","-",$O$11)</f>
        <v>(528-1528)x300x10x14</v>
      </c>
      <c r="BA46" s="15">
        <f t="shared" si="30"/>
        <v>1016.4523809523813</v>
      </c>
      <c r="BB46" s="54"/>
      <c r="BC46" s="54"/>
      <c r="BD46" s="22" t="s">
        <v>501</v>
      </c>
      <c r="BE46" s="23">
        <v>-195.75911845538275</v>
      </c>
      <c r="BF46" s="23">
        <v>-173.02983703144236</v>
      </c>
      <c r="BG46" s="23">
        <v>7.2126094136328305E-4</v>
      </c>
      <c r="BH46" s="23">
        <v>-1.0073928900015856E-5</v>
      </c>
      <c r="BI46" s="23">
        <v>-5.2646977749442967E-3</v>
      </c>
      <c r="BJ46" s="23">
        <v>1061.1526977838819</v>
      </c>
      <c r="BK46" s="23">
        <v>530.57634889194094</v>
      </c>
      <c r="BL46" s="92">
        <v>2.25</v>
      </c>
      <c r="BM46" s="93">
        <v>2</v>
      </c>
      <c r="BN46" s="5">
        <f t="shared" si="31"/>
        <v>19.473749999999999</v>
      </c>
      <c r="BO46" s="54">
        <f>_xll.Bimoment(BH46,AY46,AC46,AD46,$O$101)</f>
        <v>4.6084904496994245E-5</v>
      </c>
      <c r="BP46" s="5">
        <f t="shared" si="32"/>
        <v>0.31313609467455605</v>
      </c>
      <c r="BQ46" s="5">
        <f t="shared" si="33"/>
        <v>16.728338370523208</v>
      </c>
      <c r="BR46" s="24" t="str">
        <f t="shared" si="34"/>
        <v>Cal</v>
      </c>
      <c r="BS46" s="25">
        <f t="shared" si="35"/>
        <v>3.9263649413669666E-2</v>
      </c>
      <c r="BT46" s="25" t="str">
        <f t="shared" si="36"/>
        <v>CT.105</v>
      </c>
      <c r="BU46" s="25">
        <f t="shared" si="37"/>
        <v>1</v>
      </c>
      <c r="BV46" s="25" cm="1">
        <f t="array" ref="BV46">IF(BT46="CT.104",_xll.TCVN5575AnnexEHeSoCx(1,BP46),1)</f>
        <v>1</v>
      </c>
      <c r="BW46" s="25">
        <f t="shared" si="38"/>
        <v>1</v>
      </c>
      <c r="BX46" s="25">
        <f t="shared" si="39"/>
        <v>4.1330157277547019E-2</v>
      </c>
      <c r="BY46" s="25">
        <f t="shared" si="40"/>
        <v>0.57015449187509903</v>
      </c>
      <c r="BZ46" s="25">
        <f t="shared" si="41"/>
        <v>5.7624713452984336E-5</v>
      </c>
      <c r="CA46" s="25">
        <f t="shared" si="42"/>
        <v>7.4570675135896901E-7</v>
      </c>
      <c r="CB46" s="25">
        <f t="shared" si="43"/>
        <v>0.61154301957285029</v>
      </c>
      <c r="CC46" s="5" t="str">
        <f t="shared" si="44"/>
        <v>OK</v>
      </c>
      <c r="CD46" s="5">
        <f t="shared" si="45"/>
        <v>37.545238889226049</v>
      </c>
      <c r="CE46" s="5">
        <f t="shared" si="46"/>
        <v>37.181722419139881</v>
      </c>
      <c r="CF46" s="5">
        <f t="shared" si="47"/>
        <v>1.2506397644909562</v>
      </c>
      <c r="CG46" s="5">
        <f t="shared" si="48"/>
        <v>1.2385309547993069</v>
      </c>
      <c r="CH46" s="5">
        <f t="shared" si="49"/>
        <v>13.795120305163721</v>
      </c>
      <c r="CI46" s="68">
        <f>_xll.DCETCVN5575PhuLucD2Eta(BP46,CH46,CF46)</f>
        <v>1.2126272189349112</v>
      </c>
      <c r="CJ46" s="5">
        <f t="shared" si="50"/>
        <v>16.728338370523208</v>
      </c>
      <c r="CK46" s="5">
        <f>MIN(noisuy2chieu(CJ46,CF46,Data!$DA$2:$EB$24),1)</f>
        <v>8.553430438041687E-2</v>
      </c>
      <c r="CL46" s="102">
        <f t="shared" si="51"/>
        <v>0.48319978255425661</v>
      </c>
      <c r="CM46" s="5" t="str">
        <f t="shared" si="52"/>
        <v>OK</v>
      </c>
      <c r="CN46" s="5">
        <f t="shared" si="53"/>
        <v>0.86643683692746631</v>
      </c>
      <c r="CO46" s="5">
        <f t="shared" si="54"/>
        <v>0.5370345235716667</v>
      </c>
      <c r="CP46" s="25">
        <f>_xll.DCETCVNPhuLucFHeSoOnDinh(1, 0.2, AG46, AH46, AI46, AJ46, AI46, AJ46, $D$28)</f>
        <v>1</v>
      </c>
      <c r="CQ46" s="68">
        <f t="shared" si="55"/>
        <v>0.9</v>
      </c>
      <c r="CR46" s="68">
        <f t="shared" si="56"/>
        <v>1</v>
      </c>
      <c r="CS46" s="5">
        <f t="shared" si="57"/>
        <v>0.18181818181818182</v>
      </c>
      <c r="CT46" s="5">
        <f t="shared" si="58"/>
        <v>0.10347287704587492</v>
      </c>
      <c r="CU46" s="26">
        <f t="shared" si="59"/>
        <v>6.8975601525818604</v>
      </c>
      <c r="CV46" s="5"/>
      <c r="CW46" s="25"/>
      <c r="CX46" s="72">
        <f>MAX(_xll.Dce_c_925(CU46, CQ46, CR46, CN46, CP46, CS46, CT46),0.3)</f>
        <v>0.3</v>
      </c>
      <c r="CY46" s="102">
        <f t="shared" si="60"/>
        <v>0.15900430943553007</v>
      </c>
      <c r="CZ46" s="5" t="str">
        <f t="shared" si="61"/>
        <v>OK</v>
      </c>
      <c r="DA46" s="47">
        <f t="shared" si="62"/>
        <v>0.34499859601035404</v>
      </c>
      <c r="DB46" s="46">
        <f t="shared" si="63"/>
        <v>0.48385309547993066</v>
      </c>
      <c r="DC46" s="5" t="str">
        <f t="shared" si="64"/>
        <v>OK</v>
      </c>
      <c r="DD46" s="5">
        <f t="shared" si="65"/>
        <v>1.2506397644909562</v>
      </c>
      <c r="DE46" s="5">
        <f t="shared" si="66"/>
        <v>4.4677979100191463</v>
      </c>
      <c r="DF46" s="5" t="str">
        <f t="shared" si="67"/>
        <v>-</v>
      </c>
      <c r="DG46" s="5" t="str">
        <f t="shared" si="68"/>
        <v>-</v>
      </c>
      <c r="DH46" s="203">
        <f t="shared" si="69"/>
        <v>37.545238889226049</v>
      </c>
      <c r="DI46" s="203">
        <f t="shared" si="70"/>
        <v>180</v>
      </c>
      <c r="DJ46" s="46">
        <f t="shared" si="71"/>
        <v>0.20858466049570026</v>
      </c>
      <c r="DK46" s="5" t="str">
        <f t="shared" si="72"/>
        <v>OK</v>
      </c>
      <c r="EB46" s="18"/>
      <c r="EC46" s="77"/>
      <c r="ED46" s="77"/>
      <c r="EE46" s="18"/>
      <c r="EF46" s="18"/>
      <c r="EG46" s="18"/>
      <c r="EH46" s="5"/>
      <c r="EI46" s="5"/>
      <c r="EJ46" s="5"/>
      <c r="EK46" s="5"/>
      <c r="EL46" s="5"/>
      <c r="EN46" s="26"/>
      <c r="EO46" s="26"/>
      <c r="EP46" s="15"/>
      <c r="EQ46" s="5"/>
      <c r="ER46" s="26"/>
      <c r="ES46" s="26"/>
      <c r="ET46" s="26"/>
      <c r="EU46" s="26"/>
      <c r="EV46" s="26"/>
      <c r="EW46" s="95"/>
      <c r="EX46" s="95"/>
      <c r="EY46" s="54"/>
      <c r="EZ46" s="54"/>
      <c r="FA46" s="54"/>
      <c r="FB46" s="54"/>
      <c r="FC46" s="54"/>
      <c r="FD46" s="15"/>
      <c r="FE46" s="26"/>
      <c r="FF46" s="26"/>
      <c r="FG46" s="26"/>
      <c r="FH46" s="26"/>
      <c r="FI46" s="26"/>
      <c r="FJ46" s="26"/>
      <c r="FK46" s="26"/>
      <c r="FL46" s="26"/>
      <c r="FM46" s="26"/>
      <c r="FN46" s="5"/>
      <c r="FO46" s="54"/>
      <c r="FP46" s="5"/>
      <c r="FQ46" s="5"/>
      <c r="FR46" s="5"/>
      <c r="FS46" s="54"/>
      <c r="FT46" s="54"/>
      <c r="FU46" s="54"/>
      <c r="FV46" s="54"/>
      <c r="FW46" s="54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68"/>
      <c r="GJ46" s="5"/>
      <c r="GK46" s="5"/>
      <c r="GL46" s="54"/>
      <c r="GM46" s="5"/>
      <c r="GN46" s="5"/>
      <c r="GO46" s="5"/>
      <c r="GP46" s="68"/>
      <c r="GQ46" s="68"/>
      <c r="GR46" s="68"/>
      <c r="GS46" s="5"/>
      <c r="GT46" s="5"/>
      <c r="GU46" s="68"/>
      <c r="GV46" s="5"/>
      <c r="GW46" s="54"/>
      <c r="GX46" s="68"/>
      <c r="GY46" s="77"/>
      <c r="GZ46" s="5"/>
      <c r="HA46" s="77"/>
      <c r="HB46" s="54"/>
      <c r="HC46" s="5"/>
      <c r="HD46" s="5"/>
      <c r="HE46" s="5"/>
      <c r="HF46" s="5"/>
      <c r="HG46" s="5"/>
      <c r="HH46" s="205"/>
      <c r="HI46" s="26"/>
      <c r="HJ46" s="26"/>
      <c r="HK46" s="5"/>
    </row>
    <row r="47" spans="2:219" ht="15">
      <c r="B47" s="172" t="s">
        <v>406</v>
      </c>
      <c r="C47" s="2"/>
      <c r="D47" s="2"/>
      <c r="E47" s="252"/>
      <c r="F47" s="32"/>
      <c r="G47" s="252"/>
      <c r="H47" s="265"/>
      <c r="I47" s="252"/>
      <c r="J47" s="32"/>
      <c r="K47" s="238" t="s">
        <v>227</v>
      </c>
      <c r="L47" s="266">
        <f>D28*F28</f>
        <v>217.14285714285711</v>
      </c>
      <c r="M47" s="245" t="s">
        <v>47</v>
      </c>
      <c r="N47" s="10"/>
      <c r="O47" s="241" t="s">
        <v>394</v>
      </c>
      <c r="AA47" s="18" t="s">
        <v>488</v>
      </c>
      <c r="AB47" s="22" t="s">
        <v>489</v>
      </c>
      <c r="AC47" s="59">
        <v>0</v>
      </c>
      <c r="AD47" s="59">
        <v>8.6549999999999994</v>
      </c>
      <c r="AE47" s="22">
        <v>528</v>
      </c>
      <c r="AF47" s="22">
        <v>1528</v>
      </c>
      <c r="AG47" s="22">
        <v>528</v>
      </c>
      <c r="AH47" s="6">
        <v>10</v>
      </c>
      <c r="AI47" s="6">
        <v>300</v>
      </c>
      <c r="AJ47" s="6">
        <v>14</v>
      </c>
      <c r="AK47" s="24">
        <v>300</v>
      </c>
      <c r="AL47" s="24">
        <v>14</v>
      </c>
      <c r="AM47" s="5">
        <f t="shared" si="17"/>
        <v>500</v>
      </c>
      <c r="AN47" s="26">
        <f t="shared" si="18"/>
        <v>134</v>
      </c>
      <c r="AO47" s="26">
        <f t="shared" si="19"/>
        <v>65911.546666666676</v>
      </c>
      <c r="AP47" s="15">
        <f t="shared" si="20"/>
        <v>6304.166666666667</v>
      </c>
      <c r="AQ47" s="5">
        <f t="shared" si="21"/>
        <v>2496.6494949494954</v>
      </c>
      <c r="AR47" s="26">
        <f t="shared" si="22"/>
        <v>420.27777777777777</v>
      </c>
      <c r="AS47" s="26">
        <f t="shared" si="23"/>
        <v>1391.9</v>
      </c>
      <c r="AT47" s="26">
        <f t="shared" si="24"/>
        <v>22.178305028345793</v>
      </c>
      <c r="AU47" s="26">
        <f t="shared" si="25"/>
        <v>6.8590101254115021</v>
      </c>
      <c r="AV47" s="95">
        <f t="shared" si="26"/>
        <v>7.201333333333334E-7</v>
      </c>
      <c r="AW47" s="95">
        <f t="shared" si="27"/>
        <v>4161087</v>
      </c>
      <c r="AX47" s="95">
        <f t="shared" si="28"/>
        <v>4.1610870000000001E-6</v>
      </c>
      <c r="AY47" s="54">
        <f t="shared" si="29"/>
        <v>0.25762202780669918</v>
      </c>
      <c r="AZ47" s="54" t="str">
        <f>_xll.Dce_Name_SectI(AE47,AF47,AI47,AH47,AJ47,"x","-",$O$11)</f>
        <v>(528-1528)x300x10x14</v>
      </c>
      <c r="BA47" s="15">
        <f t="shared" si="30"/>
        <v>385.5</v>
      </c>
      <c r="BB47" s="54"/>
      <c r="BC47" s="54"/>
      <c r="BD47" s="22" t="s">
        <v>502</v>
      </c>
      <c r="BE47" s="23">
        <v>33.466985872034684</v>
      </c>
      <c r="BF47" s="23">
        <v>24.847558660457395</v>
      </c>
      <c r="BG47" s="23">
        <v>-2.8109492186842487E-3</v>
      </c>
      <c r="BH47" s="23">
        <v>3.9260829120892481E-5</v>
      </c>
      <c r="BI47" s="23">
        <v>2.6960446407986448E-6</v>
      </c>
      <c r="BJ47" s="23">
        <v>0.44360512735942459</v>
      </c>
      <c r="BK47" s="23">
        <v>-143.56110742463102</v>
      </c>
      <c r="BL47" s="92">
        <v>2.25</v>
      </c>
      <c r="BM47" s="93">
        <v>2</v>
      </c>
      <c r="BN47" s="5">
        <f t="shared" si="31"/>
        <v>19.473749999999999</v>
      </c>
      <c r="BO47" s="54">
        <f>_xll.Bimoment(BH47,AY47,AC47,AD47,$O$101)</f>
        <v>0</v>
      </c>
      <c r="BP47" s="5">
        <f t="shared" si="32"/>
        <v>0.84</v>
      </c>
      <c r="BQ47" s="5">
        <f t="shared" si="33"/>
        <v>0.10790762187740745</v>
      </c>
      <c r="BR47" s="24" t="str">
        <f t="shared" si="34"/>
        <v>Cal</v>
      </c>
      <c r="BS47" s="25">
        <f t="shared" si="35"/>
        <v>1.0926721133593414E-2</v>
      </c>
      <c r="BT47" s="25" t="str">
        <f t="shared" si="36"/>
        <v>CT.105</v>
      </c>
      <c r="BU47" s="25">
        <f t="shared" si="37"/>
        <v>1</v>
      </c>
      <c r="BV47" s="25" cm="1">
        <f t="array" ref="BV47">IF(BT47="CT.104",_xll.TCVN5575AnnexEHeSoCx(1,BP47),1)</f>
        <v>1</v>
      </c>
      <c r="BW47" s="25">
        <f t="shared" si="38"/>
        <v>1</v>
      </c>
      <c r="BX47" s="25">
        <f t="shared" si="39"/>
        <v>1.1501811719572014E-2</v>
      </c>
      <c r="BY47" s="25">
        <f t="shared" si="40"/>
        <v>8.1826397891021803E-4</v>
      </c>
      <c r="BZ47" s="25">
        <f t="shared" si="41"/>
        <v>2.954235439703528E-8</v>
      </c>
      <c r="CA47" s="25">
        <f t="shared" si="42"/>
        <v>0</v>
      </c>
      <c r="CB47" s="25">
        <f t="shared" si="43"/>
        <v>1.232010524083663E-2</v>
      </c>
      <c r="CC47" s="5" t="str">
        <f t="shared" si="44"/>
        <v>OK</v>
      </c>
      <c r="CD47" s="5">
        <f t="shared" si="45"/>
        <v>87.805402509844015</v>
      </c>
      <c r="CE47" s="5">
        <f t="shared" si="46"/>
        <v>29.158726455153193</v>
      </c>
      <c r="CF47" s="5">
        <f t="shared" si="47"/>
        <v>2.9248163326364334</v>
      </c>
      <c r="CG47" s="5">
        <f t="shared" si="48"/>
        <v>0.97128328026682387</v>
      </c>
      <c r="CH47" s="5">
        <f t="shared" si="49"/>
        <v>7.1142181671938032E-2</v>
      </c>
      <c r="CI47" s="68">
        <f>_xll.DCETCVN5575PhuLucD2Eta(BP47,CH47,CF47)</f>
        <v>1.5167882027431767</v>
      </c>
      <c r="CJ47" s="5">
        <f t="shared" si="50"/>
        <v>0.10790762187740745</v>
      </c>
      <c r="CK47" s="5">
        <f>MIN(noisuy2chieu(CJ47,CF47,Data!$DA$2:$EB$24),1)</f>
        <v>0.67458730936050415</v>
      </c>
      <c r="CL47" s="102" t="str">
        <f t="shared" si="51"/>
        <v>-</v>
      </c>
      <c r="CM47" s="5" t="str">
        <f t="shared" si="52"/>
        <v>OK</v>
      </c>
      <c r="CN47" s="5">
        <f t="shared" si="53"/>
        <v>0.90492218941026858</v>
      </c>
      <c r="CO47" s="5">
        <f t="shared" si="54"/>
        <v>0.5370345235716667</v>
      </c>
      <c r="CP47" s="25">
        <f>_xll.DCETCVNPhuLucFHeSoOnDinh(1, 0.2, AG47, AH47, AI47, AJ47, AI47, AJ47, $D$28)</f>
        <v>1</v>
      </c>
      <c r="CQ47" s="68">
        <f t="shared" si="55"/>
        <v>0.9</v>
      </c>
      <c r="CR47" s="68">
        <f t="shared" si="56"/>
        <v>1</v>
      </c>
      <c r="CS47" s="5">
        <f t="shared" si="57"/>
        <v>0.18181818181818182</v>
      </c>
      <c r="CT47" s="5">
        <f t="shared" si="58"/>
        <v>9.9510191986788829E-2</v>
      </c>
      <c r="CU47" s="26">
        <f t="shared" si="59"/>
        <v>23.023292012476158</v>
      </c>
      <c r="CV47" s="5"/>
      <c r="CW47" s="25"/>
      <c r="CX47" s="72">
        <f>MAX(_xll.Dce_c_925(CU47, CQ47, CR47, CN47, CP47, CS47, CT47),0.3)</f>
        <v>0.3</v>
      </c>
      <c r="CY47" s="102" t="str">
        <f t="shared" si="60"/>
        <v>-</v>
      </c>
      <c r="CZ47" s="5" t="str">
        <f t="shared" si="61"/>
        <v>OK</v>
      </c>
      <c r="DA47" s="47">
        <f t="shared" si="62"/>
        <v>0.34499859601035404</v>
      </c>
      <c r="DB47" s="46">
        <f t="shared" si="63"/>
        <v>17.933028774490985</v>
      </c>
      <c r="DC47" s="5" t="str">
        <f t="shared" si="64"/>
        <v>OK</v>
      </c>
      <c r="DD47" s="5">
        <f t="shared" si="65"/>
        <v>2.9248163326364334</v>
      </c>
      <c r="DE47" s="5">
        <f t="shared" si="66"/>
        <v>1.6655104634982609</v>
      </c>
      <c r="DF47" s="5">
        <f t="shared" si="67"/>
        <v>3.2</v>
      </c>
      <c r="DG47" s="5" t="str">
        <f t="shared" si="68"/>
        <v>OK</v>
      </c>
      <c r="DH47" s="203" t="str">
        <f t="shared" si="69"/>
        <v>-</v>
      </c>
      <c r="DI47" s="203" t="str">
        <f t="shared" si="70"/>
        <v>-</v>
      </c>
      <c r="DJ47" s="46">
        <f t="shared" si="71"/>
        <v>0</v>
      </c>
      <c r="DK47" s="5" t="str">
        <f t="shared" si="72"/>
        <v>OK</v>
      </c>
      <c r="EB47" s="18"/>
      <c r="EC47" s="77"/>
      <c r="ED47" s="77"/>
      <c r="EE47" s="18"/>
      <c r="EF47" s="18"/>
      <c r="EG47" s="18"/>
      <c r="EH47" s="5"/>
      <c r="EI47" s="5"/>
      <c r="EJ47" s="5"/>
      <c r="EK47" s="5"/>
      <c r="EL47" s="5"/>
      <c r="EN47" s="26"/>
      <c r="EO47" s="26"/>
      <c r="EP47" s="15"/>
      <c r="EQ47" s="5"/>
      <c r="ER47" s="26"/>
      <c r="ES47" s="26"/>
      <c r="ET47" s="26"/>
      <c r="EU47" s="26"/>
      <c r="EV47" s="26"/>
      <c r="EW47" s="95"/>
      <c r="EX47" s="95"/>
      <c r="EY47" s="54"/>
      <c r="EZ47" s="54"/>
      <c r="FA47" s="54"/>
      <c r="FB47" s="54"/>
      <c r="FC47" s="54"/>
      <c r="FD47" s="15"/>
      <c r="FE47" s="26"/>
      <c r="FF47" s="26"/>
      <c r="FG47" s="26"/>
      <c r="FH47" s="26"/>
      <c r="FI47" s="26"/>
      <c r="FJ47" s="26"/>
      <c r="FK47" s="26"/>
      <c r="FL47" s="26"/>
      <c r="FM47" s="26"/>
      <c r="FN47" s="5"/>
      <c r="FO47" s="54"/>
      <c r="FP47" s="5"/>
      <c r="FQ47" s="5"/>
      <c r="FR47" s="5"/>
      <c r="FS47" s="54"/>
      <c r="FT47" s="54"/>
      <c r="FU47" s="54"/>
      <c r="FV47" s="54"/>
      <c r="FW47" s="54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68"/>
      <c r="GJ47" s="5"/>
      <c r="GK47" s="5"/>
      <c r="GL47" s="54"/>
      <c r="GM47" s="5"/>
      <c r="GN47" s="5"/>
      <c r="GO47" s="5"/>
      <c r="GP47" s="68"/>
      <c r="GQ47" s="68"/>
      <c r="GR47" s="68"/>
      <c r="GS47" s="5"/>
      <c r="GT47" s="5"/>
      <c r="GU47" s="68"/>
      <c r="GV47" s="5"/>
      <c r="GW47" s="54"/>
      <c r="GX47" s="68"/>
      <c r="GY47" s="77"/>
      <c r="GZ47" s="5"/>
      <c r="HA47" s="77"/>
      <c r="HB47" s="54"/>
      <c r="HC47" s="5"/>
      <c r="HD47" s="5"/>
      <c r="HE47" s="5"/>
      <c r="HF47" s="5"/>
      <c r="HG47" s="5"/>
      <c r="HH47" s="205"/>
      <c r="HI47" s="26"/>
      <c r="HJ47" s="26"/>
      <c r="HK47" s="5"/>
    </row>
    <row r="48" spans="2:219" ht="14.4">
      <c r="B48" s="172" t="s">
        <v>407</v>
      </c>
      <c r="C48" s="2"/>
      <c r="D48" s="2"/>
      <c r="E48" s="2"/>
      <c r="F48" s="2"/>
      <c r="G48" s="2"/>
      <c r="H48" s="2"/>
      <c r="I48" s="2"/>
      <c r="J48" s="2"/>
      <c r="K48" s="267" t="s">
        <v>140</v>
      </c>
      <c r="L48" s="257">
        <f>IF(AND(E38&lt;&gt;"Tính toán",O47="No"),"-",O48)</f>
        <v>6.0287519937917568E-2</v>
      </c>
      <c r="M48" s="245"/>
      <c r="N48" s="7"/>
      <c r="O48" s="242">
        <f>(ABS(H32)/(G28*$L$47)*10)^IF(H37="(104)",H46,1)</f>
        <v>6.0287519937917568E-2</v>
      </c>
      <c r="AA48" s="18" t="s">
        <v>488</v>
      </c>
      <c r="AB48" s="22" t="s">
        <v>489</v>
      </c>
      <c r="AC48" s="59">
        <v>3.6405952380952398</v>
      </c>
      <c r="AD48" s="59">
        <v>8.6549999999999994</v>
      </c>
      <c r="AE48" s="22">
        <v>528</v>
      </c>
      <c r="AF48" s="22">
        <v>1528</v>
      </c>
      <c r="AG48" s="22">
        <v>948.63492063492095</v>
      </c>
      <c r="AH48" s="6">
        <v>10</v>
      </c>
      <c r="AI48" s="6">
        <v>300</v>
      </c>
      <c r="AJ48" s="6">
        <v>14</v>
      </c>
      <c r="AK48" s="24">
        <v>300</v>
      </c>
      <c r="AL48" s="24">
        <v>14</v>
      </c>
      <c r="AM48" s="5">
        <f t="shared" si="17"/>
        <v>920.63492063492095</v>
      </c>
      <c r="AN48" s="26">
        <f t="shared" si="18"/>
        <v>176.06349206349208</v>
      </c>
      <c r="AO48" s="26">
        <f t="shared" si="19"/>
        <v>248482.7399356656</v>
      </c>
      <c r="AP48" s="15">
        <f t="shared" si="20"/>
        <v>6307.6719576719579</v>
      </c>
      <c r="AQ48" s="5">
        <f t="shared" si="21"/>
        <v>5238.7432621467533</v>
      </c>
      <c r="AR48" s="26">
        <f t="shared" si="22"/>
        <v>420.51146384479722</v>
      </c>
      <c r="AS48" s="26">
        <f t="shared" si="23"/>
        <v>3022.1941546989178</v>
      </c>
      <c r="AT48" s="26">
        <f t="shared" si="24"/>
        <v>37.567600585756203</v>
      </c>
      <c r="AU48" s="26">
        <f t="shared" si="25"/>
        <v>5.9854925384629922</v>
      </c>
      <c r="AV48" s="95">
        <f t="shared" si="26"/>
        <v>8.6034497354497351E-7</v>
      </c>
      <c r="AW48" s="95">
        <f t="shared" si="27"/>
        <v>13758293.349206358</v>
      </c>
      <c r="AX48" s="95">
        <f t="shared" si="28"/>
        <v>1.3758293349206359E-5</v>
      </c>
      <c r="AY48" s="54">
        <f t="shared" si="29"/>
        <v>0.1548581140202015</v>
      </c>
      <c r="AZ48" s="54" t="str">
        <f>_xll.Dce_Name_SectI(AE48,AF48,AI48,AH48,AJ48,"x","-",$O$11)</f>
        <v>(528-1528)x300x10x14</v>
      </c>
      <c r="BA48" s="15">
        <f t="shared" si="30"/>
        <v>700.97619047619071</v>
      </c>
      <c r="BB48" s="54"/>
      <c r="BC48" s="54"/>
      <c r="BD48" s="22" t="s">
        <v>502</v>
      </c>
      <c r="BE48" s="23">
        <v>39.392501558600514</v>
      </c>
      <c r="BF48" s="23">
        <v>39.419191473174862</v>
      </c>
      <c r="BG48" s="23">
        <v>-2.8109492186833541E-3</v>
      </c>
      <c r="BH48" s="23">
        <v>3.9260829120892481E-5</v>
      </c>
      <c r="BI48" s="23">
        <v>1.0260324523307131E-2</v>
      </c>
      <c r="BJ48" s="23">
        <v>-116.84869680905797</v>
      </c>
      <c r="BK48" s="23">
        <v>-143.56110742463102</v>
      </c>
      <c r="BL48" s="92">
        <v>2.25</v>
      </c>
      <c r="BM48" s="93">
        <v>2</v>
      </c>
      <c r="BN48" s="5">
        <f t="shared" si="31"/>
        <v>19.473749999999999</v>
      </c>
      <c r="BO48" s="54">
        <f>_xll.Bimoment(BH48,AY48,AC48,AD48,$O$101)</f>
        <v>-3.0194195075601321E-4</v>
      </c>
      <c r="BP48" s="5">
        <f t="shared" si="32"/>
        <v>0.45620689655172403</v>
      </c>
      <c r="BQ48" s="5">
        <f t="shared" si="33"/>
        <v>12.37396130838313</v>
      </c>
      <c r="BR48" s="24" t="str">
        <f t="shared" si="34"/>
        <v>Cal</v>
      </c>
      <c r="BS48" s="25">
        <f t="shared" si="35"/>
        <v>9.7886388767483463E-3</v>
      </c>
      <c r="BT48" s="25" t="str">
        <f t="shared" si="36"/>
        <v>CT.105</v>
      </c>
      <c r="BU48" s="25">
        <f t="shared" si="37"/>
        <v>1</v>
      </c>
      <c r="BV48" s="25" cm="1">
        <f t="array" ref="BV48">IF(BT48="CT.104",_xll.TCVN5575AnnexEHeSoCx(1,BP48),1)</f>
        <v>1</v>
      </c>
      <c r="BW48" s="25">
        <f t="shared" si="38"/>
        <v>1</v>
      </c>
      <c r="BX48" s="25">
        <f t="shared" si="39"/>
        <v>1.0303830396577207E-2</v>
      </c>
      <c r="BY48" s="25">
        <f t="shared" si="40"/>
        <v>0.10271910103917835</v>
      </c>
      <c r="BZ48" s="25">
        <f t="shared" si="41"/>
        <v>1.1236672142824111E-4</v>
      </c>
      <c r="CA48" s="25">
        <f t="shared" si="42"/>
        <v>7.0846208092772029E-6</v>
      </c>
      <c r="CB48" s="25">
        <f t="shared" si="43"/>
        <v>0.11314238277799307</v>
      </c>
      <c r="CC48" s="5" t="str">
        <f t="shared" si="44"/>
        <v>OK</v>
      </c>
      <c r="CD48" s="5">
        <f t="shared" si="45"/>
        <v>51.836555160202302</v>
      </c>
      <c r="CE48" s="5">
        <f t="shared" si="46"/>
        <v>33.414125690541383</v>
      </c>
      <c r="CF48" s="5">
        <f t="shared" si="47"/>
        <v>1.7266865002204341</v>
      </c>
      <c r="CG48" s="5">
        <f t="shared" si="48"/>
        <v>1.1130315193248546</v>
      </c>
      <c r="CH48" s="5">
        <f t="shared" si="49"/>
        <v>9.9690209451914331</v>
      </c>
      <c r="CI48" s="68">
        <f>_xll.DCETCVN5575PhuLucD2Eta(BP48,CH48,CF48)</f>
        <v>1.2412413793103447</v>
      </c>
      <c r="CJ48" s="5">
        <f t="shared" si="50"/>
        <v>12.37396130838313</v>
      </c>
      <c r="CK48" s="5">
        <f>MIN(noisuy2chieu(CJ48,CF48,Data!$DA$2:$EB$24),1)</f>
        <v>0.10819122195243835</v>
      </c>
      <c r="CL48" s="102" t="str">
        <f t="shared" si="51"/>
        <v>-</v>
      </c>
      <c r="CM48" s="5" t="str">
        <f t="shared" si="52"/>
        <v>OK</v>
      </c>
      <c r="CN48" s="5">
        <f t="shared" si="53"/>
        <v>0.88472625978979058</v>
      </c>
      <c r="CO48" s="5">
        <f t="shared" si="54"/>
        <v>0.5370345235716667</v>
      </c>
      <c r="CP48" s="25">
        <f>_xll.DCETCVNPhuLucFHeSoOnDinh(1, 0.2, AG48, AH48, AI48, AJ48, AI48, AJ48, $D$28)</f>
        <v>1</v>
      </c>
      <c r="CQ48" s="68">
        <f t="shared" si="55"/>
        <v>0.9</v>
      </c>
      <c r="CR48" s="68">
        <f t="shared" si="56"/>
        <v>1</v>
      </c>
      <c r="CS48" s="5">
        <f t="shared" si="57"/>
        <v>0.18181818181818182</v>
      </c>
      <c r="CT48" s="5">
        <f t="shared" si="58"/>
        <v>0.10155106457844131</v>
      </c>
      <c r="CU48" s="26">
        <f t="shared" si="59"/>
        <v>12.248007259932759</v>
      </c>
      <c r="CV48" s="5"/>
      <c r="CW48" s="25"/>
      <c r="CX48" s="72">
        <f>MAX(_xll.Dce_c_925(CU48, CQ48, CR48, CN48, CP48, CS48, CT48),0.3)</f>
        <v>0.3</v>
      </c>
      <c r="CY48" s="102" t="str">
        <f t="shared" si="60"/>
        <v>-</v>
      </c>
      <c r="CZ48" s="5" t="str">
        <f t="shared" si="61"/>
        <v>OK</v>
      </c>
      <c r="DA48" s="47">
        <f t="shared" si="62"/>
        <v>0.34499859601035404</v>
      </c>
      <c r="DB48" s="46">
        <f t="shared" si="63"/>
        <v>1.5997244564951623</v>
      </c>
      <c r="DC48" s="5" t="str">
        <f t="shared" si="64"/>
        <v>OK</v>
      </c>
      <c r="DD48" s="5">
        <f t="shared" si="65"/>
        <v>1.7266865002204341</v>
      </c>
      <c r="DE48" s="5">
        <f t="shared" si="66"/>
        <v>3.0666541867587034</v>
      </c>
      <c r="DF48" s="5">
        <f t="shared" si="67"/>
        <v>3.2</v>
      </c>
      <c r="DG48" s="5" t="str">
        <f t="shared" si="68"/>
        <v>OK</v>
      </c>
      <c r="DH48" s="203">
        <f t="shared" si="69"/>
        <v>51.836555160202302</v>
      </c>
      <c r="DI48" s="203" t="str">
        <f t="shared" si="70"/>
        <v>-</v>
      </c>
      <c r="DJ48" s="46">
        <f t="shared" si="71"/>
        <v>0</v>
      </c>
      <c r="DK48" s="5" t="str">
        <f t="shared" si="72"/>
        <v>OK</v>
      </c>
      <c r="EB48" s="18"/>
      <c r="EC48" s="77"/>
      <c r="ED48" s="77"/>
      <c r="EE48" s="18"/>
      <c r="EF48" s="18"/>
      <c r="EG48" s="18"/>
      <c r="EH48" s="5"/>
      <c r="EI48" s="5"/>
      <c r="EJ48" s="5"/>
      <c r="EK48" s="5"/>
      <c r="EL48" s="5"/>
      <c r="EN48" s="26"/>
      <c r="EO48" s="26"/>
      <c r="EP48" s="15"/>
      <c r="EQ48" s="5"/>
      <c r="ER48" s="26"/>
      <c r="ES48" s="26"/>
      <c r="ET48" s="26"/>
      <c r="EU48" s="26"/>
      <c r="EV48" s="26"/>
      <c r="EW48" s="95"/>
      <c r="EX48" s="95"/>
      <c r="EY48" s="54"/>
      <c r="EZ48" s="54"/>
      <c r="FA48" s="54"/>
      <c r="FB48" s="54"/>
      <c r="FC48" s="54"/>
      <c r="FD48" s="15"/>
      <c r="FE48" s="26"/>
      <c r="FF48" s="26"/>
      <c r="FG48" s="26"/>
      <c r="FH48" s="26"/>
      <c r="FI48" s="26"/>
      <c r="FJ48" s="26"/>
      <c r="FK48" s="26"/>
      <c r="FL48" s="26"/>
      <c r="FM48" s="26"/>
      <c r="FN48" s="5"/>
      <c r="FO48" s="54"/>
      <c r="FP48" s="5"/>
      <c r="FQ48" s="5"/>
      <c r="FR48" s="5"/>
      <c r="FS48" s="54"/>
      <c r="FT48" s="54"/>
      <c r="FU48" s="54"/>
      <c r="FV48" s="54"/>
      <c r="FW48" s="54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68"/>
      <c r="GJ48" s="5"/>
      <c r="GK48" s="5"/>
      <c r="GL48" s="54"/>
      <c r="GM48" s="5"/>
      <c r="GN48" s="5"/>
      <c r="GO48" s="5"/>
      <c r="GP48" s="68"/>
      <c r="GQ48" s="68"/>
      <c r="GR48" s="68"/>
      <c r="GS48" s="5"/>
      <c r="GT48" s="5"/>
      <c r="GU48" s="68"/>
      <c r="GV48" s="5"/>
      <c r="GW48" s="54"/>
      <c r="GX48" s="68"/>
      <c r="GY48" s="77"/>
      <c r="GZ48" s="5"/>
      <c r="HA48" s="77"/>
      <c r="HB48" s="54"/>
      <c r="HC48" s="5"/>
      <c r="HD48" s="5"/>
      <c r="HE48" s="5"/>
      <c r="HF48" s="5"/>
      <c r="HG48" s="5"/>
      <c r="HH48" s="205"/>
      <c r="HI48" s="26"/>
      <c r="HJ48" s="26"/>
      <c r="HK48" s="5"/>
    </row>
    <row r="49" spans="2:219" ht="15">
      <c r="B49" s="172" t="s">
        <v>408</v>
      </c>
      <c r="C49" s="2"/>
      <c r="D49" s="2"/>
      <c r="E49" s="2"/>
      <c r="F49" s="2"/>
      <c r="G49" s="2"/>
      <c r="H49" s="2"/>
      <c r="I49" s="2"/>
      <c r="J49" s="2"/>
      <c r="K49" s="267" t="s">
        <v>141</v>
      </c>
      <c r="L49" s="257">
        <f>IF(AND(E38&lt;&gt;"Tính toán",O47="No"),"-",O49)</f>
        <v>1.1748616951407433</v>
      </c>
      <c r="M49" s="245"/>
      <c r="N49" s="7"/>
      <c r="O49" s="243">
        <f>ABS(L32)/(IF(H37="(104)",J46,1)*J28*$L$47)*1000</f>
        <v>1.1748616951407433</v>
      </c>
      <c r="AA49" s="18" t="s">
        <v>488</v>
      </c>
      <c r="AB49" s="22" t="s">
        <v>489</v>
      </c>
      <c r="AC49" s="59">
        <v>7.2811904761904795</v>
      </c>
      <c r="AD49" s="59">
        <v>8.6549999999999994</v>
      </c>
      <c r="AE49" s="22">
        <v>528</v>
      </c>
      <c r="AF49" s="22">
        <v>1528</v>
      </c>
      <c r="AG49" s="22">
        <v>1369.2698412698419</v>
      </c>
      <c r="AH49" s="6">
        <v>10</v>
      </c>
      <c r="AI49" s="6">
        <v>300</v>
      </c>
      <c r="AJ49" s="6">
        <v>14</v>
      </c>
      <c r="AK49" s="24">
        <v>300</v>
      </c>
      <c r="AL49" s="24">
        <v>14</v>
      </c>
      <c r="AM49" s="5">
        <f t="shared" si="17"/>
        <v>1341.2698412698419</v>
      </c>
      <c r="AN49" s="26">
        <f t="shared" si="18"/>
        <v>218.12698412698418</v>
      </c>
      <c r="AO49" s="26">
        <f t="shared" si="19"/>
        <v>586811.79072745051</v>
      </c>
      <c r="AP49" s="15">
        <f t="shared" si="20"/>
        <v>6311.1772486772488</v>
      </c>
      <c r="AQ49" s="5">
        <f t="shared" si="21"/>
        <v>8571.1635945074104</v>
      </c>
      <c r="AR49" s="26">
        <f t="shared" si="22"/>
        <v>420.74514991181661</v>
      </c>
      <c r="AS49" s="26">
        <f t="shared" si="23"/>
        <v>5094.8226505417015</v>
      </c>
      <c r="AT49" s="26">
        <f t="shared" si="24"/>
        <v>51.867428670398397</v>
      </c>
      <c r="AU49" s="26">
        <f t="shared" si="25"/>
        <v>5.3789869588463937</v>
      </c>
      <c r="AV49" s="95">
        <f t="shared" si="26"/>
        <v>1.0005566137566139E-6</v>
      </c>
      <c r="AW49" s="95">
        <f t="shared" si="27"/>
        <v>28928912.396825422</v>
      </c>
      <c r="AX49" s="95">
        <f t="shared" si="28"/>
        <v>2.8928912396825422E-5</v>
      </c>
      <c r="AY49" s="54">
        <f t="shared" si="29"/>
        <v>0.11516876660535029</v>
      </c>
      <c r="AZ49" s="54" t="str">
        <f>_xll.Dce_Name_SectI(AE49,AF49,AI49,AH49,AJ49,"x","-",$O$11)</f>
        <v>(528-1528)x300x10x14</v>
      </c>
      <c r="BA49" s="15">
        <f t="shared" si="30"/>
        <v>1016.4523809523813</v>
      </c>
      <c r="BB49" s="54"/>
      <c r="BC49" s="54"/>
      <c r="BD49" s="22" t="s">
        <v>502</v>
      </c>
      <c r="BE49" s="23">
        <v>46.859452995658728</v>
      </c>
      <c r="BF49" s="23">
        <v>53.88497375530028</v>
      </c>
      <c r="BG49" s="23">
        <v>-2.8109492186824663E-3</v>
      </c>
      <c r="BH49" s="23">
        <v>3.9260829120892481E-5</v>
      </c>
      <c r="BI49" s="23">
        <v>2.0517953001970214E-2</v>
      </c>
      <c r="BJ49" s="23">
        <v>-287.12221484926204</v>
      </c>
      <c r="BK49" s="23">
        <v>-143.56110742463102</v>
      </c>
      <c r="BL49" s="92">
        <v>2.25</v>
      </c>
      <c r="BM49" s="91">
        <v>2</v>
      </c>
      <c r="BN49" s="5">
        <f t="shared" si="31"/>
        <v>19.473749999999999</v>
      </c>
      <c r="BO49" s="54">
        <f>_xll.Bimoment(BH49,AY49,AC49,AD49,$O$101)</f>
        <v>-1.7960535342931519E-4</v>
      </c>
      <c r="BP49" s="5">
        <f t="shared" si="32"/>
        <v>0.31313609467455605</v>
      </c>
      <c r="BQ49" s="5">
        <f t="shared" si="33"/>
        <v>18.908910379661293</v>
      </c>
      <c r="BR49" s="24" t="str">
        <f t="shared" si="34"/>
        <v>Cal</v>
      </c>
      <c r="BS49" s="25">
        <f t="shared" si="35"/>
        <v>9.3986586609870731E-3</v>
      </c>
      <c r="BT49" s="25" t="str">
        <f t="shared" si="36"/>
        <v>CT.105</v>
      </c>
      <c r="BU49" s="25">
        <f t="shared" si="37"/>
        <v>1</v>
      </c>
      <c r="BV49" s="25" cm="1">
        <f t="array" ref="BV49">IF(BT49="CT.104",_xll.TCVN5575AnnexEHeSoCx(1,BP49),1)</f>
        <v>1</v>
      </c>
      <c r="BW49" s="25">
        <f t="shared" si="38"/>
        <v>1</v>
      </c>
      <c r="BX49" s="25">
        <f t="shared" si="39"/>
        <v>9.8933249063021811E-3</v>
      </c>
      <c r="BY49" s="25">
        <f t="shared" si="40"/>
        <v>0.15426999418209511</v>
      </c>
      <c r="BZ49" s="25">
        <f t="shared" si="41"/>
        <v>2.24579114115025E-4</v>
      </c>
      <c r="CA49" s="25">
        <f t="shared" si="42"/>
        <v>2.9062211605795886E-6</v>
      </c>
      <c r="CB49" s="25">
        <f t="shared" si="43"/>
        <v>0.1643908044236729</v>
      </c>
      <c r="CC49" s="5" t="str">
        <f t="shared" si="44"/>
        <v>OK</v>
      </c>
      <c r="CD49" s="5">
        <f t="shared" si="45"/>
        <v>37.545238889226049</v>
      </c>
      <c r="CE49" s="5">
        <f t="shared" si="46"/>
        <v>37.181722419139881</v>
      </c>
      <c r="CF49" s="5">
        <f t="shared" si="47"/>
        <v>1.2506397644909562</v>
      </c>
      <c r="CG49" s="5">
        <f t="shared" si="48"/>
        <v>1.2385309547993069</v>
      </c>
      <c r="CH49" s="5">
        <f t="shared" si="49"/>
        <v>15.593341535141843</v>
      </c>
      <c r="CI49" s="68">
        <f>_xll.DCETCVN5575PhuLucD2Eta(BP49,CH49,CF49)</f>
        <v>1.2126272189349112</v>
      </c>
      <c r="CJ49" s="5">
        <f t="shared" si="50"/>
        <v>18.908910379661293</v>
      </c>
      <c r="CK49" s="5">
        <f>MIN(noisuy2chieu(CJ49,CF49,Data!$DA$2:$EB$24),1)</f>
        <v>7.635924220085144E-2</v>
      </c>
      <c r="CL49" s="102" t="str">
        <f t="shared" si="51"/>
        <v>-</v>
      </c>
      <c r="CM49" s="5" t="str">
        <f t="shared" si="52"/>
        <v>OK</v>
      </c>
      <c r="CN49" s="5">
        <f t="shared" si="53"/>
        <v>0.86643683692746631</v>
      </c>
      <c r="CO49" s="5">
        <f t="shared" si="54"/>
        <v>0.5370345235716667</v>
      </c>
      <c r="CP49" s="25">
        <f>_xll.DCETCVNPhuLucFHeSoOnDinh(1, 0.2, AG49, AH49, AI49, AJ49, AI49, AJ49, $D$28)</f>
        <v>1</v>
      </c>
      <c r="CQ49" s="68">
        <f t="shared" si="55"/>
        <v>0.9</v>
      </c>
      <c r="CR49" s="68">
        <f t="shared" si="56"/>
        <v>1</v>
      </c>
      <c r="CS49" s="5">
        <f t="shared" si="57"/>
        <v>0.18181818181818182</v>
      </c>
      <c r="CT49" s="5">
        <f t="shared" si="58"/>
        <v>0.10347287704587492</v>
      </c>
      <c r="CU49" s="26">
        <f t="shared" si="59"/>
        <v>7.7966707675709213</v>
      </c>
      <c r="CV49" s="5"/>
      <c r="CW49" s="25"/>
      <c r="CX49" s="72">
        <f>MAX(_xll.Dce_c_925(CU49, CQ49, CR49, CN49, CP49, CS49, CT49),0.3)</f>
        <v>0.3</v>
      </c>
      <c r="CY49" s="102" t="str">
        <f t="shared" si="60"/>
        <v>-</v>
      </c>
      <c r="CZ49" s="5" t="str">
        <f t="shared" si="61"/>
        <v>OK</v>
      </c>
      <c r="DA49" s="47">
        <f t="shared" si="62"/>
        <v>0.34499859601035404</v>
      </c>
      <c r="DB49" s="46">
        <f t="shared" si="63"/>
        <v>1.305123432264542</v>
      </c>
      <c r="DC49" s="5" t="str">
        <f t="shared" si="64"/>
        <v>OK</v>
      </c>
      <c r="DD49" s="5">
        <f t="shared" si="65"/>
        <v>1.2506397644909562</v>
      </c>
      <c r="DE49" s="5">
        <f t="shared" si="66"/>
        <v>4.4677979100191463</v>
      </c>
      <c r="DF49" s="5">
        <f t="shared" si="67"/>
        <v>3.2</v>
      </c>
      <c r="DG49" s="5" t="str">
        <f t="shared" si="68"/>
        <v>Gia cường</v>
      </c>
      <c r="DH49" s="203">
        <f t="shared" si="69"/>
        <v>37.545238889226049</v>
      </c>
      <c r="DI49" s="203" t="str">
        <f t="shared" si="70"/>
        <v>-</v>
      </c>
      <c r="DJ49" s="46">
        <f t="shared" si="71"/>
        <v>0</v>
      </c>
      <c r="DK49" s="5" t="str">
        <f t="shared" si="72"/>
        <v>OK</v>
      </c>
      <c r="EB49" s="18"/>
      <c r="EC49" s="77"/>
      <c r="ED49" s="77"/>
      <c r="EE49" s="18"/>
      <c r="EF49" s="18"/>
      <c r="EG49" s="18"/>
      <c r="EH49" s="5"/>
      <c r="EI49" s="5"/>
      <c r="EJ49" s="5"/>
      <c r="EK49" s="5"/>
      <c r="EL49" s="5"/>
      <c r="FE49" s="26"/>
      <c r="FF49" s="26"/>
      <c r="FG49" s="26"/>
      <c r="FH49" s="26"/>
      <c r="FI49" s="26"/>
      <c r="FJ49" s="26"/>
      <c r="FK49" s="26"/>
      <c r="FL49" s="26"/>
      <c r="FM49" s="26"/>
      <c r="FN49" s="205"/>
      <c r="FO49" s="205"/>
      <c r="FP49" s="205"/>
      <c r="FQ49" s="205"/>
      <c r="FR49" s="205"/>
      <c r="FS49" s="205"/>
      <c r="FT49" s="205"/>
      <c r="FU49" s="77"/>
      <c r="FV49" s="77"/>
      <c r="FW49" s="77"/>
      <c r="FX49" s="205"/>
      <c r="FY49" s="205"/>
      <c r="FZ49" s="205"/>
      <c r="GA49" s="205"/>
      <c r="GB49" s="205"/>
      <c r="GC49" s="205"/>
      <c r="GD49" s="205"/>
      <c r="GE49" s="205"/>
      <c r="GF49" s="205"/>
      <c r="GG49" s="205"/>
      <c r="GH49" s="205"/>
      <c r="GI49" s="205"/>
      <c r="GJ49" s="205"/>
      <c r="GK49" s="205"/>
      <c r="GL49" s="205"/>
      <c r="GM49" s="205"/>
      <c r="GN49" s="205"/>
      <c r="GO49" s="205"/>
      <c r="GP49" s="205"/>
      <c r="GQ49" s="205"/>
      <c r="GR49" s="205"/>
      <c r="GS49" s="205"/>
      <c r="GT49" s="205"/>
      <c r="GU49" s="205"/>
      <c r="GV49" s="18"/>
      <c r="GW49" s="5"/>
      <c r="GX49" s="5"/>
      <c r="GY49" s="77"/>
      <c r="GZ49" s="18"/>
      <c r="HA49" s="18"/>
      <c r="HB49" s="18"/>
      <c r="HC49" s="18"/>
      <c r="HD49" s="18"/>
      <c r="HE49" s="18"/>
      <c r="HF49" s="18"/>
      <c r="HG49" s="18"/>
      <c r="HH49" s="205"/>
      <c r="HI49" s="26"/>
      <c r="HJ49" s="26"/>
      <c r="HK49" s="5"/>
    </row>
    <row r="50" spans="2:219" ht="15">
      <c r="B50" s="172" t="s">
        <v>409</v>
      </c>
      <c r="C50" s="2"/>
      <c r="D50" s="2"/>
      <c r="E50" s="2"/>
      <c r="F50" s="2"/>
      <c r="G50" s="2"/>
      <c r="H50" s="2"/>
      <c r="I50" s="2"/>
      <c r="J50" s="2"/>
      <c r="K50" s="267" t="s">
        <v>142</v>
      </c>
      <c r="L50" s="257">
        <f>IF(AND(E38&lt;&gt;"Tính toán",O47="No"),"-",O50)</f>
        <v>2.0380718326691225E-4</v>
      </c>
      <c r="M50" s="245"/>
      <c r="N50" s="7"/>
      <c r="O50" s="243">
        <f>ABS(K32)/(IF(H37="(104)",L46,1)*K28*$L$47)*1000</f>
        <v>2.0380718326691225E-4</v>
      </c>
      <c r="AA50" s="18" t="s">
        <v>488</v>
      </c>
      <c r="AB50" s="22" t="s">
        <v>489</v>
      </c>
      <c r="AC50" s="59">
        <v>0</v>
      </c>
      <c r="AD50" s="59">
        <v>8.6549999999999994</v>
      </c>
      <c r="AE50" s="22">
        <v>528</v>
      </c>
      <c r="AF50" s="22">
        <v>1528</v>
      </c>
      <c r="AG50" s="22">
        <v>528</v>
      </c>
      <c r="AH50" s="6">
        <v>10</v>
      </c>
      <c r="AI50" s="6">
        <v>300</v>
      </c>
      <c r="AJ50" s="6">
        <v>14</v>
      </c>
      <c r="AK50" s="24">
        <v>300</v>
      </c>
      <c r="AL50" s="24">
        <v>14</v>
      </c>
      <c r="AM50" s="5">
        <f t="shared" si="17"/>
        <v>500</v>
      </c>
      <c r="AN50" s="26">
        <f t="shared" si="18"/>
        <v>134</v>
      </c>
      <c r="AO50" s="26">
        <f t="shared" si="19"/>
        <v>65911.546666666676</v>
      </c>
      <c r="AP50" s="15">
        <f t="shared" si="20"/>
        <v>6304.166666666667</v>
      </c>
      <c r="AQ50" s="5">
        <f t="shared" si="21"/>
        <v>2496.6494949494954</v>
      </c>
      <c r="AR50" s="26">
        <f t="shared" si="22"/>
        <v>420.27777777777777</v>
      </c>
      <c r="AS50" s="26">
        <f t="shared" si="23"/>
        <v>1391.9</v>
      </c>
      <c r="AT50" s="26">
        <f t="shared" si="24"/>
        <v>22.178305028345793</v>
      </c>
      <c r="AU50" s="26">
        <f t="shared" si="25"/>
        <v>6.8590101254115021</v>
      </c>
      <c r="AV50" s="95">
        <f t="shared" si="26"/>
        <v>7.201333333333334E-7</v>
      </c>
      <c r="AW50" s="95">
        <f t="shared" si="27"/>
        <v>4161087</v>
      </c>
      <c r="AX50" s="95">
        <f t="shared" si="28"/>
        <v>4.1610870000000001E-6</v>
      </c>
      <c r="AY50" s="54">
        <f t="shared" si="29"/>
        <v>0.25762202780669918</v>
      </c>
      <c r="AZ50" s="54" t="str">
        <f>_xll.Dce_Name_SectI(AE50,AF50,AI50,AH50,AJ50,"x","-",$O$11)</f>
        <v>(528-1528)x300x10x14</v>
      </c>
      <c r="BA50" s="15">
        <f t="shared" si="30"/>
        <v>385.5</v>
      </c>
      <c r="BB50" s="54"/>
      <c r="BC50" s="54"/>
      <c r="BD50" s="22" t="s">
        <v>503</v>
      </c>
      <c r="BE50" s="23">
        <v>-195.82437559037226</v>
      </c>
      <c r="BF50" s="23">
        <v>-203.9469785136985</v>
      </c>
      <c r="BG50" s="23">
        <v>1.2271010358441941E-3</v>
      </c>
      <c r="BH50" s="23">
        <v>-1.7139051734597996E-5</v>
      </c>
      <c r="BI50" s="23">
        <v>-1.1769402125272334E-6</v>
      </c>
      <c r="BJ50" s="23">
        <v>-2.5394899139140366</v>
      </c>
      <c r="BK50" s="23">
        <v>733.37939679932867</v>
      </c>
      <c r="BL50" s="92">
        <v>2.25</v>
      </c>
      <c r="BM50" s="91">
        <v>2</v>
      </c>
      <c r="BN50" s="5">
        <f t="shared" si="31"/>
        <v>19.473749999999999</v>
      </c>
      <c r="BO50" s="54">
        <f>_xll.Bimoment(BH50,AY50,AC50,AD50,$O$101)</f>
        <v>0</v>
      </c>
      <c r="BP50" s="5">
        <f t="shared" si="32"/>
        <v>0.84</v>
      </c>
      <c r="BQ50" s="5">
        <f t="shared" si="33"/>
        <v>0.10557721432463589</v>
      </c>
      <c r="BR50" s="24" t="str">
        <f t="shared" si="34"/>
        <v>Cal</v>
      </c>
      <c r="BS50" s="25">
        <f t="shared" si="35"/>
        <v>6.3935197254319301E-2</v>
      </c>
      <c r="BT50" s="25" t="str">
        <f t="shared" si="36"/>
        <v>CT.105</v>
      </c>
      <c r="BU50" s="25">
        <f t="shared" si="37"/>
        <v>1</v>
      </c>
      <c r="BV50" s="25" cm="1">
        <f t="array" ref="BV50">IF(BT50="CT.104",_xll.TCVN5575AnnexEHeSoCx(1,BP50),1)</f>
        <v>1</v>
      </c>
      <c r="BW50" s="25">
        <f t="shared" si="38"/>
        <v>1</v>
      </c>
      <c r="BX50" s="25">
        <f t="shared" si="39"/>
        <v>6.7300207636125584E-2</v>
      </c>
      <c r="BY50" s="25">
        <f t="shared" si="40"/>
        <v>4.6842856252155519E-3</v>
      </c>
      <c r="BZ50" s="25">
        <f t="shared" si="41"/>
        <v>1.2896516747698144E-8</v>
      </c>
      <c r="CA50" s="25">
        <f t="shared" si="42"/>
        <v>0</v>
      </c>
      <c r="CB50" s="25">
        <f t="shared" si="43"/>
        <v>7.1984506157857883E-2</v>
      </c>
      <c r="CC50" s="5" t="str">
        <f t="shared" si="44"/>
        <v>OK</v>
      </c>
      <c r="CD50" s="5">
        <f t="shared" si="45"/>
        <v>87.805402509844015</v>
      </c>
      <c r="CE50" s="5">
        <f t="shared" si="46"/>
        <v>29.158726455153193</v>
      </c>
      <c r="CF50" s="5">
        <f t="shared" si="47"/>
        <v>2.9248163326364334</v>
      </c>
      <c r="CG50" s="5">
        <f t="shared" si="48"/>
        <v>0.97128328026682387</v>
      </c>
      <c r="CH50" s="5">
        <f t="shared" si="49"/>
        <v>6.9602840611462088E-2</v>
      </c>
      <c r="CI50" s="68">
        <f>_xll.DCETCVN5575PhuLucD2Eta(BP50,CH50,CF50)</f>
        <v>1.5168520910517207</v>
      </c>
      <c r="CJ50" s="5">
        <f t="shared" si="50"/>
        <v>0.10557721432463589</v>
      </c>
      <c r="CK50" s="5">
        <f>MIN(noisuy2chieu(CJ50,CF50,Data!$DA$2:$EB$24),1)</f>
        <v>0.67567485570907593</v>
      </c>
      <c r="CL50" s="102">
        <f t="shared" si="51"/>
        <v>9.9604428176476217E-2</v>
      </c>
      <c r="CM50" s="5" t="str">
        <f t="shared" si="52"/>
        <v>OK</v>
      </c>
      <c r="CN50" s="5">
        <f t="shared" si="53"/>
        <v>0.90492218941026858</v>
      </c>
      <c r="CO50" s="5">
        <f t="shared" si="54"/>
        <v>0.5370345235716667</v>
      </c>
      <c r="CP50" s="25">
        <f>_xll.DCETCVNPhuLucFHeSoOnDinh(1, 0.2, AG50, AH50, AI50, AJ50, AI50, AJ50, $D$28)</f>
        <v>1</v>
      </c>
      <c r="CQ50" s="68">
        <f t="shared" si="55"/>
        <v>0.9</v>
      </c>
      <c r="CR50" s="68">
        <f t="shared" si="56"/>
        <v>1</v>
      </c>
      <c r="CS50" s="5">
        <f t="shared" si="57"/>
        <v>0.18181818181818182</v>
      </c>
      <c r="CT50" s="5">
        <f t="shared" si="58"/>
        <v>9.9510191986788829E-2</v>
      </c>
      <c r="CU50" s="26">
        <f t="shared" si="59"/>
        <v>20.100607205987824</v>
      </c>
      <c r="CV50" s="5"/>
      <c r="CW50" s="25"/>
      <c r="CX50" s="72">
        <f>MAX(_xll.Dce_c_925(CU50, CQ50, CR50, CN50, CP50, CS50, CT50),0.3)</f>
        <v>0.3</v>
      </c>
      <c r="CY50" s="102">
        <f t="shared" si="60"/>
        <v>0.24790421549939987</v>
      </c>
      <c r="CZ50" s="5" t="str">
        <f t="shared" si="61"/>
        <v>OK</v>
      </c>
      <c r="DA50" s="47">
        <f t="shared" si="62"/>
        <v>0.34499859601035404</v>
      </c>
      <c r="DB50" s="46">
        <f t="shared" si="63"/>
        <v>0.45712832802668235</v>
      </c>
      <c r="DC50" s="5" t="str">
        <f t="shared" si="64"/>
        <v>OK</v>
      </c>
      <c r="DD50" s="5">
        <f t="shared" si="65"/>
        <v>2.9248163326364334</v>
      </c>
      <c r="DE50" s="5">
        <f t="shared" si="66"/>
        <v>1.6655104634982609</v>
      </c>
      <c r="DF50" s="5" t="str">
        <f t="shared" si="67"/>
        <v>-</v>
      </c>
      <c r="DG50" s="5" t="str">
        <f t="shared" si="68"/>
        <v>-</v>
      </c>
      <c r="DH50" s="203" t="str">
        <f t="shared" si="69"/>
        <v>-</v>
      </c>
      <c r="DI50" s="203">
        <f t="shared" si="70"/>
        <v>180</v>
      </c>
      <c r="DJ50" s="46">
        <f t="shared" si="71"/>
        <v>0</v>
      </c>
      <c r="DK50" s="5" t="str">
        <f t="shared" si="72"/>
        <v>OK</v>
      </c>
      <c r="EB50" s="18"/>
      <c r="EC50" s="77"/>
      <c r="ED50" s="77"/>
      <c r="EE50" s="18"/>
      <c r="EF50" s="18"/>
      <c r="EG50" s="18"/>
      <c r="EH50" s="5"/>
      <c r="EI50" s="5"/>
      <c r="EJ50" s="5"/>
      <c r="EK50" s="5"/>
      <c r="EL50" s="5"/>
      <c r="FE50" s="26"/>
      <c r="FF50" s="26"/>
      <c r="FG50" s="26"/>
      <c r="FH50" s="26"/>
      <c r="FI50" s="26"/>
      <c r="FJ50" s="26"/>
      <c r="FK50" s="26"/>
      <c r="FL50" s="26"/>
      <c r="FM50" s="26"/>
      <c r="FN50" s="205"/>
      <c r="FO50" s="205"/>
      <c r="FP50" s="205"/>
      <c r="FQ50" s="205"/>
      <c r="FR50" s="205"/>
      <c r="FS50" s="205"/>
      <c r="FT50" s="205"/>
      <c r="FU50" s="77"/>
      <c r="FV50" s="77"/>
      <c r="FW50" s="77"/>
      <c r="FX50" s="205"/>
      <c r="FY50" s="205"/>
      <c r="FZ50" s="205"/>
      <c r="GA50" s="205"/>
      <c r="GB50" s="205"/>
      <c r="GC50" s="205"/>
      <c r="GD50" s="205"/>
      <c r="GE50" s="205"/>
      <c r="GF50" s="205"/>
      <c r="GG50" s="205"/>
      <c r="GH50" s="205"/>
      <c r="GI50" s="205"/>
      <c r="GJ50" s="205"/>
      <c r="GK50" s="205"/>
      <c r="GL50" s="205"/>
      <c r="GM50" s="205"/>
      <c r="GN50" s="205"/>
      <c r="GO50" s="205"/>
      <c r="GP50" s="205"/>
      <c r="GQ50" s="205"/>
      <c r="GR50" s="205"/>
      <c r="GS50" s="205"/>
      <c r="GT50" s="205"/>
      <c r="GU50" s="205"/>
      <c r="GV50" s="18"/>
      <c r="GW50" s="5"/>
      <c r="GX50" s="5"/>
      <c r="GY50" s="77"/>
      <c r="GZ50" s="18"/>
      <c r="HA50" s="18"/>
      <c r="HB50" s="18"/>
      <c r="HC50" s="18"/>
      <c r="HD50" s="18"/>
      <c r="HE50" s="18"/>
      <c r="HF50" s="18"/>
      <c r="HG50" s="18"/>
      <c r="HH50" s="205"/>
      <c r="HI50" s="26"/>
      <c r="HJ50" s="26"/>
      <c r="HK50" s="5"/>
    </row>
    <row r="51" spans="2:219" ht="14.4">
      <c r="B51" s="172" t="s">
        <v>410</v>
      </c>
      <c r="C51" s="2"/>
      <c r="D51" s="2"/>
      <c r="E51" s="2"/>
      <c r="F51" s="2"/>
      <c r="G51" s="2"/>
      <c r="H51" s="2"/>
      <c r="I51" s="2"/>
      <c r="J51" s="2"/>
      <c r="K51" s="267" t="s">
        <v>143</v>
      </c>
      <c r="L51" s="236">
        <f>IF(AND(E38&lt;&gt;"Tính toán",O47="No"),"-",O51)</f>
        <v>2.6374168899113055E-6</v>
      </c>
      <c r="M51" s="245"/>
      <c r="N51" s="7"/>
      <c r="O51" s="243">
        <f>ABS(N32)*N28/(M28*$L$47)*100000</f>
        <v>2.6374168899113055E-6</v>
      </c>
      <c r="AA51" s="18" t="s">
        <v>488</v>
      </c>
      <c r="AB51" s="22" t="s">
        <v>489</v>
      </c>
      <c r="AC51" s="59">
        <v>3.6405952380952398</v>
      </c>
      <c r="AD51" s="59">
        <v>8.6549999999999994</v>
      </c>
      <c r="AE51" s="22">
        <v>528</v>
      </c>
      <c r="AF51" s="22">
        <v>1528</v>
      </c>
      <c r="AG51" s="22">
        <v>948.63492063492095</v>
      </c>
      <c r="AH51" s="6">
        <v>10</v>
      </c>
      <c r="AI51" s="6">
        <v>300</v>
      </c>
      <c r="AJ51" s="6">
        <v>14</v>
      </c>
      <c r="AK51" s="24">
        <v>300</v>
      </c>
      <c r="AL51" s="24">
        <v>14</v>
      </c>
      <c r="AM51" s="5">
        <f t="shared" si="17"/>
        <v>920.63492063492095</v>
      </c>
      <c r="AN51" s="26">
        <f t="shared" si="18"/>
        <v>176.06349206349208</v>
      </c>
      <c r="AO51" s="26">
        <f t="shared" si="19"/>
        <v>248482.7399356656</v>
      </c>
      <c r="AP51" s="15">
        <f t="shared" si="20"/>
        <v>6307.6719576719579</v>
      </c>
      <c r="AQ51" s="5">
        <f t="shared" si="21"/>
        <v>5238.7432621467533</v>
      </c>
      <c r="AR51" s="26">
        <f t="shared" si="22"/>
        <v>420.51146384479722</v>
      </c>
      <c r="AS51" s="26">
        <f t="shared" si="23"/>
        <v>3022.1941546989178</v>
      </c>
      <c r="AT51" s="26">
        <f t="shared" si="24"/>
        <v>37.567600585756203</v>
      </c>
      <c r="AU51" s="26">
        <f t="shared" si="25"/>
        <v>5.9854925384629922</v>
      </c>
      <c r="AV51" s="95">
        <f t="shared" si="26"/>
        <v>8.6034497354497351E-7</v>
      </c>
      <c r="AW51" s="95">
        <f t="shared" si="27"/>
        <v>13758293.349206358</v>
      </c>
      <c r="AX51" s="95">
        <f t="shared" si="28"/>
        <v>1.3758293349206359E-5</v>
      </c>
      <c r="AY51" s="54">
        <f t="shared" si="29"/>
        <v>0.1548581140202015</v>
      </c>
      <c r="AZ51" s="54" t="str">
        <f>_xll.Dce_Name_SectI(AE51,AF51,AI51,AH51,AJ51,"x","-",$O$11)</f>
        <v>(528-1528)x300x10x14</v>
      </c>
      <c r="BA51" s="15">
        <f t="shared" si="30"/>
        <v>700.97619047619071</v>
      </c>
      <c r="BB51" s="54"/>
      <c r="BC51" s="54"/>
      <c r="BD51" s="22" t="s">
        <v>503</v>
      </c>
      <c r="BE51" s="23">
        <v>-190.71785990380641</v>
      </c>
      <c r="BF51" s="23">
        <v>-201.30193570098103</v>
      </c>
      <c r="BG51" s="23">
        <v>1.2271010358443568E-3</v>
      </c>
      <c r="BH51" s="23">
        <v>-1.7139051734597996E-5</v>
      </c>
      <c r="BI51" s="23">
        <v>-4.4790758818984994E-3</v>
      </c>
      <c r="BJ51" s="23">
        <v>736.83918921674854</v>
      </c>
      <c r="BK51" s="23">
        <v>733.37939679932867</v>
      </c>
      <c r="BL51" s="92">
        <v>2.25</v>
      </c>
      <c r="BM51" s="91">
        <v>2</v>
      </c>
      <c r="BN51" s="5">
        <f t="shared" si="31"/>
        <v>19.473749999999999</v>
      </c>
      <c r="BO51" s="54">
        <f>_xll.Bimoment(BH51,AY51,AC51,AD51,$O$101)</f>
        <v>1.3181073427965122E-4</v>
      </c>
      <c r="BP51" s="5">
        <f t="shared" si="32"/>
        <v>0.45620689655172403</v>
      </c>
      <c r="BQ51" s="5">
        <f t="shared" si="33"/>
        <v>16.116836222369582</v>
      </c>
      <c r="BR51" s="24" t="str">
        <f t="shared" si="34"/>
        <v>Cal</v>
      </c>
      <c r="BS51" s="25">
        <f t="shared" si="35"/>
        <v>4.7391462437780953E-2</v>
      </c>
      <c r="BT51" s="25" t="str">
        <f t="shared" si="36"/>
        <v>CT.105</v>
      </c>
      <c r="BU51" s="25">
        <f t="shared" si="37"/>
        <v>1</v>
      </c>
      <c r="BV51" s="25" cm="1">
        <f t="array" ref="BV51">IF(BT51="CT.104",_xll.TCVN5575AnnexEHeSoCx(1,BP51),1)</f>
        <v>1</v>
      </c>
      <c r="BW51" s="25">
        <f t="shared" si="38"/>
        <v>1</v>
      </c>
      <c r="BX51" s="25">
        <f t="shared" si="39"/>
        <v>4.9885749934506271E-2</v>
      </c>
      <c r="BY51" s="25">
        <f t="shared" si="40"/>
        <v>0.64773900945135943</v>
      </c>
      <c r="BZ51" s="25">
        <f t="shared" si="41"/>
        <v>4.9052938894277541E-5</v>
      </c>
      <c r="CA51" s="25">
        <f t="shared" si="42"/>
        <v>3.092743716550714E-6</v>
      </c>
      <c r="CB51" s="25">
        <f t="shared" si="43"/>
        <v>0.69767690506847646</v>
      </c>
      <c r="CC51" s="5" t="str">
        <f t="shared" si="44"/>
        <v>OK</v>
      </c>
      <c r="CD51" s="5">
        <f t="shared" si="45"/>
        <v>51.836555160202302</v>
      </c>
      <c r="CE51" s="5">
        <f t="shared" si="46"/>
        <v>33.414125690541383</v>
      </c>
      <c r="CF51" s="5">
        <f t="shared" si="47"/>
        <v>1.7266865002204341</v>
      </c>
      <c r="CG51" s="5">
        <f t="shared" si="48"/>
        <v>1.1130315193248546</v>
      </c>
      <c r="CH51" s="5">
        <f t="shared" si="49"/>
        <v>12.984449673539224</v>
      </c>
      <c r="CI51" s="68">
        <f>_xll.DCETCVN5575PhuLucD2Eta(BP51,CH51,CF51)</f>
        <v>1.2412413793103447</v>
      </c>
      <c r="CJ51" s="5">
        <f t="shared" si="50"/>
        <v>16.116836222369582</v>
      </c>
      <c r="CK51" s="5">
        <f>MIN(noisuy2chieu(CJ51,CF51,Data!$DA$2:$EB$24),1)</f>
        <v>8.5377544164657593E-2</v>
      </c>
      <c r="CL51" s="102">
        <f t="shared" si="51"/>
        <v>0.58429591085798305</v>
      </c>
      <c r="CM51" s="5" t="str">
        <f t="shared" si="52"/>
        <v>OK</v>
      </c>
      <c r="CN51" s="5">
        <f t="shared" si="53"/>
        <v>0.88472625978979058</v>
      </c>
      <c r="CO51" s="5">
        <f t="shared" si="54"/>
        <v>0.5370345235716667</v>
      </c>
      <c r="CP51" s="25">
        <f>_xll.DCETCVNPhuLucFHeSoOnDinh(1, 0.2, AG51, AH51, AI51, AJ51, AI51, AJ51, $D$28)</f>
        <v>1</v>
      </c>
      <c r="CQ51" s="68">
        <f t="shared" si="55"/>
        <v>0.9</v>
      </c>
      <c r="CR51" s="68">
        <f t="shared" si="56"/>
        <v>1</v>
      </c>
      <c r="CS51" s="5">
        <f t="shared" si="57"/>
        <v>0.18181818181818182</v>
      </c>
      <c r="CT51" s="5">
        <f t="shared" si="58"/>
        <v>0.10155106457844131</v>
      </c>
      <c r="CU51" s="26">
        <f t="shared" si="59"/>
        <v>12.923481824404281</v>
      </c>
      <c r="CV51" s="5"/>
      <c r="CW51" s="25"/>
      <c r="CX51" s="72">
        <f>MAX(_xll.Dce_c_925(CU51, CQ51, CR51, CN51, CP51, CS51, CT51),0.3)</f>
        <v>0.3</v>
      </c>
      <c r="CY51" s="102">
        <f t="shared" si="60"/>
        <v>0.18795173227313289</v>
      </c>
      <c r="CZ51" s="5" t="str">
        <f t="shared" si="61"/>
        <v>OK</v>
      </c>
      <c r="DA51" s="47">
        <f t="shared" si="62"/>
        <v>0.34499859601035404</v>
      </c>
      <c r="DB51" s="46">
        <f t="shared" si="63"/>
        <v>0.47130315193248545</v>
      </c>
      <c r="DC51" s="5" t="str">
        <f t="shared" si="64"/>
        <v>OK</v>
      </c>
      <c r="DD51" s="5">
        <f t="shared" si="65"/>
        <v>1.7266865002204341</v>
      </c>
      <c r="DE51" s="5">
        <f t="shared" si="66"/>
        <v>3.0666541867587034</v>
      </c>
      <c r="DF51" s="5" t="str">
        <f t="shared" si="67"/>
        <v>-</v>
      </c>
      <c r="DG51" s="5" t="str">
        <f t="shared" si="68"/>
        <v>-</v>
      </c>
      <c r="DH51" s="203">
        <f t="shared" si="69"/>
        <v>51.836555160202302</v>
      </c>
      <c r="DI51" s="203">
        <f t="shared" si="70"/>
        <v>174.94224534852103</v>
      </c>
      <c r="DJ51" s="46">
        <f t="shared" si="71"/>
        <v>0.29630667570850711</v>
      </c>
      <c r="DK51" s="5" t="str">
        <f t="shared" si="72"/>
        <v>OK</v>
      </c>
      <c r="EB51" s="18"/>
      <c r="EC51" s="77"/>
      <c r="ED51" s="77"/>
      <c r="EE51" s="18"/>
      <c r="EF51" s="18"/>
      <c r="EG51" s="18"/>
      <c r="EH51" s="5"/>
      <c r="EI51" s="5"/>
      <c r="EJ51" s="5"/>
      <c r="EK51" s="5"/>
      <c r="EL51" s="5"/>
      <c r="FE51" s="26"/>
      <c r="FF51" s="26"/>
      <c r="FG51" s="26"/>
      <c r="FH51" s="26"/>
      <c r="FI51" s="26"/>
      <c r="FJ51" s="26"/>
      <c r="FK51" s="26"/>
      <c r="FL51" s="26"/>
      <c r="FM51" s="26"/>
      <c r="FN51" s="205"/>
      <c r="FO51" s="205"/>
      <c r="FP51" s="205"/>
      <c r="FQ51" s="205"/>
      <c r="FR51" s="205"/>
      <c r="FS51" s="205"/>
      <c r="FT51" s="205"/>
      <c r="FU51" s="77"/>
      <c r="FV51" s="77"/>
      <c r="FW51" s="77"/>
      <c r="FX51" s="205"/>
      <c r="FY51" s="205"/>
      <c r="FZ51" s="205"/>
      <c r="GA51" s="205"/>
      <c r="GB51" s="205"/>
      <c r="GC51" s="205"/>
      <c r="GD51" s="205"/>
      <c r="GE51" s="205"/>
      <c r="GF51" s="205"/>
      <c r="GG51" s="205"/>
      <c r="GH51" s="205"/>
      <c r="GI51" s="205"/>
      <c r="GJ51" s="205"/>
      <c r="GK51" s="205"/>
      <c r="GL51" s="205"/>
      <c r="GM51" s="205"/>
      <c r="GN51" s="205"/>
      <c r="GO51" s="205"/>
      <c r="GP51" s="205"/>
      <c r="GQ51" s="205"/>
      <c r="GR51" s="205"/>
      <c r="GS51" s="205"/>
      <c r="GT51" s="205"/>
      <c r="GU51" s="205"/>
      <c r="GV51" s="18"/>
      <c r="GW51" s="5"/>
      <c r="GX51" s="5"/>
      <c r="GY51" s="77"/>
      <c r="GZ51" s="18"/>
      <c r="HA51" s="18"/>
      <c r="HB51" s="18"/>
      <c r="HC51" s="18"/>
      <c r="HD51" s="18"/>
      <c r="HE51" s="18"/>
      <c r="HF51" s="18"/>
      <c r="HG51" s="18"/>
      <c r="HH51" s="205"/>
      <c r="HI51" s="26"/>
      <c r="HJ51" s="26"/>
      <c r="HK51" s="5"/>
    </row>
    <row r="52" spans="2:219">
      <c r="B52" s="172" t="s">
        <v>411</v>
      </c>
      <c r="C52" s="2"/>
      <c r="D52" s="2"/>
      <c r="E52" s="2"/>
      <c r="F52" s="2"/>
      <c r="G52" s="2"/>
      <c r="H52" s="2"/>
      <c r="I52" s="2"/>
      <c r="J52" s="2"/>
      <c r="K52" s="246" t="s">
        <v>68</v>
      </c>
      <c r="L52" s="268">
        <f>IF(AND(E38&lt;&gt;"Tính toán",O47="No"),"-",O52)</f>
        <v>1.2353556596788178</v>
      </c>
      <c r="M52" s="240" t="s">
        <v>31</v>
      </c>
      <c r="N52" s="21" t="str">
        <f>IF(L52="-","",IF(L52&lt;=1,"OK","Check"))</f>
        <v>Check</v>
      </c>
      <c r="O52" s="244">
        <f>SUM(O48:O51)</f>
        <v>1.2353556596788178</v>
      </c>
      <c r="AA52" s="18" t="s">
        <v>488</v>
      </c>
      <c r="AB52" s="22" t="s">
        <v>489</v>
      </c>
      <c r="AC52" s="59">
        <v>7.2811904761904795</v>
      </c>
      <c r="AD52" s="59">
        <v>8.6549999999999994</v>
      </c>
      <c r="AE52" s="22">
        <v>528</v>
      </c>
      <c r="AF52" s="22">
        <v>1528</v>
      </c>
      <c r="AG52" s="22">
        <v>1369.2698412698419</v>
      </c>
      <c r="AH52" s="6">
        <v>10</v>
      </c>
      <c r="AI52" s="6">
        <v>300</v>
      </c>
      <c r="AJ52" s="6">
        <v>14</v>
      </c>
      <c r="AK52" s="24">
        <v>300</v>
      </c>
      <c r="AL52" s="24">
        <v>14</v>
      </c>
      <c r="AM52" s="5">
        <f t="shared" si="17"/>
        <v>1341.2698412698419</v>
      </c>
      <c r="AN52" s="26">
        <f t="shared" si="18"/>
        <v>218.12698412698418</v>
      </c>
      <c r="AO52" s="26">
        <f t="shared" si="19"/>
        <v>586811.79072745051</v>
      </c>
      <c r="AP52" s="15">
        <f t="shared" si="20"/>
        <v>6311.1772486772488</v>
      </c>
      <c r="AQ52" s="5">
        <f t="shared" si="21"/>
        <v>8571.1635945074104</v>
      </c>
      <c r="AR52" s="26">
        <f t="shared" si="22"/>
        <v>420.74514991181661</v>
      </c>
      <c r="AS52" s="26">
        <f t="shared" si="23"/>
        <v>5094.8226505417015</v>
      </c>
      <c r="AT52" s="26">
        <f t="shared" si="24"/>
        <v>51.867428670398397</v>
      </c>
      <c r="AU52" s="26">
        <f t="shared" si="25"/>
        <v>5.3789869588463937</v>
      </c>
      <c r="AV52" s="95">
        <f t="shared" si="26"/>
        <v>1.0005566137566139E-6</v>
      </c>
      <c r="AW52" s="95">
        <f t="shared" si="27"/>
        <v>28928912.396825422</v>
      </c>
      <c r="AX52" s="95">
        <f t="shared" si="28"/>
        <v>2.8928912396825422E-5</v>
      </c>
      <c r="AY52" s="54">
        <f t="shared" si="29"/>
        <v>0.11516876660535029</v>
      </c>
      <c r="AZ52" s="54" t="str">
        <f>_xll.Dce_Name_SectI(AE52,AF52,AI52,AH52,AJ52,"x","-",$O$11)</f>
        <v>(528-1528)x300x10x14</v>
      </c>
      <c r="BA52" s="15">
        <f t="shared" si="30"/>
        <v>1016.4523809523813</v>
      </c>
      <c r="BB52" s="54"/>
      <c r="BC52" s="54"/>
      <c r="BD52" s="22" t="s">
        <v>503</v>
      </c>
      <c r="BE52" s="23">
        <v>-184.06990846674819</v>
      </c>
      <c r="BF52" s="23">
        <v>-198.76274341885559</v>
      </c>
      <c r="BG52" s="23">
        <v>1.2271010358445124E-3</v>
      </c>
      <c r="BH52" s="23">
        <v>-1.7139051734597996E-5</v>
      </c>
      <c r="BI52" s="23">
        <v>-8.9569748235850521E-3</v>
      </c>
      <c r="BJ52" s="23">
        <v>1466.7587935986573</v>
      </c>
      <c r="BK52" s="23">
        <v>733.37939679932867</v>
      </c>
      <c r="BL52" s="92">
        <v>2.25</v>
      </c>
      <c r="BM52" s="91">
        <v>2</v>
      </c>
      <c r="BN52" s="5">
        <f t="shared" si="31"/>
        <v>19.473749999999999</v>
      </c>
      <c r="BO52" s="54">
        <f>_xll.Bimoment(BH52,AY52,AC52,AD52,$O$101)</f>
        <v>7.8405512903386571E-5</v>
      </c>
      <c r="BP52" s="5">
        <f t="shared" si="32"/>
        <v>0.31313609467455605</v>
      </c>
      <c r="BQ52" s="5">
        <f t="shared" si="33"/>
        <v>24.590809583340604</v>
      </c>
      <c r="BR52" s="24" t="str">
        <f t="shared" si="34"/>
        <v>Cal</v>
      </c>
      <c r="BS52" s="25">
        <f t="shared" si="35"/>
        <v>3.6919130054684515E-2</v>
      </c>
      <c r="BT52" s="25" t="str">
        <f t="shared" si="36"/>
        <v>CT.105</v>
      </c>
      <c r="BU52" s="25">
        <f t="shared" si="37"/>
        <v>1</v>
      </c>
      <c r="BV52" s="25" cm="1">
        <f t="array" ref="BV52">IF(BT52="CT.104",_xll.TCVN5575AnnexEHeSoCx(1,BP52),1)</f>
        <v>1</v>
      </c>
      <c r="BW52" s="25">
        <f t="shared" si="38"/>
        <v>1</v>
      </c>
      <c r="BX52" s="25">
        <f t="shared" si="39"/>
        <v>3.8862242162825807E-2</v>
      </c>
      <c r="BY52" s="25">
        <f t="shared" si="40"/>
        <v>0.78808555678562231</v>
      </c>
      <c r="BZ52" s="25">
        <f t="shared" si="41"/>
        <v>9.8038506611169084E-5</v>
      </c>
      <c r="CA52" s="25">
        <f t="shared" si="42"/>
        <v>1.2686913633428818E-6</v>
      </c>
      <c r="CB52" s="25">
        <f t="shared" si="43"/>
        <v>0.82704710614642263</v>
      </c>
      <c r="CC52" s="5" t="str">
        <f t="shared" si="44"/>
        <v>OK</v>
      </c>
      <c r="CD52" s="5">
        <f t="shared" si="45"/>
        <v>37.545238889226049</v>
      </c>
      <c r="CE52" s="5">
        <f t="shared" si="46"/>
        <v>37.181722419139881</v>
      </c>
      <c r="CF52" s="5">
        <f t="shared" si="47"/>
        <v>1.2506397644909562</v>
      </c>
      <c r="CG52" s="5">
        <f t="shared" si="48"/>
        <v>1.2385309547993069</v>
      </c>
      <c r="CH52" s="5">
        <f t="shared" si="49"/>
        <v>20.278952343606051</v>
      </c>
      <c r="CI52" s="68">
        <f>_xll.DCETCVN5575PhuLucD2Eta(BP52,CH52,CF52)</f>
        <v>1.2126272189349112</v>
      </c>
      <c r="CJ52" s="5">
        <f t="shared" si="50"/>
        <v>24.590809583340604</v>
      </c>
      <c r="CK52" s="5">
        <f>MIN(noisuy2chieu(CJ52,CF52,Data!$DA$2:$EB$24),1)</f>
        <v>7.1994885802268982E-2</v>
      </c>
      <c r="CL52" s="102">
        <f t="shared" si="51"/>
        <v>0.53979170506026453</v>
      </c>
      <c r="CM52" s="5" t="str">
        <f t="shared" si="52"/>
        <v>OK</v>
      </c>
      <c r="CN52" s="5">
        <f t="shared" si="53"/>
        <v>0.86643683692746631</v>
      </c>
      <c r="CO52" s="5">
        <f t="shared" si="54"/>
        <v>0.5370345235716667</v>
      </c>
      <c r="CP52" s="25">
        <f>_xll.DCETCVNPhuLucFHeSoOnDinh(1, 0.2, AG52, AH52, AI52, AJ52, AI52, AJ52, $D$28)</f>
        <v>1</v>
      </c>
      <c r="CQ52" s="68">
        <f t="shared" si="55"/>
        <v>0.9</v>
      </c>
      <c r="CR52" s="68">
        <f t="shared" si="56"/>
        <v>1</v>
      </c>
      <c r="CS52" s="5">
        <f t="shared" si="57"/>
        <v>0.18181818181818182</v>
      </c>
      <c r="CT52" s="5">
        <f t="shared" si="58"/>
        <v>0.10347287704587492</v>
      </c>
      <c r="CU52" s="26">
        <f t="shared" si="59"/>
        <v>10.139476171803025</v>
      </c>
      <c r="CV52" s="5"/>
      <c r="CW52" s="25"/>
      <c r="CX52" s="72">
        <f>MAX(_xll.Dce_c_925(CU52, CQ52, CR52, CN52, CP52, CS52, CT52),0.3)</f>
        <v>0.3</v>
      </c>
      <c r="CY52" s="102">
        <f t="shared" si="60"/>
        <v>0.14950981039632769</v>
      </c>
      <c r="CZ52" s="5" t="str">
        <f t="shared" si="61"/>
        <v>OK</v>
      </c>
      <c r="DA52" s="47">
        <f t="shared" si="62"/>
        <v>0.34499859601035404</v>
      </c>
      <c r="DB52" s="46">
        <f t="shared" si="63"/>
        <v>0.48385309547993066</v>
      </c>
      <c r="DC52" s="5" t="str">
        <f t="shared" si="64"/>
        <v>OK</v>
      </c>
      <c r="DD52" s="5">
        <f t="shared" si="65"/>
        <v>1.2506397644909562</v>
      </c>
      <c r="DE52" s="5">
        <f t="shared" si="66"/>
        <v>4.4677979100191463</v>
      </c>
      <c r="DF52" s="5" t="str">
        <f t="shared" si="67"/>
        <v>-</v>
      </c>
      <c r="DG52" s="5" t="str">
        <f t="shared" si="68"/>
        <v>-</v>
      </c>
      <c r="DH52" s="203">
        <f t="shared" si="69"/>
        <v>37.545238889226049</v>
      </c>
      <c r="DI52" s="203">
        <f t="shared" si="70"/>
        <v>177.61249769638414</v>
      </c>
      <c r="DJ52" s="46">
        <f t="shared" si="71"/>
        <v>0.21138849673409216</v>
      </c>
      <c r="DK52" s="5" t="str">
        <f t="shared" si="72"/>
        <v>OK</v>
      </c>
      <c r="EB52" s="18"/>
      <c r="EC52" s="77"/>
      <c r="ED52" s="77"/>
      <c r="EE52" s="18"/>
      <c r="EF52" s="18"/>
      <c r="EG52" s="18"/>
      <c r="EH52" s="5"/>
      <c r="EI52" s="5"/>
      <c r="EJ52" s="5"/>
      <c r="EK52" s="5"/>
      <c r="EL52" s="5"/>
      <c r="FE52" s="26"/>
      <c r="FF52" s="26"/>
      <c r="FG52" s="26"/>
      <c r="FH52" s="26"/>
      <c r="FI52" s="26"/>
      <c r="FJ52" s="26"/>
      <c r="FK52" s="26"/>
      <c r="FL52" s="26"/>
      <c r="FM52" s="26"/>
      <c r="FN52" s="205"/>
      <c r="FO52" s="205"/>
      <c r="FP52" s="205"/>
      <c r="FQ52" s="205"/>
      <c r="FR52" s="205"/>
      <c r="FS52" s="205"/>
      <c r="FT52" s="205"/>
      <c r="FU52" s="77"/>
      <c r="FV52" s="77"/>
      <c r="FW52" s="77"/>
      <c r="FX52" s="205"/>
      <c r="FY52" s="205"/>
      <c r="FZ52" s="205"/>
      <c r="GA52" s="205"/>
      <c r="GB52" s="205"/>
      <c r="GC52" s="205"/>
      <c r="GD52" s="205"/>
      <c r="GE52" s="205"/>
      <c r="GF52" s="205"/>
      <c r="GG52" s="205"/>
      <c r="GH52" s="205"/>
      <c r="GI52" s="205"/>
      <c r="GJ52" s="205"/>
      <c r="GK52" s="205"/>
      <c r="GL52" s="205"/>
      <c r="GM52" s="205"/>
      <c r="GN52" s="205"/>
      <c r="GO52" s="205"/>
      <c r="GP52" s="205"/>
      <c r="GQ52" s="205"/>
      <c r="GR52" s="205"/>
      <c r="GS52" s="205"/>
      <c r="GT52" s="205"/>
      <c r="GU52" s="205"/>
      <c r="GV52" s="18"/>
      <c r="GW52" s="5"/>
      <c r="GX52" s="5"/>
      <c r="GY52" s="77"/>
      <c r="GZ52" s="18"/>
      <c r="HA52" s="18"/>
      <c r="HB52" s="18"/>
      <c r="HC52" s="18"/>
      <c r="HD52" s="18"/>
      <c r="HE52" s="18"/>
      <c r="HF52" s="18"/>
      <c r="HG52" s="18"/>
      <c r="HH52" s="205"/>
      <c r="HI52" s="26"/>
      <c r="HJ52" s="26"/>
      <c r="HK52" s="5"/>
    </row>
    <row r="53" spans="2:219">
      <c r="B53" s="69" t="s">
        <v>122</v>
      </c>
      <c r="C53" s="2"/>
      <c r="D53" s="2"/>
      <c r="E53" s="2"/>
      <c r="F53" s="2"/>
      <c r="G53" s="2"/>
      <c r="H53" s="2"/>
      <c r="I53" s="256"/>
      <c r="J53" s="256"/>
      <c r="K53" s="256"/>
      <c r="L53" s="256"/>
      <c r="M53" s="256"/>
      <c r="N53" s="10"/>
      <c r="AA53" s="18" t="s">
        <v>488</v>
      </c>
      <c r="AB53" s="22" t="s">
        <v>489</v>
      </c>
      <c r="AC53" s="59">
        <v>0</v>
      </c>
      <c r="AD53" s="59">
        <v>8.6549999999999994</v>
      </c>
      <c r="AE53" s="22">
        <v>528</v>
      </c>
      <c r="AF53" s="22">
        <v>1528</v>
      </c>
      <c r="AG53" s="22">
        <v>528</v>
      </c>
      <c r="AH53" s="6">
        <v>10</v>
      </c>
      <c r="AI53" s="6">
        <v>300</v>
      </c>
      <c r="AJ53" s="6">
        <v>14</v>
      </c>
      <c r="AK53" s="24">
        <v>300</v>
      </c>
      <c r="AL53" s="24">
        <v>14</v>
      </c>
      <c r="AM53" s="5">
        <f t="shared" si="17"/>
        <v>500</v>
      </c>
      <c r="AN53" s="26">
        <f t="shared" si="18"/>
        <v>134</v>
      </c>
      <c r="AO53" s="26">
        <f t="shared" si="19"/>
        <v>65911.546666666676</v>
      </c>
      <c r="AP53" s="15">
        <f t="shared" si="20"/>
        <v>6304.166666666667</v>
      </c>
      <c r="AQ53" s="5">
        <f t="shared" si="21"/>
        <v>2496.6494949494954</v>
      </c>
      <c r="AR53" s="26">
        <f t="shared" si="22"/>
        <v>420.27777777777777</v>
      </c>
      <c r="AS53" s="26">
        <f t="shared" si="23"/>
        <v>1391.9</v>
      </c>
      <c r="AT53" s="26">
        <f t="shared" si="24"/>
        <v>22.178305028345793</v>
      </c>
      <c r="AU53" s="26">
        <f t="shared" si="25"/>
        <v>6.8590101254115021</v>
      </c>
      <c r="AV53" s="95">
        <f t="shared" si="26"/>
        <v>7.201333333333334E-7</v>
      </c>
      <c r="AW53" s="95">
        <f t="shared" si="27"/>
        <v>4161087</v>
      </c>
      <c r="AX53" s="95">
        <f t="shared" si="28"/>
        <v>4.1610870000000001E-6</v>
      </c>
      <c r="AY53" s="54">
        <f t="shared" si="29"/>
        <v>0.25762202780669918</v>
      </c>
      <c r="AZ53" s="54" t="str">
        <f>_xll.Dce_Name_SectI(AE53,AF53,AI53,AH53,AJ53,"x","-",$O$11)</f>
        <v>(528-1528)x300x10x14</v>
      </c>
      <c r="BA53" s="15">
        <f t="shared" si="30"/>
        <v>385.5</v>
      </c>
      <c r="BB53" s="54"/>
      <c r="BC53" s="54"/>
      <c r="BD53" s="22" t="s">
        <v>504</v>
      </c>
      <c r="BE53" s="23">
        <v>-78.346059295779213</v>
      </c>
      <c r="BF53" s="23">
        <v>-80.656159517674951</v>
      </c>
      <c r="BG53" s="23">
        <v>-1.0193052544179232E-3</v>
      </c>
      <c r="BH53" s="23">
        <v>1.4236745776032493E-5</v>
      </c>
      <c r="BI53" s="23">
        <v>9.7763860076149915E-7</v>
      </c>
      <c r="BJ53" s="23">
        <v>-1.016908672952348</v>
      </c>
      <c r="BK53" s="23">
        <v>226.47694608693791</v>
      </c>
      <c r="BL53" s="92">
        <v>2.25</v>
      </c>
      <c r="BM53" s="91">
        <v>2</v>
      </c>
      <c r="BN53" s="5">
        <f t="shared" si="31"/>
        <v>19.473749999999999</v>
      </c>
      <c r="BO53" s="54">
        <f>_xll.Bimoment(BH53,AY53,AC53,AD53,$O$101)</f>
        <v>0</v>
      </c>
      <c r="BP53" s="5">
        <f t="shared" si="32"/>
        <v>0.84</v>
      </c>
      <c r="BQ53" s="5">
        <f t="shared" si="33"/>
        <v>0.10567068380470793</v>
      </c>
      <c r="BR53" s="24" t="str">
        <f t="shared" si="34"/>
        <v>Cal</v>
      </c>
      <c r="BS53" s="25">
        <f t="shared" si="35"/>
        <v>2.5579403687987619E-2</v>
      </c>
      <c r="BT53" s="25" t="str">
        <f t="shared" si="36"/>
        <v>CT.105</v>
      </c>
      <c r="BU53" s="25">
        <f t="shared" si="37"/>
        <v>1</v>
      </c>
      <c r="BV53" s="25" cm="1">
        <f t="array" ref="BV53">IF(BT53="CT.104",_xll.TCVN5575AnnexEHeSoCx(1,BP53),1)</f>
        <v>1</v>
      </c>
      <c r="BW53" s="25">
        <f t="shared" si="38"/>
        <v>1</v>
      </c>
      <c r="BX53" s="25">
        <f t="shared" si="39"/>
        <v>2.6925688092618544E-2</v>
      </c>
      <c r="BY53" s="25">
        <f t="shared" si="40"/>
        <v>1.8757667249506367E-3</v>
      </c>
      <c r="BZ53" s="25">
        <f t="shared" si="41"/>
        <v>1.0712636422578783E-8</v>
      </c>
      <c r="CA53" s="25">
        <f t="shared" si="42"/>
        <v>0</v>
      </c>
      <c r="CB53" s="25">
        <f t="shared" si="43"/>
        <v>2.8801465530205603E-2</v>
      </c>
      <c r="CC53" s="5" t="str">
        <f t="shared" si="44"/>
        <v>OK</v>
      </c>
      <c r="CD53" s="5">
        <f t="shared" si="45"/>
        <v>87.805402509844015</v>
      </c>
      <c r="CE53" s="5">
        <f t="shared" si="46"/>
        <v>29.158726455153193</v>
      </c>
      <c r="CF53" s="5">
        <f t="shared" si="47"/>
        <v>2.9248163326364334</v>
      </c>
      <c r="CG53" s="5">
        <f t="shared" si="48"/>
        <v>0.97128328026682387</v>
      </c>
      <c r="CH53" s="5">
        <f t="shared" si="49"/>
        <v>6.966457898860022E-2</v>
      </c>
      <c r="CI53" s="68">
        <f>_xll.DCETCVN5575PhuLucD2Eta(BP53,CH53,CF53)</f>
        <v>1.5168495286822832</v>
      </c>
      <c r="CJ53" s="5">
        <f t="shared" si="50"/>
        <v>0.10567068380470793</v>
      </c>
      <c r="CK53" s="5">
        <f>MIN(noisuy2chieu(CJ53,CF53,Data!$DA$2:$EB$24),1)</f>
        <v>0.67563122510910034</v>
      </c>
      <c r="CL53" s="102">
        <f t="shared" si="51"/>
        <v>3.9852640156278471E-2</v>
      </c>
      <c r="CM53" s="5" t="str">
        <f t="shared" si="52"/>
        <v>OK</v>
      </c>
      <c r="CN53" s="5">
        <f t="shared" si="53"/>
        <v>0.90492218941026858</v>
      </c>
      <c r="CO53" s="5">
        <f t="shared" si="54"/>
        <v>0.5370345235716667</v>
      </c>
      <c r="CP53" s="25">
        <f>_xll.DCETCVNPhuLucFHeSoOnDinh(1, 0.2, AG53, AH53, AI53, AJ53, AI53, AJ53, $D$28)</f>
        <v>1</v>
      </c>
      <c r="CQ53" s="68">
        <f t="shared" si="55"/>
        <v>0.9</v>
      </c>
      <c r="CR53" s="68">
        <f t="shared" si="56"/>
        <v>1</v>
      </c>
      <c r="CS53" s="5">
        <f t="shared" si="57"/>
        <v>0.18181818181818182</v>
      </c>
      <c r="CT53" s="5">
        <f t="shared" si="58"/>
        <v>9.9510191986788829E-2</v>
      </c>
      <c r="CU53" s="26">
        <f t="shared" si="59"/>
        <v>15.515081658183247</v>
      </c>
      <c r="CV53" s="5"/>
      <c r="CW53" s="25"/>
      <c r="CX53" s="72">
        <f>MAX(_xll.Dce_c_925(CU53, CQ53, CR53, CN53, CP53, CS53, CT53),0.3)</f>
        <v>0.3</v>
      </c>
      <c r="CY53" s="102">
        <f t="shared" si="60"/>
        <v>9.9182332682716895E-2</v>
      </c>
      <c r="CZ53" s="5" t="str">
        <f t="shared" si="61"/>
        <v>OK</v>
      </c>
      <c r="DA53" s="47">
        <f t="shared" si="62"/>
        <v>0.34499859601035404</v>
      </c>
      <c r="DB53" s="46">
        <f t="shared" si="63"/>
        <v>0.45712832802668235</v>
      </c>
      <c r="DC53" s="5" t="str">
        <f t="shared" si="64"/>
        <v>OK</v>
      </c>
      <c r="DD53" s="5">
        <f t="shared" si="65"/>
        <v>2.9248163326364334</v>
      </c>
      <c r="DE53" s="5">
        <f t="shared" si="66"/>
        <v>1.6655104634982609</v>
      </c>
      <c r="DF53" s="5" t="str">
        <f t="shared" si="67"/>
        <v>-</v>
      </c>
      <c r="DG53" s="5" t="str">
        <f t="shared" si="68"/>
        <v>-</v>
      </c>
      <c r="DH53" s="203" t="str">
        <f t="shared" si="69"/>
        <v>-</v>
      </c>
      <c r="DI53" s="203">
        <f t="shared" si="70"/>
        <v>180</v>
      </c>
      <c r="DJ53" s="46">
        <f t="shared" si="71"/>
        <v>0</v>
      </c>
      <c r="DK53" s="5" t="str">
        <f t="shared" si="72"/>
        <v>OK</v>
      </c>
      <c r="EB53" s="18"/>
      <c r="EC53" s="77"/>
      <c r="ED53" s="77"/>
      <c r="EE53" s="18"/>
      <c r="EF53" s="18"/>
      <c r="EG53" s="18"/>
      <c r="EH53" s="5"/>
      <c r="EI53" s="5"/>
      <c r="EJ53" s="5"/>
      <c r="EK53" s="5"/>
      <c r="EL53" s="5"/>
      <c r="FE53" s="26"/>
      <c r="FF53" s="26"/>
      <c r="FG53" s="26"/>
      <c r="FH53" s="26"/>
      <c r="FI53" s="26"/>
      <c r="FJ53" s="26"/>
      <c r="FK53" s="26"/>
      <c r="FL53" s="26"/>
      <c r="FM53" s="26"/>
      <c r="FN53" s="205"/>
      <c r="FO53" s="205"/>
      <c r="FP53" s="205"/>
      <c r="FQ53" s="205"/>
      <c r="FR53" s="205"/>
      <c r="FS53" s="205"/>
      <c r="FT53" s="205"/>
      <c r="FU53" s="77"/>
      <c r="FV53" s="77"/>
      <c r="FW53" s="77"/>
      <c r="FX53" s="205"/>
      <c r="FY53" s="205"/>
      <c r="FZ53" s="205"/>
      <c r="GA53" s="205"/>
      <c r="GB53" s="205"/>
      <c r="GC53" s="205"/>
      <c r="GD53" s="205"/>
      <c r="GE53" s="205"/>
      <c r="GF53" s="205"/>
      <c r="GG53" s="205"/>
      <c r="GH53" s="205"/>
      <c r="GI53" s="205"/>
      <c r="GJ53" s="205"/>
      <c r="GK53" s="205"/>
      <c r="GL53" s="205"/>
      <c r="GM53" s="205"/>
      <c r="GN53" s="205"/>
      <c r="GO53" s="205"/>
      <c r="GP53" s="205"/>
      <c r="GQ53" s="205"/>
      <c r="GR53" s="205"/>
      <c r="GS53" s="205"/>
      <c r="GT53" s="205"/>
      <c r="GU53" s="205"/>
      <c r="GV53" s="18"/>
      <c r="GW53" s="5"/>
      <c r="GX53" s="5"/>
      <c r="GY53" s="77"/>
      <c r="GZ53" s="18"/>
      <c r="HA53" s="18"/>
      <c r="HB53" s="18"/>
      <c r="HC53" s="18"/>
      <c r="HD53" s="18"/>
      <c r="HE53" s="18"/>
      <c r="HF53" s="18"/>
      <c r="HG53" s="18"/>
      <c r="HH53" s="205"/>
      <c r="HI53" s="26"/>
      <c r="HJ53" s="26"/>
      <c r="HK53" s="5"/>
    </row>
    <row r="54" spans="2:219">
      <c r="B54" s="8" t="s">
        <v>188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10"/>
      <c r="AA54" s="18" t="s">
        <v>488</v>
      </c>
      <c r="AB54" s="22" t="s">
        <v>489</v>
      </c>
      <c r="AC54" s="59">
        <v>3.6405952380952398</v>
      </c>
      <c r="AD54" s="59">
        <v>8.6549999999999994</v>
      </c>
      <c r="AE54" s="22">
        <v>528</v>
      </c>
      <c r="AF54" s="22">
        <v>1528</v>
      </c>
      <c r="AG54" s="22">
        <v>948.63492063492095</v>
      </c>
      <c r="AH54" s="6">
        <v>10</v>
      </c>
      <c r="AI54" s="6">
        <v>300</v>
      </c>
      <c r="AJ54" s="6">
        <v>14</v>
      </c>
      <c r="AK54" s="24">
        <v>300</v>
      </c>
      <c r="AL54" s="24">
        <v>14</v>
      </c>
      <c r="AM54" s="5">
        <f t="shared" si="17"/>
        <v>920.63492063492095</v>
      </c>
      <c r="AN54" s="26">
        <f t="shared" si="18"/>
        <v>176.06349206349208</v>
      </c>
      <c r="AO54" s="26">
        <f t="shared" si="19"/>
        <v>248482.7399356656</v>
      </c>
      <c r="AP54" s="15">
        <f t="shared" si="20"/>
        <v>6307.6719576719579</v>
      </c>
      <c r="AQ54" s="5">
        <f t="shared" si="21"/>
        <v>5238.7432621467533</v>
      </c>
      <c r="AR54" s="26">
        <f t="shared" si="22"/>
        <v>420.51146384479722</v>
      </c>
      <c r="AS54" s="26">
        <f t="shared" si="23"/>
        <v>3022.1941546989178</v>
      </c>
      <c r="AT54" s="26">
        <f t="shared" si="24"/>
        <v>37.567600585756203</v>
      </c>
      <c r="AU54" s="26">
        <f t="shared" si="25"/>
        <v>5.9854925384629922</v>
      </c>
      <c r="AV54" s="95">
        <f t="shared" si="26"/>
        <v>8.6034497354497351E-7</v>
      </c>
      <c r="AW54" s="95">
        <f t="shared" si="27"/>
        <v>13758293.349206358</v>
      </c>
      <c r="AX54" s="95">
        <f t="shared" si="28"/>
        <v>1.3758293349206359E-5</v>
      </c>
      <c r="AY54" s="54">
        <f t="shared" si="29"/>
        <v>0.1548581140202015</v>
      </c>
      <c r="AZ54" s="54" t="str">
        <f>_xll.Dce_Name_SectI(AE54,AF54,AI54,AH54,AJ54,"x","-",$O$11)</f>
        <v>(528-1528)x300x10x14</v>
      </c>
      <c r="BA54" s="15">
        <f t="shared" si="30"/>
        <v>700.97619047619071</v>
      </c>
      <c r="BB54" s="54"/>
      <c r="BC54" s="54"/>
      <c r="BD54" s="22" t="s">
        <v>504</v>
      </c>
      <c r="BE54" s="23">
        <v>-72.152714859213404</v>
      </c>
      <c r="BF54" s="23">
        <v>-62.184302417457474</v>
      </c>
      <c r="BG54" s="23">
        <v>-1.0193052544167896E-3</v>
      </c>
      <c r="BH54" s="23">
        <v>1.4236745776032493E-5</v>
      </c>
      <c r="BI54" s="23">
        <v>3.7205946763861179E-3</v>
      </c>
      <c r="BJ54" s="23">
        <v>259.5753883960316</v>
      </c>
      <c r="BK54" s="23">
        <v>226.47694608693791</v>
      </c>
      <c r="BL54" s="92">
        <v>2.25</v>
      </c>
      <c r="BM54" s="91">
        <v>2</v>
      </c>
      <c r="BN54" s="5">
        <f t="shared" si="31"/>
        <v>19.473749999999999</v>
      </c>
      <c r="BO54" s="54">
        <f>_xll.Bimoment(BH54,AY54,AC54,AD54,$O$101)</f>
        <v>-1.0949006651887447E-4</v>
      </c>
      <c r="BP54" s="5">
        <f t="shared" si="32"/>
        <v>0.45620689655172403</v>
      </c>
      <c r="BQ54" s="5">
        <f t="shared" si="33"/>
        <v>15.00753196989065</v>
      </c>
      <c r="BR54" s="24" t="str">
        <f t="shared" si="34"/>
        <v>Cal</v>
      </c>
      <c r="BS54" s="25">
        <f t="shared" si="35"/>
        <v>1.7929221090038493E-2</v>
      </c>
      <c r="BT54" s="25" t="str">
        <f t="shared" si="36"/>
        <v>CT.105</v>
      </c>
      <c r="BU54" s="25">
        <f t="shared" si="37"/>
        <v>1</v>
      </c>
      <c r="BV54" s="25" cm="1">
        <f t="array" ref="BV54">IF(BT54="CT.104",_xll.TCVN5575AnnexEHeSoCx(1,BP54),1)</f>
        <v>1</v>
      </c>
      <c r="BW54" s="25">
        <f t="shared" si="38"/>
        <v>1</v>
      </c>
      <c r="BX54" s="25">
        <f t="shared" si="39"/>
        <v>1.8872864305303674E-2</v>
      </c>
      <c r="BY54" s="25">
        <f t="shared" si="40"/>
        <v>0.22818697406190516</v>
      </c>
      <c r="BZ54" s="25">
        <f t="shared" si="41"/>
        <v>4.0746374502989132E-5</v>
      </c>
      <c r="CA54" s="25">
        <f t="shared" si="42"/>
        <v>2.5690222962610808E-6</v>
      </c>
      <c r="CB54" s="25">
        <f t="shared" si="43"/>
        <v>0.2471031537640081</v>
      </c>
      <c r="CC54" s="5" t="str">
        <f t="shared" si="44"/>
        <v>OK</v>
      </c>
      <c r="CD54" s="5">
        <f t="shared" si="45"/>
        <v>51.836555160202302</v>
      </c>
      <c r="CE54" s="5">
        <f t="shared" si="46"/>
        <v>33.414125690541383</v>
      </c>
      <c r="CF54" s="5">
        <f t="shared" si="47"/>
        <v>1.7266865002204341</v>
      </c>
      <c r="CG54" s="5">
        <f t="shared" si="48"/>
        <v>1.1130315193248546</v>
      </c>
      <c r="CH54" s="5">
        <f t="shared" si="49"/>
        <v>12.090744169541862</v>
      </c>
      <c r="CI54" s="68">
        <f>_xll.DCETCVN5575PhuLucD2Eta(BP54,CH54,CF54)</f>
        <v>1.2412413793103447</v>
      </c>
      <c r="CJ54" s="5">
        <f t="shared" si="50"/>
        <v>15.00753196989065</v>
      </c>
      <c r="CK54" s="5">
        <f>MIN(noisuy2chieu(CJ54,CF54,Data!$DA$2:$EB$24),1)</f>
        <v>9.132830798625946E-2</v>
      </c>
      <c r="CL54" s="102">
        <f t="shared" si="51"/>
        <v>0.20664857065065892</v>
      </c>
      <c r="CM54" s="5" t="str">
        <f t="shared" si="52"/>
        <v>OK</v>
      </c>
      <c r="CN54" s="5">
        <f t="shared" si="53"/>
        <v>0.88472625978979058</v>
      </c>
      <c r="CO54" s="5">
        <f t="shared" si="54"/>
        <v>0.5370345235716667</v>
      </c>
      <c r="CP54" s="25">
        <f>_xll.DCETCVNPhuLucFHeSoOnDinh(1, 0.2, AG54, AH54, AI54, AJ54, AI54, AJ54, $D$28)</f>
        <v>1</v>
      </c>
      <c r="CQ54" s="68">
        <f t="shared" si="55"/>
        <v>0.9</v>
      </c>
      <c r="CR54" s="68">
        <f t="shared" si="56"/>
        <v>1</v>
      </c>
      <c r="CS54" s="5">
        <f t="shared" si="57"/>
        <v>0.18181818181818182</v>
      </c>
      <c r="CT54" s="5">
        <f t="shared" si="58"/>
        <v>0.10155106457844131</v>
      </c>
      <c r="CU54" s="26">
        <f t="shared" si="59"/>
        <v>10.549054100839992</v>
      </c>
      <c r="CV54" s="5"/>
      <c r="CW54" s="25"/>
      <c r="CX54" s="72">
        <f>MAX(_xll.Dce_c_925(CU54, CQ54, CR54, CN54, CP54, CS54, CT54),0.3)</f>
        <v>0.3</v>
      </c>
      <c r="CY54" s="102">
        <f t="shared" si="60"/>
        <v>7.1106228608262156E-2</v>
      </c>
      <c r="CZ54" s="5" t="str">
        <f t="shared" si="61"/>
        <v>OK</v>
      </c>
      <c r="DA54" s="47">
        <f t="shared" si="62"/>
        <v>0.34499859601035404</v>
      </c>
      <c r="DB54" s="46">
        <f t="shared" si="63"/>
        <v>0.47130315193248545</v>
      </c>
      <c r="DC54" s="5" t="str">
        <f t="shared" si="64"/>
        <v>OK</v>
      </c>
      <c r="DD54" s="5">
        <f t="shared" si="65"/>
        <v>1.7266865002204341</v>
      </c>
      <c r="DE54" s="5">
        <f t="shared" si="66"/>
        <v>3.0666541867587034</v>
      </c>
      <c r="DF54" s="5" t="str">
        <f t="shared" si="67"/>
        <v>-</v>
      </c>
      <c r="DG54" s="5" t="str">
        <f t="shared" si="68"/>
        <v>-</v>
      </c>
      <c r="DH54" s="203">
        <f t="shared" si="69"/>
        <v>51.836555160202302</v>
      </c>
      <c r="DI54" s="203">
        <f t="shared" si="70"/>
        <v>180</v>
      </c>
      <c r="DJ54" s="46">
        <f t="shared" si="71"/>
        <v>0.28798086200112388</v>
      </c>
      <c r="DK54" s="5" t="str">
        <f t="shared" si="72"/>
        <v>OK</v>
      </c>
      <c r="EB54" s="18"/>
      <c r="EC54" s="77"/>
      <c r="ED54" s="77"/>
      <c r="EE54" s="18"/>
      <c r="EF54" s="18"/>
      <c r="EG54" s="18"/>
      <c r="EH54" s="5"/>
      <c r="EI54" s="5"/>
      <c r="EJ54" s="5"/>
      <c r="EK54" s="5"/>
      <c r="EL54" s="5"/>
      <c r="FE54" s="26"/>
      <c r="FF54" s="26"/>
      <c r="FG54" s="26"/>
      <c r="FH54" s="26"/>
      <c r="FI54" s="26"/>
      <c r="FJ54" s="26"/>
      <c r="FK54" s="26"/>
      <c r="FL54" s="26"/>
      <c r="FM54" s="26"/>
      <c r="FN54" s="205"/>
      <c r="FO54" s="205"/>
      <c r="FP54" s="205"/>
      <c r="FQ54" s="205"/>
      <c r="FR54" s="205"/>
      <c r="FS54" s="205"/>
      <c r="FT54" s="205"/>
      <c r="FU54" s="77"/>
      <c r="FV54" s="77"/>
      <c r="FW54" s="77"/>
      <c r="FX54" s="205"/>
      <c r="FY54" s="205"/>
      <c r="FZ54" s="205"/>
      <c r="GA54" s="205"/>
      <c r="GB54" s="205"/>
      <c r="GC54" s="205"/>
      <c r="GD54" s="205"/>
      <c r="GE54" s="205"/>
      <c r="GF54" s="205"/>
      <c r="GG54" s="205"/>
      <c r="GH54" s="205"/>
      <c r="GI54" s="205"/>
      <c r="GJ54" s="205"/>
      <c r="GK54" s="205"/>
      <c r="GL54" s="205"/>
      <c r="GM54" s="205"/>
      <c r="GN54" s="205"/>
      <c r="GO54" s="205"/>
      <c r="GP54" s="205"/>
      <c r="GQ54" s="205"/>
      <c r="GR54" s="205"/>
      <c r="GS54" s="205"/>
      <c r="GT54" s="205"/>
      <c r="GU54" s="205"/>
      <c r="GV54" s="18"/>
      <c r="GW54" s="5"/>
      <c r="GX54" s="5"/>
      <c r="GY54" s="77"/>
      <c r="GZ54" s="18"/>
      <c r="HA54" s="18"/>
      <c r="HB54" s="18"/>
      <c r="HC54" s="18"/>
      <c r="HD54" s="18"/>
      <c r="HE54" s="18"/>
      <c r="HF54" s="18"/>
      <c r="HG54" s="18"/>
      <c r="HH54" s="205"/>
      <c r="HI54" s="26"/>
      <c r="HJ54" s="26"/>
      <c r="HK54" s="5"/>
    </row>
    <row r="55" spans="2:219" ht="15">
      <c r="B55" s="172" t="s">
        <v>412</v>
      </c>
      <c r="C55" s="2"/>
      <c r="D55" s="2"/>
      <c r="E55" s="2"/>
      <c r="F55" s="269" t="s">
        <v>223</v>
      </c>
      <c r="G55" s="266">
        <f>SQRT(H28/G28)</f>
        <v>51.867428670398397</v>
      </c>
      <c r="H55" s="2" t="s">
        <v>80</v>
      </c>
      <c r="I55" s="2"/>
      <c r="J55" s="2"/>
      <c r="K55" s="269" t="s">
        <v>224</v>
      </c>
      <c r="L55" s="270">
        <f>SQRT(I28/G28)</f>
        <v>5.3789869588463937</v>
      </c>
      <c r="M55" s="2" t="s">
        <v>80</v>
      </c>
      <c r="N55" s="10"/>
      <c r="AA55" s="18" t="s">
        <v>488</v>
      </c>
      <c r="AB55" s="22" t="s">
        <v>489</v>
      </c>
      <c r="AC55" s="59">
        <v>7.2811904761904795</v>
      </c>
      <c r="AD55" s="59">
        <v>8.6549999999999994</v>
      </c>
      <c r="AE55" s="22">
        <v>528</v>
      </c>
      <c r="AF55" s="22">
        <v>1528</v>
      </c>
      <c r="AG55" s="22">
        <v>1369.2698412698419</v>
      </c>
      <c r="AH55" s="6">
        <v>10</v>
      </c>
      <c r="AI55" s="6">
        <v>300</v>
      </c>
      <c r="AJ55" s="6">
        <v>14</v>
      </c>
      <c r="AK55" s="24">
        <v>300</v>
      </c>
      <c r="AL55" s="24">
        <v>14</v>
      </c>
      <c r="AM55" s="5">
        <f t="shared" si="17"/>
        <v>1341.2698412698419</v>
      </c>
      <c r="AN55" s="26">
        <f t="shared" si="18"/>
        <v>218.12698412698418</v>
      </c>
      <c r="AO55" s="26">
        <f t="shared" si="19"/>
        <v>586811.79072745051</v>
      </c>
      <c r="AP55" s="15">
        <f t="shared" si="20"/>
        <v>6311.1772486772488</v>
      </c>
      <c r="AQ55" s="5">
        <f t="shared" si="21"/>
        <v>8571.1635945074104</v>
      </c>
      <c r="AR55" s="26">
        <f t="shared" si="22"/>
        <v>420.74514991181661</v>
      </c>
      <c r="AS55" s="26">
        <f t="shared" si="23"/>
        <v>5094.8226505417015</v>
      </c>
      <c r="AT55" s="26">
        <f t="shared" si="24"/>
        <v>51.867428670398397</v>
      </c>
      <c r="AU55" s="26">
        <f t="shared" si="25"/>
        <v>5.3789869588463937</v>
      </c>
      <c r="AV55" s="95">
        <f t="shared" si="26"/>
        <v>1.0005566137566139E-6</v>
      </c>
      <c r="AW55" s="95">
        <f t="shared" si="27"/>
        <v>28928912.396825422</v>
      </c>
      <c r="AX55" s="95">
        <f t="shared" si="28"/>
        <v>2.8928912396825422E-5</v>
      </c>
      <c r="AY55" s="54">
        <f t="shared" si="29"/>
        <v>0.11516876660535029</v>
      </c>
      <c r="AZ55" s="54" t="str">
        <f>_xll.Dce_Name_SectI(AE55,AF55,AI55,AH55,AJ55,"x","-",$O$11)</f>
        <v>(528-1528)x300x10x14</v>
      </c>
      <c r="BA55" s="15">
        <f t="shared" si="30"/>
        <v>1016.4523809523813</v>
      </c>
      <c r="BB55" s="54"/>
      <c r="BC55" s="54"/>
      <c r="BD55" s="22" t="s">
        <v>504</v>
      </c>
      <c r="BE55" s="23">
        <v>-64.417934672155184</v>
      </c>
      <c r="BF55" s="23">
        <v>-43.818295847832019</v>
      </c>
      <c r="BG55" s="23">
        <v>-1.0193052544156629E-3</v>
      </c>
      <c r="BH55" s="23">
        <v>1.4236745776032493E-5</v>
      </c>
      <c r="BI55" s="23">
        <v>7.4402117141673524E-3</v>
      </c>
      <c r="BJ55" s="23">
        <v>452.95389217387583</v>
      </c>
      <c r="BK55" s="23">
        <v>226.47694608693791</v>
      </c>
      <c r="BL55" s="92">
        <v>2.25</v>
      </c>
      <c r="BM55" s="91">
        <v>2</v>
      </c>
      <c r="BN55" s="5">
        <f t="shared" si="31"/>
        <v>19.473749999999999</v>
      </c>
      <c r="BO55" s="54">
        <f>_xll.Bimoment(BH55,AY55,AC55,AD55,$O$101)</f>
        <v>-6.5128419700819106E-5</v>
      </c>
      <c r="BP55" s="5">
        <f t="shared" si="32"/>
        <v>0.31313609467455605</v>
      </c>
      <c r="BQ55" s="5">
        <f t="shared" si="33"/>
        <v>21.699219944312429</v>
      </c>
      <c r="BR55" s="24" t="str">
        <f t="shared" si="34"/>
        <v>Cal</v>
      </c>
      <c r="BS55" s="25">
        <f t="shared" si="35"/>
        <v>1.2920385128811504E-2</v>
      </c>
      <c r="BT55" s="25" t="str">
        <f t="shared" si="36"/>
        <v>CT.105</v>
      </c>
      <c r="BU55" s="25">
        <f t="shared" si="37"/>
        <v>1</v>
      </c>
      <c r="BV55" s="25" cm="1">
        <f t="array" ref="BV55">IF(BT55="CT.104",_xll.TCVN5575AnnexEHeSoCx(1,BP55),1)</f>
        <v>1</v>
      </c>
      <c r="BW55" s="25">
        <f t="shared" si="38"/>
        <v>1</v>
      </c>
      <c r="BX55" s="25">
        <f t="shared" si="39"/>
        <v>1.3600405398748953E-2</v>
      </c>
      <c r="BY55" s="25">
        <f t="shared" si="40"/>
        <v>0.24337090861153465</v>
      </c>
      <c r="BZ55" s="25">
        <f t="shared" si="41"/>
        <v>8.143678638095563E-5</v>
      </c>
      <c r="CA55" s="25">
        <f t="shared" si="42"/>
        <v>1.0538527269685221E-6</v>
      </c>
      <c r="CB55" s="25">
        <f t="shared" si="43"/>
        <v>0.25705380464939154</v>
      </c>
      <c r="CC55" s="5" t="str">
        <f t="shared" si="44"/>
        <v>OK</v>
      </c>
      <c r="CD55" s="5">
        <f t="shared" si="45"/>
        <v>37.545238889226049</v>
      </c>
      <c r="CE55" s="5">
        <f t="shared" si="46"/>
        <v>37.181722419139881</v>
      </c>
      <c r="CF55" s="5">
        <f t="shared" si="47"/>
        <v>1.2506397644909562</v>
      </c>
      <c r="CG55" s="5">
        <f t="shared" si="48"/>
        <v>1.2385309547993069</v>
      </c>
      <c r="CH55" s="5">
        <f t="shared" si="49"/>
        <v>17.894386341889586</v>
      </c>
      <c r="CI55" s="68">
        <f>_xll.DCETCVN5575PhuLucD2Eta(BP55,CH55,CF55)</f>
        <v>1.2126272189349112</v>
      </c>
      <c r="CJ55" s="5">
        <f t="shared" si="50"/>
        <v>21.699219944312429</v>
      </c>
      <c r="CK55" s="5">
        <f>MIN(noisuy2chieu(CJ55,CF55,Data!$DA$2:$EB$24),1)</f>
        <v>7.1994885802268982E-2</v>
      </c>
      <c r="CL55" s="102">
        <f t="shared" si="51"/>
        <v>0.18890793765687625</v>
      </c>
      <c r="CM55" s="5" t="str">
        <f t="shared" si="52"/>
        <v>OK</v>
      </c>
      <c r="CN55" s="5">
        <f t="shared" si="53"/>
        <v>0.86643683692746631</v>
      </c>
      <c r="CO55" s="5">
        <f t="shared" si="54"/>
        <v>0.5370345235716667</v>
      </c>
      <c r="CP55" s="25">
        <f>_xll.DCETCVNPhuLucFHeSoOnDinh(1, 0.2, AG55, AH55, AI55, AJ55, AI55, AJ55, $D$28)</f>
        <v>1</v>
      </c>
      <c r="CQ55" s="68">
        <f t="shared" si="55"/>
        <v>0.9</v>
      </c>
      <c r="CR55" s="68">
        <f t="shared" si="56"/>
        <v>1</v>
      </c>
      <c r="CS55" s="5">
        <f t="shared" si="57"/>
        <v>0.18181818181818182</v>
      </c>
      <c r="CT55" s="5">
        <f t="shared" si="58"/>
        <v>0.10347287704587492</v>
      </c>
      <c r="CU55" s="26">
        <f t="shared" si="59"/>
        <v>8.9471931709447929</v>
      </c>
      <c r="CV55" s="5"/>
      <c r="CW55" s="25"/>
      <c r="CX55" s="72">
        <f>MAX(_xll.Dce_c_925(CU55, CQ55, CR55, CN55, CP55, CS55, CT55),0.3)</f>
        <v>0.3</v>
      </c>
      <c r="CY55" s="102">
        <f t="shared" si="60"/>
        <v>5.23231270074586E-2</v>
      </c>
      <c r="CZ55" s="5" t="str">
        <f t="shared" si="61"/>
        <v>OK</v>
      </c>
      <c r="DA55" s="47">
        <f t="shared" si="62"/>
        <v>0.34499859601035404</v>
      </c>
      <c r="DB55" s="46">
        <f t="shared" si="63"/>
        <v>0.48385309547993066</v>
      </c>
      <c r="DC55" s="5" t="str">
        <f t="shared" si="64"/>
        <v>OK</v>
      </c>
      <c r="DD55" s="5">
        <f t="shared" si="65"/>
        <v>1.2506397644909562</v>
      </c>
      <c r="DE55" s="5">
        <f t="shared" si="66"/>
        <v>4.4677979100191463</v>
      </c>
      <c r="DF55" s="5" t="str">
        <f t="shared" si="67"/>
        <v>-</v>
      </c>
      <c r="DG55" s="5" t="str">
        <f t="shared" si="68"/>
        <v>-</v>
      </c>
      <c r="DH55" s="203">
        <f t="shared" si="69"/>
        <v>37.545238889226049</v>
      </c>
      <c r="DI55" s="203">
        <f t="shared" si="70"/>
        <v>180</v>
      </c>
      <c r="DJ55" s="46">
        <f t="shared" si="71"/>
        <v>0.20858466049570026</v>
      </c>
      <c r="DK55" s="5" t="str">
        <f t="shared" si="72"/>
        <v>OK</v>
      </c>
      <c r="EB55" s="18"/>
      <c r="EC55" s="77"/>
      <c r="ED55" s="77"/>
      <c r="EE55" s="18"/>
      <c r="EF55" s="18"/>
      <c r="EG55" s="18"/>
      <c r="EH55" s="5"/>
      <c r="EI55" s="5"/>
      <c r="EJ55" s="5"/>
      <c r="EK55" s="5"/>
      <c r="EL55" s="5"/>
      <c r="FE55" s="26"/>
      <c r="FF55" s="26"/>
      <c r="FG55" s="26"/>
      <c r="FH55" s="26"/>
      <c r="FI55" s="26"/>
      <c r="FJ55" s="26"/>
      <c r="FK55" s="26"/>
      <c r="FL55" s="26"/>
      <c r="FM55" s="26"/>
      <c r="FN55" s="205"/>
      <c r="FO55" s="205"/>
      <c r="FP55" s="205"/>
      <c r="FQ55" s="205"/>
      <c r="FR55" s="205"/>
      <c r="FS55" s="205"/>
      <c r="FT55" s="205"/>
      <c r="FU55" s="77"/>
      <c r="FV55" s="77"/>
      <c r="FW55" s="77"/>
      <c r="FX55" s="205"/>
      <c r="FY55" s="205"/>
      <c r="FZ55" s="205"/>
      <c r="GA55" s="205"/>
      <c r="GB55" s="205"/>
      <c r="GC55" s="205"/>
      <c r="GD55" s="205"/>
      <c r="GE55" s="205"/>
      <c r="GF55" s="205"/>
      <c r="GG55" s="205"/>
      <c r="GH55" s="205"/>
      <c r="GI55" s="205"/>
      <c r="GJ55" s="205"/>
      <c r="GK55" s="205"/>
      <c r="GL55" s="205"/>
      <c r="GM55" s="205"/>
      <c r="GN55" s="205"/>
      <c r="GO55" s="205"/>
      <c r="GP55" s="205"/>
      <c r="GQ55" s="205"/>
      <c r="GR55" s="205"/>
      <c r="GS55" s="205"/>
      <c r="GT55" s="205"/>
      <c r="GU55" s="205"/>
      <c r="GV55" s="18"/>
      <c r="GW55" s="5"/>
      <c r="GX55" s="5"/>
      <c r="GY55" s="77"/>
      <c r="GZ55" s="18"/>
      <c r="HA55" s="18"/>
      <c r="HB55" s="18"/>
      <c r="HC55" s="18"/>
      <c r="HD55" s="18"/>
      <c r="HE55" s="18"/>
      <c r="HF55" s="18"/>
      <c r="HG55" s="18"/>
      <c r="HH55" s="205"/>
      <c r="HI55" s="26"/>
      <c r="HJ55" s="26"/>
      <c r="HK55" s="5"/>
    </row>
    <row r="56" spans="2:219" ht="15">
      <c r="B56" s="172" t="s">
        <v>413</v>
      </c>
      <c r="C56" s="2"/>
      <c r="D56" s="2"/>
      <c r="E56" s="2"/>
      <c r="F56" s="269" t="s">
        <v>123</v>
      </c>
      <c r="G56" s="44">
        <f>F22*100/G55</f>
        <v>37.545238889226049</v>
      </c>
      <c r="H56" s="2"/>
      <c r="I56" s="2"/>
      <c r="J56" s="2"/>
      <c r="K56" s="269" t="s">
        <v>124</v>
      </c>
      <c r="L56" s="44">
        <f>F23*100/L55</f>
        <v>37.181722419139881</v>
      </c>
      <c r="M56" s="2"/>
      <c r="N56" s="10"/>
      <c r="AA56" s="18" t="s">
        <v>488</v>
      </c>
      <c r="AB56" s="22" t="s">
        <v>489</v>
      </c>
      <c r="AC56" s="59">
        <v>0</v>
      </c>
      <c r="AD56" s="59">
        <v>8.6549999999999994</v>
      </c>
      <c r="AE56" s="22">
        <v>528</v>
      </c>
      <c r="AF56" s="22">
        <v>1528</v>
      </c>
      <c r="AG56" s="22">
        <v>528</v>
      </c>
      <c r="AH56" s="6">
        <v>10</v>
      </c>
      <c r="AI56" s="6">
        <v>300</v>
      </c>
      <c r="AJ56" s="6">
        <v>14</v>
      </c>
      <c r="AK56" s="24">
        <v>300</v>
      </c>
      <c r="AL56" s="24">
        <v>14</v>
      </c>
      <c r="AM56" s="5">
        <f t="shared" si="17"/>
        <v>500</v>
      </c>
      <c r="AN56" s="26">
        <f t="shared" si="18"/>
        <v>134</v>
      </c>
      <c r="AO56" s="26">
        <f t="shared" si="19"/>
        <v>65911.546666666676</v>
      </c>
      <c r="AP56" s="15">
        <f t="shared" si="20"/>
        <v>6304.166666666667</v>
      </c>
      <c r="AQ56" s="5">
        <f t="shared" si="21"/>
        <v>2496.6494949494954</v>
      </c>
      <c r="AR56" s="26">
        <f t="shared" si="22"/>
        <v>420.27777777777777</v>
      </c>
      <c r="AS56" s="26">
        <f t="shared" si="23"/>
        <v>1391.9</v>
      </c>
      <c r="AT56" s="26">
        <f t="shared" si="24"/>
        <v>22.178305028345793</v>
      </c>
      <c r="AU56" s="26">
        <f t="shared" si="25"/>
        <v>6.8590101254115021</v>
      </c>
      <c r="AV56" s="95">
        <f t="shared" si="26"/>
        <v>7.201333333333334E-7</v>
      </c>
      <c r="AW56" s="95">
        <f t="shared" si="27"/>
        <v>4161087</v>
      </c>
      <c r="AX56" s="95">
        <f t="shared" si="28"/>
        <v>4.1610870000000001E-6</v>
      </c>
      <c r="AY56" s="54">
        <f t="shared" si="29"/>
        <v>0.25762202780669918</v>
      </c>
      <c r="AZ56" s="54" t="str">
        <f>_xll.Dce_Name_SectI(AE56,AF56,AI56,AH56,AJ56,"x","-",$O$11)</f>
        <v>(528-1528)x300x10x14</v>
      </c>
      <c r="BA56" s="15">
        <f t="shared" si="30"/>
        <v>385.5</v>
      </c>
      <c r="BB56" s="54"/>
      <c r="BC56" s="54"/>
      <c r="BD56" s="22" t="s">
        <v>505</v>
      </c>
      <c r="BE56" s="23">
        <v>-177.60245557269442</v>
      </c>
      <c r="BF56" s="23">
        <v>-165.6388643861149</v>
      </c>
      <c r="BG56" s="23">
        <v>1.1033087674007396E-3</v>
      </c>
      <c r="BH56" s="23">
        <v>-1.5410031848510184E-5</v>
      </c>
      <c r="BI56" s="23">
        <v>-1.0582082631288571E-6</v>
      </c>
      <c r="BJ56" s="23">
        <v>-2.3217245774877258</v>
      </c>
      <c r="BK56" s="23">
        <v>575.16092716679555</v>
      </c>
      <c r="BL56" s="92">
        <v>2.25</v>
      </c>
      <c r="BM56" s="91">
        <v>2</v>
      </c>
      <c r="BN56" s="5">
        <f t="shared" si="31"/>
        <v>19.473749999999999</v>
      </c>
      <c r="BO56" s="54">
        <f>_xll.Bimoment(BH56,AY56,AC56,AD56,$O$101)</f>
        <v>0</v>
      </c>
      <c r="BP56" s="5">
        <f t="shared" si="32"/>
        <v>0.84</v>
      </c>
      <c r="BQ56" s="5">
        <f t="shared" si="33"/>
        <v>0.1064254589391109</v>
      </c>
      <c r="BR56" s="24" t="str">
        <f t="shared" si="34"/>
        <v>Cal</v>
      </c>
      <c r="BS56" s="25">
        <f t="shared" si="35"/>
        <v>5.7985876353025233E-2</v>
      </c>
      <c r="BT56" s="25" t="str">
        <f t="shared" si="36"/>
        <v>CT.105</v>
      </c>
      <c r="BU56" s="25">
        <f t="shared" si="37"/>
        <v>1</v>
      </c>
      <c r="BV56" s="25" cm="1">
        <f t="array" ref="BV56">IF(BT56="CT.104",_xll.TCVN5575AnnexEHeSoCx(1,BP56),1)</f>
        <v>1</v>
      </c>
      <c r="BW56" s="25">
        <f t="shared" si="38"/>
        <v>1</v>
      </c>
      <c r="BX56" s="25">
        <f t="shared" si="39"/>
        <v>6.1037764582131823E-2</v>
      </c>
      <c r="BY56" s="25">
        <f t="shared" si="40"/>
        <v>4.282600613787494E-3</v>
      </c>
      <c r="BZ56" s="25">
        <f t="shared" si="41"/>
        <v>1.1595491803860925E-8</v>
      </c>
      <c r="CA56" s="25">
        <f t="shared" si="42"/>
        <v>0</v>
      </c>
      <c r="CB56" s="25">
        <f t="shared" si="43"/>
        <v>6.5320376791411117E-2</v>
      </c>
      <c r="CC56" s="5" t="str">
        <f t="shared" si="44"/>
        <v>OK</v>
      </c>
      <c r="CD56" s="5">
        <f t="shared" si="45"/>
        <v>87.805402509844015</v>
      </c>
      <c r="CE56" s="5">
        <f t="shared" si="46"/>
        <v>29.158726455153193</v>
      </c>
      <c r="CF56" s="5">
        <f t="shared" si="47"/>
        <v>2.9248163326364334</v>
      </c>
      <c r="CG56" s="5">
        <f t="shared" si="48"/>
        <v>0.97128328026682387</v>
      </c>
      <c r="CH56" s="5">
        <f t="shared" si="49"/>
        <v>7.0163130040990743E-2</v>
      </c>
      <c r="CI56" s="68">
        <f>_xll.DCETCVN5575PhuLucD2Eta(BP56,CH56,CF56)</f>
        <v>1.5168288369822578</v>
      </c>
      <c r="CJ56" s="5">
        <f t="shared" si="50"/>
        <v>0.1064254589391109</v>
      </c>
      <c r="CK56" s="5">
        <f>MIN(noisuy2chieu(CJ56,CF56,Data!$DA$2:$EB$24),1)</f>
        <v>0.67527902126312256</v>
      </c>
      <c r="CL56" s="102">
        <f t="shared" si="51"/>
        <v>9.0388954284348275E-2</v>
      </c>
      <c r="CM56" s="5" t="str">
        <f t="shared" si="52"/>
        <v>OK</v>
      </c>
      <c r="CN56" s="5">
        <f t="shared" si="53"/>
        <v>0.90492218941026858</v>
      </c>
      <c r="CO56" s="5">
        <f t="shared" si="54"/>
        <v>0.5370345235716667</v>
      </c>
      <c r="CP56" s="25">
        <f>_xll.DCETCVNPhuLucFHeSoOnDinh(1, 0.2, AG56, AH56, AI56, AJ56, AI56, AJ56, $D$28)</f>
        <v>1</v>
      </c>
      <c r="CQ56" s="68">
        <f t="shared" si="55"/>
        <v>0.9</v>
      </c>
      <c r="CR56" s="68">
        <f t="shared" si="56"/>
        <v>1</v>
      </c>
      <c r="CS56" s="5">
        <f t="shared" si="57"/>
        <v>0.18181818181818182</v>
      </c>
      <c r="CT56" s="5">
        <f t="shared" si="58"/>
        <v>9.9510191986788829E-2</v>
      </c>
      <c r="CU56" s="26">
        <f t="shared" si="59"/>
        <v>17.38151515412212</v>
      </c>
      <c r="CV56" s="5"/>
      <c r="CW56" s="25"/>
      <c r="CX56" s="72">
        <f>MAX(_xll.Dce_c_925(CU56, CQ56, CR56, CN56, CP56, CS56, CT56),0.3)</f>
        <v>0.3</v>
      </c>
      <c r="CY56" s="102">
        <f t="shared" si="60"/>
        <v>0.22483614354330916</v>
      </c>
      <c r="CZ56" s="5" t="str">
        <f t="shared" si="61"/>
        <v>OK</v>
      </c>
      <c r="DA56" s="47">
        <f t="shared" si="62"/>
        <v>0.34499859601035404</v>
      </c>
      <c r="DB56" s="46">
        <f t="shared" si="63"/>
        <v>0.45712832802668235</v>
      </c>
      <c r="DC56" s="5" t="str">
        <f t="shared" si="64"/>
        <v>OK</v>
      </c>
      <c r="DD56" s="5">
        <f t="shared" si="65"/>
        <v>2.9248163326364334</v>
      </c>
      <c r="DE56" s="5">
        <f t="shared" si="66"/>
        <v>1.6655104634982609</v>
      </c>
      <c r="DF56" s="5" t="str">
        <f t="shared" si="67"/>
        <v>-</v>
      </c>
      <c r="DG56" s="5" t="str">
        <f t="shared" si="68"/>
        <v>-</v>
      </c>
      <c r="DH56" s="203" t="str">
        <f t="shared" si="69"/>
        <v>-</v>
      </c>
      <c r="DI56" s="203">
        <f t="shared" si="70"/>
        <v>180</v>
      </c>
      <c r="DJ56" s="46">
        <f t="shared" si="71"/>
        <v>0</v>
      </c>
      <c r="DK56" s="5" t="str">
        <f t="shared" si="72"/>
        <v>OK</v>
      </c>
      <c r="EB56" s="18"/>
      <c r="EC56" s="77"/>
      <c r="ED56" s="77"/>
      <c r="EE56" s="18"/>
      <c r="EF56" s="18"/>
      <c r="EG56" s="18"/>
      <c r="EH56" s="5"/>
      <c r="EI56" s="5"/>
      <c r="EJ56" s="5"/>
      <c r="EK56" s="5"/>
      <c r="EL56" s="5"/>
      <c r="FE56" s="26"/>
      <c r="FF56" s="26"/>
      <c r="FG56" s="26"/>
      <c r="FH56" s="26"/>
      <c r="FI56" s="26"/>
      <c r="FJ56" s="26"/>
      <c r="FK56" s="26"/>
      <c r="FL56" s="26"/>
      <c r="FM56" s="26"/>
      <c r="FN56" s="205"/>
      <c r="FO56" s="205"/>
      <c r="FP56" s="205"/>
      <c r="FQ56" s="205"/>
      <c r="FR56" s="205"/>
      <c r="FS56" s="205"/>
      <c r="FT56" s="205"/>
      <c r="FU56" s="77"/>
      <c r="FV56" s="77"/>
      <c r="FW56" s="77"/>
      <c r="FX56" s="205"/>
      <c r="FY56" s="205"/>
      <c r="FZ56" s="205"/>
      <c r="GA56" s="205"/>
      <c r="GB56" s="205"/>
      <c r="GC56" s="205"/>
      <c r="GD56" s="205"/>
      <c r="GE56" s="205"/>
      <c r="GF56" s="205"/>
      <c r="GG56" s="205"/>
      <c r="GH56" s="205"/>
      <c r="GI56" s="205"/>
      <c r="GJ56" s="205"/>
      <c r="GK56" s="205"/>
      <c r="GL56" s="205"/>
      <c r="GM56" s="205"/>
      <c r="GN56" s="205"/>
      <c r="GO56" s="205"/>
      <c r="GP56" s="205"/>
      <c r="GQ56" s="205"/>
      <c r="GR56" s="205"/>
      <c r="GS56" s="205"/>
      <c r="GT56" s="205"/>
      <c r="GU56" s="205"/>
      <c r="GV56" s="18"/>
      <c r="GW56" s="5"/>
      <c r="GX56" s="5"/>
      <c r="GY56" s="77"/>
      <c r="GZ56" s="18"/>
      <c r="HA56" s="18"/>
      <c r="HB56" s="18"/>
      <c r="HC56" s="18"/>
      <c r="HD56" s="18"/>
      <c r="HE56" s="18"/>
      <c r="HF56" s="18"/>
      <c r="HG56" s="18"/>
      <c r="HH56" s="205"/>
      <c r="HI56" s="26"/>
      <c r="HJ56" s="26"/>
      <c r="HK56" s="5"/>
    </row>
    <row r="57" spans="2:219" ht="15">
      <c r="B57" s="172" t="s">
        <v>414</v>
      </c>
      <c r="C57" s="2"/>
      <c r="D57" s="2"/>
      <c r="E57" s="2"/>
      <c r="F57" s="256" t="s">
        <v>262</v>
      </c>
      <c r="G57" s="271">
        <f>G56*SQRT(D28/B28)</f>
        <v>1.2506397644909562</v>
      </c>
      <c r="H57" s="2"/>
      <c r="I57" s="2"/>
      <c r="J57" s="252"/>
      <c r="K57" s="256" t="s">
        <v>263</v>
      </c>
      <c r="L57" s="271">
        <f>L56*SQRT(D28/B28)</f>
        <v>1.2385309547993069</v>
      </c>
      <c r="M57" s="2"/>
      <c r="N57" s="10"/>
      <c r="AA57" s="18" t="s">
        <v>488</v>
      </c>
      <c r="AB57" s="22" t="s">
        <v>489</v>
      </c>
      <c r="AC57" s="59">
        <v>3.6405952380952398</v>
      </c>
      <c r="AD57" s="59">
        <v>8.6549999999999994</v>
      </c>
      <c r="AE57" s="22">
        <v>528</v>
      </c>
      <c r="AF57" s="22">
        <v>1528</v>
      </c>
      <c r="AG57" s="22">
        <v>948.63492063492095</v>
      </c>
      <c r="AH57" s="6">
        <v>10</v>
      </c>
      <c r="AI57" s="6">
        <v>300</v>
      </c>
      <c r="AJ57" s="6">
        <v>14</v>
      </c>
      <c r="AK57" s="24">
        <v>300</v>
      </c>
      <c r="AL57" s="24">
        <v>14</v>
      </c>
      <c r="AM57" s="5">
        <f t="shared" si="17"/>
        <v>920.63492063492095</v>
      </c>
      <c r="AN57" s="26">
        <f t="shared" si="18"/>
        <v>176.06349206349208</v>
      </c>
      <c r="AO57" s="26">
        <f t="shared" si="19"/>
        <v>248482.7399356656</v>
      </c>
      <c r="AP57" s="15">
        <f t="shared" si="20"/>
        <v>6307.6719576719579</v>
      </c>
      <c r="AQ57" s="5">
        <f t="shared" si="21"/>
        <v>5238.7432621467533</v>
      </c>
      <c r="AR57" s="26">
        <f t="shared" si="22"/>
        <v>420.51146384479722</v>
      </c>
      <c r="AS57" s="26">
        <f t="shared" si="23"/>
        <v>3022.1941546989178</v>
      </c>
      <c r="AT57" s="26">
        <f t="shared" si="24"/>
        <v>37.567600585756203</v>
      </c>
      <c r="AU57" s="26">
        <f t="shared" si="25"/>
        <v>5.9854925384629922</v>
      </c>
      <c r="AV57" s="95">
        <f t="shared" si="26"/>
        <v>8.6034497354497351E-7</v>
      </c>
      <c r="AW57" s="95">
        <f t="shared" si="27"/>
        <v>13758293.349206358</v>
      </c>
      <c r="AX57" s="95">
        <f t="shared" si="28"/>
        <v>1.3758293349206359E-5</v>
      </c>
      <c r="AY57" s="54">
        <f t="shared" si="29"/>
        <v>0.1548581140202015</v>
      </c>
      <c r="AZ57" s="54" t="str">
        <f>_xll.Dce_Name_SectI(AE57,AF57,AI57,AH57,AJ57,"x","-",$O$11)</f>
        <v>(528-1528)x300x10x14</v>
      </c>
      <c r="BA57" s="15">
        <f t="shared" si="30"/>
        <v>700.97619047619071</v>
      </c>
      <c r="BB57" s="54"/>
      <c r="BC57" s="54"/>
      <c r="BD57" s="22" t="s">
        <v>505</v>
      </c>
      <c r="BE57" s="23">
        <v>-172.14715613612861</v>
      </c>
      <c r="BF57" s="23">
        <v>-157.91469973589744</v>
      </c>
      <c r="BG57" s="23">
        <v>1.1033087674012143E-3</v>
      </c>
      <c r="BH57" s="23">
        <v>-1.5410031848510184E-5</v>
      </c>
      <c r="BI57" s="23">
        <v>-4.027218253428849E-3</v>
      </c>
      <c r="BJ57" s="23">
        <v>587.99688898615182</v>
      </c>
      <c r="BK57" s="23">
        <v>575.16092716679555</v>
      </c>
      <c r="BL57" s="92">
        <v>2.25</v>
      </c>
      <c r="BM57" s="91">
        <v>2</v>
      </c>
      <c r="BN57" s="5">
        <f t="shared" si="31"/>
        <v>19.473749999999999</v>
      </c>
      <c r="BO57" s="54">
        <f>_xll.Bimoment(BH57,AY57,AC57,AD57,$O$101)</f>
        <v>1.1851341863474344E-4</v>
      </c>
      <c r="BP57" s="5">
        <f t="shared" si="32"/>
        <v>0.45620689655172403</v>
      </c>
      <c r="BQ57" s="5">
        <f t="shared" si="33"/>
        <v>14.248646667713892</v>
      </c>
      <c r="BR57" s="24" t="str">
        <f t="shared" si="34"/>
        <v>Cal</v>
      </c>
      <c r="BS57" s="25">
        <f t="shared" si="35"/>
        <v>4.2776830066733183E-2</v>
      </c>
      <c r="BT57" s="25" t="str">
        <f t="shared" si="36"/>
        <v>CT.105</v>
      </c>
      <c r="BU57" s="25">
        <f t="shared" si="37"/>
        <v>1</v>
      </c>
      <c r="BV57" s="25" cm="1">
        <f t="array" ref="BV57">IF(BT57="CT.104",_xll.TCVN5575AnnexEHeSoCx(1,BP57),1)</f>
        <v>1</v>
      </c>
      <c r="BW57" s="25">
        <f t="shared" si="38"/>
        <v>1</v>
      </c>
      <c r="BX57" s="25">
        <f t="shared" si="39"/>
        <v>4.5028242175508618E-2</v>
      </c>
      <c r="BY57" s="25">
        <f t="shared" si="40"/>
        <v>0.51689504033740352</v>
      </c>
      <c r="BZ57" s="25">
        <f t="shared" si="41"/>
        <v>4.4104385839436217E-5</v>
      </c>
      <c r="CA57" s="25">
        <f t="shared" si="42"/>
        <v>2.7807418933871442E-6</v>
      </c>
      <c r="CB57" s="25">
        <f t="shared" si="43"/>
        <v>0.561970167640645</v>
      </c>
      <c r="CC57" s="5" t="str">
        <f t="shared" si="44"/>
        <v>OK</v>
      </c>
      <c r="CD57" s="5">
        <f t="shared" si="45"/>
        <v>51.836555160202302</v>
      </c>
      <c r="CE57" s="5">
        <f t="shared" si="46"/>
        <v>33.414125690541383</v>
      </c>
      <c r="CF57" s="5">
        <f t="shared" si="47"/>
        <v>1.7266865002204341</v>
      </c>
      <c r="CG57" s="5">
        <f t="shared" si="48"/>
        <v>1.1130315193248546</v>
      </c>
      <c r="CH57" s="5">
        <f t="shared" si="49"/>
        <v>11.479351965876845</v>
      </c>
      <c r="CI57" s="68">
        <f>_xll.DCETCVN5575PhuLucD2Eta(BP57,CH57,CF57)</f>
        <v>1.2412413793103447</v>
      </c>
      <c r="CJ57" s="5">
        <f t="shared" si="50"/>
        <v>14.248646667713892</v>
      </c>
      <c r="CK57" s="5">
        <f>MIN(noisuy2chieu(CJ57,CF57,Data!$DA$2:$EB$24),1)</f>
        <v>9.5399282872676849E-2</v>
      </c>
      <c r="CL57" s="102">
        <f t="shared" si="51"/>
        <v>0.47199770081715242</v>
      </c>
      <c r="CM57" s="5" t="str">
        <f t="shared" si="52"/>
        <v>OK</v>
      </c>
      <c r="CN57" s="5">
        <f t="shared" si="53"/>
        <v>0.88472625978979058</v>
      </c>
      <c r="CO57" s="5">
        <f t="shared" si="54"/>
        <v>0.5370345235716667</v>
      </c>
      <c r="CP57" s="25">
        <f>_xll.DCETCVNPhuLucFHeSoOnDinh(1, 0.2, AG57, AH57, AI57, AJ57, AI57, AJ57, $D$28)</f>
        <v>1</v>
      </c>
      <c r="CQ57" s="68">
        <f t="shared" si="55"/>
        <v>0.9</v>
      </c>
      <c r="CR57" s="68">
        <f t="shared" si="56"/>
        <v>1</v>
      </c>
      <c r="CS57" s="5">
        <f t="shared" si="57"/>
        <v>0.18181818181818182</v>
      </c>
      <c r="CT57" s="5">
        <f t="shared" si="58"/>
        <v>0.10155106457844131</v>
      </c>
      <c r="CU57" s="26">
        <f t="shared" si="59"/>
        <v>11.228757912906577</v>
      </c>
      <c r="CV57" s="5"/>
      <c r="CW57" s="25"/>
      <c r="CX57" s="72">
        <f>MAX(_xll.Dce_c_925(CU57, CQ57, CR57, CN57, CP57, CS57, CT57),0.3)</f>
        <v>0.3</v>
      </c>
      <c r="CY57" s="102">
        <f t="shared" si="60"/>
        <v>0.16965037368811778</v>
      </c>
      <c r="CZ57" s="5" t="str">
        <f t="shared" si="61"/>
        <v>OK</v>
      </c>
      <c r="DA57" s="47">
        <f t="shared" si="62"/>
        <v>0.34499859601035404</v>
      </c>
      <c r="DB57" s="46">
        <f t="shared" si="63"/>
        <v>0.47130315193248545</v>
      </c>
      <c r="DC57" s="5" t="str">
        <f t="shared" si="64"/>
        <v>OK</v>
      </c>
      <c r="DD57" s="5">
        <f t="shared" si="65"/>
        <v>1.7266865002204341</v>
      </c>
      <c r="DE57" s="5">
        <f t="shared" si="66"/>
        <v>3.0666541867587034</v>
      </c>
      <c r="DF57" s="5" t="str">
        <f t="shared" si="67"/>
        <v>-</v>
      </c>
      <c r="DG57" s="5" t="str">
        <f t="shared" si="68"/>
        <v>-</v>
      </c>
      <c r="DH57" s="203">
        <f t="shared" si="69"/>
        <v>51.836555160202302</v>
      </c>
      <c r="DI57" s="203">
        <f t="shared" si="70"/>
        <v>180</v>
      </c>
      <c r="DJ57" s="46">
        <f t="shared" si="71"/>
        <v>0.28798086200112388</v>
      </c>
      <c r="DK57" s="5" t="str">
        <f t="shared" si="72"/>
        <v>OK</v>
      </c>
      <c r="EB57" s="18"/>
      <c r="EC57" s="77"/>
      <c r="ED57" s="77"/>
      <c r="EE57" s="18"/>
      <c r="EF57" s="18"/>
      <c r="EG57" s="18"/>
      <c r="EH57" s="5"/>
      <c r="EI57" s="5"/>
      <c r="EJ57" s="5"/>
      <c r="EK57" s="5"/>
      <c r="EL57" s="5"/>
      <c r="FE57" s="26"/>
      <c r="FF57" s="26"/>
      <c r="FG57" s="26"/>
      <c r="FH57" s="26"/>
      <c r="FI57" s="26"/>
      <c r="FJ57" s="26"/>
      <c r="FK57" s="26"/>
      <c r="FL57" s="26"/>
      <c r="FM57" s="26"/>
      <c r="FN57" s="205"/>
      <c r="FO57" s="205"/>
      <c r="FP57" s="205"/>
      <c r="FQ57" s="205"/>
      <c r="FR57" s="205"/>
      <c r="FS57" s="205"/>
      <c r="FT57" s="205"/>
      <c r="FU57" s="77"/>
      <c r="FV57" s="77"/>
      <c r="FW57" s="77"/>
      <c r="FX57" s="205"/>
      <c r="FY57" s="205"/>
      <c r="FZ57" s="205"/>
      <c r="GA57" s="205"/>
      <c r="GB57" s="205"/>
      <c r="GC57" s="205"/>
      <c r="GD57" s="205"/>
      <c r="GE57" s="205"/>
      <c r="GF57" s="205"/>
      <c r="GG57" s="205"/>
      <c r="GH57" s="205"/>
      <c r="GI57" s="205"/>
      <c r="GJ57" s="205"/>
      <c r="GK57" s="205"/>
      <c r="GL57" s="205"/>
      <c r="GM57" s="205"/>
      <c r="GN57" s="205"/>
      <c r="GO57" s="205"/>
      <c r="GP57" s="205"/>
      <c r="GQ57" s="205"/>
      <c r="GR57" s="205"/>
      <c r="GS57" s="205"/>
      <c r="GT57" s="205"/>
      <c r="GU57" s="205"/>
      <c r="GV57" s="18"/>
      <c r="GW57" s="5"/>
      <c r="GX57" s="5"/>
      <c r="GY57" s="77"/>
      <c r="GZ57" s="18"/>
      <c r="HA57" s="18"/>
      <c r="HB57" s="18"/>
      <c r="HC57" s="18"/>
      <c r="HD57" s="18"/>
      <c r="HE57" s="18"/>
      <c r="HF57" s="18"/>
      <c r="HG57" s="18"/>
      <c r="HH57" s="205"/>
      <c r="HI57" s="26"/>
      <c r="HJ57" s="26"/>
      <c r="HK57" s="5"/>
    </row>
    <row r="58" spans="2:219" ht="17.399999999999999">
      <c r="B58" s="172" t="s">
        <v>415</v>
      </c>
      <c r="C58" s="2"/>
      <c r="D58" s="2"/>
      <c r="E58" s="2"/>
      <c r="F58" s="252" t="s">
        <v>132</v>
      </c>
      <c r="G58" s="271">
        <f>ABS((L32/H32)*100*G28/J28)</f>
        <v>19.48764348492994</v>
      </c>
      <c r="H58" s="272" t="s">
        <v>125</v>
      </c>
      <c r="I58" s="257" cm="1">
        <f t="array" ref="I58">_xll.DCETCVN5575PhuLucD2Eta(F46,G58,G57)</f>
        <v>1.2126272189349112</v>
      </c>
      <c r="J58" s="2"/>
      <c r="K58" s="252" t="s">
        <v>126</v>
      </c>
      <c r="L58" s="271">
        <f>G58*I58</f>
        <v>23.631246922725634</v>
      </c>
      <c r="M58" s="2"/>
      <c r="N58" s="10"/>
      <c r="AA58" s="18" t="s">
        <v>488</v>
      </c>
      <c r="AB58" s="22" t="s">
        <v>489</v>
      </c>
      <c r="AC58" s="59">
        <v>7.2811904761904795</v>
      </c>
      <c r="AD58" s="59">
        <v>8.6549999999999994</v>
      </c>
      <c r="AE58" s="22">
        <v>528</v>
      </c>
      <c r="AF58" s="22">
        <v>1528</v>
      </c>
      <c r="AG58" s="22">
        <v>1369.2698412698419</v>
      </c>
      <c r="AH58" s="6">
        <v>10</v>
      </c>
      <c r="AI58" s="6">
        <v>300</v>
      </c>
      <c r="AJ58" s="6">
        <v>14</v>
      </c>
      <c r="AK58" s="24">
        <v>300</v>
      </c>
      <c r="AL58" s="24">
        <v>14</v>
      </c>
      <c r="AM58" s="5">
        <f t="shared" si="17"/>
        <v>1341.2698412698419</v>
      </c>
      <c r="AN58" s="26">
        <f t="shared" si="18"/>
        <v>218.12698412698418</v>
      </c>
      <c r="AO58" s="26">
        <f t="shared" si="19"/>
        <v>586811.79072745051</v>
      </c>
      <c r="AP58" s="15">
        <f t="shared" si="20"/>
        <v>6311.1772486772488</v>
      </c>
      <c r="AQ58" s="5">
        <f t="shared" si="21"/>
        <v>8571.1635945074104</v>
      </c>
      <c r="AR58" s="26">
        <f t="shared" si="22"/>
        <v>420.74514991181661</v>
      </c>
      <c r="AS58" s="26">
        <f t="shared" si="23"/>
        <v>5094.8226505417015</v>
      </c>
      <c r="AT58" s="26">
        <f t="shared" si="24"/>
        <v>51.867428670398397</v>
      </c>
      <c r="AU58" s="26">
        <f t="shared" si="25"/>
        <v>5.3789869588463937</v>
      </c>
      <c r="AV58" s="95">
        <f t="shared" si="26"/>
        <v>1.0005566137566139E-6</v>
      </c>
      <c r="AW58" s="95">
        <f t="shared" si="27"/>
        <v>28928912.396825422</v>
      </c>
      <c r="AX58" s="95">
        <f t="shared" si="28"/>
        <v>2.8928912396825422E-5</v>
      </c>
      <c r="AY58" s="54">
        <f t="shared" si="29"/>
        <v>0.11516876660535029</v>
      </c>
      <c r="AZ58" s="54" t="str">
        <f>_xll.Dce_Name_SectI(AE58,AF58,AI58,AH58,AJ58,"x","-",$O$11)</f>
        <v>(528-1528)x300x10x14</v>
      </c>
      <c r="BA58" s="15">
        <f t="shared" si="30"/>
        <v>1016.4523809523813</v>
      </c>
      <c r="BB58" s="54"/>
      <c r="BC58" s="54"/>
      <c r="BD58" s="22" t="s">
        <v>505</v>
      </c>
      <c r="BE58" s="23">
        <v>-165.15042094907039</v>
      </c>
      <c r="BF58" s="23">
        <v>-150.296385616272</v>
      </c>
      <c r="BG58" s="23">
        <v>1.1033087674016814E-3</v>
      </c>
      <c r="BH58" s="23">
        <v>-1.5410031848510184E-5</v>
      </c>
      <c r="BI58" s="23">
        <v>-8.0533782985962882E-3</v>
      </c>
      <c r="BJ58" s="23">
        <v>1150.3218543335911</v>
      </c>
      <c r="BK58" s="23">
        <v>575.16092716679555</v>
      </c>
      <c r="BL58" s="92">
        <v>2.25</v>
      </c>
      <c r="BM58" s="91">
        <v>2</v>
      </c>
      <c r="BN58" s="5">
        <f t="shared" si="31"/>
        <v>19.473749999999999</v>
      </c>
      <c r="BO58" s="54">
        <f>_xll.Bimoment(BH58,AY58,AC58,AD58,$O$101)</f>
        <v>7.0495816784364409E-5</v>
      </c>
      <c r="BP58" s="5">
        <f t="shared" si="32"/>
        <v>0.31313609467455605</v>
      </c>
      <c r="BQ58" s="5">
        <f t="shared" si="33"/>
        <v>21.494958375221021</v>
      </c>
      <c r="BR58" s="24" t="str">
        <f t="shared" si="34"/>
        <v>Cal</v>
      </c>
      <c r="BS58" s="25">
        <f t="shared" si="35"/>
        <v>3.3124424955674227E-2</v>
      </c>
      <c r="BT58" s="25" t="str">
        <f t="shared" si="36"/>
        <v>CT.105</v>
      </c>
      <c r="BU58" s="25">
        <f t="shared" si="37"/>
        <v>1</v>
      </c>
      <c r="BV58" s="25" cm="1">
        <f t="array" ref="BV58">IF(BT58="CT.104",_xll.TCVN5575AnnexEHeSoCx(1,BP58),1)</f>
        <v>1</v>
      </c>
      <c r="BW58" s="25">
        <f t="shared" si="38"/>
        <v>1</v>
      </c>
      <c r="BX58" s="25">
        <f t="shared" si="39"/>
        <v>3.4867815742814973E-2</v>
      </c>
      <c r="BY58" s="25">
        <f t="shared" si="40"/>
        <v>0.61806483998023565</v>
      </c>
      <c r="BZ58" s="25">
        <f t="shared" si="41"/>
        <v>8.8148197033020335E-5</v>
      </c>
      <c r="CA58" s="25">
        <f t="shared" si="42"/>
        <v>1.1407033841655059E-6</v>
      </c>
      <c r="CB58" s="25">
        <f t="shared" si="43"/>
        <v>0.65302194462346785</v>
      </c>
      <c r="CC58" s="5" t="str">
        <f t="shared" si="44"/>
        <v>OK</v>
      </c>
      <c r="CD58" s="5">
        <f t="shared" si="45"/>
        <v>37.545238889226049</v>
      </c>
      <c r="CE58" s="5">
        <f t="shared" si="46"/>
        <v>37.181722419139881</v>
      </c>
      <c r="CF58" s="5">
        <f t="shared" si="47"/>
        <v>1.2506397644909562</v>
      </c>
      <c r="CG58" s="5">
        <f t="shared" si="48"/>
        <v>1.2385309547993069</v>
      </c>
      <c r="CH58" s="5">
        <f t="shared" si="49"/>
        <v>17.725940865900011</v>
      </c>
      <c r="CI58" s="68">
        <f>_xll.DCETCVN5575PhuLucD2Eta(BP58,CH58,CF58)</f>
        <v>1.2126272189349112</v>
      </c>
      <c r="CJ58" s="5">
        <f t="shared" si="50"/>
        <v>21.494958375221021</v>
      </c>
      <c r="CK58" s="5">
        <f>MIN(noisuy2chieu(CJ58,CF58,Data!$DA$2:$EB$24),1)</f>
        <v>7.1994885802268982E-2</v>
      </c>
      <c r="CL58" s="102">
        <f t="shared" si="51"/>
        <v>0.48430961941627371</v>
      </c>
      <c r="CM58" s="5" t="str">
        <f t="shared" si="52"/>
        <v>OK</v>
      </c>
      <c r="CN58" s="5">
        <f t="shared" si="53"/>
        <v>0.86643683692746631</v>
      </c>
      <c r="CO58" s="5">
        <f t="shared" si="54"/>
        <v>0.5370345235716667</v>
      </c>
      <c r="CP58" s="25">
        <f>_xll.DCETCVNPhuLucFHeSoOnDinh(1, 0.2, AG58, AH58, AI58, AJ58, AI58, AJ58, $D$28)</f>
        <v>1</v>
      </c>
      <c r="CQ58" s="68">
        <f t="shared" si="55"/>
        <v>0.9</v>
      </c>
      <c r="CR58" s="68">
        <f t="shared" si="56"/>
        <v>1</v>
      </c>
      <c r="CS58" s="5">
        <f t="shared" si="57"/>
        <v>0.18181818181818182</v>
      </c>
      <c r="CT58" s="5">
        <f t="shared" si="58"/>
        <v>0.10347287704587492</v>
      </c>
      <c r="CU58" s="26">
        <f t="shared" si="59"/>
        <v>8.8629704329500054</v>
      </c>
      <c r="CV58" s="5"/>
      <c r="CW58" s="25"/>
      <c r="CX58" s="72">
        <f>MAX(_xll.Dce_c_925(CU58, CQ58, CR58, CN58, CP58, CS58, CT58),0.3)</f>
        <v>0.3</v>
      </c>
      <c r="CY58" s="102">
        <f t="shared" si="60"/>
        <v>0.13414255664406821</v>
      </c>
      <c r="CZ58" s="5" t="str">
        <f t="shared" si="61"/>
        <v>OK</v>
      </c>
      <c r="DA58" s="47">
        <f t="shared" si="62"/>
        <v>0.34499859601035404</v>
      </c>
      <c r="DB58" s="46">
        <f t="shared" si="63"/>
        <v>0.48385309547993066</v>
      </c>
      <c r="DC58" s="5" t="str">
        <f t="shared" si="64"/>
        <v>OK</v>
      </c>
      <c r="DD58" s="5">
        <f t="shared" si="65"/>
        <v>1.2506397644909562</v>
      </c>
      <c r="DE58" s="5">
        <f t="shared" si="66"/>
        <v>4.4677979100191463</v>
      </c>
      <c r="DF58" s="5" t="str">
        <f t="shared" si="67"/>
        <v>-</v>
      </c>
      <c r="DG58" s="5" t="str">
        <f t="shared" si="68"/>
        <v>-</v>
      </c>
      <c r="DH58" s="203">
        <f t="shared" si="69"/>
        <v>37.545238889226049</v>
      </c>
      <c r="DI58" s="203">
        <f t="shared" si="70"/>
        <v>180</v>
      </c>
      <c r="DJ58" s="46">
        <f t="shared" si="71"/>
        <v>0.20858466049570026</v>
      </c>
      <c r="DK58" s="5" t="str">
        <f t="shared" si="72"/>
        <v>OK</v>
      </c>
      <c r="EB58" s="18"/>
      <c r="EC58" s="77"/>
      <c r="ED58" s="77"/>
      <c r="EE58" s="18"/>
      <c r="EF58" s="18"/>
      <c r="EG58" s="18"/>
      <c r="EH58" s="5"/>
      <c r="EI58" s="5"/>
      <c r="EJ58" s="5"/>
      <c r="EK58" s="5"/>
      <c r="EL58" s="5"/>
      <c r="FE58" s="26"/>
      <c r="FF58" s="26"/>
      <c r="FG58" s="26"/>
      <c r="FH58" s="26"/>
      <c r="FI58" s="26"/>
      <c r="FJ58" s="26"/>
      <c r="FK58" s="26"/>
      <c r="FL58" s="26"/>
      <c r="FM58" s="26"/>
      <c r="FN58" s="205"/>
      <c r="FO58" s="205"/>
      <c r="FP58" s="205"/>
      <c r="FQ58" s="205"/>
      <c r="FR58" s="205"/>
      <c r="FS58" s="205"/>
      <c r="FT58" s="205"/>
      <c r="FU58" s="77"/>
      <c r="FV58" s="77"/>
      <c r="FW58" s="77"/>
      <c r="FX58" s="205"/>
      <c r="FY58" s="205"/>
      <c r="FZ58" s="205"/>
      <c r="GA58" s="205"/>
      <c r="GB58" s="205"/>
      <c r="GC58" s="205"/>
      <c r="GD58" s="205"/>
      <c r="GE58" s="205"/>
      <c r="GF58" s="205"/>
      <c r="GG58" s="205"/>
      <c r="GH58" s="205"/>
      <c r="GI58" s="205"/>
      <c r="GJ58" s="205"/>
      <c r="GK58" s="205"/>
      <c r="GL58" s="205"/>
      <c r="GM58" s="205"/>
      <c r="GN58" s="205"/>
      <c r="GO58" s="205"/>
      <c r="GP58" s="205"/>
      <c r="GQ58" s="205"/>
      <c r="GR58" s="205"/>
      <c r="GS58" s="205"/>
      <c r="GT58" s="205"/>
      <c r="GU58" s="205"/>
      <c r="GV58" s="18"/>
      <c r="GW58" s="5"/>
      <c r="GX58" s="5"/>
      <c r="GY58" s="77"/>
      <c r="GZ58" s="18"/>
      <c r="HA58" s="18"/>
      <c r="HB58" s="18"/>
      <c r="HC58" s="18"/>
      <c r="HD58" s="18"/>
      <c r="HE58" s="18"/>
      <c r="HF58" s="18"/>
      <c r="HG58" s="18"/>
      <c r="HH58" s="205"/>
      <c r="HI58" s="26"/>
      <c r="HJ58" s="26"/>
      <c r="HK58" s="5"/>
    </row>
    <row r="59" spans="2:219" ht="15">
      <c r="B59" s="172" t="s">
        <v>416</v>
      </c>
      <c r="C59" s="2"/>
      <c r="D59" s="2"/>
      <c r="E59" s="2"/>
      <c r="F59" s="2"/>
      <c r="G59" s="2"/>
      <c r="H59" s="2"/>
      <c r="I59" s="2"/>
      <c r="J59" s="2"/>
      <c r="K59" s="269" t="s">
        <v>128</v>
      </c>
      <c r="L59" s="271">
        <f>MIN(noisuy2chieu(L58,G57,Data!$DA$2:$EB$24),1)</f>
        <v>7.1994885802268982E-2</v>
      </c>
      <c r="M59" s="2"/>
      <c r="N59" s="10"/>
      <c r="AA59" s="18" t="s">
        <v>488</v>
      </c>
      <c r="AB59" s="22" t="s">
        <v>489</v>
      </c>
      <c r="AC59" s="59">
        <v>0</v>
      </c>
      <c r="AD59" s="59">
        <v>8.6549999999999994</v>
      </c>
      <c r="AE59" s="22">
        <v>528</v>
      </c>
      <c r="AF59" s="22">
        <v>1528</v>
      </c>
      <c r="AG59" s="22">
        <v>528</v>
      </c>
      <c r="AH59" s="6">
        <v>10</v>
      </c>
      <c r="AI59" s="6">
        <v>300</v>
      </c>
      <c r="AJ59" s="6">
        <v>14</v>
      </c>
      <c r="AK59" s="24">
        <v>300</v>
      </c>
      <c r="AL59" s="24">
        <v>14</v>
      </c>
      <c r="AM59" s="5">
        <f t="shared" si="17"/>
        <v>500</v>
      </c>
      <c r="AN59" s="26">
        <f t="shared" si="18"/>
        <v>134</v>
      </c>
      <c r="AO59" s="26">
        <f t="shared" si="19"/>
        <v>65911.546666666676</v>
      </c>
      <c r="AP59" s="15">
        <f t="shared" si="20"/>
        <v>6304.166666666667</v>
      </c>
      <c r="AQ59" s="5">
        <f t="shared" si="21"/>
        <v>2496.6494949494954</v>
      </c>
      <c r="AR59" s="26">
        <f t="shared" si="22"/>
        <v>420.27777777777777</v>
      </c>
      <c r="AS59" s="26">
        <f t="shared" si="23"/>
        <v>1391.9</v>
      </c>
      <c r="AT59" s="26">
        <f t="shared" si="24"/>
        <v>22.178305028345793</v>
      </c>
      <c r="AU59" s="26">
        <f t="shared" si="25"/>
        <v>6.8590101254115021</v>
      </c>
      <c r="AV59" s="95">
        <f t="shared" si="26"/>
        <v>7.201333333333334E-7</v>
      </c>
      <c r="AW59" s="95">
        <f t="shared" si="27"/>
        <v>4161087</v>
      </c>
      <c r="AX59" s="95">
        <f t="shared" si="28"/>
        <v>4.1610870000000001E-6</v>
      </c>
      <c r="AY59" s="54">
        <f t="shared" si="29"/>
        <v>0.25762202780669918</v>
      </c>
      <c r="AZ59" s="54" t="str">
        <f>_xll.Dce_Name_SectI(AE59,AF59,AI59,AH59,AJ59,"x","-",$O$11)</f>
        <v>(528-1528)x300x10x14</v>
      </c>
      <c r="BA59" s="15">
        <f t="shared" si="30"/>
        <v>385.5</v>
      </c>
      <c r="BB59" s="54"/>
      <c r="BC59" s="54"/>
      <c r="BD59" s="22" t="s">
        <v>506</v>
      </c>
      <c r="BE59" s="23">
        <v>-77.761924653406737</v>
      </c>
      <c r="BF59" s="23">
        <v>-79.996542059316027</v>
      </c>
      <c r="BG59" s="23">
        <v>2.4741994015878427E-3</v>
      </c>
      <c r="BH59" s="23">
        <v>-3.4557408319983681E-5</v>
      </c>
      <c r="BI59" s="23">
        <v>-2.3730603156851827E-6</v>
      </c>
      <c r="BJ59" s="23">
        <v>-1.0093826557181589</v>
      </c>
      <c r="BK59" s="23">
        <v>224.07365357818207</v>
      </c>
      <c r="BL59" s="92">
        <v>2.25</v>
      </c>
      <c r="BM59" s="91">
        <v>2</v>
      </c>
      <c r="BN59" s="5">
        <f t="shared" si="31"/>
        <v>19.473749999999999</v>
      </c>
      <c r="BO59" s="54">
        <f>_xll.Bimoment(BH59,AY59,AC59,AD59,$O$101)</f>
        <v>0</v>
      </c>
      <c r="BP59" s="5">
        <f t="shared" si="32"/>
        <v>0.84</v>
      </c>
      <c r="BQ59" s="5">
        <f t="shared" si="33"/>
        <v>0.10567652271732242</v>
      </c>
      <c r="BR59" s="24" t="str">
        <f t="shared" si="34"/>
        <v>Cal</v>
      </c>
      <c r="BS59" s="25">
        <f t="shared" si="35"/>
        <v>2.5388688086466753E-2</v>
      </c>
      <c r="BT59" s="25" t="str">
        <f t="shared" si="36"/>
        <v>CT.105</v>
      </c>
      <c r="BU59" s="25">
        <f t="shared" si="37"/>
        <v>1</v>
      </c>
      <c r="BV59" s="25" cm="1">
        <f t="array" ref="BV59">IF(BT59="CT.104",_xll.TCVN5575AnnexEHeSoCx(1,BP59),1)</f>
        <v>1</v>
      </c>
      <c r="BW59" s="25">
        <f t="shared" si="38"/>
        <v>1</v>
      </c>
      <c r="BX59" s="25">
        <f t="shared" si="39"/>
        <v>2.6724934827859741E-2</v>
      </c>
      <c r="BY59" s="25">
        <f t="shared" si="40"/>
        <v>1.8618844038781734E-3</v>
      </c>
      <c r="BZ59" s="25">
        <f t="shared" si="41"/>
        <v>2.6003200314496559E-8</v>
      </c>
      <c r="CA59" s="25">
        <f t="shared" si="42"/>
        <v>0</v>
      </c>
      <c r="CB59" s="25">
        <f t="shared" si="43"/>
        <v>2.8586845234938228E-2</v>
      </c>
      <c r="CC59" s="5" t="str">
        <f t="shared" si="44"/>
        <v>OK</v>
      </c>
      <c r="CD59" s="5">
        <f t="shared" si="45"/>
        <v>87.805402509844015</v>
      </c>
      <c r="CE59" s="5">
        <f t="shared" si="46"/>
        <v>29.158726455153193</v>
      </c>
      <c r="CF59" s="5">
        <f t="shared" si="47"/>
        <v>2.9248163326364334</v>
      </c>
      <c r="CG59" s="5">
        <f t="shared" si="48"/>
        <v>0.97128328026682387</v>
      </c>
      <c r="CH59" s="5">
        <f t="shared" si="49"/>
        <v>6.9668435708858278E-2</v>
      </c>
      <c r="CI59" s="68">
        <f>_xll.DCETCVN5575PhuLucD2Eta(BP59,CH59,CF59)</f>
        <v>1.5168493686142253</v>
      </c>
      <c r="CJ59" s="5">
        <f t="shared" si="50"/>
        <v>0.10567652271732242</v>
      </c>
      <c r="CK59" s="5">
        <f>MIN(noisuy2chieu(CJ59,CF59,Data!$DA$2:$EB$24),1)</f>
        <v>0.67562848329544067</v>
      </c>
      <c r="CL59" s="102">
        <f t="shared" si="51"/>
        <v>3.9555666299778233E-2</v>
      </c>
      <c r="CM59" s="5" t="str">
        <f t="shared" si="52"/>
        <v>OK</v>
      </c>
      <c r="CN59" s="5">
        <f t="shared" si="53"/>
        <v>0.90492218941026858</v>
      </c>
      <c r="CO59" s="5">
        <f t="shared" si="54"/>
        <v>0.5370345235716667</v>
      </c>
      <c r="CP59" s="25">
        <f>_xll.DCETCVNPhuLucFHeSoOnDinh(1, 0.2, AG59, AH59, AI59, AJ59, AI59, AJ59, $D$28)</f>
        <v>1</v>
      </c>
      <c r="CQ59" s="68">
        <f t="shared" si="55"/>
        <v>0.9</v>
      </c>
      <c r="CR59" s="68">
        <f t="shared" si="56"/>
        <v>1</v>
      </c>
      <c r="CS59" s="5">
        <f t="shared" si="57"/>
        <v>0.18181818181818182</v>
      </c>
      <c r="CT59" s="5">
        <f t="shared" si="58"/>
        <v>9.9510191986788829E-2</v>
      </c>
      <c r="CU59" s="26">
        <f t="shared" si="59"/>
        <v>15.46575111027016</v>
      </c>
      <c r="CV59" s="5"/>
      <c r="CW59" s="25"/>
      <c r="CX59" s="72">
        <f>MAX(_xll.Dce_c_925(CU59, CQ59, CR59, CN59, CP59, CS59, CT59),0.3)</f>
        <v>0.3</v>
      </c>
      <c r="CY59" s="102">
        <f t="shared" si="60"/>
        <v>9.8442846396462724E-2</v>
      </c>
      <c r="CZ59" s="5" t="str">
        <f t="shared" si="61"/>
        <v>OK</v>
      </c>
      <c r="DA59" s="47">
        <f t="shared" si="62"/>
        <v>0.34499859601035404</v>
      </c>
      <c r="DB59" s="46">
        <f t="shared" si="63"/>
        <v>0.45712832802668235</v>
      </c>
      <c r="DC59" s="5" t="str">
        <f t="shared" si="64"/>
        <v>OK</v>
      </c>
      <c r="DD59" s="5">
        <f t="shared" si="65"/>
        <v>2.9248163326364334</v>
      </c>
      <c r="DE59" s="5">
        <f t="shared" si="66"/>
        <v>1.6655104634982609</v>
      </c>
      <c r="DF59" s="5" t="str">
        <f t="shared" si="67"/>
        <v>-</v>
      </c>
      <c r="DG59" s="5" t="str">
        <f t="shared" si="68"/>
        <v>-</v>
      </c>
      <c r="DH59" s="203" t="str">
        <f t="shared" si="69"/>
        <v>-</v>
      </c>
      <c r="DI59" s="203">
        <f t="shared" si="70"/>
        <v>180</v>
      </c>
      <c r="DJ59" s="46">
        <f t="shared" si="71"/>
        <v>0</v>
      </c>
      <c r="DK59" s="5" t="str">
        <f t="shared" si="72"/>
        <v>OK</v>
      </c>
      <c r="EB59" s="18"/>
      <c r="EC59" s="77"/>
      <c r="ED59" s="77"/>
      <c r="EE59" s="18"/>
      <c r="EF59" s="18"/>
      <c r="EG59" s="18"/>
      <c r="EH59" s="5"/>
      <c r="EI59" s="5"/>
      <c r="EJ59" s="5"/>
      <c r="EK59" s="5"/>
      <c r="EL59" s="5"/>
      <c r="FE59" s="26"/>
      <c r="FF59" s="26"/>
      <c r="FG59" s="26"/>
      <c r="FH59" s="26"/>
      <c r="FI59" s="26"/>
      <c r="FJ59" s="26"/>
      <c r="FK59" s="26"/>
      <c r="FL59" s="26"/>
      <c r="FM59" s="26"/>
      <c r="FN59" s="205"/>
      <c r="FO59" s="205"/>
      <c r="FP59" s="205"/>
      <c r="FQ59" s="205"/>
      <c r="FR59" s="205"/>
      <c r="FS59" s="205"/>
      <c r="FT59" s="205"/>
      <c r="FU59" s="77"/>
      <c r="FV59" s="77"/>
      <c r="FW59" s="77"/>
      <c r="FX59" s="205"/>
      <c r="FY59" s="205"/>
      <c r="FZ59" s="205"/>
      <c r="GA59" s="205"/>
      <c r="GB59" s="205"/>
      <c r="GC59" s="205"/>
      <c r="GD59" s="205"/>
      <c r="GE59" s="205"/>
      <c r="GF59" s="205"/>
      <c r="GG59" s="205"/>
      <c r="GH59" s="205"/>
      <c r="GI59" s="205"/>
      <c r="GJ59" s="205"/>
      <c r="GK59" s="205"/>
      <c r="GL59" s="205"/>
      <c r="GM59" s="205"/>
      <c r="GN59" s="205"/>
      <c r="GO59" s="205"/>
      <c r="GP59" s="205"/>
      <c r="GQ59" s="205"/>
      <c r="GR59" s="205"/>
      <c r="GS59" s="205"/>
      <c r="GT59" s="205"/>
      <c r="GU59" s="205"/>
      <c r="GV59" s="18"/>
      <c r="GW59" s="5"/>
      <c r="GX59" s="5"/>
      <c r="GY59" s="77"/>
      <c r="GZ59" s="18"/>
      <c r="HA59" s="18"/>
      <c r="HB59" s="18"/>
      <c r="HC59" s="18"/>
      <c r="HD59" s="18"/>
      <c r="HE59" s="18"/>
      <c r="HF59" s="18"/>
      <c r="HG59" s="18"/>
      <c r="HH59" s="205"/>
      <c r="HI59" s="26"/>
      <c r="HJ59" s="26"/>
      <c r="HK59" s="5"/>
    </row>
    <row r="60" spans="2:219" ht="15">
      <c r="B60" s="172" t="s">
        <v>411</v>
      </c>
      <c r="C60" s="2"/>
      <c r="D60" s="2"/>
      <c r="E60" s="2"/>
      <c r="F60" s="2"/>
      <c r="G60" s="2"/>
      <c r="H60" s="2"/>
      <c r="I60" s="2"/>
      <c r="J60" s="2"/>
      <c r="K60" s="238" t="s">
        <v>129</v>
      </c>
      <c r="L60" s="273">
        <f>IF(H32&gt;0,"-",ABS(H32)/(L59*G28*$L$47)*10)</f>
        <v>0.83738614578117099</v>
      </c>
      <c r="M60" s="240" t="s">
        <v>31</v>
      </c>
      <c r="N60" s="21" t="str">
        <f>IF(H32&gt;0,"-",IF(L60&lt;=1,"OK","Check"))</f>
        <v>OK</v>
      </c>
      <c r="AA60" s="18" t="s">
        <v>488</v>
      </c>
      <c r="AB60" s="22" t="s">
        <v>489</v>
      </c>
      <c r="AC60" s="59">
        <v>3.6405952380952398</v>
      </c>
      <c r="AD60" s="59">
        <v>8.6549999999999994</v>
      </c>
      <c r="AE60" s="22">
        <v>528</v>
      </c>
      <c r="AF60" s="22">
        <v>1528</v>
      </c>
      <c r="AG60" s="22">
        <v>948.63492063492095</v>
      </c>
      <c r="AH60" s="6">
        <v>10</v>
      </c>
      <c r="AI60" s="6">
        <v>300</v>
      </c>
      <c r="AJ60" s="6">
        <v>14</v>
      </c>
      <c r="AK60" s="24">
        <v>300</v>
      </c>
      <c r="AL60" s="24">
        <v>14</v>
      </c>
      <c r="AM60" s="5">
        <f t="shared" si="17"/>
        <v>920.63492063492095</v>
      </c>
      <c r="AN60" s="26">
        <f t="shared" si="18"/>
        <v>176.06349206349208</v>
      </c>
      <c r="AO60" s="26">
        <f t="shared" si="19"/>
        <v>248482.7399356656</v>
      </c>
      <c r="AP60" s="15">
        <f t="shared" si="20"/>
        <v>6307.6719576719579</v>
      </c>
      <c r="AQ60" s="5">
        <f t="shared" si="21"/>
        <v>5238.7432621467533</v>
      </c>
      <c r="AR60" s="26">
        <f t="shared" si="22"/>
        <v>420.51146384479722</v>
      </c>
      <c r="AS60" s="26">
        <f t="shared" si="23"/>
        <v>3022.1941546989178</v>
      </c>
      <c r="AT60" s="26">
        <f t="shared" si="24"/>
        <v>37.567600585756203</v>
      </c>
      <c r="AU60" s="26">
        <f t="shared" si="25"/>
        <v>5.9854925384629922</v>
      </c>
      <c r="AV60" s="95">
        <f t="shared" si="26"/>
        <v>8.6034497354497351E-7</v>
      </c>
      <c r="AW60" s="95">
        <f t="shared" si="27"/>
        <v>13758293.349206358</v>
      </c>
      <c r="AX60" s="95">
        <f t="shared" si="28"/>
        <v>1.3758293349206359E-5</v>
      </c>
      <c r="AY60" s="54">
        <f t="shared" si="29"/>
        <v>0.1548581140202015</v>
      </c>
      <c r="AZ60" s="54" t="str">
        <f>_xll.Dce_Name_SectI(AE60,AF60,AI60,AH60,AJ60,"x","-",$O$11)</f>
        <v>(528-1528)x300x10x14</v>
      </c>
      <c r="BA60" s="15">
        <f t="shared" si="30"/>
        <v>700.97619047619071</v>
      </c>
      <c r="BB60" s="54"/>
      <c r="BC60" s="54"/>
      <c r="BD60" s="22" t="s">
        <v>506</v>
      </c>
      <c r="BE60" s="23">
        <v>-71.568580216840957</v>
      </c>
      <c r="BF60" s="23">
        <v>-61.524684959098551</v>
      </c>
      <c r="BG60" s="23">
        <v>2.4741994015889772E-3</v>
      </c>
      <c r="BH60" s="23">
        <v>-3.4557408319983681E-5</v>
      </c>
      <c r="BI60" s="23">
        <v>-9.0311445781149791E-3</v>
      </c>
      <c r="BJ60" s="23">
        <v>257.17585889589304</v>
      </c>
      <c r="BK60" s="23">
        <v>224.07365357818207</v>
      </c>
      <c r="BL60" s="92">
        <v>2.25</v>
      </c>
      <c r="BM60" s="91">
        <v>2</v>
      </c>
      <c r="BN60" s="5">
        <f t="shared" si="31"/>
        <v>19.473749999999999</v>
      </c>
      <c r="BO60" s="54">
        <f>_xll.Bimoment(BH60,AY60,AC60,AD60,$O$101)</f>
        <v>2.6576950907171166E-4</v>
      </c>
      <c r="BP60" s="5">
        <f t="shared" si="32"/>
        <v>0.45620689655172403</v>
      </c>
      <c r="BQ60" s="5">
        <f t="shared" si="33"/>
        <v>14.990158972757708</v>
      </c>
      <c r="BR60" s="24" t="str">
        <f t="shared" si="34"/>
        <v>Cal</v>
      </c>
      <c r="BS60" s="25">
        <f t="shared" si="35"/>
        <v>1.7784069529631075E-2</v>
      </c>
      <c r="BT60" s="25" t="str">
        <f t="shared" si="36"/>
        <v>CT.105</v>
      </c>
      <c r="BU60" s="25">
        <f t="shared" si="37"/>
        <v>1</v>
      </c>
      <c r="BV60" s="25" cm="1">
        <f t="array" ref="BV60">IF(BT60="CT.104",_xll.TCVN5575AnnexEHeSoCx(1,BP60),1)</f>
        <v>1</v>
      </c>
      <c r="BW60" s="25">
        <f t="shared" si="38"/>
        <v>1</v>
      </c>
      <c r="BX60" s="25">
        <f t="shared" si="39"/>
        <v>1.8720073189085341E-2</v>
      </c>
      <c r="BY60" s="25">
        <f t="shared" si="40"/>
        <v>0.22607760083052039</v>
      </c>
      <c r="BZ60" s="25">
        <f t="shared" si="41"/>
        <v>9.8905264125127628E-5</v>
      </c>
      <c r="CA60" s="25">
        <f t="shared" si="42"/>
        <v>6.2358880232654696E-6</v>
      </c>
      <c r="CB60" s="25">
        <f t="shared" si="43"/>
        <v>0.24490281517175411</v>
      </c>
      <c r="CC60" s="5" t="str">
        <f t="shared" si="44"/>
        <v>OK</v>
      </c>
      <c r="CD60" s="5">
        <f t="shared" si="45"/>
        <v>51.836555160202302</v>
      </c>
      <c r="CE60" s="5">
        <f t="shared" si="46"/>
        <v>33.414125690541383</v>
      </c>
      <c r="CF60" s="5">
        <f t="shared" si="47"/>
        <v>1.7266865002204341</v>
      </c>
      <c r="CG60" s="5">
        <f t="shared" si="48"/>
        <v>1.1130315193248546</v>
      </c>
      <c r="CH60" s="5">
        <f t="shared" si="49"/>
        <v>12.076747700021491</v>
      </c>
      <c r="CI60" s="68">
        <f>_xll.DCETCVN5575PhuLucD2Eta(BP60,CH60,CF60)</f>
        <v>1.2412413793103447</v>
      </c>
      <c r="CJ60" s="5">
        <f t="shared" si="50"/>
        <v>14.990158972757708</v>
      </c>
      <c r="CK60" s="5">
        <f>MIN(noisuy2chieu(CJ60,CF60,Data!$DA$2:$EB$24),1)</f>
        <v>9.1421507298946381E-2</v>
      </c>
      <c r="CL60" s="102">
        <f t="shared" si="51"/>
        <v>0.20476662157703329</v>
      </c>
      <c r="CM60" s="5" t="str">
        <f t="shared" si="52"/>
        <v>OK</v>
      </c>
      <c r="CN60" s="5">
        <f t="shared" si="53"/>
        <v>0.88472625978979058</v>
      </c>
      <c r="CO60" s="5">
        <f t="shared" si="54"/>
        <v>0.5370345235716667</v>
      </c>
      <c r="CP60" s="25">
        <f>_xll.DCETCVNPhuLucFHeSoOnDinh(1, 0.2, AG60, AH60, AI60, AJ60, AI60, AJ60, $D$28)</f>
        <v>1</v>
      </c>
      <c r="CQ60" s="68">
        <f t="shared" si="55"/>
        <v>0.9</v>
      </c>
      <c r="CR60" s="68">
        <f t="shared" si="56"/>
        <v>1</v>
      </c>
      <c r="CS60" s="5">
        <f t="shared" si="57"/>
        <v>0.18181818181818182</v>
      </c>
      <c r="CT60" s="5">
        <f t="shared" si="58"/>
        <v>0.10155106457844131</v>
      </c>
      <c r="CU60" s="26">
        <f t="shared" si="59"/>
        <v>10.522297824156064</v>
      </c>
      <c r="CV60" s="5"/>
      <c r="CW60" s="25"/>
      <c r="CX60" s="72">
        <f>MAX(_xll.Dce_c_925(CU60, CQ60, CR60, CN60, CP60, CS60, CT60),0.3)</f>
        <v>0.3</v>
      </c>
      <c r="CY60" s="102">
        <f t="shared" si="60"/>
        <v>7.0530566119337293E-2</v>
      </c>
      <c r="CZ60" s="5" t="str">
        <f t="shared" si="61"/>
        <v>OK</v>
      </c>
      <c r="DA60" s="47">
        <f t="shared" si="62"/>
        <v>0.34499859601035404</v>
      </c>
      <c r="DB60" s="46">
        <f t="shared" si="63"/>
        <v>0.47130315193248545</v>
      </c>
      <c r="DC60" s="5" t="str">
        <f t="shared" si="64"/>
        <v>OK</v>
      </c>
      <c r="DD60" s="5">
        <f t="shared" si="65"/>
        <v>1.7266865002204341</v>
      </c>
      <c r="DE60" s="5">
        <f t="shared" si="66"/>
        <v>3.0666541867587034</v>
      </c>
      <c r="DF60" s="5" t="str">
        <f t="shared" si="67"/>
        <v>-</v>
      </c>
      <c r="DG60" s="5" t="str">
        <f t="shared" si="68"/>
        <v>-</v>
      </c>
      <c r="DH60" s="203">
        <f t="shared" si="69"/>
        <v>51.836555160202302</v>
      </c>
      <c r="DI60" s="203">
        <f t="shared" si="70"/>
        <v>180</v>
      </c>
      <c r="DJ60" s="46">
        <f t="shared" si="71"/>
        <v>0.28798086200112388</v>
      </c>
      <c r="DK60" s="5" t="str">
        <f t="shared" si="72"/>
        <v>OK</v>
      </c>
      <c r="EB60" s="18"/>
      <c r="EC60" s="77"/>
      <c r="ED60" s="77"/>
      <c r="EE60" s="18"/>
      <c r="EF60" s="18"/>
      <c r="EG60" s="18"/>
      <c r="EH60" s="5"/>
      <c r="EI60" s="5"/>
      <c r="EJ60" s="5"/>
      <c r="EK60" s="5"/>
      <c r="EL60" s="5"/>
      <c r="FE60" s="26"/>
      <c r="FF60" s="26"/>
      <c r="FG60" s="26"/>
      <c r="FH60" s="26"/>
      <c r="FI60" s="26"/>
      <c r="FJ60" s="26"/>
      <c r="FK60" s="26"/>
      <c r="FL60" s="26"/>
      <c r="FM60" s="26"/>
      <c r="FN60" s="205"/>
      <c r="FO60" s="205"/>
      <c r="FP60" s="205"/>
      <c r="FQ60" s="205"/>
      <c r="FR60" s="205"/>
      <c r="FS60" s="205"/>
      <c r="FT60" s="205"/>
      <c r="FU60" s="77"/>
      <c r="FV60" s="77"/>
      <c r="FW60" s="77"/>
      <c r="FX60" s="205"/>
      <c r="FY60" s="205"/>
      <c r="FZ60" s="205"/>
      <c r="GA60" s="205"/>
      <c r="GB60" s="205"/>
      <c r="GC60" s="205"/>
      <c r="GD60" s="205"/>
      <c r="GE60" s="205"/>
      <c r="GF60" s="205"/>
      <c r="GG60" s="205"/>
      <c r="GH60" s="205"/>
      <c r="GI60" s="205"/>
      <c r="GJ60" s="205"/>
      <c r="GK60" s="205"/>
      <c r="GL60" s="205"/>
      <c r="GM60" s="205"/>
      <c r="GN60" s="205"/>
      <c r="GO60" s="205"/>
      <c r="GP60" s="205"/>
      <c r="GQ60" s="205"/>
      <c r="GR60" s="205"/>
      <c r="GS60" s="205"/>
      <c r="GT60" s="205"/>
      <c r="GU60" s="205"/>
      <c r="GV60" s="18"/>
      <c r="GW60" s="5"/>
      <c r="GX60" s="5"/>
      <c r="GY60" s="77"/>
      <c r="GZ60" s="18"/>
      <c r="HA60" s="18"/>
      <c r="HB60" s="18"/>
      <c r="HC60" s="18"/>
      <c r="HD60" s="18"/>
      <c r="HE60" s="18"/>
      <c r="HF60" s="18"/>
      <c r="HG60" s="18"/>
      <c r="HH60" s="205"/>
      <c r="HI60" s="26"/>
      <c r="HJ60" s="26"/>
      <c r="HK60" s="5"/>
    </row>
    <row r="61" spans="2:219">
      <c r="B61" s="8" t="s">
        <v>130</v>
      </c>
      <c r="C61" s="2"/>
      <c r="D61" s="2"/>
      <c r="E61" s="2"/>
      <c r="F61" s="2"/>
      <c r="G61" s="2"/>
      <c r="H61" s="2"/>
      <c r="I61" s="2"/>
      <c r="J61" s="2"/>
      <c r="K61" s="252"/>
      <c r="L61" s="263"/>
      <c r="M61" s="245"/>
      <c r="N61" s="10"/>
      <c r="O61" s="237" t="s">
        <v>462</v>
      </c>
      <c r="P61" s="129"/>
      <c r="Q61" s="225">
        <v>9.5432000000000006</v>
      </c>
      <c r="AA61" s="18" t="s">
        <v>488</v>
      </c>
      <c r="AB61" s="22" t="s">
        <v>489</v>
      </c>
      <c r="AC61" s="59">
        <v>7.2811904761904795</v>
      </c>
      <c r="AD61" s="59">
        <v>8.6549999999999994</v>
      </c>
      <c r="AE61" s="22">
        <v>528</v>
      </c>
      <c r="AF61" s="22">
        <v>1528</v>
      </c>
      <c r="AG61" s="22">
        <v>1369.2698412698419</v>
      </c>
      <c r="AH61" s="6">
        <v>10</v>
      </c>
      <c r="AI61" s="6">
        <v>300</v>
      </c>
      <c r="AJ61" s="6">
        <v>14</v>
      </c>
      <c r="AK61" s="24">
        <v>300</v>
      </c>
      <c r="AL61" s="24">
        <v>14</v>
      </c>
      <c r="AM61" s="5">
        <f t="shared" si="17"/>
        <v>1341.2698412698419</v>
      </c>
      <c r="AN61" s="26">
        <f t="shared" si="18"/>
        <v>218.12698412698418</v>
      </c>
      <c r="AO61" s="26">
        <f t="shared" si="19"/>
        <v>586811.79072745051</v>
      </c>
      <c r="AP61" s="15">
        <f t="shared" si="20"/>
        <v>6311.1772486772488</v>
      </c>
      <c r="AQ61" s="5">
        <f t="shared" si="21"/>
        <v>8571.1635945074104</v>
      </c>
      <c r="AR61" s="26">
        <f t="shared" si="22"/>
        <v>420.74514991181661</v>
      </c>
      <c r="AS61" s="26">
        <f t="shared" si="23"/>
        <v>5094.8226505417015</v>
      </c>
      <c r="AT61" s="26">
        <f t="shared" si="24"/>
        <v>51.867428670398397</v>
      </c>
      <c r="AU61" s="26">
        <f t="shared" si="25"/>
        <v>5.3789869588463937</v>
      </c>
      <c r="AV61" s="95">
        <f t="shared" si="26"/>
        <v>1.0005566137566139E-6</v>
      </c>
      <c r="AW61" s="95">
        <f t="shared" si="27"/>
        <v>28928912.396825422</v>
      </c>
      <c r="AX61" s="95">
        <f t="shared" si="28"/>
        <v>2.8928912396825422E-5</v>
      </c>
      <c r="AY61" s="54">
        <f t="shared" si="29"/>
        <v>0.11516876660535029</v>
      </c>
      <c r="AZ61" s="54" t="str">
        <f>_xll.Dce_Name_SectI(AE61,AF61,AI61,AH61,AJ61,"x","-",$O$11)</f>
        <v>(528-1528)x300x10x14</v>
      </c>
      <c r="BA61" s="15">
        <f t="shared" si="30"/>
        <v>1016.4523809523813</v>
      </c>
      <c r="BB61" s="54"/>
      <c r="BC61" s="54"/>
      <c r="BD61" s="22" t="s">
        <v>506</v>
      </c>
      <c r="BE61" s="23">
        <v>-63.833800029782708</v>
      </c>
      <c r="BF61" s="23">
        <v>-43.158678389473096</v>
      </c>
      <c r="BG61" s="23">
        <v>2.4741994015901039E-3</v>
      </c>
      <c r="BH61" s="23">
        <v>-3.4557408319983681E-5</v>
      </c>
      <c r="BI61" s="23">
        <v>-1.8059916095918397E-2</v>
      </c>
      <c r="BJ61" s="23">
        <v>448.14730715636415</v>
      </c>
      <c r="BK61" s="23">
        <v>224.07365357818207</v>
      </c>
      <c r="BL61" s="92">
        <v>2.25</v>
      </c>
      <c r="BM61" s="91">
        <v>2</v>
      </c>
      <c r="BN61" s="5">
        <f t="shared" si="31"/>
        <v>19.473749999999999</v>
      </c>
      <c r="BO61" s="54">
        <f>_xll.Bimoment(BH61,AY61,AC61,AD61,$O$101)</f>
        <v>1.5808875344430667E-4</v>
      </c>
      <c r="BP61" s="5">
        <f t="shared" si="32"/>
        <v>0.31313609467455605</v>
      </c>
      <c r="BQ61" s="5">
        <f t="shared" si="33"/>
        <v>21.665415134522707</v>
      </c>
      <c r="BR61" s="24" t="str">
        <f t="shared" si="34"/>
        <v>Cal</v>
      </c>
      <c r="BS61" s="25">
        <f t="shared" si="35"/>
        <v>1.2803224518417157E-2</v>
      </c>
      <c r="BT61" s="25" t="str">
        <f t="shared" si="36"/>
        <v>CT.105</v>
      </c>
      <c r="BU61" s="25">
        <f t="shared" si="37"/>
        <v>1</v>
      </c>
      <c r="BV61" s="25" cm="1">
        <f t="array" ref="BV61">IF(BT61="CT.104",_xll.TCVN5575AnnexEHeSoCx(1,BP61),1)</f>
        <v>1</v>
      </c>
      <c r="BW61" s="25">
        <f t="shared" si="38"/>
        <v>1</v>
      </c>
      <c r="BX61" s="25">
        <f t="shared" si="39"/>
        <v>1.3477078440439112E-2</v>
      </c>
      <c r="BY61" s="25">
        <f t="shared" si="40"/>
        <v>0.24078834340292979</v>
      </c>
      <c r="BZ61" s="25">
        <f t="shared" si="41"/>
        <v>1.9767468798781109E-4</v>
      </c>
      <c r="CA61" s="25">
        <f t="shared" si="42"/>
        <v>2.5580578292189334E-6</v>
      </c>
      <c r="CB61" s="25">
        <f t="shared" si="43"/>
        <v>0.25446565458918596</v>
      </c>
      <c r="CC61" s="5" t="str">
        <f t="shared" si="44"/>
        <v>OK</v>
      </c>
      <c r="CD61" s="5">
        <f t="shared" si="45"/>
        <v>37.545238889226049</v>
      </c>
      <c r="CE61" s="5">
        <f t="shared" si="46"/>
        <v>37.181722419139881</v>
      </c>
      <c r="CF61" s="5">
        <f t="shared" si="47"/>
        <v>1.2506397644909562</v>
      </c>
      <c r="CG61" s="5">
        <f t="shared" si="48"/>
        <v>1.2385309547993069</v>
      </c>
      <c r="CH61" s="5">
        <f t="shared" si="49"/>
        <v>17.866509011361401</v>
      </c>
      <c r="CI61" s="68">
        <f>_xll.DCETCVN5575PhuLucD2Eta(BP61,CH61,CF61)</f>
        <v>1.2126272189349112</v>
      </c>
      <c r="CJ61" s="5">
        <f t="shared" si="50"/>
        <v>21.665415134522707</v>
      </c>
      <c r="CK61" s="5">
        <f>MIN(noisuy2chieu(CJ61,CF61,Data!$DA$2:$EB$24),1)</f>
        <v>7.1994885802268982E-2</v>
      </c>
      <c r="CL61" s="102">
        <f t="shared" si="51"/>
        <v>0.18719494156089586</v>
      </c>
      <c r="CM61" s="5" t="str">
        <f t="shared" si="52"/>
        <v>OK</v>
      </c>
      <c r="CN61" s="5">
        <f t="shared" si="53"/>
        <v>0.86643683692746631</v>
      </c>
      <c r="CO61" s="5">
        <f t="shared" si="54"/>
        <v>0.5370345235716667</v>
      </c>
      <c r="CP61" s="25">
        <f>_xll.DCETCVNPhuLucFHeSoOnDinh(1, 0.2, AG61, AH61, AI61, AJ61, AI61, AJ61, $D$28)</f>
        <v>1</v>
      </c>
      <c r="CQ61" s="68">
        <f t="shared" si="55"/>
        <v>0.9</v>
      </c>
      <c r="CR61" s="68">
        <f t="shared" si="56"/>
        <v>1</v>
      </c>
      <c r="CS61" s="5">
        <f t="shared" si="57"/>
        <v>0.18181818181818182</v>
      </c>
      <c r="CT61" s="5">
        <f t="shared" si="58"/>
        <v>0.10347287704587492</v>
      </c>
      <c r="CU61" s="26">
        <f t="shared" si="59"/>
        <v>8.9332545056807007</v>
      </c>
      <c r="CV61" s="5"/>
      <c r="CW61" s="25"/>
      <c r="CX61" s="72">
        <f>MAX(_xll.Dce_c_925(CU61, CQ61, CR61, CN61, CP61, CS61, CT61),0.3)</f>
        <v>0.3</v>
      </c>
      <c r="CY61" s="102">
        <f t="shared" si="60"/>
        <v>5.1848666731172798E-2</v>
      </c>
      <c r="CZ61" s="5" t="str">
        <f t="shared" si="61"/>
        <v>OK</v>
      </c>
      <c r="DA61" s="47">
        <f t="shared" si="62"/>
        <v>0.34499859601035404</v>
      </c>
      <c r="DB61" s="46">
        <f t="shared" si="63"/>
        <v>0.48385309547993066</v>
      </c>
      <c r="DC61" s="5" t="str">
        <f t="shared" si="64"/>
        <v>OK</v>
      </c>
      <c r="DD61" s="5">
        <f t="shared" si="65"/>
        <v>1.2506397644909562</v>
      </c>
      <c r="DE61" s="5">
        <f t="shared" si="66"/>
        <v>4.4677979100191463</v>
      </c>
      <c r="DF61" s="5" t="str">
        <f t="shared" si="67"/>
        <v>-</v>
      </c>
      <c r="DG61" s="5" t="str">
        <f t="shared" si="68"/>
        <v>-</v>
      </c>
      <c r="DH61" s="203">
        <f t="shared" si="69"/>
        <v>37.545238889226049</v>
      </c>
      <c r="DI61" s="203">
        <f t="shared" si="70"/>
        <v>180</v>
      </c>
      <c r="DJ61" s="46">
        <f t="shared" si="71"/>
        <v>0.20858466049570026</v>
      </c>
      <c r="DK61" s="5" t="str">
        <f t="shared" si="72"/>
        <v>OK</v>
      </c>
      <c r="EB61" s="18"/>
      <c r="EC61" s="77"/>
      <c r="ED61" s="77"/>
      <c r="EE61" s="18"/>
      <c r="EF61" s="18"/>
      <c r="EG61" s="18"/>
      <c r="EH61" s="5"/>
      <c r="EI61" s="5"/>
      <c r="EJ61" s="5"/>
      <c r="EK61" s="5"/>
      <c r="EL61" s="5"/>
      <c r="FE61" s="26"/>
      <c r="FF61" s="26"/>
      <c r="FG61" s="26"/>
      <c r="FH61" s="26"/>
      <c r="FI61" s="26"/>
      <c r="FJ61" s="26"/>
      <c r="FK61" s="26"/>
      <c r="FL61" s="26"/>
      <c r="FM61" s="26"/>
      <c r="FN61" s="205"/>
      <c r="FO61" s="205"/>
      <c r="FP61" s="205"/>
      <c r="FQ61" s="205"/>
      <c r="FR61" s="205"/>
      <c r="FS61" s="205"/>
      <c r="FT61" s="205"/>
      <c r="FU61" s="77"/>
      <c r="FV61" s="77"/>
      <c r="FW61" s="77"/>
      <c r="FX61" s="205"/>
      <c r="FY61" s="205"/>
      <c r="FZ61" s="205"/>
      <c r="GA61" s="205"/>
      <c r="GB61" s="205"/>
      <c r="GC61" s="205"/>
      <c r="GD61" s="205"/>
      <c r="GE61" s="205"/>
      <c r="GF61" s="205"/>
      <c r="GG61" s="205"/>
      <c r="GH61" s="205"/>
      <c r="GI61" s="205"/>
      <c r="GJ61" s="205"/>
      <c r="GK61" s="205"/>
      <c r="GL61" s="205"/>
      <c r="GM61" s="205"/>
      <c r="GN61" s="205"/>
      <c r="GO61" s="205"/>
      <c r="GP61" s="205"/>
      <c r="GQ61" s="205"/>
      <c r="GR61" s="205"/>
      <c r="GS61" s="205"/>
      <c r="GT61" s="205"/>
      <c r="GU61" s="205"/>
      <c r="GV61" s="18"/>
      <c r="GW61" s="5"/>
      <c r="GX61" s="5"/>
      <c r="GY61" s="77"/>
      <c r="GZ61" s="18"/>
      <c r="HA61" s="18"/>
      <c r="HB61" s="18"/>
      <c r="HC61" s="18"/>
      <c r="HD61" s="18"/>
      <c r="HE61" s="18"/>
      <c r="HF61" s="18"/>
      <c r="HG61" s="18"/>
      <c r="HH61" s="205"/>
      <c r="HI61" s="26"/>
      <c r="HJ61" s="26"/>
      <c r="HK61" s="5"/>
    </row>
    <row r="62" spans="2:219" ht="15">
      <c r="B62" s="175" t="s">
        <v>417</v>
      </c>
      <c r="C62" s="252" t="s">
        <v>468</v>
      </c>
      <c r="D62" s="89">
        <v>1093.3068800540595</v>
      </c>
      <c r="E62" s="2"/>
      <c r="F62" s="252" t="s">
        <v>132</v>
      </c>
      <c r="G62" s="257">
        <f>ABS((D62/H32)*100*G28/J28)</f>
        <v>9.74382174246497</v>
      </c>
      <c r="H62" s="2"/>
      <c r="I62" s="252" t="s">
        <v>85</v>
      </c>
      <c r="J62" s="274">
        <f>N96</f>
        <v>0.3</v>
      </c>
      <c r="K62" s="269" t="s">
        <v>467</v>
      </c>
      <c r="L62" s="265" cm="1">
        <f t="array" ref="L62">FactorPhi7121(L57,"c")</f>
        <v>0.86643683692746631</v>
      </c>
      <c r="M62" s="2" t="s">
        <v>90</v>
      </c>
      <c r="N62" s="10"/>
      <c r="O62" s="237" t="s">
        <v>465</v>
      </c>
      <c r="P62" s="129"/>
      <c r="Q62" s="225">
        <v>2.6351</v>
      </c>
      <c r="AA62" s="18" t="s">
        <v>488</v>
      </c>
      <c r="AB62" s="22" t="s">
        <v>489</v>
      </c>
      <c r="AC62" s="59">
        <v>0</v>
      </c>
      <c r="AD62" s="59">
        <v>8.6549999999999994</v>
      </c>
      <c r="AE62" s="22">
        <v>528</v>
      </c>
      <c r="AF62" s="22">
        <v>1528</v>
      </c>
      <c r="AG62" s="22">
        <v>528</v>
      </c>
      <c r="AH62" s="6">
        <v>10</v>
      </c>
      <c r="AI62" s="6">
        <v>300</v>
      </c>
      <c r="AJ62" s="6">
        <v>14</v>
      </c>
      <c r="AK62" s="24">
        <v>300</v>
      </c>
      <c r="AL62" s="24">
        <v>14</v>
      </c>
      <c r="AM62" s="5">
        <f t="shared" si="17"/>
        <v>500</v>
      </c>
      <c r="AN62" s="26">
        <f t="shared" si="18"/>
        <v>134</v>
      </c>
      <c r="AO62" s="26">
        <f t="shared" si="19"/>
        <v>65911.546666666676</v>
      </c>
      <c r="AP62" s="15">
        <f t="shared" si="20"/>
        <v>6304.166666666667</v>
      </c>
      <c r="AQ62" s="5">
        <f t="shared" si="21"/>
        <v>2496.6494949494954</v>
      </c>
      <c r="AR62" s="26">
        <f t="shared" si="22"/>
        <v>420.27777777777777</v>
      </c>
      <c r="AS62" s="26">
        <f t="shared" si="23"/>
        <v>1391.9</v>
      </c>
      <c r="AT62" s="26">
        <f t="shared" si="24"/>
        <v>22.178305028345793</v>
      </c>
      <c r="AU62" s="26">
        <f t="shared" si="25"/>
        <v>6.8590101254115021</v>
      </c>
      <c r="AV62" s="95">
        <f t="shared" si="26"/>
        <v>7.201333333333334E-7</v>
      </c>
      <c r="AW62" s="95">
        <f t="shared" si="27"/>
        <v>4161087</v>
      </c>
      <c r="AX62" s="95">
        <f t="shared" si="28"/>
        <v>4.1610870000000001E-6</v>
      </c>
      <c r="AY62" s="54">
        <f t="shared" si="29"/>
        <v>0.25762202780669918</v>
      </c>
      <c r="AZ62" s="54" t="str">
        <f>_xll.Dce_Name_SectI(AE62,AF62,AI62,AH62,AJ62,"x","-",$O$11)</f>
        <v>(528-1528)x300x10x14</v>
      </c>
      <c r="BA62" s="15">
        <f t="shared" si="30"/>
        <v>385.5</v>
      </c>
      <c r="BB62" s="54"/>
      <c r="BC62" s="54"/>
      <c r="BD62" s="22" t="s">
        <v>507</v>
      </c>
      <c r="BE62" s="23">
        <v>-177.0182939314366</v>
      </c>
      <c r="BF62" s="23">
        <v>-164.97924498727485</v>
      </c>
      <c r="BG62" s="23">
        <v>4.6065735701305809E-3</v>
      </c>
      <c r="BH62" s="23">
        <v>-6.4340506960283754E-5</v>
      </c>
      <c r="BI62" s="23">
        <v>-4.4182683558896542E-6</v>
      </c>
      <c r="BJ62" s="23">
        <v>-2.3141981850183209</v>
      </c>
      <c r="BK62" s="23">
        <v>572.75762776451393</v>
      </c>
      <c r="BL62" s="92">
        <v>2.25</v>
      </c>
      <c r="BM62" s="91">
        <v>2</v>
      </c>
      <c r="BN62" s="5">
        <f t="shared" si="31"/>
        <v>19.473749999999999</v>
      </c>
      <c r="BO62" s="54">
        <f>_xll.Bimoment(BH62,AY62,AC62,AD62,$O$101)</f>
        <v>0</v>
      </c>
      <c r="BP62" s="5">
        <f t="shared" si="32"/>
        <v>0.84</v>
      </c>
      <c r="BQ62" s="5">
        <f t="shared" si="33"/>
        <v>0.10643051342122109</v>
      </c>
      <c r="BR62" s="24" t="str">
        <f t="shared" si="34"/>
        <v>Cal</v>
      </c>
      <c r="BS62" s="25">
        <f t="shared" si="35"/>
        <v>5.779515193656979E-2</v>
      </c>
      <c r="BT62" s="25" t="str">
        <f t="shared" si="36"/>
        <v>CT.105</v>
      </c>
      <c r="BU62" s="25">
        <f t="shared" si="37"/>
        <v>1</v>
      </c>
      <c r="BV62" s="25" cm="1">
        <f t="array" ref="BV62">IF(BT62="CT.104",_xll.TCVN5575AnnexEHeSoCx(1,BP62),1)</f>
        <v>1</v>
      </c>
      <c r="BW62" s="25">
        <f t="shared" si="38"/>
        <v>1</v>
      </c>
      <c r="BX62" s="25">
        <f t="shared" si="39"/>
        <v>6.0837002038494514E-2</v>
      </c>
      <c r="BY62" s="25">
        <f t="shared" si="40"/>
        <v>4.268717600564644E-3</v>
      </c>
      <c r="BZ62" s="25">
        <f t="shared" si="41"/>
        <v>4.8413905176374619E-8</v>
      </c>
      <c r="CA62" s="25">
        <f t="shared" si="42"/>
        <v>0</v>
      </c>
      <c r="CB62" s="25">
        <f t="shared" si="43"/>
        <v>6.5105768052964336E-2</v>
      </c>
      <c r="CC62" s="5" t="str">
        <f t="shared" si="44"/>
        <v>OK</v>
      </c>
      <c r="CD62" s="5">
        <f t="shared" si="45"/>
        <v>87.805402509844015</v>
      </c>
      <c r="CE62" s="5">
        <f t="shared" si="46"/>
        <v>29.158726455153193</v>
      </c>
      <c r="CF62" s="5">
        <f t="shared" si="47"/>
        <v>2.9248163326364334</v>
      </c>
      <c r="CG62" s="5">
        <f t="shared" si="48"/>
        <v>0.97128328026682387</v>
      </c>
      <c r="CH62" s="5">
        <f t="shared" si="49"/>
        <v>7.0166468720197953E-2</v>
      </c>
      <c r="CI62" s="68">
        <f>_xll.DCETCVN5575PhuLucD2Eta(BP62,CH62,CF62)</f>
        <v>1.5168286984148065</v>
      </c>
      <c r="CJ62" s="5">
        <f t="shared" si="50"/>
        <v>0.10643051342122109</v>
      </c>
      <c r="CK62" s="5">
        <f>MIN(noisuy2chieu(CJ62,CF62,Data!$DA$2:$EB$24),1)</f>
        <v>0.67527663707733154</v>
      </c>
      <c r="CL62" s="102">
        <f t="shared" si="51"/>
        <v>9.0091969273220343E-2</v>
      </c>
      <c r="CM62" s="5" t="str">
        <f t="shared" si="52"/>
        <v>OK</v>
      </c>
      <c r="CN62" s="5">
        <f t="shared" si="53"/>
        <v>0.90492218941026858</v>
      </c>
      <c r="CO62" s="5">
        <f t="shared" si="54"/>
        <v>0.5370345235716667</v>
      </c>
      <c r="CP62" s="25">
        <f>_xll.DCETCVNPhuLucFHeSoOnDinh(1, 0.2, AG62, AH62, AI62, AJ62, AI62, AJ62, $D$28)</f>
        <v>1</v>
      </c>
      <c r="CQ62" s="68">
        <f t="shared" si="55"/>
        <v>0.9</v>
      </c>
      <c r="CR62" s="68">
        <f t="shared" si="56"/>
        <v>1</v>
      </c>
      <c r="CS62" s="5">
        <f t="shared" si="57"/>
        <v>0.18181818181818182</v>
      </c>
      <c r="CT62" s="5">
        <f t="shared" si="58"/>
        <v>9.9510191986788829E-2</v>
      </c>
      <c r="CU62" s="26">
        <f t="shared" si="59"/>
        <v>17.366006262110773</v>
      </c>
      <c r="CV62" s="5"/>
      <c r="CW62" s="25"/>
      <c r="CX62" s="72">
        <f>MAX(_xll.Dce_c_925(CU62, CQ62, CR62, CN62, CP62, CS62, CT62),0.3)</f>
        <v>0.3</v>
      </c>
      <c r="CY62" s="102">
        <f t="shared" si="60"/>
        <v>0.22409662307776823</v>
      </c>
      <c r="CZ62" s="5" t="str">
        <f t="shared" si="61"/>
        <v>OK</v>
      </c>
      <c r="DA62" s="47">
        <f t="shared" si="62"/>
        <v>0.34499859601035404</v>
      </c>
      <c r="DB62" s="46">
        <f t="shared" si="63"/>
        <v>0.45712832802668235</v>
      </c>
      <c r="DC62" s="5" t="str">
        <f t="shared" si="64"/>
        <v>OK</v>
      </c>
      <c r="DD62" s="5">
        <f t="shared" si="65"/>
        <v>2.9248163326364334</v>
      </c>
      <c r="DE62" s="5">
        <f t="shared" si="66"/>
        <v>1.6655104634982609</v>
      </c>
      <c r="DF62" s="5" t="str">
        <f t="shared" si="67"/>
        <v>-</v>
      </c>
      <c r="DG62" s="5" t="str">
        <f t="shared" si="68"/>
        <v>-</v>
      </c>
      <c r="DH62" s="203" t="str">
        <f t="shared" si="69"/>
        <v>-</v>
      </c>
      <c r="DI62" s="203">
        <f t="shared" si="70"/>
        <v>180</v>
      </c>
      <c r="DJ62" s="46">
        <f t="shared" si="71"/>
        <v>0</v>
      </c>
      <c r="DK62" s="5" t="str">
        <f t="shared" si="72"/>
        <v>OK</v>
      </c>
      <c r="EB62" s="18"/>
      <c r="EC62" s="77"/>
      <c r="ED62" s="77"/>
      <c r="EE62" s="18"/>
      <c r="EF62" s="18"/>
      <c r="EG62" s="18"/>
      <c r="EH62" s="5"/>
      <c r="EI62" s="5"/>
      <c r="EJ62" s="5"/>
      <c r="EK62" s="5"/>
      <c r="EL62" s="5"/>
      <c r="FE62" s="26"/>
      <c r="FF62" s="26"/>
      <c r="FG62" s="26"/>
      <c r="FH62" s="26"/>
      <c r="FI62" s="26"/>
      <c r="FJ62" s="26"/>
      <c r="FK62" s="26"/>
      <c r="FL62" s="26"/>
      <c r="FM62" s="26"/>
      <c r="FN62" s="205"/>
      <c r="FO62" s="205"/>
      <c r="FP62" s="205"/>
      <c r="FQ62" s="205"/>
      <c r="FR62" s="205"/>
      <c r="FS62" s="205"/>
      <c r="FT62" s="205"/>
      <c r="FU62" s="77"/>
      <c r="FV62" s="77"/>
      <c r="FW62" s="77"/>
      <c r="FX62" s="205"/>
      <c r="FY62" s="205"/>
      <c r="FZ62" s="205"/>
      <c r="GA62" s="205"/>
      <c r="GB62" s="205"/>
      <c r="GC62" s="205"/>
      <c r="GD62" s="205"/>
      <c r="GE62" s="205"/>
      <c r="GF62" s="205"/>
      <c r="GG62" s="205"/>
      <c r="GH62" s="205"/>
      <c r="GI62" s="205"/>
      <c r="GJ62" s="205"/>
      <c r="GK62" s="205"/>
      <c r="GL62" s="205"/>
      <c r="GM62" s="205"/>
      <c r="GN62" s="205"/>
      <c r="GO62" s="205"/>
      <c r="GP62" s="205"/>
      <c r="GQ62" s="205"/>
      <c r="GR62" s="205"/>
      <c r="GS62" s="205"/>
      <c r="GT62" s="205"/>
      <c r="GU62" s="205"/>
      <c r="GV62" s="18"/>
      <c r="GW62" s="5"/>
      <c r="GX62" s="5"/>
      <c r="GY62" s="77"/>
      <c r="GZ62" s="18"/>
      <c r="HA62" s="18"/>
      <c r="HB62" s="18"/>
      <c r="HC62" s="18"/>
      <c r="HD62" s="18"/>
      <c r="HE62" s="18"/>
      <c r="HF62" s="18"/>
      <c r="HG62" s="18"/>
      <c r="HH62" s="205"/>
      <c r="HI62" s="26"/>
      <c r="HJ62" s="26"/>
      <c r="HK62" s="5"/>
    </row>
    <row r="63" spans="2:219" ht="15">
      <c r="B63" s="172" t="s">
        <v>411</v>
      </c>
      <c r="C63" s="2"/>
      <c r="D63" s="2"/>
      <c r="E63" s="2"/>
      <c r="F63" s="2"/>
      <c r="G63" s="2"/>
      <c r="H63" s="2"/>
      <c r="I63" s="2"/>
      <c r="J63" s="2"/>
      <c r="K63" s="238" t="s">
        <v>133</v>
      </c>
      <c r="L63" s="239">
        <f>IF(H32&gt;0,"-",ABS(H32)/(J62*L62*G28*D28*F28)*10)</f>
        <v>0.23193658352026164</v>
      </c>
      <c r="M63" s="240" t="s">
        <v>31</v>
      </c>
      <c r="N63" s="21" t="str">
        <f>IF(H32&gt;0,"-",IF(L63&lt;=1,"OK","Check"))</f>
        <v>OK</v>
      </c>
      <c r="O63" s="237" t="s">
        <v>461</v>
      </c>
      <c r="P63" s="129"/>
      <c r="Q63" s="225">
        <v>-4.2782999999999998</v>
      </c>
      <c r="AA63" s="18" t="s">
        <v>488</v>
      </c>
      <c r="AB63" s="22" t="s">
        <v>489</v>
      </c>
      <c r="AC63" s="59">
        <v>3.6405952380952398</v>
      </c>
      <c r="AD63" s="59">
        <v>8.6549999999999994</v>
      </c>
      <c r="AE63" s="22">
        <v>528</v>
      </c>
      <c r="AF63" s="22">
        <v>1528</v>
      </c>
      <c r="AG63" s="22">
        <v>948.63492063492095</v>
      </c>
      <c r="AH63" s="6">
        <v>10</v>
      </c>
      <c r="AI63" s="6">
        <v>300</v>
      </c>
      <c r="AJ63" s="6">
        <v>14</v>
      </c>
      <c r="AK63" s="24">
        <v>300</v>
      </c>
      <c r="AL63" s="24">
        <v>14</v>
      </c>
      <c r="AM63" s="5">
        <f t="shared" si="17"/>
        <v>920.63492063492095</v>
      </c>
      <c r="AN63" s="26">
        <f t="shared" si="18"/>
        <v>176.06349206349208</v>
      </c>
      <c r="AO63" s="26">
        <f t="shared" si="19"/>
        <v>248482.7399356656</v>
      </c>
      <c r="AP63" s="15">
        <f t="shared" si="20"/>
        <v>6307.6719576719579</v>
      </c>
      <c r="AQ63" s="5">
        <f t="shared" si="21"/>
        <v>5238.7432621467533</v>
      </c>
      <c r="AR63" s="26">
        <f t="shared" si="22"/>
        <v>420.51146384479722</v>
      </c>
      <c r="AS63" s="26">
        <f t="shared" si="23"/>
        <v>3022.1941546989178</v>
      </c>
      <c r="AT63" s="26">
        <f t="shared" si="24"/>
        <v>37.567600585756203</v>
      </c>
      <c r="AU63" s="26">
        <f t="shared" si="25"/>
        <v>5.9854925384629922</v>
      </c>
      <c r="AV63" s="95">
        <f t="shared" si="26"/>
        <v>8.6034497354497351E-7</v>
      </c>
      <c r="AW63" s="95">
        <f t="shared" si="27"/>
        <v>13758293.349206358</v>
      </c>
      <c r="AX63" s="95">
        <f t="shared" si="28"/>
        <v>1.3758293349206359E-5</v>
      </c>
      <c r="AY63" s="54">
        <f t="shared" si="29"/>
        <v>0.1548581140202015</v>
      </c>
      <c r="AZ63" s="54" t="str">
        <f>_xll.Dce_Name_SectI(AE63,AF63,AI63,AH63,AJ63,"x","-",$O$11)</f>
        <v>(528-1528)x300x10x14</v>
      </c>
      <c r="BA63" s="15">
        <f t="shared" si="30"/>
        <v>700.97619047619071</v>
      </c>
      <c r="BB63" s="54"/>
      <c r="BC63" s="54"/>
      <c r="BD63" s="22" t="s">
        <v>507</v>
      </c>
      <c r="BE63" s="23">
        <v>-171.56299449487079</v>
      </c>
      <c r="BF63" s="23">
        <v>-157.25508033705739</v>
      </c>
      <c r="BG63" s="23">
        <v>4.6065735701310553E-3</v>
      </c>
      <c r="BH63" s="23">
        <v>-6.4340506960283754E-5</v>
      </c>
      <c r="BI63" s="23">
        <v>-1.6814583293027183E-2</v>
      </c>
      <c r="BJ63" s="23">
        <v>585.59735278010498</v>
      </c>
      <c r="BK63" s="23">
        <v>572.75762776451393</v>
      </c>
      <c r="BL63" s="92">
        <v>2.25</v>
      </c>
      <c r="BM63" s="91">
        <v>2</v>
      </c>
      <c r="BN63" s="5">
        <f t="shared" si="31"/>
        <v>19.473749999999999</v>
      </c>
      <c r="BO63" s="54">
        <f>_xll.Bimoment(BH63,AY63,AC63,AD63,$O$101)</f>
        <v>4.948213937204112E-4</v>
      </c>
      <c r="BP63" s="5">
        <f t="shared" si="32"/>
        <v>0.45620689655172403</v>
      </c>
      <c r="BQ63" s="5">
        <f t="shared" si="33"/>
        <v>14.238817652925553</v>
      </c>
      <c r="BR63" s="24" t="str">
        <f t="shared" si="34"/>
        <v>Cal</v>
      </c>
      <c r="BS63" s="25">
        <f t="shared" si="35"/>
        <v>4.2631671797375363E-2</v>
      </c>
      <c r="BT63" s="25" t="str">
        <f t="shared" si="36"/>
        <v>CT.105</v>
      </c>
      <c r="BU63" s="25">
        <f t="shared" si="37"/>
        <v>1</v>
      </c>
      <c r="BV63" s="25" cm="1">
        <f t="array" ref="BV63">IF(BT63="CT.104",_xll.TCVN5575AnnexEHeSoCx(1,BP63),1)</f>
        <v>1</v>
      </c>
      <c r="BW63" s="25">
        <f t="shared" si="38"/>
        <v>1</v>
      </c>
      <c r="BX63" s="25">
        <f t="shared" si="39"/>
        <v>4.4875443997237231E-2</v>
      </c>
      <c r="BY63" s="25">
        <f t="shared" si="40"/>
        <v>0.51478566121100344</v>
      </c>
      <c r="BZ63" s="25">
        <f t="shared" si="41"/>
        <v>1.8414618295236408E-4</v>
      </c>
      <c r="CA63" s="25">
        <f t="shared" si="42"/>
        <v>1.1610251354770908E-5</v>
      </c>
      <c r="CB63" s="25">
        <f t="shared" si="43"/>
        <v>0.55985686164254778</v>
      </c>
      <c r="CC63" s="5" t="str">
        <f t="shared" si="44"/>
        <v>OK</v>
      </c>
      <c r="CD63" s="5">
        <f t="shared" si="45"/>
        <v>51.836555160202302</v>
      </c>
      <c r="CE63" s="5">
        <f t="shared" si="46"/>
        <v>33.414125690541383</v>
      </c>
      <c r="CF63" s="5">
        <f t="shared" si="47"/>
        <v>1.7266865002204341</v>
      </c>
      <c r="CG63" s="5">
        <f t="shared" si="48"/>
        <v>1.1130315193248546</v>
      </c>
      <c r="CH63" s="5">
        <f t="shared" si="49"/>
        <v>11.471433268553202</v>
      </c>
      <c r="CI63" s="68">
        <f>_xll.DCETCVN5575PhuLucD2Eta(BP63,CH63,CF63)</f>
        <v>1.2412413793103447</v>
      </c>
      <c r="CJ63" s="5">
        <f t="shared" si="50"/>
        <v>14.238817652925553</v>
      </c>
      <c r="CK63" s="5">
        <f>MIN(noisuy2chieu(CJ63,CF63,Data!$DA$2:$EB$24),1)</f>
        <v>9.5452025532722473E-2</v>
      </c>
      <c r="CL63" s="102">
        <f t="shared" si="51"/>
        <v>0.47013611022694557</v>
      </c>
      <c r="CM63" s="5" t="str">
        <f t="shared" si="52"/>
        <v>OK</v>
      </c>
      <c r="CN63" s="5">
        <f t="shared" si="53"/>
        <v>0.88472625978979058</v>
      </c>
      <c r="CO63" s="5">
        <f t="shared" si="54"/>
        <v>0.5370345235716667</v>
      </c>
      <c r="CP63" s="25">
        <f>_xll.DCETCVNPhuLucFHeSoOnDinh(1, 0.2, AG63, AH63, AI63, AJ63, AI63, AJ63, $D$28)</f>
        <v>1</v>
      </c>
      <c r="CQ63" s="68">
        <f t="shared" si="55"/>
        <v>0.9</v>
      </c>
      <c r="CR63" s="68">
        <f t="shared" si="56"/>
        <v>1</v>
      </c>
      <c r="CS63" s="5">
        <f t="shared" si="57"/>
        <v>0.18181818181818182</v>
      </c>
      <c r="CT63" s="5">
        <f t="shared" si="58"/>
        <v>0.10155106457844131</v>
      </c>
      <c r="CU63" s="26">
        <f t="shared" si="59"/>
        <v>11.219912239635175</v>
      </c>
      <c r="CV63" s="5"/>
      <c r="CW63" s="25"/>
      <c r="CX63" s="72">
        <f>MAX(_xll.Dce_c_925(CU63, CQ63, CR63, CN63, CP63, CS63, CT63),0.3)</f>
        <v>0.3</v>
      </c>
      <c r="CY63" s="102">
        <f t="shared" si="60"/>
        <v>0.16907468459189309</v>
      </c>
      <c r="CZ63" s="5" t="str">
        <f t="shared" si="61"/>
        <v>OK</v>
      </c>
      <c r="DA63" s="47">
        <f t="shared" si="62"/>
        <v>0.34499859601035404</v>
      </c>
      <c r="DB63" s="46">
        <f t="shared" si="63"/>
        <v>0.47130315193248545</v>
      </c>
      <c r="DC63" s="5" t="str">
        <f t="shared" si="64"/>
        <v>OK</v>
      </c>
      <c r="DD63" s="5">
        <f t="shared" si="65"/>
        <v>1.7266865002204341</v>
      </c>
      <c r="DE63" s="5">
        <f t="shared" si="66"/>
        <v>3.0666541867587034</v>
      </c>
      <c r="DF63" s="5" t="str">
        <f t="shared" si="67"/>
        <v>-</v>
      </c>
      <c r="DG63" s="5" t="str">
        <f t="shared" si="68"/>
        <v>-</v>
      </c>
      <c r="DH63" s="203">
        <f t="shared" si="69"/>
        <v>51.836555160202302</v>
      </c>
      <c r="DI63" s="203">
        <f t="shared" si="70"/>
        <v>180</v>
      </c>
      <c r="DJ63" s="46">
        <f t="shared" si="71"/>
        <v>0.28798086200112388</v>
      </c>
      <c r="DK63" s="5" t="str">
        <f t="shared" si="72"/>
        <v>OK</v>
      </c>
      <c r="EB63" s="18"/>
      <c r="EC63" s="77"/>
      <c r="ED63" s="77"/>
      <c r="EE63" s="18"/>
      <c r="EF63" s="18"/>
      <c r="EG63" s="18"/>
      <c r="EH63" s="5"/>
      <c r="EI63" s="5"/>
      <c r="EJ63" s="5"/>
      <c r="EK63" s="5"/>
      <c r="EL63" s="5"/>
      <c r="FE63" s="26"/>
      <c r="FF63" s="26"/>
      <c r="FG63" s="26"/>
      <c r="FH63" s="26"/>
      <c r="FI63" s="26"/>
      <c r="FJ63" s="26"/>
      <c r="FK63" s="26"/>
      <c r="FL63" s="26"/>
      <c r="FM63" s="26"/>
      <c r="FN63" s="205"/>
      <c r="FO63" s="205"/>
      <c r="FP63" s="205"/>
      <c r="FQ63" s="205"/>
      <c r="FR63" s="205"/>
      <c r="FS63" s="205"/>
      <c r="FT63" s="205"/>
      <c r="FU63" s="77"/>
      <c r="FV63" s="77"/>
      <c r="FW63" s="77"/>
      <c r="FX63" s="205"/>
      <c r="FY63" s="205"/>
      <c r="FZ63" s="205"/>
      <c r="GA63" s="205"/>
      <c r="GB63" s="205"/>
      <c r="GC63" s="205"/>
      <c r="GD63" s="205"/>
      <c r="GE63" s="205"/>
      <c r="GF63" s="205"/>
      <c r="GG63" s="205"/>
      <c r="GH63" s="205"/>
      <c r="GI63" s="205"/>
      <c r="GJ63" s="205"/>
      <c r="GK63" s="205"/>
      <c r="GL63" s="205"/>
      <c r="GM63" s="205"/>
      <c r="GN63" s="205"/>
      <c r="GO63" s="205"/>
      <c r="GP63" s="205"/>
      <c r="GQ63" s="205"/>
      <c r="GR63" s="205"/>
      <c r="GS63" s="205"/>
      <c r="GT63" s="205"/>
      <c r="GU63" s="205"/>
      <c r="GV63" s="18"/>
      <c r="GW63" s="5"/>
      <c r="GX63" s="5"/>
      <c r="GY63" s="77"/>
      <c r="GZ63" s="18"/>
      <c r="HA63" s="18"/>
      <c r="HB63" s="18"/>
      <c r="HC63" s="18"/>
      <c r="HD63" s="18"/>
      <c r="HE63" s="18"/>
      <c r="HF63" s="18"/>
      <c r="HG63" s="18"/>
      <c r="HH63" s="205"/>
      <c r="HI63" s="26"/>
      <c r="HJ63" s="26"/>
      <c r="HK63" s="5"/>
    </row>
    <row r="64" spans="2:219" ht="14.4">
      <c r="B64" s="8" t="s">
        <v>134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10"/>
      <c r="O64" s="237" t="s">
        <v>463</v>
      </c>
      <c r="P64" s="129"/>
      <c r="Q64" s="227" cm="1">
        <f t="array" ref="Q64">_xll.Dce_Mx_926(Q63,Q62,Q61)</f>
        <v>4.9378000000000002</v>
      </c>
      <c r="AA64" s="18" t="s">
        <v>488</v>
      </c>
      <c r="AB64" s="22" t="s">
        <v>489</v>
      </c>
      <c r="AC64" s="59">
        <v>7.2811904761904795</v>
      </c>
      <c r="AD64" s="59">
        <v>8.6549999999999994</v>
      </c>
      <c r="AE64" s="22">
        <v>528</v>
      </c>
      <c r="AF64" s="22">
        <v>1528</v>
      </c>
      <c r="AG64" s="22">
        <v>1369.2698412698419</v>
      </c>
      <c r="AH64" s="6">
        <v>10</v>
      </c>
      <c r="AI64" s="6">
        <v>300</v>
      </c>
      <c r="AJ64" s="6">
        <v>14</v>
      </c>
      <c r="AK64" s="24">
        <v>300</v>
      </c>
      <c r="AL64" s="24">
        <v>14</v>
      </c>
      <c r="AM64" s="5">
        <f t="shared" si="17"/>
        <v>1341.2698412698419</v>
      </c>
      <c r="AN64" s="26">
        <f t="shared" si="18"/>
        <v>218.12698412698418</v>
      </c>
      <c r="AO64" s="26">
        <f t="shared" si="19"/>
        <v>586811.79072745051</v>
      </c>
      <c r="AP64" s="15">
        <f t="shared" si="20"/>
        <v>6311.1772486772488</v>
      </c>
      <c r="AQ64" s="5">
        <f t="shared" si="21"/>
        <v>8571.1635945074104</v>
      </c>
      <c r="AR64" s="26">
        <f t="shared" si="22"/>
        <v>420.74514991181661</v>
      </c>
      <c r="AS64" s="26">
        <f t="shared" si="23"/>
        <v>5094.8226505417015</v>
      </c>
      <c r="AT64" s="26">
        <f t="shared" si="24"/>
        <v>51.867428670398397</v>
      </c>
      <c r="AU64" s="26">
        <f t="shared" si="25"/>
        <v>5.3789869588463937</v>
      </c>
      <c r="AV64" s="95">
        <f t="shared" si="26"/>
        <v>1.0005566137566139E-6</v>
      </c>
      <c r="AW64" s="95">
        <f t="shared" si="27"/>
        <v>28928912.396825422</v>
      </c>
      <c r="AX64" s="95">
        <f t="shared" si="28"/>
        <v>2.8928912396825422E-5</v>
      </c>
      <c r="AY64" s="54">
        <f t="shared" si="29"/>
        <v>0.11516876660535029</v>
      </c>
      <c r="AZ64" s="54" t="str">
        <f>_xll.Dce_Name_SectI(AE64,AF64,AI64,AH64,AJ64,"x","-",$O$11)</f>
        <v>(528-1528)x300x10x14</v>
      </c>
      <c r="BA64" s="15">
        <f t="shared" si="30"/>
        <v>1016.4523809523813</v>
      </c>
      <c r="BB64" s="54"/>
      <c r="BC64" s="54"/>
      <c r="BD64" s="22" t="s">
        <v>507</v>
      </c>
      <c r="BE64" s="23">
        <v>-164.56625930781257</v>
      </c>
      <c r="BF64" s="23">
        <v>-149.63676621743195</v>
      </c>
      <c r="BG64" s="23">
        <v>4.6065735701315228E-3</v>
      </c>
      <c r="BH64" s="23">
        <v>-6.4340506960283754E-5</v>
      </c>
      <c r="BI64" s="23">
        <v>-3.3624748317700195E-2</v>
      </c>
      <c r="BJ64" s="23">
        <v>1145.5152555290279</v>
      </c>
      <c r="BK64" s="23">
        <v>572.75762776451393</v>
      </c>
      <c r="BL64" s="92">
        <v>2.25</v>
      </c>
      <c r="BM64" s="91">
        <v>2</v>
      </c>
      <c r="BN64" s="5">
        <f t="shared" si="31"/>
        <v>19.473749999999999</v>
      </c>
      <c r="BO64" s="54">
        <f>_xll.Bimoment(BH64,AY64,AC64,AD64,$O$101)</f>
        <v>2.9433661364715438E-4</v>
      </c>
      <c r="BP64" s="5">
        <f t="shared" si="32"/>
        <v>0.31313609467455605</v>
      </c>
      <c r="BQ64" s="5">
        <f t="shared" si="33"/>
        <v>21.481124020941035</v>
      </c>
      <c r="BR64" s="24" t="str">
        <f t="shared" si="34"/>
        <v>Cal</v>
      </c>
      <c r="BS64" s="25">
        <f t="shared" si="35"/>
        <v>3.3007258930079927E-2</v>
      </c>
      <c r="BT64" s="25" t="str">
        <f t="shared" si="36"/>
        <v>CT.105</v>
      </c>
      <c r="BU64" s="25">
        <f t="shared" si="37"/>
        <v>1</v>
      </c>
      <c r="BV64" s="25" cm="1">
        <f t="array" ref="BV64">IF(BT64="CT.104",_xll.TCVN5575AnnexEHeSoCx(1,BP64),1)</f>
        <v>1</v>
      </c>
      <c r="BW64" s="25">
        <f t="shared" si="38"/>
        <v>1</v>
      </c>
      <c r="BX64" s="25">
        <f t="shared" si="39"/>
        <v>3.4744483084294661E-2</v>
      </c>
      <c r="BY64" s="25">
        <f t="shared" si="40"/>
        <v>0.61548226736388501</v>
      </c>
      <c r="BZ64" s="25">
        <f t="shared" si="41"/>
        <v>3.6803945251286379E-4</v>
      </c>
      <c r="CA64" s="25">
        <f t="shared" si="42"/>
        <v>4.7627048892579347E-6</v>
      </c>
      <c r="CB64" s="25">
        <f t="shared" si="43"/>
        <v>0.65059955260558178</v>
      </c>
      <c r="CC64" s="5" t="str">
        <f t="shared" si="44"/>
        <v>OK</v>
      </c>
      <c r="CD64" s="5">
        <f t="shared" si="45"/>
        <v>37.545238889226049</v>
      </c>
      <c r="CE64" s="5">
        <f t="shared" si="46"/>
        <v>37.181722419139881</v>
      </c>
      <c r="CF64" s="5">
        <f t="shared" si="47"/>
        <v>1.2506397644909562</v>
      </c>
      <c r="CG64" s="5">
        <f t="shared" si="48"/>
        <v>1.2385309547993069</v>
      </c>
      <c r="CH64" s="5">
        <f t="shared" si="49"/>
        <v>17.71453228619475</v>
      </c>
      <c r="CI64" s="68">
        <f>_xll.DCETCVN5575PhuLucD2Eta(BP64,CH64,CF64)</f>
        <v>1.2126272189349112</v>
      </c>
      <c r="CJ64" s="5">
        <f t="shared" si="50"/>
        <v>21.481124020941035</v>
      </c>
      <c r="CK64" s="5">
        <f>MIN(noisuy2chieu(CJ64,CF64,Data!$DA$2:$EB$24),1)</f>
        <v>7.1994885802268982E-2</v>
      </c>
      <c r="CL64" s="102">
        <f t="shared" si="51"/>
        <v>0.48259654414507946</v>
      </c>
      <c r="CM64" s="5" t="str">
        <f t="shared" si="52"/>
        <v>OK</v>
      </c>
      <c r="CN64" s="5">
        <f t="shared" si="53"/>
        <v>0.86643683692746631</v>
      </c>
      <c r="CO64" s="5">
        <f t="shared" si="54"/>
        <v>0.5370345235716667</v>
      </c>
      <c r="CP64" s="25">
        <f>_xll.DCETCVNPhuLucFHeSoOnDinh(1, 0.2, AG64, AH64, AI64, AJ64, AI64, AJ64, $D$28)</f>
        <v>1</v>
      </c>
      <c r="CQ64" s="68">
        <f t="shared" si="55"/>
        <v>0.9</v>
      </c>
      <c r="CR64" s="68">
        <f t="shared" si="56"/>
        <v>1</v>
      </c>
      <c r="CS64" s="5">
        <f t="shared" si="57"/>
        <v>0.18181818181818182</v>
      </c>
      <c r="CT64" s="5">
        <f t="shared" si="58"/>
        <v>0.10347287704587492</v>
      </c>
      <c r="CU64" s="26">
        <f t="shared" si="59"/>
        <v>8.8572661430973749</v>
      </c>
      <c r="CV64" s="5"/>
      <c r="CW64" s="25"/>
      <c r="CX64" s="72">
        <f>MAX(_xll.Dce_c_925(CU64, CQ64, CR64, CN64, CP64, CS64, CT64),0.3)</f>
        <v>0.3</v>
      </c>
      <c r="CY64" s="102">
        <f t="shared" si="60"/>
        <v>0.13366807443808046</v>
      </c>
      <c r="CZ64" s="5" t="str">
        <f t="shared" si="61"/>
        <v>OK</v>
      </c>
      <c r="DA64" s="47">
        <f t="shared" si="62"/>
        <v>0.34499859601035404</v>
      </c>
      <c r="DB64" s="46">
        <f t="shared" si="63"/>
        <v>0.48385309547993066</v>
      </c>
      <c r="DC64" s="5" t="str">
        <f t="shared" si="64"/>
        <v>OK</v>
      </c>
      <c r="DD64" s="5">
        <f t="shared" si="65"/>
        <v>1.2506397644909562</v>
      </c>
      <c r="DE64" s="5">
        <f t="shared" si="66"/>
        <v>4.4677979100191463</v>
      </c>
      <c r="DF64" s="5" t="str">
        <f t="shared" si="67"/>
        <v>-</v>
      </c>
      <c r="DG64" s="5" t="str">
        <f t="shared" si="68"/>
        <v>-</v>
      </c>
      <c r="DH64" s="203">
        <f t="shared" si="69"/>
        <v>37.545238889226049</v>
      </c>
      <c r="DI64" s="203">
        <f t="shared" si="70"/>
        <v>180</v>
      </c>
      <c r="DJ64" s="46">
        <f t="shared" si="71"/>
        <v>0.20858466049570026</v>
      </c>
      <c r="DK64" s="5" t="str">
        <f t="shared" si="72"/>
        <v>OK</v>
      </c>
      <c r="EB64" s="18"/>
      <c r="EC64" s="77"/>
      <c r="ED64" s="77"/>
      <c r="EE64" s="18"/>
      <c r="EF64" s="18"/>
      <c r="EG64" s="18"/>
      <c r="EH64" s="5"/>
      <c r="EI64" s="5"/>
      <c r="EJ64" s="5"/>
      <c r="EK64" s="5"/>
      <c r="EL64" s="5"/>
      <c r="FE64" s="26"/>
      <c r="FF64" s="26"/>
      <c r="FG64" s="26"/>
      <c r="FH64" s="26"/>
      <c r="FI64" s="26"/>
      <c r="FJ64" s="26"/>
      <c r="FK64" s="26"/>
      <c r="FL64" s="26"/>
      <c r="FM64" s="26"/>
      <c r="FN64" s="205"/>
      <c r="FO64" s="205"/>
      <c r="FP64" s="205"/>
      <c r="FQ64" s="205"/>
      <c r="FR64" s="205"/>
      <c r="FS64" s="205"/>
      <c r="FT64" s="205"/>
      <c r="FU64" s="77"/>
      <c r="FV64" s="77"/>
      <c r="FW64" s="77"/>
      <c r="FX64" s="205"/>
      <c r="FY64" s="205"/>
      <c r="FZ64" s="205"/>
      <c r="GA64" s="205"/>
      <c r="GB64" s="205"/>
      <c r="GC64" s="205"/>
      <c r="GD64" s="205"/>
      <c r="GE64" s="205"/>
      <c r="GF64" s="205"/>
      <c r="GG64" s="205"/>
      <c r="GH64" s="205"/>
      <c r="GI64" s="205"/>
      <c r="GJ64" s="205"/>
      <c r="GK64" s="205"/>
      <c r="GL64" s="205"/>
      <c r="GM64" s="205"/>
      <c r="GN64" s="205"/>
      <c r="GO64" s="205"/>
      <c r="GP64" s="205"/>
      <c r="GQ64" s="205"/>
      <c r="GR64" s="205"/>
      <c r="GS64" s="205"/>
      <c r="GT64" s="205"/>
      <c r="GU64" s="205"/>
      <c r="GV64" s="18"/>
      <c r="GW64" s="5"/>
      <c r="GX64" s="5"/>
      <c r="GY64" s="77"/>
      <c r="GZ64" s="18"/>
      <c r="HA64" s="18"/>
      <c r="HB64" s="18"/>
      <c r="HC64" s="18"/>
      <c r="HD64" s="18"/>
      <c r="HE64" s="18"/>
      <c r="HF64" s="18"/>
      <c r="HG64" s="18"/>
      <c r="HH64" s="205"/>
      <c r="HI64" s="26"/>
      <c r="HJ64" s="26"/>
      <c r="HK64" s="5"/>
    </row>
    <row r="65" spans="2:219" ht="15">
      <c r="B65" s="172" t="s">
        <v>418</v>
      </c>
      <c r="C65" s="269"/>
      <c r="D65" s="257"/>
      <c r="E65" s="2"/>
      <c r="F65" s="2"/>
      <c r="G65" s="2"/>
      <c r="H65" s="269"/>
      <c r="I65" s="257"/>
      <c r="J65" s="269"/>
      <c r="K65" s="256" t="s">
        <v>266</v>
      </c>
      <c r="L65" s="257">
        <f>(((F18-F17)/2)/F19)*SQRT(D28/B28)</f>
        <v>0.34499859601035404</v>
      </c>
      <c r="M65" s="2"/>
      <c r="N65" s="10"/>
      <c r="AA65" s="18" t="s">
        <v>488</v>
      </c>
      <c r="AB65" s="22" t="s">
        <v>489</v>
      </c>
      <c r="AC65" s="59">
        <v>0</v>
      </c>
      <c r="AD65" s="59">
        <v>8.6549999999999994</v>
      </c>
      <c r="AE65" s="22">
        <v>528</v>
      </c>
      <c r="AF65" s="22">
        <v>1528</v>
      </c>
      <c r="AG65" s="22">
        <v>528</v>
      </c>
      <c r="AH65" s="6">
        <v>10</v>
      </c>
      <c r="AI65" s="6">
        <v>300</v>
      </c>
      <c r="AJ65" s="6">
        <v>14</v>
      </c>
      <c r="AK65" s="24">
        <v>300</v>
      </c>
      <c r="AL65" s="24">
        <v>14</v>
      </c>
      <c r="AM65" s="5">
        <f t="shared" si="17"/>
        <v>500</v>
      </c>
      <c r="AN65" s="26">
        <f t="shared" si="18"/>
        <v>134</v>
      </c>
      <c r="AO65" s="26">
        <f t="shared" si="19"/>
        <v>65911.546666666676</v>
      </c>
      <c r="AP65" s="15">
        <f t="shared" si="20"/>
        <v>6304.166666666667</v>
      </c>
      <c r="AQ65" s="5">
        <f t="shared" si="21"/>
        <v>2496.6494949494954</v>
      </c>
      <c r="AR65" s="26">
        <f t="shared" si="22"/>
        <v>420.27777777777777</v>
      </c>
      <c r="AS65" s="26">
        <f t="shared" si="23"/>
        <v>1391.9</v>
      </c>
      <c r="AT65" s="26">
        <f t="shared" si="24"/>
        <v>22.178305028345793</v>
      </c>
      <c r="AU65" s="26">
        <f t="shared" si="25"/>
        <v>6.8590101254115021</v>
      </c>
      <c r="AV65" s="95">
        <f t="shared" si="26"/>
        <v>7.201333333333334E-7</v>
      </c>
      <c r="AW65" s="95">
        <f t="shared" si="27"/>
        <v>4161087</v>
      </c>
      <c r="AX65" s="95">
        <f t="shared" si="28"/>
        <v>4.1610870000000001E-6</v>
      </c>
      <c r="AY65" s="54">
        <f t="shared" si="29"/>
        <v>0.25762202780669918</v>
      </c>
      <c r="AZ65" s="54" t="str">
        <f>_xll.Dce_Name_SectI(AE65,AF65,AI65,AH65,AJ65,"x","-",$O$11)</f>
        <v>(528-1528)x300x10x14</v>
      </c>
      <c r="BA65" s="15">
        <f t="shared" si="30"/>
        <v>385.5</v>
      </c>
      <c r="BB65" s="54"/>
      <c r="BC65" s="54"/>
      <c r="BD65" s="22" t="s">
        <v>508</v>
      </c>
      <c r="BE65" s="23">
        <v>-76.476430019546427</v>
      </c>
      <c r="BF65" s="23">
        <v>-27.681520722995742</v>
      </c>
      <c r="BG65" s="23">
        <v>-1.3567210120900676E-3</v>
      </c>
      <c r="BH65" s="23">
        <v>1.8949467840376259E-5</v>
      </c>
      <c r="BI65" s="23">
        <v>1.3012616485663656E-6</v>
      </c>
      <c r="BJ65" s="23">
        <v>-1.04160452836497</v>
      </c>
      <c r="BK65" s="23">
        <v>150.74885649115402</v>
      </c>
      <c r="BL65" s="92">
        <v>2.25</v>
      </c>
      <c r="BM65" s="91">
        <v>2</v>
      </c>
      <c r="BN65" s="5">
        <f t="shared" si="31"/>
        <v>19.473749999999999</v>
      </c>
      <c r="BO65" s="54">
        <f>_xll.Bimoment(BH65,AY65,AC65,AD65,$O$101)</f>
        <v>0</v>
      </c>
      <c r="BP65" s="5">
        <f t="shared" si="32"/>
        <v>0.84</v>
      </c>
      <c r="BQ65" s="5">
        <f t="shared" si="33"/>
        <v>0.11087257669630035</v>
      </c>
      <c r="BR65" s="24" t="str">
        <f t="shared" si="34"/>
        <v>Cal</v>
      </c>
      <c r="BS65" s="25">
        <f t="shared" si="35"/>
        <v>2.4968983681754896E-2</v>
      </c>
      <c r="BT65" s="25" t="str">
        <f t="shared" si="36"/>
        <v>CT.105</v>
      </c>
      <c r="BU65" s="25">
        <f t="shared" si="37"/>
        <v>1</v>
      </c>
      <c r="BV65" s="25" cm="1">
        <f t="array" ref="BV65">IF(BT65="CT.104",_xll.TCVN5575AnnexEHeSoCx(1,BP65),1)</f>
        <v>1</v>
      </c>
      <c r="BW65" s="25">
        <f t="shared" si="38"/>
        <v>1</v>
      </c>
      <c r="BX65" s="25">
        <f t="shared" si="39"/>
        <v>2.6283140717636738E-2</v>
      </c>
      <c r="BY65" s="25">
        <f t="shared" si="40"/>
        <v>1.9213201409645829E-3</v>
      </c>
      <c r="BZ65" s="25">
        <f t="shared" si="41"/>
        <v>1.4258789414492126E-8</v>
      </c>
      <c r="CA65" s="25">
        <f t="shared" si="42"/>
        <v>0</v>
      </c>
      <c r="CB65" s="25">
        <f t="shared" si="43"/>
        <v>2.8204475117390736E-2</v>
      </c>
      <c r="CC65" s="5" t="str">
        <f t="shared" si="44"/>
        <v>OK</v>
      </c>
      <c r="CD65" s="5">
        <f t="shared" si="45"/>
        <v>87.805402509844015</v>
      </c>
      <c r="CE65" s="5">
        <f t="shared" si="46"/>
        <v>29.158726455153193</v>
      </c>
      <c r="CF65" s="5">
        <f t="shared" si="47"/>
        <v>2.9248163326364334</v>
      </c>
      <c r="CG65" s="5">
        <f t="shared" si="48"/>
        <v>0.97128328026682387</v>
      </c>
      <c r="CH65" s="5">
        <f t="shared" si="49"/>
        <v>7.3100858135851432E-2</v>
      </c>
      <c r="CI65" s="68">
        <f>_xll.DCETCVN5575PhuLucD2Eta(BP65,CH65,CF65)</f>
        <v>1.5167069104750255</v>
      </c>
      <c r="CJ65" s="5">
        <f t="shared" si="50"/>
        <v>0.11087257669630035</v>
      </c>
      <c r="CK65" s="5">
        <f>MIN(noisuy2chieu(CJ65,CF65,Data!$DA$2:$EB$24),1)</f>
        <v>0.67320370674133301</v>
      </c>
      <c r="CL65" s="102">
        <f t="shared" si="51"/>
        <v>3.9041883540512926E-2</v>
      </c>
      <c r="CM65" s="5" t="str">
        <f t="shared" si="52"/>
        <v>OK</v>
      </c>
      <c r="CN65" s="5">
        <f t="shared" si="53"/>
        <v>0.90492218941026858</v>
      </c>
      <c r="CO65" s="5">
        <f t="shared" si="54"/>
        <v>0.5370345235716667</v>
      </c>
      <c r="CP65" s="25">
        <f>_xll.DCETCVNPhuLucFHeSoOnDinh(1, 0.2, AG65, AH65, AI65, AJ65, AI65, AJ65, $D$28)</f>
        <v>1</v>
      </c>
      <c r="CQ65" s="68">
        <f t="shared" si="55"/>
        <v>0.9</v>
      </c>
      <c r="CR65" s="68">
        <f t="shared" si="56"/>
        <v>1</v>
      </c>
      <c r="CS65" s="5">
        <f t="shared" si="57"/>
        <v>0.18181818181818182</v>
      </c>
      <c r="CT65" s="5">
        <f t="shared" si="58"/>
        <v>9.9510191986788829E-2</v>
      </c>
      <c r="CU65" s="26">
        <f t="shared" si="59"/>
        <v>10.579707050429027</v>
      </c>
      <c r="CV65" s="5"/>
      <c r="CW65" s="25"/>
      <c r="CX65" s="72">
        <f>MAX(_xll.Dce_c_925(CU65, CQ65, CR65, CN65, CP65, CS65, CT65),0.3)</f>
        <v>0.3</v>
      </c>
      <c r="CY65" s="102">
        <f t="shared" si="60"/>
        <v>9.6815472185386733E-2</v>
      </c>
      <c r="CZ65" s="5" t="str">
        <f t="shared" si="61"/>
        <v>OK</v>
      </c>
      <c r="DA65" s="47">
        <f t="shared" si="62"/>
        <v>0.34499859601035404</v>
      </c>
      <c r="DB65" s="46">
        <f t="shared" si="63"/>
        <v>0.45712832802668235</v>
      </c>
      <c r="DC65" s="5" t="str">
        <f t="shared" si="64"/>
        <v>OK</v>
      </c>
      <c r="DD65" s="5">
        <f t="shared" si="65"/>
        <v>2.9248163326364334</v>
      </c>
      <c r="DE65" s="5">
        <f t="shared" si="66"/>
        <v>1.6655104634982609</v>
      </c>
      <c r="DF65" s="5" t="str">
        <f t="shared" si="67"/>
        <v>-</v>
      </c>
      <c r="DG65" s="5" t="str">
        <f t="shared" si="68"/>
        <v>-</v>
      </c>
      <c r="DH65" s="203" t="str">
        <f t="shared" si="69"/>
        <v>-</v>
      </c>
      <c r="DI65" s="203">
        <f t="shared" si="70"/>
        <v>180</v>
      </c>
      <c r="DJ65" s="46">
        <f t="shared" si="71"/>
        <v>0</v>
      </c>
      <c r="DK65" s="5" t="str">
        <f t="shared" si="72"/>
        <v>OK</v>
      </c>
      <c r="EB65" s="18"/>
      <c r="EC65" s="77"/>
      <c r="ED65" s="77"/>
      <c r="EE65" s="18"/>
      <c r="EF65" s="18"/>
      <c r="EG65" s="18"/>
      <c r="EH65" s="5"/>
      <c r="EI65" s="5"/>
      <c r="EJ65" s="5"/>
      <c r="EK65" s="5"/>
      <c r="EL65" s="5"/>
      <c r="FE65" s="26"/>
      <c r="FF65" s="26"/>
      <c r="FG65" s="26"/>
      <c r="FH65" s="26"/>
      <c r="FI65" s="26"/>
      <c r="FJ65" s="26"/>
      <c r="FK65" s="26"/>
      <c r="FL65" s="26"/>
      <c r="FM65" s="26"/>
      <c r="FN65" s="205"/>
      <c r="FO65" s="205"/>
      <c r="FP65" s="205"/>
      <c r="FQ65" s="205"/>
      <c r="FR65" s="205"/>
      <c r="FS65" s="205"/>
      <c r="FT65" s="205"/>
      <c r="FU65" s="77"/>
      <c r="FV65" s="77"/>
      <c r="FW65" s="77"/>
      <c r="FX65" s="205"/>
      <c r="FY65" s="205"/>
      <c r="FZ65" s="205"/>
      <c r="GA65" s="205"/>
      <c r="GB65" s="205"/>
      <c r="GC65" s="205"/>
      <c r="GD65" s="205"/>
      <c r="GE65" s="205"/>
      <c r="GF65" s="205"/>
      <c r="GG65" s="205"/>
      <c r="GH65" s="205"/>
      <c r="GI65" s="205"/>
      <c r="GJ65" s="205"/>
      <c r="GK65" s="205"/>
      <c r="GL65" s="205"/>
      <c r="GM65" s="205"/>
      <c r="GN65" s="205"/>
      <c r="GO65" s="205"/>
      <c r="GP65" s="205"/>
      <c r="GQ65" s="205"/>
      <c r="GR65" s="205"/>
      <c r="GS65" s="205"/>
      <c r="GT65" s="205"/>
      <c r="GU65" s="205"/>
      <c r="GV65" s="18"/>
      <c r="GW65" s="5"/>
      <c r="GX65" s="5"/>
      <c r="GY65" s="77"/>
      <c r="GZ65" s="18"/>
      <c r="HA65" s="18"/>
      <c r="HB65" s="18"/>
      <c r="HC65" s="18"/>
      <c r="HD65" s="18"/>
      <c r="HE65" s="18"/>
      <c r="HF65" s="18"/>
      <c r="HG65" s="18"/>
      <c r="HH65" s="205"/>
      <c r="HI65" s="26"/>
      <c r="HJ65" s="26"/>
      <c r="HK65" s="5"/>
    </row>
    <row r="66" spans="2:219">
      <c r="B66" s="231" t="s">
        <v>475</v>
      </c>
      <c r="C66" s="269"/>
      <c r="D66" s="257"/>
      <c r="E66" s="2"/>
      <c r="F66" s="2"/>
      <c r="G66" s="2"/>
      <c r="H66" s="269"/>
      <c r="I66" s="257"/>
      <c r="J66" s="269"/>
      <c r="K66" s="256"/>
      <c r="L66" s="257"/>
      <c r="M66" s="2"/>
      <c r="N66" s="10"/>
      <c r="AA66" s="18" t="s">
        <v>488</v>
      </c>
      <c r="AB66" s="22" t="s">
        <v>489</v>
      </c>
      <c r="AC66" s="59">
        <v>3.6405952380952398</v>
      </c>
      <c r="AD66" s="59">
        <v>8.6549999999999994</v>
      </c>
      <c r="AE66" s="22">
        <v>528</v>
      </c>
      <c r="AF66" s="22">
        <v>1528</v>
      </c>
      <c r="AG66" s="22">
        <v>948.63492063492095</v>
      </c>
      <c r="AH66" s="6">
        <v>10</v>
      </c>
      <c r="AI66" s="6">
        <v>300</v>
      </c>
      <c r="AJ66" s="6">
        <v>14</v>
      </c>
      <c r="AK66" s="24">
        <v>300</v>
      </c>
      <c r="AL66" s="24">
        <v>14</v>
      </c>
      <c r="AM66" s="5">
        <f t="shared" si="17"/>
        <v>920.63492063492095</v>
      </c>
      <c r="AN66" s="26">
        <f t="shared" si="18"/>
        <v>176.06349206349208</v>
      </c>
      <c r="AO66" s="26">
        <f t="shared" si="19"/>
        <v>248482.7399356656</v>
      </c>
      <c r="AP66" s="15">
        <f t="shared" si="20"/>
        <v>6307.6719576719579</v>
      </c>
      <c r="AQ66" s="5">
        <f t="shared" si="21"/>
        <v>5238.7432621467533</v>
      </c>
      <c r="AR66" s="26">
        <f t="shared" si="22"/>
        <v>420.51146384479722</v>
      </c>
      <c r="AS66" s="26">
        <f t="shared" si="23"/>
        <v>3022.1941546989178</v>
      </c>
      <c r="AT66" s="26">
        <f t="shared" si="24"/>
        <v>37.567600585756203</v>
      </c>
      <c r="AU66" s="26">
        <f t="shared" si="25"/>
        <v>5.9854925384629922</v>
      </c>
      <c r="AV66" s="95">
        <f t="shared" si="26"/>
        <v>8.6034497354497351E-7</v>
      </c>
      <c r="AW66" s="95">
        <f t="shared" si="27"/>
        <v>13758293.349206358</v>
      </c>
      <c r="AX66" s="95">
        <f t="shared" si="28"/>
        <v>1.3758293349206359E-5</v>
      </c>
      <c r="AY66" s="54">
        <f t="shared" si="29"/>
        <v>0.1548581140202015</v>
      </c>
      <c r="AZ66" s="54" t="str">
        <f>_xll.Dce_Name_SectI(AE66,AF66,AI66,AH66,AJ66,"x","-",$O$11)</f>
        <v>(528-1528)x300x10x14</v>
      </c>
      <c r="BA66" s="15">
        <f t="shared" si="30"/>
        <v>700.97619047619071</v>
      </c>
      <c r="BB66" s="54"/>
      <c r="BC66" s="54"/>
      <c r="BD66" s="22" t="s">
        <v>508</v>
      </c>
      <c r="BE66" s="23">
        <v>-72.496039332980615</v>
      </c>
      <c r="BF66" s="23">
        <v>-41.435539160278296</v>
      </c>
      <c r="BG66" s="23">
        <v>-1.3567210120909116E-3</v>
      </c>
      <c r="BH66" s="23">
        <v>1.8949467840376259E-5</v>
      </c>
      <c r="BI66" s="23">
        <v>4.9522053899489649E-3</v>
      </c>
      <c r="BJ66" s="23">
        <v>125.03611941976305</v>
      </c>
      <c r="BK66" s="23">
        <v>150.74885649115402</v>
      </c>
      <c r="BL66" s="92">
        <v>2.25</v>
      </c>
      <c r="BM66" s="91">
        <v>2</v>
      </c>
      <c r="BN66" s="5">
        <f t="shared" si="31"/>
        <v>19.473749999999999</v>
      </c>
      <c r="BO66" s="54">
        <f>_xll.Bimoment(BH66,AY66,AC66,AD66,$O$101)</f>
        <v>-1.4573404112005366E-4</v>
      </c>
      <c r="BP66" s="5">
        <f t="shared" si="32"/>
        <v>0.45620689655172403</v>
      </c>
      <c r="BQ66" s="5">
        <f t="shared" si="33"/>
        <v>7.1948152674278303</v>
      </c>
      <c r="BR66" s="24" t="str">
        <f t="shared" si="34"/>
        <v>Cal</v>
      </c>
      <c r="BS66" s="25">
        <f t="shared" si="35"/>
        <v>1.8014533755096269E-2</v>
      </c>
      <c r="BT66" s="25" t="str">
        <f t="shared" si="36"/>
        <v>CT.105</v>
      </c>
      <c r="BU66" s="25">
        <f t="shared" si="37"/>
        <v>1</v>
      </c>
      <c r="BV66" s="25" cm="1">
        <f t="array" ref="BV66">IF(BT66="CT.104",_xll.TCVN5575AnnexEHeSoCx(1,BP66),1)</f>
        <v>1</v>
      </c>
      <c r="BW66" s="25">
        <f t="shared" si="38"/>
        <v>1</v>
      </c>
      <c r="BX66" s="25">
        <f t="shared" si="39"/>
        <v>1.8962667110627652E-2</v>
      </c>
      <c r="BY66" s="25">
        <f t="shared" si="40"/>
        <v>0.10991648289593751</v>
      </c>
      <c r="BZ66" s="25">
        <f t="shared" si="41"/>
        <v>5.4234452550090402E-5</v>
      </c>
      <c r="CA66" s="25">
        <f t="shared" si="42"/>
        <v>3.419433496253352E-6</v>
      </c>
      <c r="CB66" s="25">
        <f t="shared" si="43"/>
        <v>0.1289368038926115</v>
      </c>
      <c r="CC66" s="5" t="str">
        <f t="shared" si="44"/>
        <v>OK</v>
      </c>
      <c r="CD66" s="5">
        <f t="shared" si="45"/>
        <v>51.836555160202302</v>
      </c>
      <c r="CE66" s="5">
        <f t="shared" si="46"/>
        <v>33.414125690541383</v>
      </c>
      <c r="CF66" s="5">
        <f t="shared" si="47"/>
        <v>1.7266865002204341</v>
      </c>
      <c r="CG66" s="5">
        <f t="shared" si="48"/>
        <v>1.1130315193248546</v>
      </c>
      <c r="CH66" s="5">
        <f t="shared" si="49"/>
        <v>5.7964674618126208</v>
      </c>
      <c r="CI66" s="68">
        <f>_xll.DCETCVN5575PhuLucD2Eta(BP66,CH66,CF66)</f>
        <v>1.2412413793103447</v>
      </c>
      <c r="CJ66" s="5">
        <f t="shared" si="50"/>
        <v>7.1948152674278303</v>
      </c>
      <c r="CK66" s="5">
        <f>MIN(noisuy2chieu(CJ66,CF66,Data!$DA$2:$EB$24),1)</f>
        <v>0.17303468286991119</v>
      </c>
      <c r="CL66" s="102">
        <f t="shared" si="51"/>
        <v>0.10958882228763311</v>
      </c>
      <c r="CM66" s="5" t="str">
        <f t="shared" si="52"/>
        <v>OK</v>
      </c>
      <c r="CN66" s="5">
        <f t="shared" si="53"/>
        <v>0.88472625978979058</v>
      </c>
      <c r="CO66" s="5">
        <f t="shared" si="54"/>
        <v>0.5370345235716667</v>
      </c>
      <c r="CP66" s="25">
        <f>_xll.DCETCVNPhuLucFHeSoOnDinh(1, 0.2, AG66, AH66, AI66, AJ66, AI66, AJ66, $D$28)</f>
        <v>1</v>
      </c>
      <c r="CQ66" s="68">
        <f t="shared" si="55"/>
        <v>0.9</v>
      </c>
      <c r="CR66" s="68">
        <f t="shared" si="56"/>
        <v>1</v>
      </c>
      <c r="CS66" s="5">
        <f t="shared" si="57"/>
        <v>0.18181818181818182</v>
      </c>
      <c r="CT66" s="5">
        <f t="shared" si="58"/>
        <v>0.10155106457844131</v>
      </c>
      <c r="CU66" s="26">
        <f t="shared" si="59"/>
        <v>6.9884673773578507</v>
      </c>
      <c r="CV66" s="5"/>
      <c r="CW66" s="25"/>
      <c r="CX66" s="72">
        <f>MAX(_xll.Dce_c_925(CU66, CQ66, CR66, CN66, CP66, CS66, CT66),0.3)</f>
        <v>0.3</v>
      </c>
      <c r="CY66" s="102">
        <f t="shared" si="60"/>
        <v>7.1444573583446219E-2</v>
      </c>
      <c r="CZ66" s="5" t="str">
        <f t="shared" si="61"/>
        <v>OK</v>
      </c>
      <c r="DA66" s="47">
        <f t="shared" si="62"/>
        <v>0.34499859601035404</v>
      </c>
      <c r="DB66" s="46">
        <f t="shared" si="63"/>
        <v>0.47130315193248545</v>
      </c>
      <c r="DC66" s="5" t="str">
        <f t="shared" si="64"/>
        <v>OK</v>
      </c>
      <c r="DD66" s="5">
        <f t="shared" si="65"/>
        <v>1.7266865002204341</v>
      </c>
      <c r="DE66" s="5">
        <f t="shared" si="66"/>
        <v>3.0666541867587034</v>
      </c>
      <c r="DF66" s="5">
        <f t="shared" si="67"/>
        <v>1.7472169405065237</v>
      </c>
      <c r="DG66" s="5" t="str">
        <f t="shared" si="68"/>
        <v>Gia cường</v>
      </c>
      <c r="DH66" s="203">
        <f t="shared" si="69"/>
        <v>51.836555160202302</v>
      </c>
      <c r="DI66" s="203">
        <f t="shared" si="70"/>
        <v>180</v>
      </c>
      <c r="DJ66" s="46">
        <f t="shared" si="71"/>
        <v>0.28798086200112388</v>
      </c>
      <c r="DK66" s="5" t="str">
        <f t="shared" si="72"/>
        <v>OK</v>
      </c>
      <c r="EB66" s="18"/>
      <c r="EC66" s="77"/>
      <c r="ED66" s="77"/>
      <c r="EE66" s="18"/>
      <c r="EF66" s="18"/>
      <c r="EG66" s="18"/>
      <c r="EH66" s="5"/>
      <c r="EI66" s="5"/>
      <c r="EJ66" s="5"/>
      <c r="EK66" s="5"/>
      <c r="EL66" s="5"/>
      <c r="FE66" s="26"/>
      <c r="FF66" s="26"/>
      <c r="FG66" s="26"/>
      <c r="FH66" s="26"/>
      <c r="FI66" s="26"/>
      <c r="FJ66" s="26"/>
      <c r="FK66" s="26"/>
      <c r="FL66" s="26"/>
      <c r="FM66" s="26"/>
      <c r="FN66" s="205"/>
      <c r="FO66" s="205"/>
      <c r="FP66" s="205"/>
      <c r="FQ66" s="205"/>
      <c r="FR66" s="205"/>
      <c r="FS66" s="205"/>
      <c r="FT66" s="205"/>
      <c r="FU66" s="77"/>
      <c r="FV66" s="77"/>
      <c r="FW66" s="77"/>
      <c r="FX66" s="205"/>
      <c r="FY66" s="205"/>
      <c r="FZ66" s="205"/>
      <c r="GA66" s="205"/>
      <c r="GB66" s="205"/>
      <c r="GC66" s="205"/>
      <c r="GD66" s="205"/>
      <c r="GE66" s="205"/>
      <c r="GF66" s="205"/>
      <c r="GG66" s="205"/>
      <c r="GH66" s="205"/>
      <c r="GI66" s="205"/>
      <c r="GJ66" s="205"/>
      <c r="GK66" s="205"/>
      <c r="GL66" s="205"/>
      <c r="GM66" s="205"/>
      <c r="GN66" s="205"/>
      <c r="GO66" s="205"/>
      <c r="GP66" s="205"/>
      <c r="GQ66" s="205"/>
      <c r="GR66" s="205"/>
      <c r="GS66" s="205"/>
      <c r="GT66" s="205"/>
      <c r="GU66" s="205"/>
      <c r="GV66" s="18"/>
      <c r="GW66" s="5"/>
      <c r="GX66" s="5"/>
      <c r="GY66" s="77"/>
      <c r="GZ66" s="18"/>
      <c r="HA66" s="18"/>
      <c r="HB66" s="18"/>
      <c r="HC66" s="18"/>
      <c r="HD66" s="18"/>
      <c r="HE66" s="18"/>
      <c r="HF66" s="18"/>
      <c r="HG66" s="18"/>
      <c r="HH66" s="205"/>
      <c r="HI66" s="26"/>
      <c r="HJ66" s="26"/>
      <c r="HK66" s="5"/>
    </row>
    <row r="67" spans="2:219" ht="15">
      <c r="B67" s="172" t="s">
        <v>419</v>
      </c>
      <c r="C67" s="269"/>
      <c r="D67" s="257"/>
      <c r="E67" s="2"/>
      <c r="F67" s="2"/>
      <c r="G67" s="252" t="s">
        <v>132</v>
      </c>
      <c r="H67" s="257">
        <f>G58</f>
        <v>19.48764348492994</v>
      </c>
      <c r="I67" s="256" t="s">
        <v>262</v>
      </c>
      <c r="J67" s="257">
        <f>G57</f>
        <v>1.2506397644909562</v>
      </c>
      <c r="K67" s="256" t="s">
        <v>355</v>
      </c>
      <c r="L67" s="257" cm="1">
        <f t="array" ref="L67">_xll.DCETCVNBang24Tietdien1(G58, G57, G99)</f>
        <v>0.45800914951280802</v>
      </c>
      <c r="M67" s="2"/>
      <c r="N67" s="10"/>
      <c r="AA67" s="18" t="s">
        <v>488</v>
      </c>
      <c r="AB67" s="22" t="s">
        <v>489</v>
      </c>
      <c r="AC67" s="59">
        <v>7.2811904761904795</v>
      </c>
      <c r="AD67" s="59">
        <v>8.6549999999999994</v>
      </c>
      <c r="AE67" s="22">
        <v>528</v>
      </c>
      <c r="AF67" s="22">
        <v>1528</v>
      </c>
      <c r="AG67" s="22">
        <v>1369.2698412698419</v>
      </c>
      <c r="AH67" s="6">
        <v>10</v>
      </c>
      <c r="AI67" s="6">
        <v>300</v>
      </c>
      <c r="AJ67" s="6">
        <v>14</v>
      </c>
      <c r="AK67" s="24">
        <v>300</v>
      </c>
      <c r="AL67" s="24">
        <v>14</v>
      </c>
      <c r="AM67" s="5">
        <f t="shared" si="17"/>
        <v>1341.2698412698419</v>
      </c>
      <c r="AN67" s="26">
        <f t="shared" si="18"/>
        <v>218.12698412698418</v>
      </c>
      <c r="AO67" s="26">
        <f t="shared" si="19"/>
        <v>586811.79072745051</v>
      </c>
      <c r="AP67" s="15">
        <f t="shared" si="20"/>
        <v>6311.1772486772488</v>
      </c>
      <c r="AQ67" s="5">
        <f t="shared" si="21"/>
        <v>8571.1635945074104</v>
      </c>
      <c r="AR67" s="26">
        <f t="shared" si="22"/>
        <v>420.74514991181661</v>
      </c>
      <c r="AS67" s="26">
        <f t="shared" si="23"/>
        <v>5094.8226505417015</v>
      </c>
      <c r="AT67" s="26">
        <f t="shared" si="24"/>
        <v>51.867428670398397</v>
      </c>
      <c r="AU67" s="26">
        <f t="shared" si="25"/>
        <v>5.3789869588463937</v>
      </c>
      <c r="AV67" s="95">
        <f t="shared" si="26"/>
        <v>1.0005566137566139E-6</v>
      </c>
      <c r="AW67" s="95">
        <f t="shared" si="27"/>
        <v>28928912.396825422</v>
      </c>
      <c r="AX67" s="95">
        <f t="shared" si="28"/>
        <v>2.8928912396825422E-5</v>
      </c>
      <c r="AY67" s="54">
        <f t="shared" si="29"/>
        <v>0.11516876660535029</v>
      </c>
      <c r="AZ67" s="54" t="str">
        <f>_xll.Dce_Name_SectI(AE67,AF67,AI67,AH67,AJ67,"x","-",$O$11)</f>
        <v>(528-1528)x300x10x14</v>
      </c>
      <c r="BA67" s="15">
        <f t="shared" si="30"/>
        <v>1016.4523809523813</v>
      </c>
      <c r="BB67" s="54"/>
      <c r="BC67" s="54"/>
      <c r="BD67" s="22" t="s">
        <v>508</v>
      </c>
      <c r="BE67" s="23">
        <v>-66.974212895922363</v>
      </c>
      <c r="BF67" s="23">
        <v>-55.295408128152872</v>
      </c>
      <c r="BG67" s="23">
        <v>-1.3567210120917625E-3</v>
      </c>
      <c r="BH67" s="23">
        <v>1.8949467840376259E-5</v>
      </c>
      <c r="BI67" s="23">
        <v>9.9031095182524585E-3</v>
      </c>
      <c r="BJ67" s="23">
        <v>301.49771298230803</v>
      </c>
      <c r="BK67" s="23">
        <v>150.74885649115402</v>
      </c>
      <c r="BL67" s="92">
        <v>2.25</v>
      </c>
      <c r="BM67" s="91">
        <v>2</v>
      </c>
      <c r="BN67" s="5">
        <f t="shared" si="31"/>
        <v>19.473749999999999</v>
      </c>
      <c r="BO67" s="54">
        <f>_xll.Bimoment(BH67,AY67,AC67,AD67,$O$101)</f>
        <v>-8.6687569900481345E-5</v>
      </c>
      <c r="BP67" s="5">
        <f t="shared" si="32"/>
        <v>0.31313609467455605</v>
      </c>
      <c r="BQ67" s="5">
        <f t="shared" si="33"/>
        <v>13.89227355404249</v>
      </c>
      <c r="BR67" s="24" t="str">
        <f t="shared" si="34"/>
        <v>Cal</v>
      </c>
      <c r="BS67" s="25">
        <f t="shared" si="35"/>
        <v>1.3433101025642992E-2</v>
      </c>
      <c r="BT67" s="25" t="str">
        <f t="shared" si="36"/>
        <v>CT.105</v>
      </c>
      <c r="BU67" s="25">
        <f t="shared" si="37"/>
        <v>1</v>
      </c>
      <c r="BV67" s="25" cm="1">
        <f t="array" ref="BV67">IF(BT67="CT.104",_xll.TCVN5575AnnexEHeSoCx(1,BP67),1)</f>
        <v>1</v>
      </c>
      <c r="BW67" s="25">
        <f t="shared" si="38"/>
        <v>1</v>
      </c>
      <c r="BX67" s="25">
        <f t="shared" si="39"/>
        <v>1.4140106342782097E-2</v>
      </c>
      <c r="BY67" s="25">
        <f t="shared" si="40"/>
        <v>0.1619939106840419</v>
      </c>
      <c r="BZ67" s="25">
        <f t="shared" si="41"/>
        <v>1.0839441743431466E-4</v>
      </c>
      <c r="CA67" s="25">
        <f t="shared" si="42"/>
        <v>1.4027045697340587E-6</v>
      </c>
      <c r="CB67" s="25">
        <f t="shared" si="43"/>
        <v>0.17624381414882806</v>
      </c>
      <c r="CC67" s="5" t="str">
        <f t="shared" si="44"/>
        <v>OK</v>
      </c>
      <c r="CD67" s="5">
        <f t="shared" si="45"/>
        <v>37.545238889226049</v>
      </c>
      <c r="CE67" s="5">
        <f t="shared" si="46"/>
        <v>37.181722419139881</v>
      </c>
      <c r="CF67" s="5">
        <f t="shared" si="47"/>
        <v>1.2506397644909562</v>
      </c>
      <c r="CG67" s="5">
        <f t="shared" si="48"/>
        <v>1.2385309547993069</v>
      </c>
      <c r="CH67" s="5">
        <f t="shared" si="49"/>
        <v>11.456343167230331</v>
      </c>
      <c r="CI67" s="68">
        <f>_xll.DCETCVN5575PhuLucD2Eta(BP67,CH67,CF67)</f>
        <v>1.2126272189349112</v>
      </c>
      <c r="CJ67" s="5">
        <f t="shared" si="50"/>
        <v>13.89227355404249</v>
      </c>
      <c r="CK67" s="5">
        <f>MIN(noisuy2chieu(CJ67,CF67,Data!$DA$2:$EB$24),1)</f>
        <v>0.1018834188580513</v>
      </c>
      <c r="CL67" s="102">
        <f t="shared" si="51"/>
        <v>0.13878712062541548</v>
      </c>
      <c r="CM67" s="5" t="str">
        <f t="shared" si="52"/>
        <v>OK</v>
      </c>
      <c r="CN67" s="5">
        <f t="shared" si="53"/>
        <v>0.86643683692746631</v>
      </c>
      <c r="CO67" s="5">
        <f t="shared" si="54"/>
        <v>0.5370345235716667</v>
      </c>
      <c r="CP67" s="25">
        <f>_xll.DCETCVNPhuLucFHeSoOnDinh(1, 0.2, AG67, AH67, AI67, AJ67, AI67, AJ67, $D$28)</f>
        <v>1</v>
      </c>
      <c r="CQ67" s="68">
        <f t="shared" si="55"/>
        <v>0.9</v>
      </c>
      <c r="CR67" s="68">
        <f t="shared" si="56"/>
        <v>1</v>
      </c>
      <c r="CS67" s="5">
        <f t="shared" si="57"/>
        <v>0.18181818181818182</v>
      </c>
      <c r="CT67" s="5">
        <f t="shared" si="58"/>
        <v>0.10347287704587492</v>
      </c>
      <c r="CU67" s="26">
        <f t="shared" si="59"/>
        <v>5.7281715836151657</v>
      </c>
      <c r="CV67" s="5"/>
      <c r="CW67" s="25"/>
      <c r="CX67" s="72">
        <f>MAX(_xll.Dce_c_925(CU67, CQ67, CR67, CN67, CP67, CS67, CT67),0.3)</f>
        <v>0.3</v>
      </c>
      <c r="CY67" s="102">
        <f t="shared" si="60"/>
        <v>5.4399450485528536E-2</v>
      </c>
      <c r="CZ67" s="5" t="str">
        <f t="shared" si="61"/>
        <v>OK</v>
      </c>
      <c r="DA67" s="47">
        <f t="shared" si="62"/>
        <v>0.34499859601035404</v>
      </c>
      <c r="DB67" s="46">
        <f t="shared" si="63"/>
        <v>0.48385309547993066</v>
      </c>
      <c r="DC67" s="5" t="str">
        <f t="shared" si="64"/>
        <v>OK</v>
      </c>
      <c r="DD67" s="5">
        <f t="shared" si="65"/>
        <v>1.2506397644909562</v>
      </c>
      <c r="DE67" s="5">
        <f t="shared" si="66"/>
        <v>4.4677979100191463</v>
      </c>
      <c r="DF67" s="5" t="str">
        <f t="shared" si="67"/>
        <v>-</v>
      </c>
      <c r="DG67" s="5" t="str">
        <f t="shared" si="68"/>
        <v>-</v>
      </c>
      <c r="DH67" s="203">
        <f t="shared" si="69"/>
        <v>37.545238889226049</v>
      </c>
      <c r="DI67" s="203">
        <f t="shared" si="70"/>
        <v>180</v>
      </c>
      <c r="DJ67" s="46">
        <f t="shared" si="71"/>
        <v>0.20858466049570026</v>
      </c>
      <c r="DK67" s="5" t="str">
        <f t="shared" si="72"/>
        <v>OK</v>
      </c>
      <c r="EB67" s="18"/>
      <c r="EC67" s="77"/>
      <c r="ED67" s="77"/>
      <c r="EE67" s="18"/>
      <c r="EF67" s="18"/>
      <c r="EG67" s="18"/>
      <c r="EH67" s="5"/>
      <c r="EI67" s="5"/>
      <c r="EJ67" s="5"/>
      <c r="EK67" s="5"/>
      <c r="EL67" s="5"/>
      <c r="FE67" s="26"/>
      <c r="FF67" s="26"/>
      <c r="FG67" s="26"/>
      <c r="FH67" s="26"/>
      <c r="FI67" s="26"/>
      <c r="FJ67" s="26"/>
      <c r="FK67" s="26"/>
      <c r="FL67" s="26"/>
      <c r="FM67" s="26"/>
      <c r="FN67" s="205"/>
      <c r="FO67" s="205"/>
      <c r="FP67" s="205"/>
      <c r="FQ67" s="205"/>
      <c r="FR67" s="205"/>
      <c r="FS67" s="205"/>
      <c r="FT67" s="205"/>
      <c r="FU67" s="77"/>
      <c r="FV67" s="77"/>
      <c r="FW67" s="77"/>
      <c r="FX67" s="205"/>
      <c r="FY67" s="205"/>
      <c r="FZ67" s="205"/>
      <c r="GA67" s="205"/>
      <c r="GB67" s="205"/>
      <c r="GC67" s="205"/>
      <c r="GD67" s="205"/>
      <c r="GE67" s="205"/>
      <c r="GF67" s="205"/>
      <c r="GG67" s="205"/>
      <c r="GH67" s="205"/>
      <c r="GI67" s="205"/>
      <c r="GJ67" s="205"/>
      <c r="GK67" s="205"/>
      <c r="GL67" s="205"/>
      <c r="GM67" s="205"/>
      <c r="GN67" s="205"/>
      <c r="GO67" s="205"/>
      <c r="GP67" s="205"/>
      <c r="GQ67" s="205"/>
      <c r="GR67" s="205"/>
      <c r="GS67" s="205"/>
      <c r="GT67" s="205"/>
      <c r="GU67" s="205"/>
      <c r="GV67" s="18"/>
      <c r="GW67" s="5"/>
      <c r="GX67" s="5"/>
      <c r="GY67" s="77"/>
      <c r="GZ67" s="18"/>
      <c r="HA67" s="18"/>
      <c r="HB67" s="18"/>
      <c r="HC67" s="18"/>
      <c r="HD67" s="18"/>
      <c r="HE67" s="18"/>
      <c r="HF67" s="18"/>
      <c r="HG67" s="18"/>
      <c r="HH67" s="205"/>
      <c r="HI67" s="26"/>
      <c r="HJ67" s="26"/>
      <c r="HK67" s="5"/>
    </row>
    <row r="68" spans="2:219" ht="15">
      <c r="B68" s="172" t="s">
        <v>420</v>
      </c>
      <c r="C68" s="269"/>
      <c r="D68" s="257"/>
      <c r="E68" s="2"/>
      <c r="F68" s="2"/>
      <c r="G68" s="2"/>
      <c r="H68" s="269"/>
      <c r="I68" s="256" t="s">
        <v>263</v>
      </c>
      <c r="J68" s="257">
        <f>MIN(MAX(L57,0.8),4)</f>
        <v>1.2385309547993069</v>
      </c>
      <c r="K68" s="256" t="s">
        <v>355</v>
      </c>
      <c r="L68" s="257">
        <f>0.36+0.1*J68</f>
        <v>0.48385309547993066</v>
      </c>
      <c r="M68" s="2"/>
      <c r="N68" s="10"/>
      <c r="AA68" s="18" t="s">
        <v>488</v>
      </c>
      <c r="AB68" s="22" t="s">
        <v>489</v>
      </c>
      <c r="AC68" s="59">
        <v>0</v>
      </c>
      <c r="AD68" s="59">
        <v>8.6549999999999994</v>
      </c>
      <c r="AE68" s="22">
        <v>528</v>
      </c>
      <c r="AF68" s="22">
        <v>1528</v>
      </c>
      <c r="AG68" s="22">
        <v>528</v>
      </c>
      <c r="AH68" s="6">
        <v>10</v>
      </c>
      <c r="AI68" s="6">
        <v>300</v>
      </c>
      <c r="AJ68" s="6">
        <v>14</v>
      </c>
      <c r="AK68" s="24">
        <v>300</v>
      </c>
      <c r="AL68" s="24">
        <v>14</v>
      </c>
      <c r="AM68" s="5">
        <f t="shared" si="17"/>
        <v>500</v>
      </c>
      <c r="AN68" s="26">
        <f t="shared" si="18"/>
        <v>134</v>
      </c>
      <c r="AO68" s="26">
        <f t="shared" si="19"/>
        <v>65911.546666666676</v>
      </c>
      <c r="AP68" s="15">
        <f t="shared" si="20"/>
        <v>6304.166666666667</v>
      </c>
      <c r="AQ68" s="5">
        <f t="shared" si="21"/>
        <v>2496.6494949494954</v>
      </c>
      <c r="AR68" s="26">
        <f t="shared" si="22"/>
        <v>420.27777777777777</v>
      </c>
      <c r="AS68" s="26">
        <f t="shared" si="23"/>
        <v>1391.9</v>
      </c>
      <c r="AT68" s="26">
        <f t="shared" si="24"/>
        <v>22.178305028345793</v>
      </c>
      <c r="AU68" s="26">
        <f t="shared" si="25"/>
        <v>6.8590101254115021</v>
      </c>
      <c r="AV68" s="95">
        <f t="shared" si="26"/>
        <v>7.201333333333334E-7</v>
      </c>
      <c r="AW68" s="95">
        <f t="shared" si="27"/>
        <v>4161087</v>
      </c>
      <c r="AX68" s="95">
        <f t="shared" si="28"/>
        <v>4.1610870000000001E-6</v>
      </c>
      <c r="AY68" s="54">
        <f t="shared" si="29"/>
        <v>0.25762202780669918</v>
      </c>
      <c r="AZ68" s="54" t="str">
        <f>_xll.Dce_Name_SectI(AE68,AF68,AI68,AH68,AJ68,"x","-",$O$11)</f>
        <v>(528-1528)x300x10x14</v>
      </c>
      <c r="BA68" s="15">
        <f t="shared" si="30"/>
        <v>385.5</v>
      </c>
      <c r="BB68" s="54"/>
      <c r="BC68" s="54"/>
      <c r="BD68" s="22" t="s">
        <v>509</v>
      </c>
      <c r="BE68" s="23">
        <v>-304.09843546941153</v>
      </c>
      <c r="BF68" s="23">
        <v>-225.63345243505725</v>
      </c>
      <c r="BG68" s="23">
        <v>2.0957008230677726E-3</v>
      </c>
      <c r="BH68" s="23">
        <v>-2.9270878092029789E-5</v>
      </c>
      <c r="BI68" s="23">
        <v>-2.0100338119072305E-6</v>
      </c>
      <c r="BJ68" s="23">
        <v>-4.0309653320683081</v>
      </c>
      <c r="BK68" s="23">
        <v>910.78413693741049</v>
      </c>
      <c r="BL68" s="92">
        <v>2.25</v>
      </c>
      <c r="BM68" s="91">
        <v>2</v>
      </c>
      <c r="BN68" s="5">
        <f t="shared" si="31"/>
        <v>19.473749999999999</v>
      </c>
      <c r="BO68" s="54">
        <f>_xll.Bimoment(BH68,AY68,AC68,AD68,$O$101)</f>
        <v>0</v>
      </c>
      <c r="BP68" s="5">
        <f t="shared" si="32"/>
        <v>0.84</v>
      </c>
      <c r="BQ68" s="5">
        <f t="shared" si="33"/>
        <v>0.10791132194362449</v>
      </c>
      <c r="BR68" s="24" t="str">
        <f t="shared" si="34"/>
        <v>Cal</v>
      </c>
      <c r="BS68" s="25">
        <f t="shared" si="35"/>
        <v>9.928586978945339E-2</v>
      </c>
      <c r="BT68" s="25" t="str">
        <f t="shared" si="36"/>
        <v>CT.105</v>
      </c>
      <c r="BU68" s="25">
        <f t="shared" si="37"/>
        <v>1</v>
      </c>
      <c r="BV68" s="25" cm="1">
        <f t="array" ref="BV68">IF(BT68="CT.104",_xll.TCVN5575AnnexEHeSoCx(1,BP68),1)</f>
        <v>1</v>
      </c>
      <c r="BW68" s="25">
        <f t="shared" si="38"/>
        <v>1</v>
      </c>
      <c r="BX68" s="25">
        <f t="shared" si="39"/>
        <v>0.10451144188363515</v>
      </c>
      <c r="BY68" s="25">
        <f t="shared" si="40"/>
        <v>7.4354274286710098E-3</v>
      </c>
      <c r="BZ68" s="25">
        <f t="shared" si="41"/>
        <v>2.2025277446369276E-8</v>
      </c>
      <c r="CA68" s="25">
        <f t="shared" si="42"/>
        <v>0</v>
      </c>
      <c r="CB68" s="25">
        <f t="shared" si="43"/>
        <v>0.11194689133758361</v>
      </c>
      <c r="CC68" s="5" t="str">
        <f t="shared" si="44"/>
        <v>OK</v>
      </c>
      <c r="CD68" s="5">
        <f t="shared" si="45"/>
        <v>87.805402509844015</v>
      </c>
      <c r="CE68" s="5">
        <f t="shared" si="46"/>
        <v>29.158726455153193</v>
      </c>
      <c r="CF68" s="5">
        <f t="shared" si="47"/>
        <v>2.9248163326364334</v>
      </c>
      <c r="CG68" s="5">
        <f t="shared" si="48"/>
        <v>0.97128328026682387</v>
      </c>
      <c r="CH68" s="5">
        <f t="shared" si="49"/>
        <v>7.1144625838668873E-2</v>
      </c>
      <c r="CI68" s="68">
        <f>_xll.DCETCVN5575PhuLucD2Eta(BP68,CH68,CF68)</f>
        <v>1.5167881013012792</v>
      </c>
      <c r="CJ68" s="5">
        <f t="shared" si="50"/>
        <v>0.10791132194362449</v>
      </c>
      <c r="CK68" s="5">
        <f>MIN(noisuy2chieu(CJ68,CF68,Data!$DA$2:$EB$24),1)</f>
        <v>0.67458558082580566</v>
      </c>
      <c r="CL68" s="102">
        <f t="shared" si="51"/>
        <v>0.1549268837849983</v>
      </c>
      <c r="CM68" s="5" t="str">
        <f t="shared" si="52"/>
        <v>OK</v>
      </c>
      <c r="CN68" s="5">
        <f t="shared" si="53"/>
        <v>0.90492218941026858</v>
      </c>
      <c r="CO68" s="5">
        <f t="shared" si="54"/>
        <v>0.5370345235716667</v>
      </c>
      <c r="CP68" s="25">
        <f>_xll.DCETCVNPhuLucFHeSoOnDinh(1, 0.2, AG68, AH68, AI68, AJ68, AI68, AJ68, $D$28)</f>
        <v>1</v>
      </c>
      <c r="CQ68" s="68">
        <f t="shared" si="55"/>
        <v>0.9</v>
      </c>
      <c r="CR68" s="68">
        <f t="shared" si="56"/>
        <v>1</v>
      </c>
      <c r="CS68" s="5">
        <f t="shared" si="57"/>
        <v>0.18181818181818182</v>
      </c>
      <c r="CT68" s="5">
        <f t="shared" si="58"/>
        <v>9.9510191986788829E-2</v>
      </c>
      <c r="CU68" s="26">
        <f t="shared" si="59"/>
        <v>16.074907944931184</v>
      </c>
      <c r="CV68" s="5"/>
      <c r="CW68" s="25"/>
      <c r="CX68" s="72">
        <f>MAX(_xll.Dce_c_925(CU68, CQ68, CR68, CN68, CP68, CS68, CT68),0.3)</f>
        <v>0.3</v>
      </c>
      <c r="CY68" s="102">
        <f t="shared" si="60"/>
        <v>0.38497395358653075</v>
      </c>
      <c r="CZ68" s="5" t="str">
        <f t="shared" si="61"/>
        <v>OK</v>
      </c>
      <c r="DA68" s="47">
        <f t="shared" si="62"/>
        <v>0.34499859601035404</v>
      </c>
      <c r="DB68" s="46">
        <f t="shared" si="63"/>
        <v>0.45712832802668235</v>
      </c>
      <c r="DC68" s="5" t="str">
        <f t="shared" si="64"/>
        <v>OK</v>
      </c>
      <c r="DD68" s="5">
        <f t="shared" si="65"/>
        <v>2.9248163326364334</v>
      </c>
      <c r="DE68" s="5">
        <f t="shared" si="66"/>
        <v>1.6655104634982609</v>
      </c>
      <c r="DF68" s="5" t="str">
        <f t="shared" si="67"/>
        <v>-</v>
      </c>
      <c r="DG68" s="5" t="str">
        <f t="shared" si="68"/>
        <v>-</v>
      </c>
      <c r="DH68" s="203" t="str">
        <f t="shared" si="69"/>
        <v>-</v>
      </c>
      <c r="DI68" s="203">
        <f t="shared" si="70"/>
        <v>180</v>
      </c>
      <c r="DJ68" s="46">
        <f t="shared" si="71"/>
        <v>0</v>
      </c>
      <c r="DK68" s="5" t="str">
        <f t="shared" si="72"/>
        <v>OK</v>
      </c>
      <c r="EB68" s="18"/>
      <c r="EC68" s="77"/>
      <c r="ED68" s="77"/>
      <c r="EE68" s="18"/>
      <c r="EF68" s="18"/>
      <c r="EG68" s="18"/>
      <c r="EH68" s="5"/>
      <c r="EI68" s="5"/>
      <c r="EJ68" s="5"/>
      <c r="EK68" s="5"/>
      <c r="EL68" s="5"/>
      <c r="FE68" s="26"/>
      <c r="FF68" s="26"/>
      <c r="FG68" s="26"/>
      <c r="FH68" s="26"/>
      <c r="FI68" s="26"/>
      <c r="FJ68" s="26"/>
      <c r="FK68" s="26"/>
      <c r="FL68" s="26"/>
      <c r="FM68" s="26"/>
      <c r="FN68" s="205"/>
      <c r="FO68" s="205"/>
      <c r="FP68" s="205"/>
      <c r="FQ68" s="205"/>
      <c r="FR68" s="205"/>
      <c r="FS68" s="205"/>
      <c r="FT68" s="205"/>
      <c r="FU68" s="77"/>
      <c r="FV68" s="77"/>
      <c r="FW68" s="77"/>
      <c r="FX68" s="205"/>
      <c r="FY68" s="205"/>
      <c r="FZ68" s="205"/>
      <c r="GA68" s="205"/>
      <c r="GB68" s="205"/>
      <c r="GC68" s="205"/>
      <c r="GD68" s="205"/>
      <c r="GE68" s="205"/>
      <c r="GF68" s="205"/>
      <c r="GG68" s="205"/>
      <c r="GH68" s="205"/>
      <c r="GI68" s="205"/>
      <c r="GJ68" s="205"/>
      <c r="GK68" s="205"/>
      <c r="GL68" s="205"/>
      <c r="GM68" s="205"/>
      <c r="GN68" s="205"/>
      <c r="GO68" s="205"/>
      <c r="GP68" s="205"/>
      <c r="GQ68" s="205"/>
      <c r="GR68" s="205"/>
      <c r="GS68" s="205"/>
      <c r="GT68" s="205"/>
      <c r="GU68" s="205"/>
      <c r="GV68" s="18"/>
      <c r="GW68" s="5"/>
      <c r="GX68" s="5"/>
      <c r="GY68" s="77"/>
      <c r="GZ68" s="18"/>
      <c r="HA68" s="18"/>
      <c r="HB68" s="18"/>
      <c r="HC68" s="18"/>
      <c r="HD68" s="18"/>
      <c r="HE68" s="18"/>
      <c r="HF68" s="18"/>
      <c r="HG68" s="18"/>
      <c r="HH68" s="205"/>
      <c r="HI68" s="26"/>
      <c r="HJ68" s="26"/>
      <c r="HK68" s="5"/>
    </row>
    <row r="69" spans="2:219">
      <c r="B69" s="172" t="s">
        <v>411</v>
      </c>
      <c r="C69" s="2"/>
      <c r="D69" s="2"/>
      <c r="E69" s="2"/>
      <c r="F69" s="2"/>
      <c r="G69" s="2"/>
      <c r="H69" s="2"/>
      <c r="I69" s="2"/>
      <c r="J69" s="2"/>
      <c r="K69" s="238" t="s">
        <v>354</v>
      </c>
      <c r="L69" s="273">
        <f>IF(H32&gt;0,"-",L65/MAX(L68,L67))</f>
        <v>0.71302343466078733</v>
      </c>
      <c r="M69" s="240" t="s">
        <v>31</v>
      </c>
      <c r="N69" s="21" t="str">
        <f>IF(H32&gt;0,"-",IF(L69&lt;=1,"OK","Gia cường"))</f>
        <v>OK</v>
      </c>
      <c r="AA69" s="18" t="s">
        <v>488</v>
      </c>
      <c r="AB69" s="22" t="s">
        <v>489</v>
      </c>
      <c r="AC69" s="59">
        <v>3.6405952380952398</v>
      </c>
      <c r="AD69" s="59">
        <v>8.6549999999999994</v>
      </c>
      <c r="AE69" s="22">
        <v>528</v>
      </c>
      <c r="AF69" s="22">
        <v>1528</v>
      </c>
      <c r="AG69" s="22">
        <v>948.63492063492095</v>
      </c>
      <c r="AH69" s="6">
        <v>10</v>
      </c>
      <c r="AI69" s="6">
        <v>300</v>
      </c>
      <c r="AJ69" s="6">
        <v>14</v>
      </c>
      <c r="AK69" s="24">
        <v>300</v>
      </c>
      <c r="AL69" s="24">
        <v>14</v>
      </c>
      <c r="AM69" s="5">
        <f t="shared" si="17"/>
        <v>920.63492063492095</v>
      </c>
      <c r="AN69" s="26">
        <f t="shared" si="18"/>
        <v>176.06349206349208</v>
      </c>
      <c r="AO69" s="26">
        <f t="shared" si="19"/>
        <v>248482.7399356656</v>
      </c>
      <c r="AP69" s="15">
        <f t="shared" si="20"/>
        <v>6307.6719576719579</v>
      </c>
      <c r="AQ69" s="5">
        <f t="shared" si="21"/>
        <v>5238.7432621467533</v>
      </c>
      <c r="AR69" s="26">
        <f t="shared" si="22"/>
        <v>420.51146384479722</v>
      </c>
      <c r="AS69" s="26">
        <f t="shared" si="23"/>
        <v>3022.1941546989178</v>
      </c>
      <c r="AT69" s="26">
        <f t="shared" si="24"/>
        <v>37.567600585756203</v>
      </c>
      <c r="AU69" s="26">
        <f t="shared" si="25"/>
        <v>5.9854925384629922</v>
      </c>
      <c r="AV69" s="95">
        <f t="shared" si="26"/>
        <v>8.6034497354497351E-7</v>
      </c>
      <c r="AW69" s="95">
        <f t="shared" si="27"/>
        <v>13758293.349206358</v>
      </c>
      <c r="AX69" s="95">
        <f t="shared" si="28"/>
        <v>1.3758293349206359E-5</v>
      </c>
      <c r="AY69" s="54">
        <f t="shared" si="29"/>
        <v>0.1548581140202015</v>
      </c>
      <c r="AZ69" s="54" t="str">
        <f>_xll.Dce_Name_SectI(AE69,AF69,AI69,AH69,AJ69,"x","-",$O$11)</f>
        <v>(528-1528)x300x10x14</v>
      </c>
      <c r="BA69" s="15">
        <f t="shared" si="30"/>
        <v>700.97619047619071</v>
      </c>
      <c r="BB69" s="54"/>
      <c r="BC69" s="54"/>
      <c r="BD69" s="22" t="s">
        <v>509</v>
      </c>
      <c r="BE69" s="23">
        <v>-300.85514478284574</v>
      </c>
      <c r="BF69" s="23">
        <v>-250.12140187233982</v>
      </c>
      <c r="BG69" s="23">
        <v>2.0957008230662703E-3</v>
      </c>
      <c r="BH69" s="23">
        <v>-2.9270878092029789E-5</v>
      </c>
      <c r="BI69" s="23">
        <v>-7.6495763087809296E-3</v>
      </c>
      <c r="BJ69" s="23">
        <v>863.99175585440275</v>
      </c>
      <c r="BK69" s="23">
        <v>910.78413693741049</v>
      </c>
      <c r="BL69" s="92">
        <v>2.25</v>
      </c>
      <c r="BM69" s="91">
        <v>2</v>
      </c>
      <c r="BN69" s="5">
        <f t="shared" si="31"/>
        <v>19.473749999999999</v>
      </c>
      <c r="BO69" s="54">
        <f>_xll.Bimoment(BH69,AY69,AC69,AD69,$O$101)</f>
        <v>2.251125671399987E-4</v>
      </c>
      <c r="BP69" s="5">
        <f t="shared" si="32"/>
        <v>0.45620689655172403</v>
      </c>
      <c r="BQ69" s="5">
        <f t="shared" si="33"/>
        <v>11.979828403635452</v>
      </c>
      <c r="BR69" s="24" t="str">
        <f t="shared" si="34"/>
        <v>Cal</v>
      </c>
      <c r="BS69" s="25">
        <f t="shared" si="35"/>
        <v>7.4759465633584432E-2</v>
      </c>
      <c r="BT69" s="25" t="str">
        <f t="shared" si="36"/>
        <v>CT.105</v>
      </c>
      <c r="BU69" s="25">
        <f t="shared" si="37"/>
        <v>1</v>
      </c>
      <c r="BV69" s="25" cm="1">
        <f t="array" ref="BV69">IF(BT69="CT.104",_xll.TCVN5575AnnexEHeSoCx(1,BP69),1)</f>
        <v>1</v>
      </c>
      <c r="BW69" s="25">
        <f t="shared" si="38"/>
        <v>1</v>
      </c>
      <c r="BX69" s="25">
        <f t="shared" si="39"/>
        <v>7.869417435114151E-2</v>
      </c>
      <c r="BY69" s="25">
        <f t="shared" si="40"/>
        <v>0.75951601421493842</v>
      </c>
      <c r="BZ69" s="25">
        <f t="shared" si="41"/>
        <v>8.377491454391201E-5</v>
      </c>
      <c r="CA69" s="25">
        <f t="shared" si="42"/>
        <v>5.2819330788472253E-6</v>
      </c>
      <c r="CB69" s="25">
        <f t="shared" si="43"/>
        <v>0.83829924541370271</v>
      </c>
      <c r="CC69" s="5" t="str">
        <f t="shared" si="44"/>
        <v>OK</v>
      </c>
      <c r="CD69" s="5">
        <f t="shared" si="45"/>
        <v>51.836555160202302</v>
      </c>
      <c r="CE69" s="5">
        <f t="shared" si="46"/>
        <v>33.414125690541383</v>
      </c>
      <c r="CF69" s="5">
        <f t="shared" si="47"/>
        <v>1.7266865002204341</v>
      </c>
      <c r="CG69" s="5">
        <f t="shared" si="48"/>
        <v>1.1130315193248546</v>
      </c>
      <c r="CH69" s="5">
        <f t="shared" si="49"/>
        <v>9.6514897128966588</v>
      </c>
      <c r="CI69" s="68">
        <f>_xll.DCETCVN5575PhuLucD2Eta(BP69,CH69,CF69)</f>
        <v>1.2412413793103447</v>
      </c>
      <c r="CJ69" s="5">
        <f t="shared" si="50"/>
        <v>11.979828403635452</v>
      </c>
      <c r="CK69" s="5">
        <f>MIN(noisuy2chieu(CJ69,CF69,Data!$DA$2:$EB$24),1)</f>
        <v>0.11101895570755005</v>
      </c>
      <c r="CL69" s="102">
        <f t="shared" si="51"/>
        <v>0.7088354763346939</v>
      </c>
      <c r="CM69" s="5" t="str">
        <f t="shared" si="52"/>
        <v>OK</v>
      </c>
      <c r="CN69" s="5">
        <f t="shared" si="53"/>
        <v>0.88472625978979058</v>
      </c>
      <c r="CO69" s="5">
        <f t="shared" si="54"/>
        <v>0.5370345235716667</v>
      </c>
      <c r="CP69" s="25">
        <f>_xll.DCETCVNPhuLucFHeSoOnDinh(1, 0.2, AG69, AH69, AI69, AJ69, AI69, AJ69, $D$28)</f>
        <v>1</v>
      </c>
      <c r="CQ69" s="68">
        <f t="shared" si="55"/>
        <v>0.9</v>
      </c>
      <c r="CR69" s="68">
        <f t="shared" si="56"/>
        <v>1</v>
      </c>
      <c r="CS69" s="5">
        <f t="shared" si="57"/>
        <v>0.18181818181818182</v>
      </c>
      <c r="CT69" s="5">
        <f t="shared" si="58"/>
        <v>0.10155106457844131</v>
      </c>
      <c r="CU69" s="26">
        <f t="shared" si="59"/>
        <v>10.174198617934744</v>
      </c>
      <c r="CV69" s="5"/>
      <c r="CW69" s="25"/>
      <c r="CX69" s="72">
        <f>MAX(_xll.Dce_c_925(CU69, CQ69, CR69, CN69, CP69, CS69, CT69),0.3)</f>
        <v>0.3</v>
      </c>
      <c r="CY69" s="102">
        <f t="shared" si="60"/>
        <v>0.29649161150267023</v>
      </c>
      <c r="CZ69" s="5" t="str">
        <f t="shared" si="61"/>
        <v>OK</v>
      </c>
      <c r="DA69" s="47">
        <f t="shared" si="62"/>
        <v>0.34499859601035404</v>
      </c>
      <c r="DB69" s="46">
        <f t="shared" si="63"/>
        <v>0.47130315193248545</v>
      </c>
      <c r="DC69" s="5" t="str">
        <f t="shared" si="64"/>
        <v>OK</v>
      </c>
      <c r="DD69" s="5">
        <f t="shared" si="65"/>
        <v>1.7266865002204341</v>
      </c>
      <c r="DE69" s="5">
        <f t="shared" si="66"/>
        <v>3.0666541867587034</v>
      </c>
      <c r="DF69" s="5">
        <f t="shared" si="67"/>
        <v>1.7472169405065237</v>
      </c>
      <c r="DG69" s="5" t="str">
        <f t="shared" si="68"/>
        <v>Gia cường</v>
      </c>
      <c r="DH69" s="203">
        <f t="shared" si="69"/>
        <v>51.836555160202302</v>
      </c>
      <c r="DI69" s="203">
        <f t="shared" si="70"/>
        <v>167.46987141991838</v>
      </c>
      <c r="DJ69" s="46">
        <f t="shared" si="71"/>
        <v>0.30952764649962594</v>
      </c>
      <c r="DK69" s="5" t="str">
        <f t="shared" si="72"/>
        <v>OK</v>
      </c>
      <c r="EB69" s="18"/>
      <c r="EC69" s="77"/>
      <c r="ED69" s="77"/>
      <c r="EE69" s="18"/>
      <c r="EF69" s="18"/>
      <c r="EG69" s="18"/>
      <c r="EH69" s="5"/>
      <c r="EI69" s="5"/>
      <c r="EJ69" s="5"/>
      <c r="EK69" s="5"/>
      <c r="EL69" s="5"/>
      <c r="FE69" s="26"/>
      <c r="FF69" s="26"/>
      <c r="FG69" s="26"/>
      <c r="FH69" s="26"/>
      <c r="FI69" s="26"/>
      <c r="FJ69" s="26"/>
      <c r="FK69" s="26"/>
      <c r="FL69" s="26"/>
      <c r="FM69" s="26"/>
      <c r="FN69" s="205"/>
      <c r="FO69" s="205"/>
      <c r="FP69" s="205"/>
      <c r="FQ69" s="205"/>
      <c r="FR69" s="205"/>
      <c r="FS69" s="205"/>
      <c r="FT69" s="205"/>
      <c r="FU69" s="77"/>
      <c r="FV69" s="77"/>
      <c r="FW69" s="77"/>
      <c r="FX69" s="205"/>
      <c r="FY69" s="205"/>
      <c r="FZ69" s="205"/>
      <c r="GA69" s="205"/>
      <c r="GB69" s="205"/>
      <c r="GC69" s="205"/>
      <c r="GD69" s="205"/>
      <c r="GE69" s="205"/>
      <c r="GF69" s="205"/>
      <c r="GG69" s="205"/>
      <c r="GH69" s="205"/>
      <c r="GI69" s="205"/>
      <c r="GJ69" s="205"/>
      <c r="GK69" s="205"/>
      <c r="GL69" s="205"/>
      <c r="GM69" s="205"/>
      <c r="GN69" s="205"/>
      <c r="GO69" s="205"/>
      <c r="GP69" s="205"/>
      <c r="GQ69" s="205"/>
      <c r="GR69" s="205"/>
      <c r="GS69" s="205"/>
      <c r="GT69" s="205"/>
      <c r="GU69" s="205"/>
      <c r="GV69" s="18"/>
      <c r="GW69" s="5"/>
      <c r="GX69" s="5"/>
      <c r="GY69" s="77"/>
      <c r="GZ69" s="18"/>
      <c r="HA69" s="18"/>
      <c r="HB69" s="18"/>
      <c r="HC69" s="18"/>
      <c r="HD69" s="18"/>
      <c r="HE69" s="18"/>
      <c r="HF69" s="18"/>
      <c r="HG69" s="18"/>
      <c r="HH69" s="205"/>
      <c r="HI69" s="26"/>
      <c r="HJ69" s="26"/>
      <c r="HK69" s="5"/>
    </row>
    <row r="70" spans="2:219">
      <c r="B70" s="83" t="s">
        <v>31</v>
      </c>
      <c r="C70" s="2" t="str">
        <f>IF(H32&gt;0,"-",IF(L69&lt;=1,"Bản cánh đảm bảo điều kiện ổn định cục bộ","Bản cánh sẽ được gia cường sườn tăng cứng theo TCVN 5575:2024"))</f>
        <v>Bản cánh đảm bảo điều kiện ổn định cục bộ</v>
      </c>
      <c r="D70" s="2"/>
      <c r="E70" s="2"/>
      <c r="F70" s="2"/>
      <c r="G70" s="2"/>
      <c r="H70" s="2"/>
      <c r="I70" s="2"/>
      <c r="J70" s="2"/>
      <c r="K70" s="238"/>
      <c r="L70" s="238"/>
      <c r="M70" s="240"/>
      <c r="N70" s="21"/>
      <c r="AA70" s="18" t="s">
        <v>488</v>
      </c>
      <c r="AB70" s="22" t="s">
        <v>489</v>
      </c>
      <c r="AC70" s="59">
        <v>7.2811904761904795</v>
      </c>
      <c r="AD70" s="59">
        <v>8.6549999999999994</v>
      </c>
      <c r="AE70" s="22">
        <v>528</v>
      </c>
      <c r="AF70" s="22">
        <v>1528</v>
      </c>
      <c r="AG70" s="22">
        <v>1369.2698412698419</v>
      </c>
      <c r="AH70" s="6">
        <v>10</v>
      </c>
      <c r="AI70" s="6">
        <v>300</v>
      </c>
      <c r="AJ70" s="6">
        <v>14</v>
      </c>
      <c r="AK70" s="24">
        <v>300</v>
      </c>
      <c r="AL70" s="24">
        <v>14</v>
      </c>
      <c r="AM70" s="5">
        <f t="shared" si="17"/>
        <v>1341.2698412698419</v>
      </c>
      <c r="AN70" s="26">
        <f t="shared" si="18"/>
        <v>218.12698412698418</v>
      </c>
      <c r="AO70" s="26">
        <f t="shared" si="19"/>
        <v>586811.79072745051</v>
      </c>
      <c r="AP70" s="15">
        <f t="shared" si="20"/>
        <v>6311.1772486772488</v>
      </c>
      <c r="AQ70" s="5">
        <f t="shared" si="21"/>
        <v>8571.1635945074104</v>
      </c>
      <c r="AR70" s="26">
        <f t="shared" si="22"/>
        <v>420.74514991181661</v>
      </c>
      <c r="AS70" s="26">
        <f t="shared" si="23"/>
        <v>5094.8226505417015</v>
      </c>
      <c r="AT70" s="26">
        <f t="shared" si="24"/>
        <v>51.867428670398397</v>
      </c>
      <c r="AU70" s="26">
        <f t="shared" si="25"/>
        <v>5.3789869588463937</v>
      </c>
      <c r="AV70" s="95">
        <f t="shared" si="26"/>
        <v>1.0005566137566139E-6</v>
      </c>
      <c r="AW70" s="95">
        <f t="shared" si="27"/>
        <v>28928912.396825422</v>
      </c>
      <c r="AX70" s="95">
        <f t="shared" si="28"/>
        <v>2.8928912396825422E-5</v>
      </c>
      <c r="AY70" s="54">
        <f t="shared" si="29"/>
        <v>0.11516876660535029</v>
      </c>
      <c r="AZ70" s="54" t="str">
        <f>_xll.Dce_Name_SectI(AE70,AF70,AI70,AH70,AJ70,"x","-",$O$11)</f>
        <v>(528-1528)x300x10x14</v>
      </c>
      <c r="BA70" s="15">
        <f t="shared" si="30"/>
        <v>1016.4523809523813</v>
      </c>
      <c r="BB70" s="54"/>
      <c r="BC70" s="54"/>
      <c r="BD70" s="22" t="s">
        <v>509</v>
      </c>
      <c r="BE70" s="23">
        <v>-296.07041834578746</v>
      </c>
      <c r="BF70" s="23">
        <v>-274.71520184021438</v>
      </c>
      <c r="BG70" s="23">
        <v>2.0957008230647598E-3</v>
      </c>
      <c r="BH70" s="23">
        <v>-2.9270878092029789E-5</v>
      </c>
      <c r="BI70" s="23">
        <v>-1.5297142583744455E-2</v>
      </c>
      <c r="BJ70" s="23">
        <v>1821.568273874821</v>
      </c>
      <c r="BK70" s="23">
        <v>910.78413693741049</v>
      </c>
      <c r="BL70" s="92">
        <v>2.25</v>
      </c>
      <c r="BM70" s="91">
        <v>2</v>
      </c>
      <c r="BN70" s="5">
        <f t="shared" si="31"/>
        <v>19.473749999999999</v>
      </c>
      <c r="BO70" s="54">
        <f>_xll.Bimoment(BH70,AY70,AC70,AD70,$O$101)</f>
        <v>1.3390462001496066E-4</v>
      </c>
      <c r="BP70" s="5">
        <f t="shared" si="32"/>
        <v>0.31313609467455605</v>
      </c>
      <c r="BQ70" s="5">
        <f t="shared" si="33"/>
        <v>18.986606903160286</v>
      </c>
      <c r="BR70" s="24" t="str">
        <f t="shared" si="34"/>
        <v>Cal</v>
      </c>
      <c r="BS70" s="25">
        <f t="shared" si="35"/>
        <v>5.9383211364108318E-2</v>
      </c>
      <c r="BT70" s="25" t="str">
        <f t="shared" si="36"/>
        <v>CT.105</v>
      </c>
      <c r="BU70" s="25">
        <f t="shared" si="37"/>
        <v>1</v>
      </c>
      <c r="BV70" s="25" cm="1">
        <f t="array" ref="BV70">IF(BT70="CT.104",_xll.TCVN5575AnnexEHeSoCx(1,BP70),1)</f>
        <v>1</v>
      </c>
      <c r="BW70" s="25">
        <f t="shared" si="38"/>
        <v>1</v>
      </c>
      <c r="BX70" s="25">
        <f t="shared" si="39"/>
        <v>6.2508643541166656E-2</v>
      </c>
      <c r="BY70" s="25">
        <f t="shared" si="40"/>
        <v>0.97872373672127222</v>
      </c>
      <c r="BZ70" s="25">
        <f t="shared" si="41"/>
        <v>1.6743476942454602E-4</v>
      </c>
      <c r="CA70" s="25">
        <f t="shared" si="42"/>
        <v>2.1667307391257841E-6</v>
      </c>
      <c r="CB70" s="25">
        <f t="shared" si="43"/>
        <v>1.0414019817626023</v>
      </c>
      <c r="CC70" s="5" t="str">
        <f t="shared" si="44"/>
        <v>Check</v>
      </c>
      <c r="CD70" s="5">
        <f t="shared" si="45"/>
        <v>37.545238889226049</v>
      </c>
      <c r="CE70" s="5">
        <f t="shared" si="46"/>
        <v>37.181722419139881</v>
      </c>
      <c r="CF70" s="5">
        <f t="shared" si="47"/>
        <v>1.2506397644909562</v>
      </c>
      <c r="CG70" s="5">
        <f t="shared" si="48"/>
        <v>1.2385309547993069</v>
      </c>
      <c r="CH70" s="5">
        <f t="shared" si="49"/>
        <v>15.657414419442789</v>
      </c>
      <c r="CI70" s="68">
        <f>_xll.DCETCVN5575PhuLucD2Eta(BP70,CH70,CF70)</f>
        <v>1.2126272189349112</v>
      </c>
      <c r="CJ70" s="5">
        <f t="shared" si="50"/>
        <v>18.986606903160286</v>
      </c>
      <c r="CK70" s="5">
        <f>MIN(noisuy2chieu(CJ70,CF70,Data!$DA$2:$EB$24),1)</f>
        <v>7.6048463582992554E-2</v>
      </c>
      <c r="CL70" s="102">
        <f t="shared" si="51"/>
        <v>0.82195800672488617</v>
      </c>
      <c r="CM70" s="5" t="str">
        <f t="shared" si="52"/>
        <v>OK</v>
      </c>
      <c r="CN70" s="5">
        <f t="shared" si="53"/>
        <v>0.86643683692746631</v>
      </c>
      <c r="CO70" s="5">
        <f t="shared" si="54"/>
        <v>0.5370345235716667</v>
      </c>
      <c r="CP70" s="25">
        <f>_xll.DCETCVNPhuLucFHeSoOnDinh(1, 0.2, AG70, AH70, AI70, AJ70, AI70, AJ70, $D$28)</f>
        <v>1</v>
      </c>
      <c r="CQ70" s="68">
        <f t="shared" si="55"/>
        <v>0.9</v>
      </c>
      <c r="CR70" s="68">
        <f t="shared" si="56"/>
        <v>1</v>
      </c>
      <c r="CS70" s="5">
        <f t="shared" si="57"/>
        <v>0.18181818181818182</v>
      </c>
      <c r="CT70" s="5">
        <f t="shared" si="58"/>
        <v>0.10347287704587492</v>
      </c>
      <c r="CU70" s="26">
        <f t="shared" si="59"/>
        <v>7.8287072097213946</v>
      </c>
      <c r="CV70" s="5"/>
      <c r="CW70" s="25"/>
      <c r="CX70" s="72">
        <f>MAX(_xll.Dce_c_925(CU70, CQ70, CR70, CN70, CP70, CS70, CT70),0.3)</f>
        <v>0.3</v>
      </c>
      <c r="CY70" s="102">
        <f t="shared" si="60"/>
        <v>0.24048163265554373</v>
      </c>
      <c r="CZ70" s="5" t="str">
        <f t="shared" si="61"/>
        <v>OK</v>
      </c>
      <c r="DA70" s="47">
        <f t="shared" si="62"/>
        <v>0.34499859601035404</v>
      </c>
      <c r="DB70" s="46">
        <f t="shared" si="63"/>
        <v>0.48385309547993066</v>
      </c>
      <c r="DC70" s="5" t="str">
        <f t="shared" si="64"/>
        <v>OK</v>
      </c>
      <c r="DD70" s="5">
        <f t="shared" si="65"/>
        <v>1.2506397644909562</v>
      </c>
      <c r="DE70" s="5">
        <f t="shared" si="66"/>
        <v>4.4677979100191463</v>
      </c>
      <c r="DF70" s="5" t="str">
        <f t="shared" si="67"/>
        <v>-</v>
      </c>
      <c r="DG70" s="5" t="str">
        <f t="shared" si="68"/>
        <v>-</v>
      </c>
      <c r="DH70" s="203">
        <f t="shared" si="69"/>
        <v>37.545238889226049</v>
      </c>
      <c r="DI70" s="203">
        <f t="shared" si="70"/>
        <v>160.68251959650684</v>
      </c>
      <c r="DJ70" s="46">
        <f t="shared" si="71"/>
        <v>0.23366100421817299</v>
      </c>
      <c r="DK70" s="5" t="str">
        <f t="shared" si="72"/>
        <v>OK</v>
      </c>
      <c r="EB70" s="18"/>
      <c r="EC70" s="77"/>
      <c r="ED70" s="77"/>
      <c r="EE70" s="18"/>
      <c r="EF70" s="18"/>
      <c r="EG70" s="18"/>
      <c r="EH70" s="5"/>
      <c r="EI70" s="5"/>
      <c r="EJ70" s="5"/>
      <c r="EK70" s="5"/>
      <c r="EL70" s="5"/>
      <c r="FE70" s="26"/>
      <c r="FF70" s="26"/>
      <c r="FG70" s="26"/>
      <c r="FH70" s="26"/>
      <c r="FI70" s="26"/>
      <c r="FJ70" s="26"/>
      <c r="FK70" s="26"/>
      <c r="FL70" s="26"/>
      <c r="FM70" s="26"/>
      <c r="FN70" s="205"/>
      <c r="FO70" s="205"/>
      <c r="FP70" s="205"/>
      <c r="FQ70" s="205"/>
      <c r="FR70" s="205"/>
      <c r="FS70" s="205"/>
      <c r="FT70" s="205"/>
      <c r="FU70" s="77"/>
      <c r="FV70" s="77"/>
      <c r="FW70" s="77"/>
      <c r="FX70" s="205"/>
      <c r="FY70" s="205"/>
      <c r="FZ70" s="205"/>
      <c r="GA70" s="205"/>
      <c r="GB70" s="205"/>
      <c r="GC70" s="205"/>
      <c r="GD70" s="205"/>
      <c r="GE70" s="205"/>
      <c r="GF70" s="205"/>
      <c r="GG70" s="205"/>
      <c r="GH70" s="205"/>
      <c r="GI70" s="205"/>
      <c r="GJ70" s="205"/>
      <c r="GK70" s="205"/>
      <c r="GL70" s="205"/>
      <c r="GM70" s="205"/>
      <c r="GN70" s="205"/>
      <c r="GO70" s="205"/>
      <c r="GP70" s="205"/>
      <c r="GQ70" s="205"/>
      <c r="GR70" s="205"/>
      <c r="GS70" s="205"/>
      <c r="GT70" s="205"/>
      <c r="GU70" s="205"/>
      <c r="GV70" s="18"/>
      <c r="GW70" s="5"/>
      <c r="GX70" s="5"/>
      <c r="GY70" s="77"/>
      <c r="GZ70" s="18"/>
      <c r="HA70" s="18"/>
      <c r="HB70" s="18"/>
      <c r="HC70" s="18"/>
      <c r="HD70" s="18"/>
      <c r="HE70" s="18"/>
      <c r="HF70" s="18"/>
      <c r="HG70" s="18"/>
      <c r="HH70" s="205"/>
      <c r="HI70" s="26"/>
      <c r="HJ70" s="26"/>
      <c r="HK70" s="5"/>
    </row>
    <row r="71" spans="2:219">
      <c r="B71" s="231" t="s">
        <v>479</v>
      </c>
      <c r="C71" s="2"/>
      <c r="D71" s="2"/>
      <c r="E71" s="2"/>
      <c r="F71" s="2"/>
      <c r="G71" s="2"/>
      <c r="H71" s="2"/>
      <c r="I71" s="2"/>
      <c r="J71" s="2"/>
      <c r="K71" s="238"/>
      <c r="L71" s="238"/>
      <c r="M71" s="240"/>
      <c r="N71" s="21"/>
      <c r="AA71" s="18" t="s">
        <v>488</v>
      </c>
      <c r="AB71" s="22" t="s">
        <v>489</v>
      </c>
      <c r="AC71" s="59">
        <v>0</v>
      </c>
      <c r="AD71" s="59">
        <v>8.6549999999999994</v>
      </c>
      <c r="AE71" s="22">
        <v>528</v>
      </c>
      <c r="AF71" s="22">
        <v>1528</v>
      </c>
      <c r="AG71" s="22">
        <v>528</v>
      </c>
      <c r="AH71" s="6">
        <v>10</v>
      </c>
      <c r="AI71" s="6">
        <v>300</v>
      </c>
      <c r="AJ71" s="6">
        <v>14</v>
      </c>
      <c r="AK71" s="24">
        <v>300</v>
      </c>
      <c r="AL71" s="24">
        <v>14</v>
      </c>
      <c r="AM71" s="5">
        <f t="shared" si="17"/>
        <v>500</v>
      </c>
      <c r="AN71" s="26">
        <f t="shared" si="18"/>
        <v>134</v>
      </c>
      <c r="AO71" s="26">
        <f t="shared" si="19"/>
        <v>65911.546666666676</v>
      </c>
      <c r="AP71" s="15">
        <f t="shared" si="20"/>
        <v>6304.166666666667</v>
      </c>
      <c r="AQ71" s="5">
        <f t="shared" si="21"/>
        <v>2496.6494949494954</v>
      </c>
      <c r="AR71" s="26">
        <f t="shared" si="22"/>
        <v>420.27777777777777</v>
      </c>
      <c r="AS71" s="26">
        <f t="shared" si="23"/>
        <v>1391.9</v>
      </c>
      <c r="AT71" s="26">
        <f t="shared" si="24"/>
        <v>22.178305028345793</v>
      </c>
      <c r="AU71" s="26">
        <f t="shared" si="25"/>
        <v>6.8590101254115021</v>
      </c>
      <c r="AV71" s="95">
        <f t="shared" si="26"/>
        <v>7.201333333333334E-7</v>
      </c>
      <c r="AW71" s="95">
        <f t="shared" si="27"/>
        <v>4161087</v>
      </c>
      <c r="AX71" s="95">
        <f t="shared" si="28"/>
        <v>4.1610870000000001E-6</v>
      </c>
      <c r="AY71" s="54">
        <f t="shared" si="29"/>
        <v>0.25762202780669918</v>
      </c>
      <c r="AZ71" s="54" t="str">
        <f>_xll.Dce_Name_SectI(AE71,AF71,AI71,AH71,AJ71,"x","-",$O$11)</f>
        <v>(528-1528)x300x10x14</v>
      </c>
      <c r="BA71" s="15">
        <f t="shared" si="30"/>
        <v>385.5</v>
      </c>
      <c r="BB71" s="54"/>
      <c r="BC71" s="54"/>
      <c r="BD71" s="22" t="s">
        <v>510</v>
      </c>
      <c r="BE71" s="23">
        <v>-90.901421163474168</v>
      </c>
      <c r="BF71" s="23">
        <v>-96.547639726988905</v>
      </c>
      <c r="BG71" s="23">
        <v>-1.0832883209780141E-3</v>
      </c>
      <c r="BH71" s="23">
        <v>1.5130404126787718E-5</v>
      </c>
      <c r="BI71" s="23">
        <v>1.0390062022719306E-6</v>
      </c>
      <c r="BJ71" s="23">
        <v>-1.1770288820964416</v>
      </c>
      <c r="BK71" s="23">
        <v>304.06042625249574</v>
      </c>
      <c r="BL71" s="92">
        <v>2.25</v>
      </c>
      <c r="BM71" s="91">
        <v>2</v>
      </c>
      <c r="BN71" s="5">
        <f t="shared" si="31"/>
        <v>19.473749999999999</v>
      </c>
      <c r="BO71" s="54">
        <f>_xll.Bimoment(BH71,AY71,AC71,AD71,$O$101)</f>
        <v>0</v>
      </c>
      <c r="BP71" s="5">
        <f t="shared" si="32"/>
        <v>0.84</v>
      </c>
      <c r="BQ71" s="5">
        <f t="shared" si="33"/>
        <v>0.10541639637572685</v>
      </c>
      <c r="BR71" s="24" t="str">
        <f t="shared" si="34"/>
        <v>Cal</v>
      </c>
      <c r="BS71" s="25">
        <f t="shared" si="35"/>
        <v>2.9678635641059666E-2</v>
      </c>
      <c r="BT71" s="25" t="str">
        <f t="shared" si="36"/>
        <v>CT.105</v>
      </c>
      <c r="BU71" s="25">
        <f t="shared" si="37"/>
        <v>1</v>
      </c>
      <c r="BV71" s="25" cm="1">
        <f t="array" ref="BV71">IF(BT71="CT.104",_xll.TCVN5575AnnexEHeSoCx(1,BP71),1)</f>
        <v>1</v>
      </c>
      <c r="BW71" s="25">
        <f t="shared" si="38"/>
        <v>1</v>
      </c>
      <c r="BX71" s="25">
        <f t="shared" si="39"/>
        <v>3.124066909585228E-2</v>
      </c>
      <c r="BY71" s="25">
        <f t="shared" si="40"/>
        <v>2.1711208391334172E-3</v>
      </c>
      <c r="BZ71" s="25">
        <f t="shared" si="41"/>
        <v>1.1385082050845588E-8</v>
      </c>
      <c r="CA71" s="25">
        <f t="shared" si="42"/>
        <v>0</v>
      </c>
      <c r="CB71" s="25">
        <f t="shared" si="43"/>
        <v>3.3411801320067748E-2</v>
      </c>
      <c r="CC71" s="5" t="str">
        <f t="shared" si="44"/>
        <v>OK</v>
      </c>
      <c r="CD71" s="5">
        <f t="shared" si="45"/>
        <v>87.805402509844015</v>
      </c>
      <c r="CE71" s="5">
        <f t="shared" si="46"/>
        <v>29.158726455153193</v>
      </c>
      <c r="CF71" s="5">
        <f t="shared" si="47"/>
        <v>2.9248163326364334</v>
      </c>
      <c r="CG71" s="5">
        <f t="shared" si="48"/>
        <v>0.97128328026682387</v>
      </c>
      <c r="CH71" s="5">
        <f t="shared" si="49"/>
        <v>6.9496617773198391E-2</v>
      </c>
      <c r="CI71" s="68">
        <f>_xll.DCETCVN5575PhuLucD2Eta(BP71,CH71,CF71)</f>
        <v>1.516856499689702</v>
      </c>
      <c r="CJ71" s="5">
        <f t="shared" si="50"/>
        <v>0.10541639637572685</v>
      </c>
      <c r="CK71" s="5">
        <f>MIN(noisuy2chieu(CJ71,CF71,Data!$DA$2:$EB$24),1)</f>
        <v>0.67574989795684814</v>
      </c>
      <c r="CL71" s="102">
        <f t="shared" si="51"/>
        <v>4.6231111821562192E-2</v>
      </c>
      <c r="CM71" s="5" t="str">
        <f t="shared" si="52"/>
        <v>OK</v>
      </c>
      <c r="CN71" s="5">
        <f t="shared" si="53"/>
        <v>0.90492218941026858</v>
      </c>
      <c r="CO71" s="5">
        <f t="shared" si="54"/>
        <v>0.5370345235716667</v>
      </c>
      <c r="CP71" s="25">
        <f>_xll.DCETCVNPhuLucFHeSoOnDinh(1, 0.2, AG71, AH71, AI71, AJ71, AI71, AJ71, $D$28)</f>
        <v>1</v>
      </c>
      <c r="CQ71" s="68">
        <f t="shared" si="55"/>
        <v>0.9</v>
      </c>
      <c r="CR71" s="68">
        <f t="shared" si="56"/>
        <v>1</v>
      </c>
      <c r="CS71" s="5">
        <f t="shared" si="57"/>
        <v>0.18181818181818182</v>
      </c>
      <c r="CT71" s="5">
        <f t="shared" si="58"/>
        <v>9.9510191986788829E-2</v>
      </c>
      <c r="CU71" s="26">
        <f t="shared" si="59"/>
        <v>17.952975958914543</v>
      </c>
      <c r="CV71" s="5"/>
      <c r="CW71" s="25"/>
      <c r="CX71" s="72">
        <f>MAX(_xll.Dce_c_925(CU71, CQ71, CR71, CN71, CP71, CS71, CT71),0.3)</f>
        <v>0.3</v>
      </c>
      <c r="CY71" s="102">
        <f t="shared" si="60"/>
        <v>0.11507681530133032</v>
      </c>
      <c r="CZ71" s="5" t="str">
        <f t="shared" si="61"/>
        <v>OK</v>
      </c>
      <c r="DA71" s="47">
        <f t="shared" si="62"/>
        <v>0.34499859601035404</v>
      </c>
      <c r="DB71" s="46">
        <f t="shared" si="63"/>
        <v>0.45712832802668235</v>
      </c>
      <c r="DC71" s="5" t="str">
        <f t="shared" si="64"/>
        <v>OK</v>
      </c>
      <c r="DD71" s="5">
        <f t="shared" si="65"/>
        <v>2.9248163326364334</v>
      </c>
      <c r="DE71" s="5">
        <f t="shared" si="66"/>
        <v>1.6655104634982609</v>
      </c>
      <c r="DF71" s="5" t="str">
        <f t="shared" si="67"/>
        <v>-</v>
      </c>
      <c r="DG71" s="5" t="str">
        <f t="shared" si="68"/>
        <v>-</v>
      </c>
      <c r="DH71" s="203" t="str">
        <f t="shared" si="69"/>
        <v>-</v>
      </c>
      <c r="DI71" s="203">
        <f t="shared" si="70"/>
        <v>180</v>
      </c>
      <c r="DJ71" s="46">
        <f t="shared" si="71"/>
        <v>0</v>
      </c>
      <c r="DK71" s="5" t="str">
        <f t="shared" si="72"/>
        <v>OK</v>
      </c>
      <c r="EB71" s="18"/>
      <c r="EC71" s="77"/>
      <c r="ED71" s="77"/>
      <c r="EE71" s="18"/>
      <c r="EF71" s="18"/>
      <c r="EG71" s="18"/>
      <c r="EH71" s="5"/>
      <c r="EI71" s="5"/>
      <c r="EJ71" s="5"/>
      <c r="EK71" s="5"/>
      <c r="EL71" s="5"/>
      <c r="FE71" s="26"/>
      <c r="FF71" s="26"/>
      <c r="FG71" s="26"/>
      <c r="FH71" s="26"/>
      <c r="FI71" s="26"/>
      <c r="FJ71" s="26"/>
      <c r="FK71" s="26"/>
      <c r="FL71" s="26"/>
      <c r="FM71" s="26"/>
      <c r="FN71" s="205"/>
      <c r="FO71" s="205"/>
      <c r="FP71" s="205"/>
      <c r="FQ71" s="205"/>
      <c r="FR71" s="205"/>
      <c r="FS71" s="205"/>
      <c r="FT71" s="205"/>
      <c r="FU71" s="77"/>
      <c r="FV71" s="77"/>
      <c r="FW71" s="77"/>
      <c r="FX71" s="205"/>
      <c r="FY71" s="205"/>
      <c r="FZ71" s="205"/>
      <c r="GA71" s="205"/>
      <c r="GB71" s="205"/>
      <c r="GC71" s="205"/>
      <c r="GD71" s="205"/>
      <c r="GE71" s="205"/>
      <c r="GF71" s="205"/>
      <c r="GG71" s="205"/>
      <c r="GH71" s="205"/>
      <c r="GI71" s="205"/>
      <c r="GJ71" s="205"/>
      <c r="GK71" s="205"/>
      <c r="GL71" s="205"/>
      <c r="GM71" s="205"/>
      <c r="GN71" s="205"/>
      <c r="GO71" s="205"/>
      <c r="GP71" s="205"/>
      <c r="GQ71" s="205"/>
      <c r="GR71" s="205"/>
      <c r="GS71" s="205"/>
      <c r="GT71" s="205"/>
      <c r="GU71" s="205"/>
      <c r="GV71" s="18"/>
      <c r="GW71" s="5"/>
      <c r="GX71" s="5"/>
      <c r="GY71" s="77"/>
      <c r="GZ71" s="18"/>
      <c r="HA71" s="18"/>
      <c r="HB71" s="18"/>
      <c r="HC71" s="18"/>
      <c r="HD71" s="18"/>
      <c r="HE71" s="18"/>
      <c r="HF71" s="18"/>
      <c r="HG71" s="18"/>
      <c r="HH71" s="205"/>
      <c r="HI71" s="26"/>
      <c r="HJ71" s="26"/>
      <c r="HK71" s="5"/>
    </row>
    <row r="72" spans="2:219" ht="15">
      <c r="B72" s="172" t="s">
        <v>480</v>
      </c>
      <c r="C72" s="2"/>
      <c r="D72" s="2"/>
      <c r="E72" s="2"/>
      <c r="F72" s="2"/>
      <c r="G72" s="2"/>
      <c r="H72" s="2"/>
      <c r="I72" s="2"/>
      <c r="J72" s="2"/>
      <c r="K72" s="256" t="s">
        <v>355</v>
      </c>
      <c r="L72" s="275">
        <f>0.5*SQRT($D$28/MIN(ABS(L32)*1000/(J28)+ABS(K32)*1000/(K28),$D$28))</f>
        <v>0.5</v>
      </c>
      <c r="M72" s="240"/>
      <c r="N72" s="21"/>
      <c r="AA72" s="18" t="s">
        <v>488</v>
      </c>
      <c r="AB72" s="22" t="s">
        <v>489</v>
      </c>
      <c r="AC72" s="59">
        <v>3.6405952380952398</v>
      </c>
      <c r="AD72" s="59">
        <v>8.6549999999999994</v>
      </c>
      <c r="AE72" s="22">
        <v>528</v>
      </c>
      <c r="AF72" s="22">
        <v>1528</v>
      </c>
      <c r="AG72" s="22">
        <v>948.63492063492095</v>
      </c>
      <c r="AH72" s="6">
        <v>10</v>
      </c>
      <c r="AI72" s="6">
        <v>300</v>
      </c>
      <c r="AJ72" s="6">
        <v>14</v>
      </c>
      <c r="AK72" s="24">
        <v>300</v>
      </c>
      <c r="AL72" s="24">
        <v>14</v>
      </c>
      <c r="AM72" s="5">
        <f t="shared" si="17"/>
        <v>920.63492063492095</v>
      </c>
      <c r="AN72" s="26">
        <f t="shared" si="18"/>
        <v>176.06349206349208</v>
      </c>
      <c r="AO72" s="26">
        <f t="shared" si="19"/>
        <v>248482.7399356656</v>
      </c>
      <c r="AP72" s="15">
        <f t="shared" si="20"/>
        <v>6307.6719576719579</v>
      </c>
      <c r="AQ72" s="5">
        <f t="shared" si="21"/>
        <v>5238.7432621467533</v>
      </c>
      <c r="AR72" s="26">
        <f t="shared" si="22"/>
        <v>420.51146384479722</v>
      </c>
      <c r="AS72" s="26">
        <f t="shared" si="23"/>
        <v>3022.1941546989178</v>
      </c>
      <c r="AT72" s="26">
        <f t="shared" si="24"/>
        <v>37.567600585756203</v>
      </c>
      <c r="AU72" s="26">
        <f t="shared" si="25"/>
        <v>5.9854925384629922</v>
      </c>
      <c r="AV72" s="95">
        <f t="shared" si="26"/>
        <v>8.6034497354497351E-7</v>
      </c>
      <c r="AW72" s="95">
        <f t="shared" si="27"/>
        <v>13758293.349206358</v>
      </c>
      <c r="AX72" s="95">
        <f t="shared" si="28"/>
        <v>1.3758293349206359E-5</v>
      </c>
      <c r="AY72" s="54">
        <f t="shared" si="29"/>
        <v>0.1548581140202015</v>
      </c>
      <c r="AZ72" s="54" t="str">
        <f>_xll.Dce_Name_SectI(AE72,AF72,AI72,AH72,AJ72,"x","-",$O$11)</f>
        <v>(528-1528)x300x10x14</v>
      </c>
      <c r="BA72" s="15">
        <f t="shared" si="30"/>
        <v>700.97619047619071</v>
      </c>
      <c r="BB72" s="54"/>
      <c r="BC72" s="54"/>
      <c r="BD72" s="22" t="s">
        <v>510</v>
      </c>
      <c r="BE72" s="23">
        <v>-85.07828047690839</v>
      </c>
      <c r="BF72" s="23">
        <v>-83.466830664271441</v>
      </c>
      <c r="BG72" s="23">
        <v>-1.08328832097721E-3</v>
      </c>
      <c r="BH72" s="23">
        <v>1.5130404126787718E-5</v>
      </c>
      <c r="BI72" s="23">
        <v>3.9541410608418988E-3</v>
      </c>
      <c r="BJ72" s="23">
        <v>327.24238602865148</v>
      </c>
      <c r="BK72" s="23">
        <v>304.06042625249574</v>
      </c>
      <c r="BL72" s="92">
        <v>2.25</v>
      </c>
      <c r="BM72" s="91">
        <v>2</v>
      </c>
      <c r="BN72" s="5">
        <f t="shared" si="31"/>
        <v>19.473749999999999</v>
      </c>
      <c r="BO72" s="54">
        <f>_xll.Bimoment(BH72,AY72,AC72,AD72,$O$101)</f>
        <v>-1.1636289502959087E-4</v>
      </c>
      <c r="BP72" s="5">
        <f t="shared" si="32"/>
        <v>0.45620689655172403</v>
      </c>
      <c r="BQ72" s="5">
        <f t="shared" si="33"/>
        <v>16.045353449552291</v>
      </c>
      <c r="BR72" s="24" t="str">
        <f t="shared" si="34"/>
        <v>Cal</v>
      </c>
      <c r="BS72" s="25">
        <f t="shared" si="35"/>
        <v>2.1141093631849867E-2</v>
      </c>
      <c r="BT72" s="25" t="str">
        <f t="shared" si="36"/>
        <v>CT.105</v>
      </c>
      <c r="BU72" s="25">
        <f t="shared" si="37"/>
        <v>1</v>
      </c>
      <c r="BV72" s="25" cm="1">
        <f t="array" ref="BV72">IF(BT72="CT.104",_xll.TCVN5575AnnexEHeSoCx(1,BP72),1)</f>
        <v>1</v>
      </c>
      <c r="BW72" s="25">
        <f t="shared" si="38"/>
        <v>1</v>
      </c>
      <c r="BX72" s="25">
        <f t="shared" si="39"/>
        <v>2.2253782770368279E-2</v>
      </c>
      <c r="BY72" s="25">
        <f t="shared" si="40"/>
        <v>0.28767153278318064</v>
      </c>
      <c r="BZ72" s="25">
        <f t="shared" si="41"/>
        <v>4.3304075427857832E-5</v>
      </c>
      <c r="CA72" s="25">
        <f t="shared" si="42"/>
        <v>2.7302830411284294E-6</v>
      </c>
      <c r="CB72" s="25">
        <f t="shared" si="43"/>
        <v>0.30997134991201791</v>
      </c>
      <c r="CC72" s="5" t="str">
        <f t="shared" si="44"/>
        <v>OK</v>
      </c>
      <c r="CD72" s="5">
        <f t="shared" si="45"/>
        <v>51.836555160202302</v>
      </c>
      <c r="CE72" s="5">
        <f t="shared" si="46"/>
        <v>33.414125690541383</v>
      </c>
      <c r="CF72" s="5">
        <f t="shared" si="47"/>
        <v>1.7266865002204341</v>
      </c>
      <c r="CG72" s="5">
        <f t="shared" si="48"/>
        <v>1.1130315193248546</v>
      </c>
      <c r="CH72" s="5">
        <f t="shared" si="49"/>
        <v>12.926859929909337</v>
      </c>
      <c r="CI72" s="68">
        <f>_xll.DCETCVN5575PhuLucD2Eta(BP72,CH72,CF72)</f>
        <v>1.2412413793103447</v>
      </c>
      <c r="CJ72" s="5">
        <f t="shared" si="50"/>
        <v>16.045353449552291</v>
      </c>
      <c r="CK72" s="5">
        <f>MIN(noisuy2chieu(CJ72,CF72,Data!$DA$2:$EB$24),1)</f>
        <v>8.5761010646820068E-2</v>
      </c>
      <c r="CL72" s="102">
        <f t="shared" si="51"/>
        <v>0.25948601354540402</v>
      </c>
      <c r="CM72" s="5" t="str">
        <f t="shared" si="52"/>
        <v>OK</v>
      </c>
      <c r="CN72" s="5">
        <f t="shared" si="53"/>
        <v>0.88472625978979058</v>
      </c>
      <c r="CO72" s="5">
        <f t="shared" si="54"/>
        <v>0.5370345235716667</v>
      </c>
      <c r="CP72" s="25">
        <f>_xll.DCETCVNPhuLucFHeSoOnDinh(1, 0.2, AG72, AH72, AI72, AJ72, AI72, AJ72, $D$28)</f>
        <v>1</v>
      </c>
      <c r="CQ72" s="68">
        <f t="shared" si="55"/>
        <v>0.9</v>
      </c>
      <c r="CR72" s="68">
        <f t="shared" si="56"/>
        <v>1</v>
      </c>
      <c r="CS72" s="5">
        <f t="shared" si="57"/>
        <v>0.18181818181818182</v>
      </c>
      <c r="CT72" s="5">
        <f t="shared" si="58"/>
        <v>0.10155106457844131</v>
      </c>
      <c r="CU72" s="26">
        <f t="shared" si="59"/>
        <v>12.011116860792002</v>
      </c>
      <c r="CV72" s="5"/>
      <c r="CW72" s="25"/>
      <c r="CX72" s="72">
        <f>MAX(_xll.Dce_c_925(CU72, CQ72, CR72, CN72, CP72, CS72, CT72),0.3)</f>
        <v>0.3</v>
      </c>
      <c r="CY72" s="102">
        <f t="shared" si="60"/>
        <v>8.3844324818450042E-2</v>
      </c>
      <c r="CZ72" s="5" t="str">
        <f t="shared" si="61"/>
        <v>OK</v>
      </c>
      <c r="DA72" s="47">
        <f t="shared" si="62"/>
        <v>0.34499859601035404</v>
      </c>
      <c r="DB72" s="46">
        <f t="shared" si="63"/>
        <v>0.47130315193248545</v>
      </c>
      <c r="DC72" s="5" t="str">
        <f t="shared" si="64"/>
        <v>OK</v>
      </c>
      <c r="DD72" s="5">
        <f t="shared" si="65"/>
        <v>1.7266865002204341</v>
      </c>
      <c r="DE72" s="5">
        <f t="shared" si="66"/>
        <v>3.0666541867587034</v>
      </c>
      <c r="DF72" s="5" t="str">
        <f t="shared" si="67"/>
        <v>-</v>
      </c>
      <c r="DG72" s="5" t="str">
        <f t="shared" si="68"/>
        <v>-</v>
      </c>
      <c r="DH72" s="203">
        <f t="shared" si="69"/>
        <v>51.836555160202302</v>
      </c>
      <c r="DI72" s="203">
        <f t="shared" si="70"/>
        <v>180</v>
      </c>
      <c r="DJ72" s="46">
        <f t="shared" si="71"/>
        <v>0.28798086200112388</v>
      </c>
      <c r="DK72" s="5" t="str">
        <f t="shared" si="72"/>
        <v>OK</v>
      </c>
      <c r="EB72" s="18"/>
      <c r="EC72" s="77"/>
      <c r="ED72" s="77"/>
      <c r="EE72" s="18"/>
      <c r="EF72" s="18"/>
      <c r="EG72" s="18"/>
      <c r="EH72" s="5"/>
      <c r="EI72" s="5"/>
      <c r="EJ72" s="5"/>
      <c r="EK72" s="5"/>
      <c r="EL72" s="5"/>
      <c r="FE72" s="26"/>
      <c r="FF72" s="26"/>
      <c r="FG72" s="26"/>
      <c r="FH72" s="26"/>
      <c r="FI72" s="26"/>
      <c r="FJ72" s="26"/>
      <c r="FK72" s="26"/>
      <c r="FL72" s="26"/>
      <c r="FM72" s="26"/>
      <c r="FN72" s="205"/>
      <c r="FO72" s="205"/>
      <c r="FP72" s="205"/>
      <c r="FQ72" s="205"/>
      <c r="FR72" s="205"/>
      <c r="FS72" s="205"/>
      <c r="FT72" s="205"/>
      <c r="FU72" s="77"/>
      <c r="FV72" s="77"/>
      <c r="FW72" s="77"/>
      <c r="FX72" s="205"/>
      <c r="FY72" s="205"/>
      <c r="FZ72" s="205"/>
      <c r="GA72" s="205"/>
      <c r="GB72" s="205"/>
      <c r="GC72" s="205"/>
      <c r="GD72" s="205"/>
      <c r="GE72" s="205"/>
      <c r="GF72" s="205"/>
      <c r="GG72" s="205"/>
      <c r="GH72" s="205"/>
      <c r="GI72" s="205"/>
      <c r="GJ72" s="205"/>
      <c r="GK72" s="205"/>
      <c r="GL72" s="205"/>
      <c r="GM72" s="205"/>
      <c r="GN72" s="205"/>
      <c r="GO72" s="205"/>
      <c r="GP72" s="205"/>
      <c r="GQ72" s="205"/>
      <c r="GR72" s="205"/>
      <c r="GS72" s="205"/>
      <c r="GT72" s="205"/>
      <c r="GU72" s="205"/>
      <c r="GV72" s="18"/>
      <c r="GW72" s="5"/>
      <c r="GX72" s="5"/>
      <c r="GY72" s="77"/>
      <c r="GZ72" s="18"/>
      <c r="HA72" s="18"/>
      <c r="HB72" s="18"/>
      <c r="HC72" s="18"/>
      <c r="HD72" s="18"/>
      <c r="HE72" s="18"/>
      <c r="HF72" s="18"/>
      <c r="HG72" s="18"/>
      <c r="HH72" s="205"/>
      <c r="HI72" s="26"/>
      <c r="HJ72" s="26"/>
      <c r="HK72" s="5"/>
    </row>
    <row r="73" spans="2:219">
      <c r="B73" s="83" t="s">
        <v>31</v>
      </c>
      <c r="C73" s="2" t="str">
        <f>IF(H32&lt;0,"-",IF(L65&lt;=L72,"Bản cánh đảm bảo điều kiện ổn định cục bộ","Bản cánh sẽ được gia cường sườn tăng cứng theo TCVN 5575:2024"))</f>
        <v>-</v>
      </c>
      <c r="D73" s="2"/>
      <c r="E73" s="2"/>
      <c r="F73" s="2"/>
      <c r="G73" s="2"/>
      <c r="H73" s="2"/>
      <c r="I73" s="2"/>
      <c r="J73" s="2"/>
      <c r="K73" s="238"/>
      <c r="L73" s="238"/>
      <c r="M73" s="240"/>
      <c r="N73" s="21"/>
      <c r="AA73" s="18" t="s">
        <v>488</v>
      </c>
      <c r="AB73" s="22" t="s">
        <v>489</v>
      </c>
      <c r="AC73" s="59">
        <v>7.2811904761904795</v>
      </c>
      <c r="AD73" s="59">
        <v>8.6549999999999994</v>
      </c>
      <c r="AE73" s="22">
        <v>528</v>
      </c>
      <c r="AF73" s="22">
        <v>1528</v>
      </c>
      <c r="AG73" s="22">
        <v>1369.2698412698419</v>
      </c>
      <c r="AH73" s="6">
        <v>10</v>
      </c>
      <c r="AI73" s="6">
        <v>300</v>
      </c>
      <c r="AJ73" s="6">
        <v>14</v>
      </c>
      <c r="AK73" s="24">
        <v>300</v>
      </c>
      <c r="AL73" s="24">
        <v>14</v>
      </c>
      <c r="AM73" s="5">
        <f t="shared" si="17"/>
        <v>1341.2698412698419</v>
      </c>
      <c r="AN73" s="26">
        <f t="shared" si="18"/>
        <v>218.12698412698418</v>
      </c>
      <c r="AO73" s="26">
        <f t="shared" si="19"/>
        <v>586811.79072745051</v>
      </c>
      <c r="AP73" s="15">
        <f t="shared" si="20"/>
        <v>6311.1772486772488</v>
      </c>
      <c r="AQ73" s="5">
        <f t="shared" si="21"/>
        <v>8571.1635945074104</v>
      </c>
      <c r="AR73" s="26">
        <f t="shared" si="22"/>
        <v>420.74514991181661</v>
      </c>
      <c r="AS73" s="26">
        <f t="shared" si="23"/>
        <v>5094.8226505417015</v>
      </c>
      <c r="AT73" s="26">
        <f t="shared" si="24"/>
        <v>51.867428670398397</v>
      </c>
      <c r="AU73" s="26">
        <f t="shared" si="25"/>
        <v>5.3789869588463937</v>
      </c>
      <c r="AV73" s="95">
        <f t="shared" si="26"/>
        <v>1.0005566137566139E-6</v>
      </c>
      <c r="AW73" s="95">
        <f t="shared" si="27"/>
        <v>28928912.396825422</v>
      </c>
      <c r="AX73" s="95">
        <f t="shared" si="28"/>
        <v>2.8928912396825422E-5</v>
      </c>
      <c r="AY73" s="54">
        <f t="shared" si="29"/>
        <v>0.11516876660535029</v>
      </c>
      <c r="AZ73" s="54" t="str">
        <f>_xll.Dce_Name_SectI(AE73,AF73,AI73,AH73,AJ73,"x","-",$O$11)</f>
        <v>(528-1528)x300x10x14</v>
      </c>
      <c r="BA73" s="15">
        <f t="shared" si="30"/>
        <v>1016.4523809523813</v>
      </c>
      <c r="BB73" s="54"/>
      <c r="BC73" s="54"/>
      <c r="BD73" s="22" t="s">
        <v>510</v>
      </c>
      <c r="BE73" s="23">
        <v>-77.713704039850171</v>
      </c>
      <c r="BF73" s="23">
        <v>-70.491872132146</v>
      </c>
      <c r="BG73" s="23">
        <v>-1.0832883209764138E-3</v>
      </c>
      <c r="BH73" s="23">
        <v>1.5130404126787718E-5</v>
      </c>
      <c r="BI73" s="23">
        <v>7.9072431154786071E-3</v>
      </c>
      <c r="BJ73" s="23">
        <v>608.12085250499149</v>
      </c>
      <c r="BK73" s="23">
        <v>304.06042625249574</v>
      </c>
      <c r="BL73" s="92">
        <v>2.25</v>
      </c>
      <c r="BM73" s="91">
        <v>2</v>
      </c>
      <c r="BN73" s="5">
        <f t="shared" si="31"/>
        <v>19.473749999999999</v>
      </c>
      <c r="BO73" s="54">
        <f>_xll.Bimoment(BH73,AY73,AC73,AD73,$O$101)</f>
        <v>-6.9216612118717851E-5</v>
      </c>
      <c r="BP73" s="5">
        <f t="shared" si="32"/>
        <v>0.31313609467455605</v>
      </c>
      <c r="BQ73" s="5">
        <f t="shared" si="33"/>
        <v>24.148447164848921</v>
      </c>
      <c r="BR73" s="24" t="str">
        <f t="shared" si="34"/>
        <v>Cal</v>
      </c>
      <c r="BS73" s="25">
        <f t="shared" si="35"/>
        <v>1.5587134096917261E-2</v>
      </c>
      <c r="BT73" s="25" t="str">
        <f t="shared" si="36"/>
        <v>CT.105</v>
      </c>
      <c r="BU73" s="25">
        <f t="shared" si="37"/>
        <v>1</v>
      </c>
      <c r="BV73" s="25" cm="1">
        <f t="array" ref="BV73">IF(BT73="CT.104",_xll.TCVN5575AnnexEHeSoCx(1,BP73),1)</f>
        <v>1</v>
      </c>
      <c r="BW73" s="25">
        <f t="shared" si="38"/>
        <v>1</v>
      </c>
      <c r="BX73" s="25">
        <f t="shared" si="39"/>
        <v>1.6407509575702379E-2</v>
      </c>
      <c r="BY73" s="25">
        <f t="shared" si="40"/>
        <v>0.32674169926979751</v>
      </c>
      <c r="BZ73" s="25">
        <f t="shared" si="41"/>
        <v>8.6548675386662435E-5</v>
      </c>
      <c r="CA73" s="25">
        <f t="shared" si="42"/>
        <v>1.1200043816189183E-6</v>
      </c>
      <c r="CB73" s="25">
        <f t="shared" si="43"/>
        <v>0.34323687752526816</v>
      </c>
      <c r="CC73" s="5" t="str">
        <f t="shared" si="44"/>
        <v>OK</v>
      </c>
      <c r="CD73" s="5">
        <f t="shared" si="45"/>
        <v>37.545238889226049</v>
      </c>
      <c r="CE73" s="5">
        <f t="shared" si="46"/>
        <v>37.181722419139881</v>
      </c>
      <c r="CF73" s="5">
        <f t="shared" si="47"/>
        <v>1.2506397644909562</v>
      </c>
      <c r="CG73" s="5">
        <f t="shared" si="48"/>
        <v>1.2385309547993069</v>
      </c>
      <c r="CH73" s="5">
        <f t="shared" si="49"/>
        <v>19.914155634787139</v>
      </c>
      <c r="CI73" s="68">
        <f>_xll.DCETCVN5575PhuLucD2Eta(BP73,CH73,CF73)</f>
        <v>1.2126272189349112</v>
      </c>
      <c r="CJ73" s="5">
        <f t="shared" si="50"/>
        <v>24.148447164848921</v>
      </c>
      <c r="CK73" s="5">
        <f>MIN(noisuy2chieu(CJ73,CF73,Data!$DA$2:$EB$24),1)</f>
        <v>7.1994885802268982E-2</v>
      </c>
      <c r="CL73" s="102">
        <f t="shared" si="51"/>
        <v>0.22789826517351436</v>
      </c>
      <c r="CM73" s="5" t="str">
        <f t="shared" si="52"/>
        <v>OK</v>
      </c>
      <c r="CN73" s="5">
        <f t="shared" si="53"/>
        <v>0.86643683692746631</v>
      </c>
      <c r="CO73" s="5">
        <f t="shared" si="54"/>
        <v>0.5370345235716667</v>
      </c>
      <c r="CP73" s="25">
        <f>_xll.DCETCVNPhuLucFHeSoOnDinh(1, 0.2, AG73, AH73, AI73, AJ73, AI73, AJ73, $D$28)</f>
        <v>1</v>
      </c>
      <c r="CQ73" s="68">
        <f t="shared" si="55"/>
        <v>0.9</v>
      </c>
      <c r="CR73" s="68">
        <f t="shared" si="56"/>
        <v>1</v>
      </c>
      <c r="CS73" s="5">
        <f t="shared" si="57"/>
        <v>0.18181818181818182</v>
      </c>
      <c r="CT73" s="5">
        <f t="shared" si="58"/>
        <v>0.10347287704587492</v>
      </c>
      <c r="CU73" s="26">
        <f t="shared" si="59"/>
        <v>9.9570778173935697</v>
      </c>
      <c r="CV73" s="5"/>
      <c r="CW73" s="25"/>
      <c r="CX73" s="72">
        <f>MAX(_xll.Dce_c_925(CU73, CQ73, CR73, CN73, CP73, CS73, CT73),0.3)</f>
        <v>0.3</v>
      </c>
      <c r="CY73" s="102">
        <f t="shared" si="60"/>
        <v>6.3122545412105005E-2</v>
      </c>
      <c r="CZ73" s="5" t="str">
        <f t="shared" si="61"/>
        <v>OK</v>
      </c>
      <c r="DA73" s="47">
        <f t="shared" si="62"/>
        <v>0.34499859601035404</v>
      </c>
      <c r="DB73" s="46">
        <f t="shared" si="63"/>
        <v>0.48385309547993066</v>
      </c>
      <c r="DC73" s="5" t="str">
        <f t="shared" si="64"/>
        <v>OK</v>
      </c>
      <c r="DD73" s="5">
        <f t="shared" si="65"/>
        <v>1.2506397644909562</v>
      </c>
      <c r="DE73" s="5">
        <f t="shared" si="66"/>
        <v>4.4677979100191463</v>
      </c>
      <c r="DF73" s="5" t="str">
        <f t="shared" si="67"/>
        <v>-</v>
      </c>
      <c r="DG73" s="5" t="str">
        <f t="shared" si="68"/>
        <v>-</v>
      </c>
      <c r="DH73" s="203">
        <f t="shared" si="69"/>
        <v>37.545238889226049</v>
      </c>
      <c r="DI73" s="203">
        <f t="shared" si="70"/>
        <v>180</v>
      </c>
      <c r="DJ73" s="46">
        <f t="shared" si="71"/>
        <v>0.20858466049570026</v>
      </c>
      <c r="DK73" s="5" t="str">
        <f t="shared" si="72"/>
        <v>OK</v>
      </c>
      <c r="EB73" s="18"/>
      <c r="EC73" s="77"/>
      <c r="ED73" s="77"/>
      <c r="EE73" s="18"/>
      <c r="EF73" s="18"/>
      <c r="EG73" s="18"/>
      <c r="EH73" s="5"/>
      <c r="EI73" s="5"/>
      <c r="EJ73" s="5"/>
      <c r="EK73" s="5"/>
      <c r="EL73" s="5"/>
      <c r="FE73" s="26"/>
      <c r="FF73" s="26"/>
      <c r="FG73" s="26"/>
      <c r="FH73" s="26"/>
      <c r="FI73" s="26"/>
      <c r="FJ73" s="26"/>
      <c r="FK73" s="26"/>
      <c r="FL73" s="26"/>
      <c r="FM73" s="26"/>
      <c r="FN73" s="205"/>
      <c r="FO73" s="205"/>
      <c r="FP73" s="205"/>
      <c r="FQ73" s="205"/>
      <c r="FR73" s="205"/>
      <c r="FS73" s="205"/>
      <c r="FT73" s="205"/>
      <c r="FU73" s="77"/>
      <c r="FV73" s="77"/>
      <c r="FW73" s="77"/>
      <c r="FX73" s="205"/>
      <c r="FY73" s="205"/>
      <c r="FZ73" s="205"/>
      <c r="GA73" s="205"/>
      <c r="GB73" s="205"/>
      <c r="GC73" s="205"/>
      <c r="GD73" s="205"/>
      <c r="GE73" s="205"/>
      <c r="GF73" s="205"/>
      <c r="GG73" s="205"/>
      <c r="GH73" s="205"/>
      <c r="GI73" s="205"/>
      <c r="GJ73" s="205"/>
      <c r="GK73" s="205"/>
      <c r="GL73" s="205"/>
      <c r="GM73" s="205"/>
      <c r="GN73" s="205"/>
      <c r="GO73" s="205"/>
      <c r="GP73" s="205"/>
      <c r="GQ73" s="205"/>
      <c r="GR73" s="205"/>
      <c r="GS73" s="205"/>
      <c r="GT73" s="205"/>
      <c r="GU73" s="205"/>
      <c r="GV73" s="18"/>
      <c r="GW73" s="5"/>
      <c r="GX73" s="5"/>
      <c r="GY73" s="77"/>
      <c r="GZ73" s="18"/>
      <c r="HA73" s="18"/>
      <c r="HB73" s="18"/>
      <c r="HC73" s="18"/>
      <c r="HD73" s="18"/>
      <c r="HE73" s="18"/>
      <c r="HF73" s="18"/>
      <c r="HG73" s="18"/>
      <c r="HH73" s="205"/>
      <c r="HI73" s="26"/>
      <c r="HJ73" s="26"/>
      <c r="HK73" s="5"/>
    </row>
    <row r="74" spans="2:219">
      <c r="B74" s="8" t="s">
        <v>135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10"/>
      <c r="AA74" s="18" t="s">
        <v>488</v>
      </c>
      <c r="AB74" s="22" t="s">
        <v>489</v>
      </c>
      <c r="AC74" s="59">
        <v>0</v>
      </c>
      <c r="AD74" s="59">
        <v>8.6549999999999994</v>
      </c>
      <c r="AE74" s="22">
        <v>528</v>
      </c>
      <c r="AF74" s="22">
        <v>1528</v>
      </c>
      <c r="AG74" s="22">
        <v>528</v>
      </c>
      <c r="AH74" s="6">
        <v>10</v>
      </c>
      <c r="AI74" s="6">
        <v>300</v>
      </c>
      <c r="AJ74" s="6">
        <v>14</v>
      </c>
      <c r="AK74" s="24">
        <v>300</v>
      </c>
      <c r="AL74" s="24">
        <v>14</v>
      </c>
      <c r="AM74" s="5">
        <f t="shared" si="17"/>
        <v>500</v>
      </c>
      <c r="AN74" s="26">
        <f t="shared" si="18"/>
        <v>134</v>
      </c>
      <c r="AO74" s="26">
        <f t="shared" si="19"/>
        <v>65911.546666666676</v>
      </c>
      <c r="AP74" s="15">
        <f t="shared" si="20"/>
        <v>6304.166666666667</v>
      </c>
      <c r="AQ74" s="5">
        <f t="shared" si="21"/>
        <v>2496.6494949494954</v>
      </c>
      <c r="AR74" s="26">
        <f t="shared" si="22"/>
        <v>420.27777777777777</v>
      </c>
      <c r="AS74" s="26">
        <f t="shared" si="23"/>
        <v>1391.9</v>
      </c>
      <c r="AT74" s="26">
        <f t="shared" si="24"/>
        <v>22.178305028345793</v>
      </c>
      <c r="AU74" s="26">
        <f t="shared" si="25"/>
        <v>6.8590101254115021</v>
      </c>
      <c r="AV74" s="95">
        <f t="shared" si="26"/>
        <v>7.201333333333334E-7</v>
      </c>
      <c r="AW74" s="95">
        <f t="shared" si="27"/>
        <v>4161087</v>
      </c>
      <c r="AX74" s="95">
        <f t="shared" si="28"/>
        <v>4.1610870000000001E-6</v>
      </c>
      <c r="AY74" s="54">
        <f t="shared" si="29"/>
        <v>0.25762202780669918</v>
      </c>
      <c r="AZ74" s="54" t="str">
        <f>_xll.Dce_Name_SectI(AE74,AF74,AI74,AH74,AJ74,"x","-",$O$11)</f>
        <v>(528-1528)x300x10x14</v>
      </c>
      <c r="BA74" s="15">
        <f t="shared" si="30"/>
        <v>385.5</v>
      </c>
      <c r="BB74" s="54"/>
      <c r="BC74" s="54"/>
      <c r="BD74" s="22" t="s">
        <v>493</v>
      </c>
      <c r="BE74" s="23">
        <v>-297.26364647964044</v>
      </c>
      <c r="BF74" s="23">
        <v>-302.46272318372917</v>
      </c>
      <c r="BG74" s="23">
        <v>2.5509569080975846E-3</v>
      </c>
      <c r="BH74" s="23">
        <v>-3.5629488643153718E-5</v>
      </c>
      <c r="BI74" s="23">
        <v>-2.4466801657213601E-6</v>
      </c>
      <c r="BJ74" s="23">
        <v>-3.861814419242557</v>
      </c>
      <c r="BK74" s="23">
        <v>1093.3068800540595</v>
      </c>
      <c r="BL74" s="92">
        <v>2.25</v>
      </c>
      <c r="BM74" s="91">
        <v>2</v>
      </c>
      <c r="BN74" s="5">
        <f t="shared" si="31"/>
        <v>19.473749999999999</v>
      </c>
      <c r="BO74" s="54">
        <f>_xll.Bimoment(BH74,AY74,AC74,AD74,$O$101)</f>
        <v>0</v>
      </c>
      <c r="BP74" s="5">
        <f t="shared" si="32"/>
        <v>0.84</v>
      </c>
      <c r="BQ74" s="5">
        <f t="shared" si="33"/>
        <v>0.10576417556984624</v>
      </c>
      <c r="BR74" s="24" t="str">
        <f t="shared" si="34"/>
        <v>Cal</v>
      </c>
      <c r="BS74" s="25">
        <f t="shared" si="35"/>
        <v>9.7054362190181126E-2</v>
      </c>
      <c r="BT74" s="25" t="str">
        <f t="shared" si="36"/>
        <v>CT.105</v>
      </c>
      <c r="BU74" s="25">
        <f t="shared" si="37"/>
        <v>1</v>
      </c>
      <c r="BV74" s="25" cm="1">
        <f t="array" ref="BV74">IF(BT74="CT.104",_xll.TCVN5575AnnexEHeSoCx(1,BP74),1)</f>
        <v>1</v>
      </c>
      <c r="BW74" s="25">
        <f t="shared" si="38"/>
        <v>1</v>
      </c>
      <c r="BX74" s="25">
        <f t="shared" si="39"/>
        <v>0.10216248651598012</v>
      </c>
      <c r="BY74" s="25">
        <f t="shared" si="40"/>
        <v>7.1234154828466109E-3</v>
      </c>
      <c r="BZ74" s="25">
        <f t="shared" si="41"/>
        <v>2.6809901979414494E-8</v>
      </c>
      <c r="CA74" s="25">
        <f t="shared" si="42"/>
        <v>0</v>
      </c>
      <c r="CB74" s="25">
        <f t="shared" si="43"/>
        <v>0.10928592880872871</v>
      </c>
      <c r="CC74" s="5" t="str">
        <f t="shared" si="44"/>
        <v>OK</v>
      </c>
      <c r="CD74" s="5">
        <f t="shared" si="45"/>
        <v>87.805402509844015</v>
      </c>
      <c r="CE74" s="5">
        <f t="shared" si="46"/>
        <v>29.158726455153193</v>
      </c>
      <c r="CF74" s="5">
        <f t="shared" si="47"/>
        <v>2.9248163326364334</v>
      </c>
      <c r="CG74" s="5">
        <f t="shared" si="48"/>
        <v>0.97128328026682387</v>
      </c>
      <c r="CH74" s="5">
        <f t="shared" si="49"/>
        <v>6.9726332294509835E-2</v>
      </c>
      <c r="CI74" s="68">
        <f>_xll.DCETCVN5575PhuLucD2Eta(BP74,CH74,CF74)</f>
        <v>1.5168469656932462</v>
      </c>
      <c r="CJ74" s="5">
        <f t="shared" si="50"/>
        <v>0.10576417556984624</v>
      </c>
      <c r="CK74" s="5">
        <f>MIN(noisuy2chieu(CJ74,CF74,Data!$DA$2:$EB$24),1)</f>
        <v>0.67558759450912476</v>
      </c>
      <c r="CL74" s="102">
        <f t="shared" si="51"/>
        <v>0.15122019312715532</v>
      </c>
      <c r="CM74" s="5" t="str">
        <f t="shared" si="52"/>
        <v>OK</v>
      </c>
      <c r="CN74" s="5">
        <f t="shared" si="53"/>
        <v>0.90492218941026858</v>
      </c>
      <c r="CO74" s="5">
        <f t="shared" si="54"/>
        <v>0.5370345235716667</v>
      </c>
      <c r="CP74" s="25">
        <f>_xll.DCETCVNPhuLucFHeSoOnDinh(1, 0.2, AG74, AH74, AI74, AJ74, AI74, AJ74, $D$28)</f>
        <v>1</v>
      </c>
      <c r="CQ74" s="68">
        <f t="shared" si="55"/>
        <v>0.9</v>
      </c>
      <c r="CR74" s="68">
        <f t="shared" si="56"/>
        <v>1</v>
      </c>
      <c r="CS74" s="5">
        <f t="shared" si="57"/>
        <v>0.18181818181818182</v>
      </c>
      <c r="CT74" s="5">
        <f t="shared" si="58"/>
        <v>9.9510191986788829E-2</v>
      </c>
      <c r="CU74" s="26">
        <f t="shared" si="59"/>
        <v>19.740016101932493</v>
      </c>
      <c r="CV74" s="5"/>
      <c r="CW74" s="25"/>
      <c r="CX74" s="72">
        <f>MAX(_xll.Dce_c_925(CU74, CQ74, CR74, CN74, CP74, CS74, CT74),0.3)</f>
        <v>0.3</v>
      </c>
      <c r="CY74" s="102">
        <f t="shared" si="60"/>
        <v>0.37632144034600629</v>
      </c>
      <c r="CZ74" s="5" t="str">
        <f t="shared" si="61"/>
        <v>OK</v>
      </c>
      <c r="DA74" s="47">
        <f t="shared" si="62"/>
        <v>0.34499859601035404</v>
      </c>
      <c r="DB74" s="46">
        <f t="shared" si="63"/>
        <v>0.45712832802668235</v>
      </c>
      <c r="DC74" s="5" t="str">
        <f t="shared" si="64"/>
        <v>OK</v>
      </c>
      <c r="DD74" s="5">
        <f t="shared" si="65"/>
        <v>2.9248163326364334</v>
      </c>
      <c r="DE74" s="5">
        <f t="shared" si="66"/>
        <v>1.6655104634982609</v>
      </c>
      <c r="DF74" s="5" t="str">
        <f t="shared" si="67"/>
        <v>-</v>
      </c>
      <c r="DG74" s="5" t="str">
        <f t="shared" si="68"/>
        <v>-</v>
      </c>
      <c r="DH74" s="203" t="str">
        <f t="shared" si="69"/>
        <v>-</v>
      </c>
      <c r="DI74" s="203">
        <f t="shared" si="70"/>
        <v>180</v>
      </c>
      <c r="DJ74" s="46">
        <f t="shared" si="71"/>
        <v>0</v>
      </c>
      <c r="DK74" s="5" t="str">
        <f t="shared" si="72"/>
        <v>OK</v>
      </c>
      <c r="EB74" s="18"/>
      <c r="EC74" s="77"/>
      <c r="ED74" s="77"/>
      <c r="EE74" s="18"/>
      <c r="EF74" s="18"/>
      <c r="EG74" s="18"/>
      <c r="EH74" s="5"/>
      <c r="EI74" s="5"/>
      <c r="EJ74" s="5"/>
      <c r="EK74" s="5"/>
      <c r="EL74" s="5"/>
      <c r="FE74" s="26"/>
      <c r="FF74" s="26"/>
      <c r="FG74" s="26"/>
      <c r="FH74" s="26"/>
      <c r="FI74" s="26"/>
      <c r="FJ74" s="26"/>
      <c r="FK74" s="26"/>
      <c r="FL74" s="26"/>
      <c r="FM74" s="26"/>
      <c r="FN74" s="205"/>
      <c r="FO74" s="205"/>
      <c r="FP74" s="205"/>
      <c r="FQ74" s="205"/>
      <c r="FR74" s="205"/>
      <c r="FS74" s="205"/>
      <c r="FT74" s="205"/>
      <c r="FU74" s="77"/>
      <c r="FV74" s="77"/>
      <c r="FW74" s="77"/>
      <c r="FX74" s="205"/>
      <c r="FY74" s="205"/>
      <c r="FZ74" s="205"/>
      <c r="GA74" s="205"/>
      <c r="GB74" s="205"/>
      <c r="GC74" s="205"/>
      <c r="GD74" s="205"/>
      <c r="GE74" s="205"/>
      <c r="GF74" s="205"/>
      <c r="GG74" s="205"/>
      <c r="GH74" s="205"/>
      <c r="GI74" s="205"/>
      <c r="GJ74" s="205"/>
      <c r="GK74" s="205"/>
      <c r="GL74" s="205"/>
      <c r="GM74" s="205"/>
      <c r="GN74" s="205"/>
      <c r="GO74" s="205"/>
      <c r="GP74" s="205"/>
      <c r="GQ74" s="205"/>
      <c r="GR74" s="205"/>
      <c r="GS74" s="205"/>
      <c r="GT74" s="205"/>
      <c r="GU74" s="205"/>
      <c r="GV74" s="18"/>
      <c r="GW74" s="5"/>
      <c r="GX74" s="5"/>
      <c r="GY74" s="77"/>
      <c r="GZ74" s="18"/>
      <c r="HA74" s="18"/>
      <c r="HB74" s="18"/>
      <c r="HC74" s="18"/>
      <c r="HD74" s="18"/>
      <c r="HE74" s="18"/>
      <c r="HF74" s="18"/>
      <c r="HG74" s="18"/>
      <c r="HH74" s="205"/>
      <c r="HI74" s="26"/>
      <c r="HJ74" s="26"/>
      <c r="HK74" s="5"/>
    </row>
    <row r="75" spans="2:219" ht="15">
      <c r="B75" s="172" t="s">
        <v>421</v>
      </c>
      <c r="C75" s="269"/>
      <c r="D75" s="257"/>
      <c r="E75" s="2"/>
      <c r="F75" s="2"/>
      <c r="G75" s="2"/>
      <c r="H75" s="269"/>
      <c r="I75" s="257"/>
      <c r="J75" s="269"/>
      <c r="K75" s="256" t="s">
        <v>363</v>
      </c>
      <c r="L75" s="271">
        <f>(F20/F17)*SQRT(D28/B28)</f>
        <v>4.4677979100191463</v>
      </c>
      <c r="M75" s="2"/>
      <c r="N75" s="10"/>
      <c r="AA75" s="18" t="s">
        <v>488</v>
      </c>
      <c r="AB75" s="22" t="s">
        <v>489</v>
      </c>
      <c r="AC75" s="59">
        <v>3.6405952380952398</v>
      </c>
      <c r="AD75" s="59">
        <v>8.6549999999999994</v>
      </c>
      <c r="AE75" s="22">
        <v>528</v>
      </c>
      <c r="AF75" s="22">
        <v>1528</v>
      </c>
      <c r="AG75" s="22">
        <v>948.63492063492095</v>
      </c>
      <c r="AH75" s="6">
        <v>10</v>
      </c>
      <c r="AI75" s="6">
        <v>300</v>
      </c>
      <c r="AJ75" s="6">
        <v>14</v>
      </c>
      <c r="AK75" s="24">
        <v>300</v>
      </c>
      <c r="AL75" s="24">
        <v>14</v>
      </c>
      <c r="AM75" s="5">
        <f t="shared" si="17"/>
        <v>920.63492063492095</v>
      </c>
      <c r="AN75" s="26">
        <f t="shared" si="18"/>
        <v>176.06349206349208</v>
      </c>
      <c r="AO75" s="26">
        <f t="shared" si="19"/>
        <v>248482.7399356656</v>
      </c>
      <c r="AP75" s="15">
        <f t="shared" si="20"/>
        <v>6307.6719576719579</v>
      </c>
      <c r="AQ75" s="5">
        <f t="shared" si="21"/>
        <v>5238.7432621467533</v>
      </c>
      <c r="AR75" s="26">
        <f t="shared" si="22"/>
        <v>420.51146384479722</v>
      </c>
      <c r="AS75" s="26">
        <f t="shared" si="23"/>
        <v>3022.1941546989178</v>
      </c>
      <c r="AT75" s="26">
        <f t="shared" si="24"/>
        <v>37.567600585756203</v>
      </c>
      <c r="AU75" s="26">
        <f t="shared" si="25"/>
        <v>5.9854925384629922</v>
      </c>
      <c r="AV75" s="95">
        <f t="shared" si="26"/>
        <v>8.6034497354497351E-7</v>
      </c>
      <c r="AW75" s="95">
        <f t="shared" si="27"/>
        <v>13758293.349206358</v>
      </c>
      <c r="AX75" s="95">
        <f t="shared" si="28"/>
        <v>1.3758293349206359E-5</v>
      </c>
      <c r="AY75" s="54">
        <f t="shared" si="29"/>
        <v>0.1548581140202015</v>
      </c>
      <c r="AZ75" s="54" t="str">
        <f>_xll.Dce_Name_SectI(AE75,AF75,AI75,AH75,AJ75,"x","-",$O$11)</f>
        <v>(528-1528)x300x10x14</v>
      </c>
      <c r="BA75" s="15">
        <f t="shared" si="30"/>
        <v>700.97619047619071</v>
      </c>
      <c r="BB75" s="54"/>
      <c r="BC75" s="54"/>
      <c r="BD75" s="22" t="s">
        <v>493</v>
      </c>
      <c r="BE75" s="23">
        <v>-292.17760579307463</v>
      </c>
      <c r="BF75" s="23">
        <v>-300.11584512101172</v>
      </c>
      <c r="BG75" s="23">
        <v>2.5509569080977294E-3</v>
      </c>
      <c r="BH75" s="23">
        <v>-3.5629488643153718E-5</v>
      </c>
      <c r="BI75" s="23">
        <v>-9.3113193038431713E-3</v>
      </c>
      <c r="BJ75" s="23">
        <v>1095.5614834518772</v>
      </c>
      <c r="BK75" s="23">
        <v>1093.3068800540595</v>
      </c>
      <c r="BL75" s="92">
        <v>2.25</v>
      </c>
      <c r="BM75" s="91">
        <v>2</v>
      </c>
      <c r="BN75" s="5">
        <f t="shared" si="31"/>
        <v>19.473749999999999</v>
      </c>
      <c r="BO75" s="54">
        <f>_xll.Bimoment(BH75,AY75,AC75,AD75,$O$101)</f>
        <v>2.7401452150250714E-4</v>
      </c>
      <c r="BP75" s="5">
        <f t="shared" si="32"/>
        <v>0.45620689655172403</v>
      </c>
      <c r="BQ75" s="5">
        <f t="shared" si="33"/>
        <v>15.641855546445107</v>
      </c>
      <c r="BR75" s="24" t="str">
        <f t="shared" si="34"/>
        <v>Cal</v>
      </c>
      <c r="BS75" s="25">
        <f t="shared" si="35"/>
        <v>7.2603184814926239E-2</v>
      </c>
      <c r="BT75" s="25" t="str">
        <f t="shared" si="36"/>
        <v>CT.105</v>
      </c>
      <c r="BU75" s="25">
        <f t="shared" si="37"/>
        <v>1</v>
      </c>
      <c r="BV75" s="25" cm="1">
        <f t="array" ref="BV75">IF(BT75="CT.104",_xll.TCVN5575AnnexEHeSoCx(1,BP75),1)</f>
        <v>1</v>
      </c>
      <c r="BW75" s="25">
        <f t="shared" si="38"/>
        <v>1</v>
      </c>
      <c r="BX75" s="25">
        <f t="shared" si="39"/>
        <v>7.6424405068343415E-2</v>
      </c>
      <c r="BY75" s="25">
        <f t="shared" si="40"/>
        <v>0.96308383222466454</v>
      </c>
      <c r="BZ75" s="25">
        <f t="shared" si="41"/>
        <v>1.0197361886240899E-4</v>
      </c>
      <c r="CA75" s="25">
        <f t="shared" si="42"/>
        <v>6.4293450321166952E-6</v>
      </c>
      <c r="CB75" s="25">
        <f t="shared" si="43"/>
        <v>1.0396166402569025</v>
      </c>
      <c r="CC75" s="5" t="str">
        <f t="shared" si="44"/>
        <v>Check</v>
      </c>
      <c r="CD75" s="5">
        <f t="shared" si="45"/>
        <v>51.836555160202302</v>
      </c>
      <c r="CE75" s="5">
        <f t="shared" si="46"/>
        <v>33.414125690541383</v>
      </c>
      <c r="CF75" s="5">
        <f t="shared" si="47"/>
        <v>1.7266865002204341</v>
      </c>
      <c r="CG75" s="5">
        <f t="shared" si="48"/>
        <v>1.1130315193248546</v>
      </c>
      <c r="CH75" s="5">
        <f t="shared" si="49"/>
        <v>12.601783832839986</v>
      </c>
      <c r="CI75" s="68">
        <f>_xll.DCETCVN5575PhuLucD2Eta(BP75,CH75,CF75)</f>
        <v>1.2412413793103447</v>
      </c>
      <c r="CJ75" s="5">
        <f t="shared" si="50"/>
        <v>15.641855546445107</v>
      </c>
      <c r="CK75" s="5">
        <f>MIN(noisuy2chieu(CJ75,CF75,Data!$DA$2:$EB$24),1)</f>
        <v>8.7925538420677185E-2</v>
      </c>
      <c r="CL75" s="102">
        <f t="shared" si="51"/>
        <v>0.86919462127934977</v>
      </c>
      <c r="CM75" s="5" t="str">
        <f t="shared" si="52"/>
        <v>OK</v>
      </c>
      <c r="CN75" s="5">
        <f t="shared" si="53"/>
        <v>0.88472625978979058</v>
      </c>
      <c r="CO75" s="5">
        <f t="shared" si="54"/>
        <v>0.5370345235716667</v>
      </c>
      <c r="CP75" s="25">
        <f>_xll.DCETCVNPhuLucFHeSoOnDinh(1, 0.2, AG75, AH75, AI75, AJ75, AI75, AJ75, $D$28)</f>
        <v>1</v>
      </c>
      <c r="CQ75" s="68">
        <f t="shared" si="55"/>
        <v>0.9</v>
      </c>
      <c r="CR75" s="68">
        <f t="shared" si="56"/>
        <v>1</v>
      </c>
      <c r="CS75" s="5">
        <f t="shared" si="57"/>
        <v>0.18181818181818182</v>
      </c>
      <c r="CT75" s="5">
        <f t="shared" si="58"/>
        <v>0.10155106457844131</v>
      </c>
      <c r="CU75" s="26">
        <f t="shared" si="59"/>
        <v>12.575850076426276</v>
      </c>
      <c r="CV75" s="5"/>
      <c r="CW75" s="25"/>
      <c r="CX75" s="72">
        <f>MAX(_xll.Dce_c_925(CU75, CQ75, CR75, CN75, CP75, CS75, CT75),0.3)</f>
        <v>0.3</v>
      </c>
      <c r="CY75" s="102">
        <f t="shared" si="60"/>
        <v>0.287939929526909</v>
      </c>
      <c r="CZ75" s="5" t="str">
        <f t="shared" si="61"/>
        <v>OK</v>
      </c>
      <c r="DA75" s="47">
        <f t="shared" si="62"/>
        <v>0.34499859601035404</v>
      </c>
      <c r="DB75" s="46">
        <f t="shared" si="63"/>
        <v>0.47130315193248545</v>
      </c>
      <c r="DC75" s="5" t="str">
        <f t="shared" si="64"/>
        <v>OK</v>
      </c>
      <c r="DD75" s="5">
        <f t="shared" si="65"/>
        <v>1.7266865002204341</v>
      </c>
      <c r="DE75" s="5">
        <f t="shared" si="66"/>
        <v>3.0666541867587034</v>
      </c>
      <c r="DF75" s="5" t="str">
        <f t="shared" si="67"/>
        <v>-</v>
      </c>
      <c r="DG75" s="5" t="str">
        <f t="shared" si="68"/>
        <v>-</v>
      </c>
      <c r="DH75" s="203">
        <f t="shared" si="69"/>
        <v>51.836555160202302</v>
      </c>
      <c r="DI75" s="203">
        <f t="shared" si="70"/>
        <v>157.84832272323902</v>
      </c>
      <c r="DJ75" s="46">
        <f t="shared" si="71"/>
        <v>0.32839471630680006</v>
      </c>
      <c r="DK75" s="5" t="str">
        <f t="shared" si="72"/>
        <v>OK</v>
      </c>
      <c r="EB75" s="18"/>
      <c r="EC75" s="77"/>
      <c r="ED75" s="77"/>
      <c r="EE75" s="18"/>
      <c r="EF75" s="18"/>
      <c r="EG75" s="18"/>
      <c r="EH75" s="5"/>
      <c r="EI75" s="5"/>
      <c r="EJ75" s="5"/>
      <c r="EK75" s="5"/>
      <c r="EL75" s="5"/>
      <c r="FE75" s="26"/>
      <c r="FF75" s="26"/>
      <c r="FG75" s="26"/>
      <c r="FH75" s="26"/>
      <c r="FI75" s="26"/>
      <c r="FJ75" s="26"/>
      <c r="FK75" s="26"/>
      <c r="FL75" s="26"/>
      <c r="FM75" s="26"/>
      <c r="FN75" s="205"/>
      <c r="FO75" s="205"/>
      <c r="FP75" s="205"/>
      <c r="FQ75" s="205"/>
      <c r="FR75" s="205"/>
      <c r="FS75" s="205"/>
      <c r="FT75" s="205"/>
      <c r="FU75" s="77"/>
      <c r="FV75" s="77"/>
      <c r="FW75" s="77"/>
      <c r="FX75" s="205"/>
      <c r="FY75" s="205"/>
      <c r="FZ75" s="205"/>
      <c r="GA75" s="205"/>
      <c r="GB75" s="205"/>
      <c r="GC75" s="205"/>
      <c r="GD75" s="205"/>
      <c r="GE75" s="205"/>
      <c r="GF75" s="205"/>
      <c r="GG75" s="205"/>
      <c r="GH75" s="205"/>
      <c r="GI75" s="205"/>
      <c r="GJ75" s="205"/>
      <c r="GK75" s="205"/>
      <c r="GL75" s="205"/>
      <c r="GM75" s="205"/>
      <c r="GN75" s="205"/>
      <c r="GO75" s="205"/>
      <c r="GP75" s="205"/>
      <c r="GQ75" s="205"/>
      <c r="GR75" s="205"/>
      <c r="GS75" s="205"/>
      <c r="GT75" s="205"/>
      <c r="GU75" s="205"/>
      <c r="GV75" s="18"/>
      <c r="GW75" s="5"/>
      <c r="GX75" s="5"/>
      <c r="GY75" s="77"/>
      <c r="GZ75" s="18"/>
      <c r="HA75" s="18"/>
      <c r="HB75" s="18"/>
      <c r="HC75" s="18"/>
      <c r="HD75" s="18"/>
      <c r="HE75" s="18"/>
      <c r="HF75" s="18"/>
      <c r="HG75" s="18"/>
      <c r="HH75" s="205"/>
      <c r="HI75" s="26"/>
      <c r="HJ75" s="26"/>
      <c r="HK75" s="5"/>
    </row>
    <row r="76" spans="2:219">
      <c r="B76" s="231" t="s">
        <v>475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10"/>
      <c r="AA76" s="18" t="s">
        <v>488</v>
      </c>
      <c r="AB76" s="22" t="s">
        <v>489</v>
      </c>
      <c r="AC76" s="59">
        <v>7.2811904761904795</v>
      </c>
      <c r="AD76" s="59">
        <v>8.6549999999999994</v>
      </c>
      <c r="AE76" s="22">
        <v>528</v>
      </c>
      <c r="AF76" s="22">
        <v>1528</v>
      </c>
      <c r="AG76" s="22">
        <v>1369.2698412698419</v>
      </c>
      <c r="AH76" s="6">
        <v>10</v>
      </c>
      <c r="AI76" s="6">
        <v>300</v>
      </c>
      <c r="AJ76" s="6">
        <v>14</v>
      </c>
      <c r="AK76" s="24">
        <v>300</v>
      </c>
      <c r="AL76" s="24">
        <v>14</v>
      </c>
      <c r="AM76" s="5">
        <f t="shared" si="17"/>
        <v>1341.2698412698419</v>
      </c>
      <c r="AN76" s="26">
        <f t="shared" si="18"/>
        <v>218.12698412698418</v>
      </c>
      <c r="AO76" s="26">
        <f t="shared" si="19"/>
        <v>586811.79072745051</v>
      </c>
      <c r="AP76" s="15">
        <f t="shared" si="20"/>
        <v>6311.1772486772488</v>
      </c>
      <c r="AQ76" s="5">
        <f t="shared" si="21"/>
        <v>8571.1635945074104</v>
      </c>
      <c r="AR76" s="26">
        <f t="shared" si="22"/>
        <v>420.74514991181661</v>
      </c>
      <c r="AS76" s="26">
        <f t="shared" si="23"/>
        <v>5094.8226505417015</v>
      </c>
      <c r="AT76" s="26">
        <f t="shared" si="24"/>
        <v>51.867428670398397</v>
      </c>
      <c r="AU76" s="26">
        <f t="shared" si="25"/>
        <v>5.3789869588463937</v>
      </c>
      <c r="AV76" s="95">
        <f t="shared" si="26"/>
        <v>1.0005566137566139E-6</v>
      </c>
      <c r="AW76" s="95">
        <f t="shared" si="27"/>
        <v>28928912.396825422</v>
      </c>
      <c r="AX76" s="95">
        <f t="shared" si="28"/>
        <v>2.8928912396825422E-5</v>
      </c>
      <c r="AY76" s="54">
        <f t="shared" si="29"/>
        <v>0.11516876660535029</v>
      </c>
      <c r="AZ76" s="54" t="str">
        <f>_xll.Dce_Name_SectI(AE76,AF76,AI76,AH76,AJ76,"x","-",$O$11)</f>
        <v>(528-1528)x300x10x14</v>
      </c>
      <c r="BA76" s="15">
        <f t="shared" si="30"/>
        <v>1016.4523809523813</v>
      </c>
      <c r="BB76" s="54"/>
      <c r="BC76" s="54"/>
      <c r="BD76" s="22" t="s">
        <v>493</v>
      </c>
      <c r="BE76" s="23">
        <v>-285.55012935601638</v>
      </c>
      <c r="BF76" s="23">
        <v>-297.87481758888629</v>
      </c>
      <c r="BG76" s="23">
        <v>2.5509569080978665E-3</v>
      </c>
      <c r="BH76" s="23">
        <v>-3.5629488643153718E-5</v>
      </c>
      <c r="BI76" s="23">
        <v>-1.8620191927521134E-2</v>
      </c>
      <c r="BJ76" s="23">
        <v>2186.6137601081191</v>
      </c>
      <c r="BK76" s="23">
        <v>1093.3068800540595</v>
      </c>
      <c r="BL76" s="92">
        <v>2.25</v>
      </c>
      <c r="BM76" s="91">
        <v>2</v>
      </c>
      <c r="BN76" s="5">
        <f t="shared" si="31"/>
        <v>19.473749999999999</v>
      </c>
      <c r="BO76" s="54">
        <f>_xll.Bimoment(BH76,AY76,AC76,AD76,$O$101)</f>
        <v>1.6299316758071377E-4</v>
      </c>
      <c r="BP76" s="5">
        <f t="shared" si="32"/>
        <v>0.31313609467455605</v>
      </c>
      <c r="BQ76" s="5">
        <f t="shared" si="33"/>
        <v>23.631246922725634</v>
      </c>
      <c r="BR76" s="24" t="str">
        <f t="shared" si="34"/>
        <v>Cal</v>
      </c>
      <c r="BS76" s="25">
        <f t="shared" si="35"/>
        <v>5.727314394102169E-2</v>
      </c>
      <c r="BT76" s="25" t="str">
        <f t="shared" si="36"/>
        <v>CT.105</v>
      </c>
      <c r="BU76" s="25">
        <f t="shared" si="37"/>
        <v>1</v>
      </c>
      <c r="BV76" s="25" cm="1">
        <f t="array" ref="BV76">IF(BT76="CT.104",_xll.TCVN5575AnnexEHeSoCx(1,BP76),1)</f>
        <v>1</v>
      </c>
      <c r="BW76" s="25">
        <f t="shared" si="38"/>
        <v>1</v>
      </c>
      <c r="BX76" s="25">
        <f t="shared" si="39"/>
        <v>6.0287519937917568E-2</v>
      </c>
      <c r="BY76" s="25">
        <f t="shared" si="40"/>
        <v>1.1748616951407433</v>
      </c>
      <c r="BZ76" s="25">
        <f t="shared" si="41"/>
        <v>2.0380718326691225E-4</v>
      </c>
      <c r="CA76" s="25">
        <f t="shared" si="42"/>
        <v>2.6374168899113055E-6</v>
      </c>
      <c r="CB76" s="25">
        <f t="shared" si="43"/>
        <v>1.2353556596788178</v>
      </c>
      <c r="CC76" s="5" t="str">
        <f t="shared" si="44"/>
        <v>Check</v>
      </c>
      <c r="CD76" s="5">
        <f t="shared" si="45"/>
        <v>37.545238889226049</v>
      </c>
      <c r="CE76" s="5">
        <f t="shared" si="46"/>
        <v>37.181722419139881</v>
      </c>
      <c r="CF76" s="5">
        <f t="shared" si="47"/>
        <v>1.2506397644909562</v>
      </c>
      <c r="CG76" s="5">
        <f t="shared" si="48"/>
        <v>1.2385309547993069</v>
      </c>
      <c r="CH76" s="5">
        <f t="shared" si="49"/>
        <v>19.48764348492994</v>
      </c>
      <c r="CI76" s="68">
        <f>_xll.DCETCVN5575PhuLucD2Eta(BP76,CH76,CF76)</f>
        <v>1.2126272189349112</v>
      </c>
      <c r="CJ76" s="5">
        <f t="shared" si="50"/>
        <v>23.631246922725634</v>
      </c>
      <c r="CK76" s="5">
        <f>MIN(noisuy2chieu(CJ76,CF76,Data!$DA$2:$EB$24),1)</f>
        <v>7.1994885802268982E-2</v>
      </c>
      <c r="CL76" s="102">
        <f t="shared" si="51"/>
        <v>0.83738614578117099</v>
      </c>
      <c r="CM76" s="5" t="str">
        <f t="shared" si="52"/>
        <v>OK</v>
      </c>
      <c r="CN76" s="5">
        <f t="shared" si="53"/>
        <v>0.86643683692746631</v>
      </c>
      <c r="CO76" s="5">
        <f t="shared" si="54"/>
        <v>0.5370345235716667</v>
      </c>
      <c r="CP76" s="25">
        <f>_xll.DCETCVNPhuLucFHeSoOnDinh(1, 0.2, AG76, AH76, AI76, AJ76, AI76, AJ76, $D$28)</f>
        <v>1</v>
      </c>
      <c r="CQ76" s="68">
        <f t="shared" si="55"/>
        <v>0.9</v>
      </c>
      <c r="CR76" s="68">
        <f t="shared" si="56"/>
        <v>1</v>
      </c>
      <c r="CS76" s="5">
        <f t="shared" si="57"/>
        <v>0.18181818181818182</v>
      </c>
      <c r="CT76" s="5">
        <f t="shared" si="58"/>
        <v>0.10347287704587492</v>
      </c>
      <c r="CU76" s="26">
        <f t="shared" si="59"/>
        <v>9.74382174246497</v>
      </c>
      <c r="CV76" s="5"/>
      <c r="CW76" s="25"/>
      <c r="CX76" s="72">
        <f>MAX(_xll.Dce_c_925(CU76, CQ76, CR76, CN76, CP76, CS76, CT76),0.3)</f>
        <v>0.3</v>
      </c>
      <c r="CY76" s="102">
        <f t="shared" si="60"/>
        <v>0.23193658352026164</v>
      </c>
      <c r="CZ76" s="5" t="str">
        <f t="shared" si="61"/>
        <v>OK</v>
      </c>
      <c r="DA76" s="47">
        <f t="shared" si="62"/>
        <v>0.34499859601035404</v>
      </c>
      <c r="DB76" s="46">
        <f t="shared" si="63"/>
        <v>0.48385309547993066</v>
      </c>
      <c r="DC76" s="5" t="str">
        <f t="shared" si="64"/>
        <v>OK</v>
      </c>
      <c r="DD76" s="5">
        <f t="shared" si="65"/>
        <v>1.2506397644909562</v>
      </c>
      <c r="DE76" s="5">
        <f t="shared" si="66"/>
        <v>4.4677979100191463</v>
      </c>
      <c r="DF76" s="5" t="str">
        <f t="shared" si="67"/>
        <v>-</v>
      </c>
      <c r="DG76" s="5" t="str">
        <f t="shared" si="68"/>
        <v>-</v>
      </c>
      <c r="DH76" s="203">
        <f t="shared" si="69"/>
        <v>37.545238889226049</v>
      </c>
      <c r="DI76" s="203">
        <f t="shared" si="70"/>
        <v>159.75683125312975</v>
      </c>
      <c r="DJ76" s="46">
        <f t="shared" si="71"/>
        <v>0.23501491982985556</v>
      </c>
      <c r="DK76" s="5" t="str">
        <f t="shared" si="72"/>
        <v>OK</v>
      </c>
      <c r="EB76" s="18"/>
      <c r="EC76" s="77"/>
      <c r="ED76" s="77"/>
      <c r="EE76" s="18"/>
      <c r="EF76" s="18"/>
      <c r="EG76" s="18"/>
      <c r="EH76" s="5"/>
      <c r="EI76" s="5"/>
      <c r="EJ76" s="5"/>
      <c r="EK76" s="5"/>
      <c r="EL76" s="5"/>
      <c r="FE76" s="26"/>
      <c r="FF76" s="26"/>
      <c r="FG76" s="26"/>
      <c r="FH76" s="26"/>
      <c r="FI76" s="26"/>
      <c r="FJ76" s="26"/>
      <c r="FK76" s="26"/>
      <c r="FL76" s="26"/>
      <c r="FM76" s="26"/>
      <c r="FN76" s="205"/>
      <c r="FO76" s="205"/>
      <c r="FP76" s="205"/>
      <c r="FQ76" s="205"/>
      <c r="FR76" s="205"/>
      <c r="FS76" s="205"/>
      <c r="FT76" s="205"/>
      <c r="FU76" s="77"/>
      <c r="FV76" s="77"/>
      <c r="FW76" s="77"/>
      <c r="FX76" s="205"/>
      <c r="FY76" s="205"/>
      <c r="FZ76" s="205"/>
      <c r="GA76" s="205"/>
      <c r="GB76" s="205"/>
      <c r="GC76" s="205"/>
      <c r="GD76" s="205"/>
      <c r="GE76" s="205"/>
      <c r="GF76" s="205"/>
      <c r="GG76" s="205"/>
      <c r="GH76" s="205"/>
      <c r="GI76" s="205"/>
      <c r="GJ76" s="205"/>
      <c r="GK76" s="205"/>
      <c r="GL76" s="205"/>
      <c r="GM76" s="205"/>
      <c r="GN76" s="205"/>
      <c r="GO76" s="205"/>
      <c r="GP76" s="205"/>
      <c r="GQ76" s="205"/>
      <c r="GR76" s="205"/>
      <c r="GS76" s="205"/>
      <c r="GT76" s="205"/>
      <c r="GU76" s="205"/>
      <c r="GV76" s="18"/>
      <c r="GW76" s="5"/>
      <c r="GX76" s="5"/>
      <c r="GY76" s="77"/>
      <c r="GZ76" s="18"/>
      <c r="HA76" s="18"/>
      <c r="HB76" s="18"/>
      <c r="HC76" s="18"/>
      <c r="HD76" s="18"/>
      <c r="HE76" s="18"/>
      <c r="HF76" s="18"/>
      <c r="HG76" s="18"/>
      <c r="HH76" s="205"/>
      <c r="HI76" s="26"/>
      <c r="HJ76" s="26"/>
      <c r="HK76" s="5"/>
    </row>
    <row r="77" spans="2:219" ht="15">
      <c r="B77" s="84" t="s">
        <v>136</v>
      </c>
      <c r="C77" s="276">
        <f>G58</f>
        <v>19.48764348492994</v>
      </c>
      <c r="D77" s="256" t="s">
        <v>137</v>
      </c>
      <c r="E77" s="277">
        <f>J62*L62/L59</f>
        <v>3.6104099365075726</v>
      </c>
      <c r="F77" s="256" t="s">
        <v>262</v>
      </c>
      <c r="G77" s="276">
        <f>G57</f>
        <v>1.2506397644909562</v>
      </c>
      <c r="H77" s="278"/>
      <c r="I77" s="279"/>
      <c r="J77" s="269" t="s">
        <v>230</v>
      </c>
      <c r="K77" s="254" t="str">
        <f>IF(E77&gt;1,1,2) &amp; " - Bảng 23"</f>
        <v>1 - Bảng 23</v>
      </c>
      <c r="L77" s="2"/>
      <c r="M77" s="2"/>
      <c r="N77" s="10"/>
      <c r="AA77" s="18" t="s">
        <v>488</v>
      </c>
      <c r="AB77" s="22" t="s">
        <v>489</v>
      </c>
      <c r="AC77" s="59">
        <v>0</v>
      </c>
      <c r="AD77" s="59">
        <v>8.6549999999999994</v>
      </c>
      <c r="AE77" s="22">
        <v>528</v>
      </c>
      <c r="AF77" s="22">
        <v>1528</v>
      </c>
      <c r="AG77" s="22">
        <v>528</v>
      </c>
      <c r="AH77" s="6">
        <v>10</v>
      </c>
      <c r="AI77" s="6">
        <v>300</v>
      </c>
      <c r="AJ77" s="6">
        <v>14</v>
      </c>
      <c r="AK77" s="24">
        <v>300</v>
      </c>
      <c r="AL77" s="24">
        <v>14</v>
      </c>
      <c r="AM77" s="5">
        <f t="shared" si="17"/>
        <v>500</v>
      </c>
      <c r="AN77" s="26">
        <f t="shared" si="18"/>
        <v>134</v>
      </c>
      <c r="AO77" s="26">
        <f t="shared" si="19"/>
        <v>65911.546666666676</v>
      </c>
      <c r="AP77" s="15">
        <f t="shared" si="20"/>
        <v>6304.166666666667</v>
      </c>
      <c r="AQ77" s="5">
        <f t="shared" si="21"/>
        <v>2496.6494949494954</v>
      </c>
      <c r="AR77" s="26">
        <f t="shared" si="22"/>
        <v>420.27777777777777</v>
      </c>
      <c r="AS77" s="26">
        <f t="shared" si="23"/>
        <v>1391.9</v>
      </c>
      <c r="AT77" s="26">
        <f t="shared" si="24"/>
        <v>22.178305028345793</v>
      </c>
      <c r="AU77" s="26">
        <f t="shared" si="25"/>
        <v>6.8590101254115021</v>
      </c>
      <c r="AV77" s="95">
        <f t="shared" si="26"/>
        <v>7.201333333333334E-7</v>
      </c>
      <c r="AW77" s="95">
        <f t="shared" si="27"/>
        <v>4161087</v>
      </c>
      <c r="AX77" s="95">
        <f t="shared" si="28"/>
        <v>4.1610870000000001E-6</v>
      </c>
      <c r="AY77" s="54">
        <f t="shared" si="29"/>
        <v>0.25762202780669918</v>
      </c>
      <c r="AZ77" s="54" t="str">
        <f>_xll.Dce_Name_SectI(AE77,AF77,AI77,AH77,AJ77,"x","-",$O$11)</f>
        <v>(528-1528)x300x10x14</v>
      </c>
      <c r="BA77" s="15">
        <f t="shared" si="30"/>
        <v>385.5</v>
      </c>
      <c r="BB77" s="54"/>
      <c r="BC77" s="54"/>
      <c r="BD77" s="22" t="s">
        <v>511</v>
      </c>
      <c r="BE77" s="23">
        <v>-46.435973387168531</v>
      </c>
      <c r="BF77" s="23">
        <v>-51.522213709217056</v>
      </c>
      <c r="BG77" s="23">
        <v>-1.58800643215808E-3</v>
      </c>
      <c r="BH77" s="23">
        <v>2.2179856100366656E-5</v>
      </c>
      <c r="BI77" s="23">
        <v>1.5230926955309145E-6</v>
      </c>
      <c r="BJ77" s="23">
        <v>-0.59916010466460179</v>
      </c>
      <c r="BK77" s="23">
        <v>112.74499196500562</v>
      </c>
      <c r="BL77" s="92">
        <v>2.25</v>
      </c>
      <c r="BM77" s="91">
        <v>2</v>
      </c>
      <c r="BN77" s="5">
        <f t="shared" si="31"/>
        <v>19.473749999999999</v>
      </c>
      <c r="BO77" s="54">
        <f>_xll.Bimoment(BH77,AY77,AC77,AD77,$O$101)</f>
        <v>0</v>
      </c>
      <c r="BP77" s="5">
        <f t="shared" si="32"/>
        <v>0.84</v>
      </c>
      <c r="BQ77" s="5">
        <f t="shared" si="33"/>
        <v>0.10504683073092191</v>
      </c>
      <c r="BR77" s="24" t="str">
        <f t="shared" si="34"/>
        <v>Cal</v>
      </c>
      <c r="BS77" s="25">
        <f t="shared" si="35"/>
        <v>1.5160998773795696E-2</v>
      </c>
      <c r="BT77" s="25" t="str">
        <f t="shared" si="36"/>
        <v>CT.105</v>
      </c>
      <c r="BU77" s="25">
        <f t="shared" si="37"/>
        <v>1</v>
      </c>
      <c r="BV77" s="25" cm="1">
        <f t="array" ref="BV77">IF(BT77="CT.104",_xll.TCVN5575AnnexEHeSoCx(1,BP77),1)</f>
        <v>1</v>
      </c>
      <c r="BW77" s="25">
        <f t="shared" si="38"/>
        <v>1</v>
      </c>
      <c r="BX77" s="25">
        <f t="shared" si="39"/>
        <v>1.595894607767968E-2</v>
      </c>
      <c r="BY77" s="25">
        <f t="shared" si="40"/>
        <v>1.105197169756527E-3</v>
      </c>
      <c r="BZ77" s="25">
        <f t="shared" si="41"/>
        <v>1.6689539746486177E-8</v>
      </c>
      <c r="CA77" s="25">
        <f t="shared" si="42"/>
        <v>0</v>
      </c>
      <c r="CB77" s="25">
        <f t="shared" si="43"/>
        <v>1.7064159936975954E-2</v>
      </c>
      <c r="CC77" s="5" t="str">
        <f t="shared" si="44"/>
        <v>OK</v>
      </c>
      <c r="CD77" s="5">
        <f t="shared" si="45"/>
        <v>87.805402509844015</v>
      </c>
      <c r="CE77" s="5">
        <f t="shared" si="46"/>
        <v>29.158726455153193</v>
      </c>
      <c r="CF77" s="5">
        <f t="shared" si="47"/>
        <v>2.9248163326364334</v>
      </c>
      <c r="CG77" s="5">
        <f t="shared" si="48"/>
        <v>0.97128328026682387</v>
      </c>
      <c r="CH77" s="5">
        <f t="shared" si="49"/>
        <v>6.9252516073242801E-2</v>
      </c>
      <c r="CI77" s="68">
        <f>_xll.DCETCVN5575PhuLucD2Eta(BP77,CH77,CF77)</f>
        <v>1.5168666308069205</v>
      </c>
      <c r="CJ77" s="5">
        <f t="shared" si="50"/>
        <v>0.10504683073092191</v>
      </c>
      <c r="CK77" s="5">
        <f>MIN(noisuy2chieu(CJ77,CF77,Data!$DA$2:$EB$24),1)</f>
        <v>0.67592239379882813</v>
      </c>
      <c r="CL77" s="102">
        <f t="shared" si="51"/>
        <v>2.3610618946928209E-2</v>
      </c>
      <c r="CM77" s="5" t="str">
        <f t="shared" si="52"/>
        <v>OK</v>
      </c>
      <c r="CN77" s="5">
        <f t="shared" si="53"/>
        <v>0.90492218941026858</v>
      </c>
      <c r="CO77" s="5">
        <f t="shared" si="54"/>
        <v>0.5370345235716667</v>
      </c>
      <c r="CP77" s="25">
        <f>_xll.DCETCVNPhuLucFHeSoOnDinh(1, 0.2, AG77, AH77, AI77, AJ77, AI77, AJ77, $D$28)</f>
        <v>1</v>
      </c>
      <c r="CQ77" s="68">
        <f t="shared" si="55"/>
        <v>0.9</v>
      </c>
      <c r="CR77" s="68">
        <f t="shared" si="56"/>
        <v>1</v>
      </c>
      <c r="CS77" s="5">
        <f t="shared" si="57"/>
        <v>0.18181818181818182</v>
      </c>
      <c r="CT77" s="5">
        <f t="shared" si="58"/>
        <v>9.9510191986788829E-2</v>
      </c>
      <c r="CU77" s="26">
        <f t="shared" si="59"/>
        <v>13.031365585672427</v>
      </c>
      <c r="CV77" s="5"/>
      <c r="CW77" s="25"/>
      <c r="CX77" s="72">
        <f>MAX(_xll.Dce_c_925(CU77, CQ77, CR77, CN77, CP77, CS77, CT77),0.3)</f>
        <v>0.3</v>
      </c>
      <c r="CY77" s="102">
        <f t="shared" si="60"/>
        <v>5.8785702846193562E-2</v>
      </c>
      <c r="CZ77" s="5" t="str">
        <f t="shared" si="61"/>
        <v>OK</v>
      </c>
      <c r="DA77" s="47">
        <f t="shared" si="62"/>
        <v>0.34499859601035404</v>
      </c>
      <c r="DB77" s="46">
        <f t="shared" si="63"/>
        <v>0.45712832802668235</v>
      </c>
      <c r="DC77" s="5" t="str">
        <f t="shared" si="64"/>
        <v>OK</v>
      </c>
      <c r="DD77" s="5">
        <f t="shared" si="65"/>
        <v>2.9248163326364334</v>
      </c>
      <c r="DE77" s="5">
        <f t="shared" si="66"/>
        <v>1.6655104634982609</v>
      </c>
      <c r="DF77" s="5" t="str">
        <f t="shared" si="67"/>
        <v>-</v>
      </c>
      <c r="DG77" s="5" t="str">
        <f t="shared" si="68"/>
        <v>-</v>
      </c>
      <c r="DH77" s="203" t="str">
        <f t="shared" si="69"/>
        <v>-</v>
      </c>
      <c r="DI77" s="203">
        <f t="shared" si="70"/>
        <v>180</v>
      </c>
      <c r="DJ77" s="46">
        <f t="shared" si="71"/>
        <v>0</v>
      </c>
      <c r="DK77" s="5" t="str">
        <f t="shared" si="72"/>
        <v>OK</v>
      </c>
      <c r="EB77" s="18"/>
      <c r="EC77" s="77"/>
      <c r="ED77" s="77"/>
      <c r="EE77" s="18"/>
      <c r="EF77" s="18"/>
      <c r="EG77" s="18"/>
      <c r="EH77" s="5"/>
      <c r="EI77" s="5"/>
      <c r="EJ77" s="5"/>
      <c r="EK77" s="5"/>
      <c r="EL77" s="5"/>
      <c r="FE77" s="26"/>
      <c r="FF77" s="26"/>
      <c r="FG77" s="26"/>
      <c r="FH77" s="26"/>
      <c r="FI77" s="26"/>
      <c r="FJ77" s="26"/>
      <c r="FK77" s="26"/>
      <c r="FL77" s="26"/>
      <c r="FM77" s="26"/>
      <c r="FN77" s="205"/>
      <c r="FO77" s="205"/>
      <c r="FP77" s="205"/>
      <c r="FQ77" s="205"/>
      <c r="FR77" s="205"/>
      <c r="FS77" s="205"/>
      <c r="FT77" s="205"/>
      <c r="FU77" s="77"/>
      <c r="FV77" s="77"/>
      <c r="FW77" s="77"/>
      <c r="FX77" s="205"/>
      <c r="FY77" s="205"/>
      <c r="FZ77" s="205"/>
      <c r="GA77" s="205"/>
      <c r="GB77" s="205"/>
      <c r="GC77" s="205"/>
      <c r="GD77" s="205"/>
      <c r="GE77" s="205"/>
      <c r="GF77" s="205"/>
      <c r="GG77" s="205"/>
      <c r="GH77" s="205"/>
      <c r="GI77" s="205"/>
      <c r="GJ77" s="205"/>
      <c r="GK77" s="205"/>
      <c r="GL77" s="205"/>
      <c r="GM77" s="205"/>
      <c r="GN77" s="205"/>
      <c r="GO77" s="205"/>
      <c r="GP77" s="205"/>
      <c r="GQ77" s="205"/>
      <c r="GR77" s="205"/>
      <c r="GS77" s="205"/>
      <c r="GT77" s="205"/>
      <c r="GU77" s="205"/>
      <c r="GV77" s="18"/>
      <c r="GW77" s="5"/>
      <c r="GX77" s="5"/>
      <c r="GY77" s="77"/>
      <c r="GZ77" s="18"/>
      <c r="HA77" s="18"/>
      <c r="HB77" s="18"/>
      <c r="HC77" s="18"/>
      <c r="HD77" s="18"/>
      <c r="HE77" s="18"/>
      <c r="HF77" s="18"/>
      <c r="HG77" s="18"/>
      <c r="HH77" s="205"/>
      <c r="HI77" s="26"/>
      <c r="HJ77" s="26"/>
      <c r="HK77" s="5"/>
    </row>
    <row r="78" spans="2:219" ht="15">
      <c r="B78" s="172" t="s">
        <v>472</v>
      </c>
      <c r="C78" s="269"/>
      <c r="D78" s="257"/>
      <c r="E78" s="2"/>
      <c r="F78" s="2"/>
      <c r="G78" s="2"/>
      <c r="H78" s="269"/>
      <c r="I78" s="257"/>
      <c r="J78" s="269"/>
      <c r="K78" s="256" t="s">
        <v>367</v>
      </c>
      <c r="L78" s="271">
        <f>IF(E77&lt;=1,"-",N99)</f>
        <v>3.3993022441864014</v>
      </c>
      <c r="M78" s="2"/>
      <c r="N78" s="10"/>
      <c r="AA78" s="18" t="s">
        <v>488</v>
      </c>
      <c r="AB78" s="22" t="s">
        <v>489</v>
      </c>
      <c r="AC78" s="59">
        <v>3.6405952380952398</v>
      </c>
      <c r="AD78" s="59">
        <v>8.6549999999999994</v>
      </c>
      <c r="AE78" s="22">
        <v>528</v>
      </c>
      <c r="AF78" s="22">
        <v>1528</v>
      </c>
      <c r="AG78" s="22">
        <v>948.63492063492095</v>
      </c>
      <c r="AH78" s="6">
        <v>10</v>
      </c>
      <c r="AI78" s="6">
        <v>300</v>
      </c>
      <c r="AJ78" s="6">
        <v>14</v>
      </c>
      <c r="AK78" s="24">
        <v>300</v>
      </c>
      <c r="AL78" s="24">
        <v>14</v>
      </c>
      <c r="AM78" s="5">
        <f t="shared" si="17"/>
        <v>920.63492063492095</v>
      </c>
      <c r="AN78" s="26">
        <f t="shared" si="18"/>
        <v>176.06349206349208</v>
      </c>
      <c r="AO78" s="26">
        <f t="shared" si="19"/>
        <v>248482.7399356656</v>
      </c>
      <c r="AP78" s="15">
        <f t="shared" si="20"/>
        <v>6307.6719576719579</v>
      </c>
      <c r="AQ78" s="5">
        <f t="shared" si="21"/>
        <v>5238.7432621467533</v>
      </c>
      <c r="AR78" s="26">
        <f t="shared" si="22"/>
        <v>420.51146384479722</v>
      </c>
      <c r="AS78" s="26">
        <f t="shared" si="23"/>
        <v>3022.1941546989178</v>
      </c>
      <c r="AT78" s="26">
        <f t="shared" si="24"/>
        <v>37.567600585756203</v>
      </c>
      <c r="AU78" s="26">
        <f t="shared" si="25"/>
        <v>5.9854925384629922</v>
      </c>
      <c r="AV78" s="95">
        <f t="shared" si="26"/>
        <v>8.6034497354497351E-7</v>
      </c>
      <c r="AW78" s="95">
        <f t="shared" si="27"/>
        <v>13758293.349206358</v>
      </c>
      <c r="AX78" s="95">
        <f t="shared" si="28"/>
        <v>1.3758293349206359E-5</v>
      </c>
      <c r="AY78" s="54">
        <f t="shared" si="29"/>
        <v>0.1548581140202015</v>
      </c>
      <c r="AZ78" s="54" t="str">
        <f>_xll.Dce_Name_SectI(AE78,AF78,AI78,AH78,AJ78,"x","-",$O$11)</f>
        <v>(528-1528)x300x10x14</v>
      </c>
      <c r="BA78" s="15">
        <f t="shared" si="30"/>
        <v>700.97619047619071</v>
      </c>
      <c r="BB78" s="54"/>
      <c r="BC78" s="54"/>
      <c r="BD78" s="22" t="s">
        <v>511</v>
      </c>
      <c r="BE78" s="23">
        <v>-40.09912020060267</v>
      </c>
      <c r="BF78" s="23">
        <v>-30.960527521499586</v>
      </c>
      <c r="BG78" s="23">
        <v>-1.5880064321568176E-3</v>
      </c>
      <c r="BH78" s="23">
        <v>2.2179856100366656E-5</v>
      </c>
      <c r="BI78" s="23">
        <v>5.7964267837806397E-3</v>
      </c>
      <c r="BJ78" s="23">
        <v>149.86537821830677</v>
      </c>
      <c r="BK78" s="23">
        <v>112.74499196500562</v>
      </c>
      <c r="BL78" s="92">
        <v>2.25</v>
      </c>
      <c r="BM78" s="91">
        <v>2</v>
      </c>
      <c r="BN78" s="5">
        <f t="shared" si="31"/>
        <v>19.473749999999999</v>
      </c>
      <c r="BO78" s="54">
        <f>_xll.Bimoment(BH78,AY78,AC78,AD78,$O$101)</f>
        <v>-1.7057788050809587E-4</v>
      </c>
      <c r="BP78" s="5">
        <f t="shared" si="32"/>
        <v>0.45620689655172403</v>
      </c>
      <c r="BQ78" s="5">
        <f t="shared" si="33"/>
        <v>15.590674749885444</v>
      </c>
      <c r="BR78" s="24" t="str">
        <f t="shared" si="34"/>
        <v>Cal</v>
      </c>
      <c r="BS78" s="25">
        <f t="shared" si="35"/>
        <v>9.9642264742977917E-3</v>
      </c>
      <c r="BT78" s="25" t="str">
        <f t="shared" si="36"/>
        <v>CT.105</v>
      </c>
      <c r="BU78" s="25">
        <f t="shared" si="37"/>
        <v>1</v>
      </c>
      <c r="BV78" s="25" cm="1">
        <f t="array" ref="BV78">IF(BT78="CT.104",_xll.TCVN5575AnnexEHeSoCx(1,BP78),1)</f>
        <v>1</v>
      </c>
      <c r="BW78" s="25">
        <f t="shared" si="38"/>
        <v>1</v>
      </c>
      <c r="BX78" s="25">
        <f t="shared" si="39"/>
        <v>1.0488659446629254E-2</v>
      </c>
      <c r="BY78" s="25">
        <f t="shared" si="40"/>
        <v>0.13174333431066218</v>
      </c>
      <c r="BZ78" s="25">
        <f t="shared" si="41"/>
        <v>6.3480007110178422E-5</v>
      </c>
      <c r="CA78" s="25">
        <f t="shared" si="42"/>
        <v>4.002357402885624E-6</v>
      </c>
      <c r="CB78" s="25">
        <f t="shared" si="43"/>
        <v>0.14229947612180449</v>
      </c>
      <c r="CC78" s="5" t="str">
        <f t="shared" si="44"/>
        <v>OK</v>
      </c>
      <c r="CD78" s="5">
        <f t="shared" si="45"/>
        <v>51.836555160202302</v>
      </c>
      <c r="CE78" s="5">
        <f t="shared" si="46"/>
        <v>33.414125690541383</v>
      </c>
      <c r="CF78" s="5">
        <f t="shared" si="47"/>
        <v>1.7266865002204341</v>
      </c>
      <c r="CG78" s="5">
        <f t="shared" si="48"/>
        <v>1.1130315193248546</v>
      </c>
      <c r="CH78" s="5">
        <f t="shared" si="49"/>
        <v>12.560550276327312</v>
      </c>
      <c r="CI78" s="68">
        <f>_xll.DCETCVN5575PhuLucD2Eta(BP78,CH78,CF78)</f>
        <v>1.2412413793103447</v>
      </c>
      <c r="CJ78" s="5">
        <f t="shared" si="50"/>
        <v>15.590674749885444</v>
      </c>
      <c r="CK78" s="5">
        <f>MIN(noisuy2chieu(CJ78,CF78,Data!$DA$2:$EB$24),1)</f>
        <v>8.8200092315673828E-2</v>
      </c>
      <c r="CL78" s="102">
        <f t="shared" si="51"/>
        <v>0.11891891687697631</v>
      </c>
      <c r="CM78" s="5" t="str">
        <f t="shared" si="52"/>
        <v>OK</v>
      </c>
      <c r="CN78" s="5">
        <f t="shared" si="53"/>
        <v>0.88472625978979058</v>
      </c>
      <c r="CO78" s="5">
        <f t="shared" si="54"/>
        <v>0.5370345235716667</v>
      </c>
      <c r="CP78" s="25">
        <f>_xll.DCETCVNPhuLucFHeSoOnDinh(1, 0.2, AG78, AH78, AI78, AJ78, AI78, AJ78, $D$28)</f>
        <v>1</v>
      </c>
      <c r="CQ78" s="68">
        <f t="shared" si="55"/>
        <v>0.9</v>
      </c>
      <c r="CR78" s="68">
        <f t="shared" si="56"/>
        <v>1</v>
      </c>
      <c r="CS78" s="5">
        <f t="shared" si="57"/>
        <v>0.18181818181818182</v>
      </c>
      <c r="CT78" s="5">
        <f t="shared" si="58"/>
        <v>0.10155106457844131</v>
      </c>
      <c r="CU78" s="26">
        <f t="shared" si="59"/>
        <v>9.4494082410261715</v>
      </c>
      <c r="CV78" s="5"/>
      <c r="CW78" s="25"/>
      <c r="CX78" s="72">
        <f>MAX(_xll.Dce_c_925(CU78, CQ78, CR78, CN78, CP78, CS78, CT78),0.3)</f>
        <v>0.3</v>
      </c>
      <c r="CY78" s="102">
        <f t="shared" si="60"/>
        <v>3.9517531856393423E-2</v>
      </c>
      <c r="CZ78" s="5" t="str">
        <f t="shared" si="61"/>
        <v>OK</v>
      </c>
      <c r="DA78" s="47">
        <f t="shared" si="62"/>
        <v>0.34499859601035404</v>
      </c>
      <c r="DB78" s="46">
        <f t="shared" si="63"/>
        <v>0.47130315193248545</v>
      </c>
      <c r="DC78" s="5" t="str">
        <f t="shared" si="64"/>
        <v>OK</v>
      </c>
      <c r="DD78" s="5">
        <f t="shared" si="65"/>
        <v>1.7266865002204341</v>
      </c>
      <c r="DE78" s="5">
        <f t="shared" si="66"/>
        <v>3.0666541867587034</v>
      </c>
      <c r="DF78" s="5" t="str">
        <f t="shared" si="67"/>
        <v>-</v>
      </c>
      <c r="DG78" s="5" t="str">
        <f t="shared" si="68"/>
        <v>-</v>
      </c>
      <c r="DH78" s="203">
        <f t="shared" si="69"/>
        <v>51.836555160202302</v>
      </c>
      <c r="DI78" s="203">
        <f t="shared" si="70"/>
        <v>180</v>
      </c>
      <c r="DJ78" s="46">
        <f t="shared" si="71"/>
        <v>0.28798086200112388</v>
      </c>
      <c r="DK78" s="5" t="str">
        <f t="shared" si="72"/>
        <v>OK</v>
      </c>
      <c r="EB78" s="18"/>
      <c r="EC78" s="77"/>
      <c r="ED78" s="77"/>
      <c r="EE78" s="18"/>
      <c r="EF78" s="18"/>
      <c r="EG78" s="18"/>
      <c r="EH78" s="5"/>
      <c r="EI78" s="5"/>
      <c r="EJ78" s="5"/>
      <c r="EK78" s="5"/>
      <c r="EL78" s="5"/>
      <c r="FE78" s="26"/>
      <c r="FF78" s="26"/>
      <c r="FG78" s="26"/>
      <c r="FH78" s="26"/>
      <c r="FI78" s="26"/>
      <c r="FJ78" s="26"/>
      <c r="FK78" s="26"/>
      <c r="FL78" s="26"/>
      <c r="FM78" s="26"/>
      <c r="FN78" s="205"/>
      <c r="FO78" s="205"/>
      <c r="FP78" s="205"/>
      <c r="FQ78" s="205"/>
      <c r="FR78" s="205"/>
      <c r="FS78" s="205"/>
      <c r="FT78" s="205"/>
      <c r="FU78" s="77"/>
      <c r="FV78" s="77"/>
      <c r="FW78" s="77"/>
      <c r="FX78" s="205"/>
      <c r="FY78" s="205"/>
      <c r="FZ78" s="205"/>
      <c r="GA78" s="205"/>
      <c r="GB78" s="205"/>
      <c r="GC78" s="205"/>
      <c r="GD78" s="205"/>
      <c r="GE78" s="205"/>
      <c r="GF78" s="205"/>
      <c r="GG78" s="205"/>
      <c r="GH78" s="205"/>
      <c r="GI78" s="205"/>
      <c r="GJ78" s="205"/>
      <c r="GK78" s="205"/>
      <c r="GL78" s="205"/>
      <c r="GM78" s="205"/>
      <c r="GN78" s="205"/>
      <c r="GO78" s="205"/>
      <c r="GP78" s="205"/>
      <c r="GQ78" s="205"/>
      <c r="GR78" s="205"/>
      <c r="GS78" s="205"/>
      <c r="GT78" s="205"/>
      <c r="GU78" s="205"/>
      <c r="GV78" s="18"/>
      <c r="GW78" s="5"/>
      <c r="GX78" s="5"/>
      <c r="GY78" s="77"/>
      <c r="GZ78" s="18"/>
      <c r="HA78" s="18"/>
      <c r="HB78" s="18"/>
      <c r="HC78" s="18"/>
      <c r="HD78" s="18"/>
      <c r="HE78" s="18"/>
      <c r="HF78" s="18"/>
      <c r="HG78" s="18"/>
      <c r="HH78" s="205"/>
      <c r="HI78" s="26"/>
      <c r="HJ78" s="26"/>
      <c r="HK78" s="5"/>
    </row>
    <row r="79" spans="2:219" ht="15" customHeight="1">
      <c r="B79" s="172" t="s">
        <v>411</v>
      </c>
      <c r="C79" s="2"/>
      <c r="D79" s="2"/>
      <c r="E79" s="2"/>
      <c r="F79" s="2"/>
      <c r="G79" s="2"/>
      <c r="H79" s="2"/>
      <c r="I79" s="2"/>
      <c r="J79" s="2"/>
      <c r="K79" s="238"/>
      <c r="L79" s="280">
        <f>IFERROR(L75/L78,"-")</f>
        <v>1.3143279382291237</v>
      </c>
      <c r="M79" s="240" t="s">
        <v>31</v>
      </c>
      <c r="N79" s="232" t="str">
        <f>IF(H32&gt;0,"-",IF(L79&lt;=1,"OK","Gia cường"))</f>
        <v>Gia cường</v>
      </c>
      <c r="AA79" s="18" t="s">
        <v>488</v>
      </c>
      <c r="AB79" s="22" t="s">
        <v>489</v>
      </c>
      <c r="AC79" s="59">
        <v>7.2811904761904795</v>
      </c>
      <c r="AD79" s="59">
        <v>8.6549999999999994</v>
      </c>
      <c r="AE79" s="22">
        <v>528</v>
      </c>
      <c r="AF79" s="22">
        <v>1528</v>
      </c>
      <c r="AG79" s="22">
        <v>1369.2698412698419</v>
      </c>
      <c r="AH79" s="6">
        <v>10</v>
      </c>
      <c r="AI79" s="6">
        <v>300</v>
      </c>
      <c r="AJ79" s="6">
        <v>14</v>
      </c>
      <c r="AK79" s="24">
        <v>300</v>
      </c>
      <c r="AL79" s="24">
        <v>14</v>
      </c>
      <c r="AM79" s="5">
        <f t="shared" si="17"/>
        <v>1341.2698412698419</v>
      </c>
      <c r="AN79" s="26">
        <f t="shared" si="18"/>
        <v>218.12698412698418</v>
      </c>
      <c r="AO79" s="26">
        <f t="shared" si="19"/>
        <v>586811.79072745051</v>
      </c>
      <c r="AP79" s="15">
        <f t="shared" si="20"/>
        <v>6311.1772486772488</v>
      </c>
      <c r="AQ79" s="5">
        <f t="shared" si="21"/>
        <v>8571.1635945074104</v>
      </c>
      <c r="AR79" s="26">
        <f t="shared" si="22"/>
        <v>420.74514991181661</v>
      </c>
      <c r="AS79" s="26">
        <f t="shared" si="23"/>
        <v>5094.8226505417015</v>
      </c>
      <c r="AT79" s="26">
        <f t="shared" si="24"/>
        <v>51.867428670398397</v>
      </c>
      <c r="AU79" s="26">
        <f t="shared" si="25"/>
        <v>5.3789869588463937</v>
      </c>
      <c r="AV79" s="95">
        <f t="shared" si="26"/>
        <v>1.0005566137566139E-6</v>
      </c>
      <c r="AW79" s="95">
        <f t="shared" si="27"/>
        <v>28928912.396825422</v>
      </c>
      <c r="AX79" s="95">
        <f t="shared" si="28"/>
        <v>2.8928912396825422E-5</v>
      </c>
      <c r="AY79" s="54">
        <f t="shared" si="29"/>
        <v>0.11516876660535029</v>
      </c>
      <c r="AZ79" s="54" t="str">
        <f>_xll.Dce_Name_SectI(AE79,AF79,AI79,AH79,AJ79,"x","-",$O$11)</f>
        <v>(528-1528)x300x10x14</v>
      </c>
      <c r="BA79" s="15">
        <f t="shared" si="30"/>
        <v>1016.4523809523813</v>
      </c>
      <c r="BB79" s="54"/>
      <c r="BC79" s="54"/>
      <c r="BD79" s="22" t="s">
        <v>511</v>
      </c>
      <c r="BE79" s="23">
        <v>-32.220831263544454</v>
      </c>
      <c r="BF79" s="23">
        <v>-10.504691864374109</v>
      </c>
      <c r="BG79" s="23">
        <v>-1.588006432155563E-3</v>
      </c>
      <c r="BH79" s="23">
        <v>2.2179856100366656E-5</v>
      </c>
      <c r="BI79" s="23">
        <v>1.1591330474861154E-2</v>
      </c>
      <c r="BJ79" s="23">
        <v>225.48998393001125</v>
      </c>
      <c r="BK79" s="23">
        <v>112.74499196500562</v>
      </c>
      <c r="BL79" s="92">
        <v>2.25</v>
      </c>
      <c r="BM79" s="91">
        <v>2</v>
      </c>
      <c r="BN79" s="5">
        <f t="shared" si="31"/>
        <v>19.473749999999999</v>
      </c>
      <c r="BO79" s="54">
        <f>_xll.Bimoment(BH79,AY79,AC79,AD79,$O$101)</f>
        <v>-1.0146553150090861E-4</v>
      </c>
      <c r="BP79" s="5">
        <f t="shared" si="32"/>
        <v>0.31313609467455605</v>
      </c>
      <c r="BQ79" s="5">
        <f t="shared" si="33"/>
        <v>21.596702098625201</v>
      </c>
      <c r="BR79" s="24" t="str">
        <f t="shared" si="34"/>
        <v>Cal</v>
      </c>
      <c r="BS79" s="25">
        <f t="shared" si="35"/>
        <v>6.4625721270662488E-3</v>
      </c>
      <c r="BT79" s="25" t="str">
        <f t="shared" si="36"/>
        <v>CT.105</v>
      </c>
      <c r="BU79" s="25">
        <f t="shared" si="37"/>
        <v>1</v>
      </c>
      <c r="BV79" s="25" cm="1">
        <f t="array" ref="BV79">IF(BT79="CT.104",_xll.TCVN5575AnnexEHeSoCx(1,BP79),1)</f>
        <v>1</v>
      </c>
      <c r="BW79" s="25">
        <f t="shared" si="38"/>
        <v>1</v>
      </c>
      <c r="BX79" s="25">
        <f t="shared" si="39"/>
        <v>6.8027075021749985E-3</v>
      </c>
      <c r="BY79" s="25">
        <f t="shared" si="40"/>
        <v>0.12115516219205205</v>
      </c>
      <c r="BZ79" s="25">
        <f t="shared" si="41"/>
        <v>1.2687282835713892E-4</v>
      </c>
      <c r="CA79" s="25">
        <f t="shared" si="42"/>
        <v>1.6418289827504936E-6</v>
      </c>
      <c r="CB79" s="25">
        <f t="shared" si="43"/>
        <v>0.12808638435156691</v>
      </c>
      <c r="CC79" s="5" t="str">
        <f t="shared" si="44"/>
        <v>OK</v>
      </c>
      <c r="CD79" s="5">
        <f t="shared" si="45"/>
        <v>37.545238889226049</v>
      </c>
      <c r="CE79" s="5">
        <f t="shared" si="46"/>
        <v>37.181722419139881</v>
      </c>
      <c r="CF79" s="5">
        <f t="shared" si="47"/>
        <v>1.2506397644909562</v>
      </c>
      <c r="CG79" s="5">
        <f t="shared" si="48"/>
        <v>1.2385309547993069</v>
      </c>
      <c r="CH79" s="5">
        <f t="shared" si="49"/>
        <v>17.809844411701615</v>
      </c>
      <c r="CI79" s="68">
        <f>_xll.DCETCVN5575PhuLucD2Eta(BP79,CH79,CF79)</f>
        <v>1.2126272189349112</v>
      </c>
      <c r="CJ79" s="5">
        <f t="shared" si="50"/>
        <v>21.596702098625201</v>
      </c>
      <c r="CK79" s="5">
        <f>MIN(noisuy2chieu(CJ79,CF79,Data!$DA$2:$EB$24),1)</f>
        <v>7.1994885802268982E-2</v>
      </c>
      <c r="CL79" s="102">
        <f t="shared" si="51"/>
        <v>9.4488760227474461E-2</v>
      </c>
      <c r="CM79" s="5" t="str">
        <f t="shared" si="52"/>
        <v>OK</v>
      </c>
      <c r="CN79" s="5">
        <f t="shared" si="53"/>
        <v>0.86643683692746631</v>
      </c>
      <c r="CO79" s="5">
        <f t="shared" si="54"/>
        <v>0.5370345235716667</v>
      </c>
      <c r="CP79" s="25">
        <f>_xll.DCETCVNPhuLucFHeSoOnDinh(1, 0.2, AG79, AH79, AI79, AJ79, AI79, AJ79, $D$28)</f>
        <v>1</v>
      </c>
      <c r="CQ79" s="68">
        <f t="shared" si="55"/>
        <v>0.9</v>
      </c>
      <c r="CR79" s="68">
        <f t="shared" si="56"/>
        <v>1</v>
      </c>
      <c r="CS79" s="5">
        <f t="shared" si="57"/>
        <v>0.18181818181818182</v>
      </c>
      <c r="CT79" s="5">
        <f t="shared" si="58"/>
        <v>0.10347287704587492</v>
      </c>
      <c r="CU79" s="26">
        <f t="shared" si="59"/>
        <v>8.9049222058508075</v>
      </c>
      <c r="CV79" s="5"/>
      <c r="CW79" s="25"/>
      <c r="CX79" s="72">
        <f>MAX(_xll.Dce_c_925(CU79, CQ79, CR79, CN79, CP79, CS79, CT79),0.3)</f>
        <v>0.3</v>
      </c>
      <c r="CY79" s="102">
        <f t="shared" si="60"/>
        <v>2.6171199916116862E-2</v>
      </c>
      <c r="CZ79" s="5" t="str">
        <f t="shared" si="61"/>
        <v>OK</v>
      </c>
      <c r="DA79" s="47">
        <f t="shared" si="62"/>
        <v>0.34499859601035404</v>
      </c>
      <c r="DB79" s="46">
        <f t="shared" si="63"/>
        <v>0.48385309547993066</v>
      </c>
      <c r="DC79" s="5" t="str">
        <f t="shared" si="64"/>
        <v>OK</v>
      </c>
      <c r="DD79" s="5">
        <f t="shared" si="65"/>
        <v>1.2506397644909562</v>
      </c>
      <c r="DE79" s="5">
        <f t="shared" si="66"/>
        <v>4.4677979100191463</v>
      </c>
      <c r="DF79" s="5" t="str">
        <f t="shared" si="67"/>
        <v>-</v>
      </c>
      <c r="DG79" s="5" t="str">
        <f t="shared" si="68"/>
        <v>-</v>
      </c>
      <c r="DH79" s="203">
        <f t="shared" si="69"/>
        <v>37.545238889226049</v>
      </c>
      <c r="DI79" s="203">
        <f t="shared" si="70"/>
        <v>180</v>
      </c>
      <c r="DJ79" s="46">
        <f t="shared" si="71"/>
        <v>0.20858466049570026</v>
      </c>
      <c r="DK79" s="5" t="str">
        <f t="shared" si="72"/>
        <v>OK</v>
      </c>
      <c r="EB79" s="18"/>
      <c r="EC79" s="77"/>
      <c r="ED79" s="77"/>
      <c r="EE79" s="18"/>
      <c r="EF79" s="18"/>
      <c r="EG79" s="18"/>
      <c r="EH79" s="5"/>
      <c r="EI79" s="5"/>
      <c r="EJ79" s="5"/>
      <c r="EK79" s="5"/>
      <c r="EL79" s="5"/>
      <c r="FE79" s="26"/>
      <c r="FF79" s="26"/>
      <c r="FG79" s="26"/>
      <c r="FH79" s="26"/>
      <c r="FI79" s="26"/>
      <c r="FJ79" s="26"/>
      <c r="FK79" s="26"/>
      <c r="FL79" s="26"/>
      <c r="FM79" s="26"/>
      <c r="FN79" s="205"/>
      <c r="FO79" s="205"/>
      <c r="FP79" s="205"/>
      <c r="FQ79" s="205"/>
      <c r="FR79" s="205"/>
      <c r="FS79" s="205"/>
      <c r="FT79" s="205"/>
      <c r="FU79" s="77"/>
      <c r="FV79" s="77"/>
      <c r="FW79" s="77"/>
      <c r="FX79" s="205"/>
      <c r="FY79" s="205"/>
      <c r="FZ79" s="205"/>
      <c r="GA79" s="205"/>
      <c r="GB79" s="205"/>
      <c r="GC79" s="205"/>
      <c r="GD79" s="205"/>
      <c r="GE79" s="205"/>
      <c r="GF79" s="205"/>
      <c r="GG79" s="205"/>
      <c r="GH79" s="205"/>
      <c r="GI79" s="205"/>
      <c r="GJ79" s="205"/>
      <c r="GK79" s="205"/>
      <c r="GL79" s="205"/>
      <c r="GM79" s="205"/>
      <c r="GN79" s="205"/>
      <c r="GO79" s="205"/>
      <c r="GP79" s="205"/>
      <c r="GQ79" s="205"/>
      <c r="GR79" s="205"/>
      <c r="GS79" s="205"/>
      <c r="GT79" s="205"/>
      <c r="GU79" s="205"/>
      <c r="GV79" s="18"/>
      <c r="GW79" s="5"/>
      <c r="GX79" s="5"/>
      <c r="GY79" s="77"/>
      <c r="GZ79" s="18"/>
      <c r="HA79" s="18"/>
      <c r="HB79" s="18"/>
      <c r="HC79" s="18"/>
      <c r="HD79" s="18"/>
      <c r="HE79" s="18"/>
      <c r="HF79" s="18"/>
      <c r="HG79" s="18"/>
      <c r="HH79" s="205"/>
      <c r="HI79" s="26"/>
      <c r="HJ79" s="26"/>
      <c r="HK79" s="5"/>
    </row>
    <row r="80" spans="2:219">
      <c r="B80" s="231" t="s">
        <v>476</v>
      </c>
      <c r="C80" s="2"/>
      <c r="D80" s="2"/>
      <c r="E80" s="2"/>
      <c r="F80" s="2"/>
      <c r="G80" s="2"/>
      <c r="H80" s="2"/>
      <c r="I80" s="2"/>
      <c r="J80" s="2"/>
      <c r="K80" s="238"/>
      <c r="L80" s="238"/>
      <c r="M80" s="240"/>
      <c r="N80" s="21"/>
      <c r="AA80" s="18" t="s">
        <v>488</v>
      </c>
      <c r="AB80" s="22" t="s">
        <v>489</v>
      </c>
      <c r="AC80" s="59">
        <v>0</v>
      </c>
      <c r="AD80" s="59">
        <v>8.6549999999999994</v>
      </c>
      <c r="AE80" s="22">
        <v>528</v>
      </c>
      <c r="AF80" s="22">
        <v>1528</v>
      </c>
      <c r="AG80" s="22">
        <v>528</v>
      </c>
      <c r="AH80" s="6">
        <v>10</v>
      </c>
      <c r="AI80" s="6">
        <v>300</v>
      </c>
      <c r="AJ80" s="6">
        <v>14</v>
      </c>
      <c r="AK80" s="24">
        <v>300</v>
      </c>
      <c r="AL80" s="24">
        <v>14</v>
      </c>
      <c r="AM80" s="5">
        <f t="shared" si="17"/>
        <v>500</v>
      </c>
      <c r="AN80" s="26">
        <f t="shared" si="18"/>
        <v>134</v>
      </c>
      <c r="AO80" s="26">
        <f t="shared" si="19"/>
        <v>65911.546666666676</v>
      </c>
      <c r="AP80" s="15">
        <f t="shared" si="20"/>
        <v>6304.166666666667</v>
      </c>
      <c r="AQ80" s="5">
        <f t="shared" si="21"/>
        <v>2496.6494949494954</v>
      </c>
      <c r="AR80" s="26">
        <f t="shared" si="22"/>
        <v>420.27777777777777</v>
      </c>
      <c r="AS80" s="26">
        <f t="shared" si="23"/>
        <v>1391.9</v>
      </c>
      <c r="AT80" s="26">
        <f t="shared" si="24"/>
        <v>22.178305028345793</v>
      </c>
      <c r="AU80" s="26">
        <f t="shared" si="25"/>
        <v>6.8590101254115021</v>
      </c>
      <c r="AV80" s="95">
        <f t="shared" si="26"/>
        <v>7.201333333333334E-7</v>
      </c>
      <c r="AW80" s="95">
        <f t="shared" si="27"/>
        <v>4161087</v>
      </c>
      <c r="AX80" s="95">
        <f t="shared" si="28"/>
        <v>4.1610870000000001E-6</v>
      </c>
      <c r="AY80" s="54">
        <f t="shared" si="29"/>
        <v>0.25762202780669918</v>
      </c>
      <c r="AZ80" s="54" t="str">
        <f>_xll.Dce_Name_SectI(AE80,AF80,AI80,AH80,AJ80,"x","-",$O$11)</f>
        <v>(528-1528)x300x10x14</v>
      </c>
      <c r="BA80" s="15">
        <f t="shared" si="30"/>
        <v>385.5</v>
      </c>
      <c r="BB80" s="54"/>
      <c r="BC80" s="54"/>
      <c r="BD80" s="22" t="s">
        <v>512</v>
      </c>
      <c r="BE80" s="23">
        <v>-156.72085813929652</v>
      </c>
      <c r="BF80" s="23">
        <v>-145.94744134081702</v>
      </c>
      <c r="BG80" s="23">
        <v>7.7045359208487889E-4</v>
      </c>
      <c r="BH80" s="23">
        <v>-1.076100792690298E-5</v>
      </c>
      <c r="BI80" s="23">
        <v>-7.3895937545836992E-7</v>
      </c>
      <c r="BJ80" s="23">
        <v>-2.0489555541483546</v>
      </c>
      <c r="BK80" s="23">
        <v>500.17163760929191</v>
      </c>
      <c r="BL80" s="92">
        <v>2.25</v>
      </c>
      <c r="BM80" s="91">
        <v>2</v>
      </c>
      <c r="BN80" s="5">
        <f t="shared" si="31"/>
        <v>19.473749999999999</v>
      </c>
      <c r="BO80" s="54">
        <f>_xll.Bimoment(BH80,AY80,AC80,AD80,$O$101)</f>
        <v>0</v>
      </c>
      <c r="BP80" s="5">
        <f t="shared" si="32"/>
        <v>0.84</v>
      </c>
      <c r="BQ80" s="5">
        <f t="shared" si="33"/>
        <v>0.10643622215744838</v>
      </c>
      <c r="BR80" s="24" t="str">
        <f t="shared" si="34"/>
        <v>Cal</v>
      </c>
      <c r="BS80" s="25">
        <f t="shared" si="35"/>
        <v>5.1168190623837484E-2</v>
      </c>
      <c r="BT80" s="25" t="str">
        <f t="shared" si="36"/>
        <v>CT.105</v>
      </c>
      <c r="BU80" s="25">
        <f t="shared" si="37"/>
        <v>1</v>
      </c>
      <c r="BV80" s="25" cm="1">
        <f t="array" ref="BV80">IF(BT80="CT.104",_xll.TCVN5575AnnexEHeSoCx(1,BP80),1)</f>
        <v>1</v>
      </c>
      <c r="BW80" s="25">
        <f t="shared" si="38"/>
        <v>1</v>
      </c>
      <c r="BX80" s="25">
        <f t="shared" si="39"/>
        <v>5.3861253288249991E-2</v>
      </c>
      <c r="BY80" s="25">
        <f t="shared" si="40"/>
        <v>3.7794570462419243E-3</v>
      </c>
      <c r="BZ80" s="25">
        <f t="shared" si="41"/>
        <v>8.0972693940023842E-9</v>
      </c>
      <c r="CA80" s="25">
        <f t="shared" si="42"/>
        <v>0</v>
      </c>
      <c r="CB80" s="25">
        <f t="shared" si="43"/>
        <v>5.7640718431761315E-2</v>
      </c>
      <c r="CC80" s="5" t="str">
        <f t="shared" si="44"/>
        <v>OK</v>
      </c>
      <c r="CD80" s="5">
        <f t="shared" si="45"/>
        <v>87.805402509844015</v>
      </c>
      <c r="CE80" s="5">
        <f t="shared" si="46"/>
        <v>29.158726455153193</v>
      </c>
      <c r="CF80" s="5">
        <f t="shared" si="47"/>
        <v>2.9248163326364334</v>
      </c>
      <c r="CG80" s="5">
        <f t="shared" si="48"/>
        <v>0.97128328026682387</v>
      </c>
      <c r="CH80" s="5">
        <f t="shared" si="49"/>
        <v>7.0170239560066558E-2</v>
      </c>
      <c r="CI80" s="68">
        <f>_xll.DCETCVN5575PhuLucD2Eta(BP80,CH80,CF80)</f>
        <v>1.5168285419111005</v>
      </c>
      <c r="CJ80" s="5">
        <f t="shared" si="50"/>
        <v>0.10643622215744838</v>
      </c>
      <c r="CK80" s="5">
        <f>MIN(noisuy2chieu(CJ80,CF80,Data!$DA$2:$EB$24),1)</f>
        <v>0.67527395486831665</v>
      </c>
      <c r="CL80" s="102">
        <f t="shared" si="51"/>
        <v>7.976207715393574E-2</v>
      </c>
      <c r="CM80" s="5" t="str">
        <f t="shared" si="52"/>
        <v>OK</v>
      </c>
      <c r="CN80" s="5">
        <f t="shared" si="53"/>
        <v>0.90492218941026858</v>
      </c>
      <c r="CO80" s="5">
        <f t="shared" si="54"/>
        <v>0.5370345235716667</v>
      </c>
      <c r="CP80" s="25">
        <f>_xll.DCETCVNPhuLucFHeSoOnDinh(1, 0.2, AG80, AH80, AI80, AJ80, AI80, AJ80, $D$28)</f>
        <v>1</v>
      </c>
      <c r="CQ80" s="68">
        <f t="shared" si="55"/>
        <v>0.9</v>
      </c>
      <c r="CR80" s="68">
        <f t="shared" si="56"/>
        <v>1</v>
      </c>
      <c r="CS80" s="5">
        <f t="shared" si="57"/>
        <v>0.18181818181818182</v>
      </c>
      <c r="CT80" s="5">
        <f t="shared" si="58"/>
        <v>9.9510191986788829E-2</v>
      </c>
      <c r="CU80" s="26">
        <f t="shared" si="59"/>
        <v>17.129294757583406</v>
      </c>
      <c r="CV80" s="5"/>
      <c r="CW80" s="25"/>
      <c r="CX80" s="72">
        <f>MAX(_xll.Dce_c_925(CU80, CQ80, CR80, CN80, CP80, CS80, CT80),0.3)</f>
        <v>0.3</v>
      </c>
      <c r="CY80" s="102">
        <f t="shared" si="60"/>
        <v>0.19840104824685162</v>
      </c>
      <c r="CZ80" s="5" t="str">
        <f t="shared" si="61"/>
        <v>OK</v>
      </c>
      <c r="DA80" s="47">
        <f t="shared" si="62"/>
        <v>0.34499859601035404</v>
      </c>
      <c r="DB80" s="46">
        <f t="shared" si="63"/>
        <v>0.45712832802668235</v>
      </c>
      <c r="DC80" s="5" t="str">
        <f t="shared" si="64"/>
        <v>OK</v>
      </c>
      <c r="DD80" s="5">
        <f t="shared" si="65"/>
        <v>2.9248163326364334</v>
      </c>
      <c r="DE80" s="5">
        <f t="shared" si="66"/>
        <v>1.6655104634982609</v>
      </c>
      <c r="DF80" s="5" t="str">
        <f t="shared" si="67"/>
        <v>-</v>
      </c>
      <c r="DG80" s="5" t="str">
        <f t="shared" si="68"/>
        <v>-</v>
      </c>
      <c r="DH80" s="203" t="str">
        <f t="shared" si="69"/>
        <v>-</v>
      </c>
      <c r="DI80" s="203">
        <f t="shared" si="70"/>
        <v>180</v>
      </c>
      <c r="DJ80" s="46">
        <f t="shared" si="71"/>
        <v>0</v>
      </c>
      <c r="DK80" s="5" t="str">
        <f t="shared" si="72"/>
        <v>OK</v>
      </c>
      <c r="EB80" s="18"/>
      <c r="EC80" s="77"/>
      <c r="ED80" s="77"/>
      <c r="EE80" s="18"/>
      <c r="EF80" s="18"/>
      <c r="EG80" s="18"/>
      <c r="EH80" s="5"/>
      <c r="EI80" s="5"/>
      <c r="EJ80" s="5"/>
      <c r="EK80" s="5"/>
      <c r="EL80" s="5"/>
      <c r="FE80" s="26"/>
      <c r="FF80" s="26"/>
      <c r="FG80" s="26"/>
      <c r="FH80" s="26"/>
      <c r="FI80" s="26"/>
      <c r="FJ80" s="26"/>
      <c r="FK80" s="26"/>
      <c r="FL80" s="26"/>
      <c r="FM80" s="26"/>
      <c r="FN80" s="205"/>
      <c r="FO80" s="205"/>
      <c r="FP80" s="205"/>
      <c r="FQ80" s="205"/>
      <c r="FR80" s="205"/>
      <c r="FS80" s="205"/>
      <c r="FT80" s="205"/>
      <c r="FU80" s="77"/>
      <c r="FV80" s="77"/>
      <c r="FW80" s="77"/>
      <c r="FX80" s="205"/>
      <c r="FY80" s="205"/>
      <c r="FZ80" s="205"/>
      <c r="GA80" s="205"/>
      <c r="GB80" s="205"/>
      <c r="GC80" s="205"/>
      <c r="GD80" s="205"/>
      <c r="GE80" s="205"/>
      <c r="GF80" s="205"/>
      <c r="GG80" s="205"/>
      <c r="GH80" s="205"/>
      <c r="GI80" s="205"/>
      <c r="GJ80" s="205"/>
      <c r="GK80" s="205"/>
      <c r="GL80" s="205"/>
      <c r="GM80" s="205"/>
      <c r="GN80" s="205"/>
      <c r="GO80" s="205"/>
      <c r="GP80" s="205"/>
      <c r="GQ80" s="205"/>
      <c r="GR80" s="205"/>
      <c r="GS80" s="205"/>
      <c r="GT80" s="205"/>
      <c r="GU80" s="205"/>
      <c r="GV80" s="18"/>
      <c r="GW80" s="5"/>
      <c r="GX80" s="5"/>
      <c r="GY80" s="77"/>
      <c r="GZ80" s="18"/>
      <c r="HA80" s="18"/>
      <c r="HB80" s="18"/>
      <c r="HC80" s="18"/>
      <c r="HD80" s="18"/>
      <c r="HE80" s="18"/>
      <c r="HF80" s="18"/>
      <c r="HG80" s="18"/>
      <c r="HH80" s="205"/>
      <c r="HI80" s="26"/>
      <c r="HJ80" s="26"/>
      <c r="HK80" s="5"/>
    </row>
    <row r="81" spans="2:219" ht="15">
      <c r="B81" s="233" t="str">
        <f>"+ Sườn tăng cứng ngang"</f>
        <v>+ Sườn tăng cứng ngang</v>
      </c>
      <c r="C81" s="2"/>
      <c r="D81" s="281"/>
      <c r="E81" s="281"/>
      <c r="F81" s="2"/>
      <c r="G81" s="2"/>
      <c r="H81" s="2"/>
      <c r="I81" s="2"/>
      <c r="J81" s="282"/>
      <c r="K81" s="283" t="s">
        <v>477</v>
      </c>
      <c r="L81" s="31">
        <f>IF(M81="Tải trọng tĩnh",3.2,2.2)</f>
        <v>3.2</v>
      </c>
      <c r="M81" s="429" t="s">
        <v>478</v>
      </c>
      <c r="N81" s="430"/>
      <c r="AA81" s="18" t="s">
        <v>488</v>
      </c>
      <c r="AB81" s="22" t="s">
        <v>489</v>
      </c>
      <c r="AC81" s="59">
        <v>3.6405952380952398</v>
      </c>
      <c r="AD81" s="59">
        <v>8.6549999999999994</v>
      </c>
      <c r="AE81" s="22">
        <v>528</v>
      </c>
      <c r="AF81" s="22">
        <v>1528</v>
      </c>
      <c r="AG81" s="22">
        <v>948.63492063492095</v>
      </c>
      <c r="AH81" s="6">
        <v>10</v>
      </c>
      <c r="AI81" s="6">
        <v>300</v>
      </c>
      <c r="AJ81" s="6">
        <v>14</v>
      </c>
      <c r="AK81" s="24">
        <v>300</v>
      </c>
      <c r="AL81" s="24">
        <v>14</v>
      </c>
      <c r="AM81" s="5">
        <f t="shared" si="17"/>
        <v>920.63492063492095</v>
      </c>
      <c r="AN81" s="26">
        <f t="shared" si="18"/>
        <v>176.06349206349208</v>
      </c>
      <c r="AO81" s="26">
        <f t="shared" si="19"/>
        <v>248482.7399356656</v>
      </c>
      <c r="AP81" s="15">
        <f t="shared" si="20"/>
        <v>6307.6719576719579</v>
      </c>
      <c r="AQ81" s="5">
        <f t="shared" si="21"/>
        <v>5238.7432621467533</v>
      </c>
      <c r="AR81" s="26">
        <f t="shared" si="22"/>
        <v>420.51146384479722</v>
      </c>
      <c r="AS81" s="26">
        <f t="shared" si="23"/>
        <v>3022.1941546989178</v>
      </c>
      <c r="AT81" s="26">
        <f t="shared" si="24"/>
        <v>37.567600585756203</v>
      </c>
      <c r="AU81" s="26">
        <f t="shared" si="25"/>
        <v>5.9854925384629922</v>
      </c>
      <c r="AV81" s="95">
        <f t="shared" si="26"/>
        <v>8.6034497354497351E-7</v>
      </c>
      <c r="AW81" s="95">
        <f t="shared" si="27"/>
        <v>13758293.349206358</v>
      </c>
      <c r="AX81" s="95">
        <f t="shared" si="28"/>
        <v>1.3758293349206359E-5</v>
      </c>
      <c r="AY81" s="54">
        <f t="shared" si="29"/>
        <v>0.1548581140202015</v>
      </c>
      <c r="AZ81" s="54" t="str">
        <f>_xll.Dce_Name_SectI(AE81,AF81,AI81,AH81,AJ81,"x","-",$O$11)</f>
        <v>(528-1528)x300x10x14</v>
      </c>
      <c r="BA81" s="15">
        <f t="shared" si="30"/>
        <v>700.97619047619071</v>
      </c>
      <c r="BB81" s="54"/>
      <c r="BC81" s="54"/>
      <c r="BD81" s="22" t="s">
        <v>512</v>
      </c>
      <c r="BE81" s="23">
        <v>-151.20405495273067</v>
      </c>
      <c r="BF81" s="23">
        <v>-137.32763565309955</v>
      </c>
      <c r="BG81" s="23">
        <v>7.7045359208540842E-4</v>
      </c>
      <c r="BH81" s="23">
        <v>-1.076100792690298E-5</v>
      </c>
      <c r="BI81" s="23">
        <v>-2.8122542493471013E-3</v>
      </c>
      <c r="BJ81" s="23">
        <v>514.77815665177366</v>
      </c>
      <c r="BK81" s="23">
        <v>500.17163760929191</v>
      </c>
      <c r="BL81" s="92">
        <v>2.25</v>
      </c>
      <c r="BM81" s="91">
        <v>2</v>
      </c>
      <c r="BN81" s="5">
        <f t="shared" si="31"/>
        <v>19.473749999999999</v>
      </c>
      <c r="BO81" s="54">
        <f>_xll.Bimoment(BH81,AY81,AC81,AD81,$O$101)</f>
        <v>8.2759325218146248E-5</v>
      </c>
      <c r="BP81" s="5">
        <f t="shared" si="32"/>
        <v>0.45620689655172403</v>
      </c>
      <c r="BQ81" s="5">
        <f t="shared" si="33"/>
        <v>14.202183304904382</v>
      </c>
      <c r="BR81" s="24" t="str">
        <f t="shared" si="34"/>
        <v>Cal</v>
      </c>
      <c r="BS81" s="25">
        <f t="shared" si="35"/>
        <v>3.7572680892847446E-2</v>
      </c>
      <c r="BT81" s="25" t="str">
        <f t="shared" si="36"/>
        <v>CT.105</v>
      </c>
      <c r="BU81" s="25">
        <f t="shared" si="37"/>
        <v>1</v>
      </c>
      <c r="BV81" s="25" cm="1">
        <f t="array" ref="BV81">IF(BT81="CT.104",_xll.TCVN5575AnnexEHeSoCx(1,BP81),1)</f>
        <v>1</v>
      </c>
      <c r="BW81" s="25">
        <f t="shared" si="38"/>
        <v>1</v>
      </c>
      <c r="BX81" s="25">
        <f t="shared" si="39"/>
        <v>3.9550190413523631E-2</v>
      </c>
      <c r="BY81" s="25">
        <f t="shared" si="40"/>
        <v>0.45253007461677153</v>
      </c>
      <c r="BZ81" s="25">
        <f t="shared" si="41"/>
        <v>3.0798615492516409E-5</v>
      </c>
      <c r="CA81" s="25">
        <f t="shared" si="42"/>
        <v>1.9418250300568475E-6</v>
      </c>
      <c r="CB81" s="25">
        <f t="shared" si="43"/>
        <v>0.49211300547081771</v>
      </c>
      <c r="CC81" s="5" t="str">
        <f t="shared" si="44"/>
        <v>OK</v>
      </c>
      <c r="CD81" s="5">
        <f t="shared" si="45"/>
        <v>51.836555160202302</v>
      </c>
      <c r="CE81" s="5">
        <f t="shared" si="46"/>
        <v>33.414125690541383</v>
      </c>
      <c r="CF81" s="5">
        <f t="shared" si="47"/>
        <v>1.7266865002204341</v>
      </c>
      <c r="CG81" s="5">
        <f t="shared" si="48"/>
        <v>1.1130315193248546</v>
      </c>
      <c r="CH81" s="5">
        <f t="shared" si="49"/>
        <v>11.441918986615933</v>
      </c>
      <c r="CI81" s="68">
        <f>_xll.DCETCVN5575PhuLucD2Eta(BP81,CH81,CF81)</f>
        <v>1.2412413793103447</v>
      </c>
      <c r="CJ81" s="5">
        <f t="shared" si="50"/>
        <v>14.202183304904382</v>
      </c>
      <c r="CK81" s="5">
        <f>MIN(noisuy2chieu(CJ81,CF81,Data!$DA$2:$EB$24),1)</f>
        <v>9.5648534595966339E-2</v>
      </c>
      <c r="CL81" s="102">
        <f t="shared" si="51"/>
        <v>0.41349499582601584</v>
      </c>
      <c r="CM81" s="5" t="str">
        <f t="shared" si="52"/>
        <v>OK</v>
      </c>
      <c r="CN81" s="5">
        <f t="shared" si="53"/>
        <v>0.88472625978979058</v>
      </c>
      <c r="CO81" s="5">
        <f t="shared" si="54"/>
        <v>0.5370345235716667</v>
      </c>
      <c r="CP81" s="25">
        <f>_xll.DCETCVNPhuLucFHeSoOnDinh(1, 0.2, AG81, AH81, AI81, AJ81, AI81, AJ81, $D$28)</f>
        <v>1</v>
      </c>
      <c r="CQ81" s="68">
        <f t="shared" si="55"/>
        <v>0.9</v>
      </c>
      <c r="CR81" s="68">
        <f t="shared" si="56"/>
        <v>1</v>
      </c>
      <c r="CS81" s="5">
        <f t="shared" si="57"/>
        <v>0.18181818181818182</v>
      </c>
      <c r="CT81" s="5">
        <f t="shared" si="58"/>
        <v>0.10155106457844131</v>
      </c>
      <c r="CU81" s="26">
        <f t="shared" si="59"/>
        <v>11.117261451324291</v>
      </c>
      <c r="CV81" s="5"/>
      <c r="CW81" s="25"/>
      <c r="CX81" s="72">
        <f>MAX(_xll.Dce_c_925(CU81, CQ81, CR81, CN81, CP81, CS81, CT81),0.3)</f>
        <v>0.3</v>
      </c>
      <c r="CY81" s="102">
        <f t="shared" si="60"/>
        <v>0.14901102638956631</v>
      </c>
      <c r="CZ81" s="5" t="str">
        <f t="shared" si="61"/>
        <v>OK</v>
      </c>
      <c r="DA81" s="47">
        <f t="shared" si="62"/>
        <v>0.34499859601035404</v>
      </c>
      <c r="DB81" s="46">
        <f t="shared" si="63"/>
        <v>0.47130315193248545</v>
      </c>
      <c r="DC81" s="5" t="str">
        <f t="shared" si="64"/>
        <v>OK</v>
      </c>
      <c r="DD81" s="5">
        <f t="shared" si="65"/>
        <v>1.7266865002204341</v>
      </c>
      <c r="DE81" s="5">
        <f t="shared" si="66"/>
        <v>3.0666541867587034</v>
      </c>
      <c r="DF81" s="5" t="str">
        <f t="shared" si="67"/>
        <v>-</v>
      </c>
      <c r="DG81" s="5" t="str">
        <f t="shared" si="68"/>
        <v>-</v>
      </c>
      <c r="DH81" s="203">
        <f t="shared" si="69"/>
        <v>51.836555160202302</v>
      </c>
      <c r="DI81" s="203">
        <f t="shared" si="70"/>
        <v>180</v>
      </c>
      <c r="DJ81" s="46">
        <f t="shared" si="71"/>
        <v>0.28798086200112388</v>
      </c>
      <c r="DK81" s="5" t="str">
        <f t="shared" si="72"/>
        <v>OK</v>
      </c>
      <c r="EB81" s="18"/>
      <c r="EC81" s="77"/>
      <c r="ED81" s="77"/>
      <c r="EE81" s="18"/>
      <c r="EF81" s="18"/>
      <c r="EG81" s="18"/>
      <c r="EH81" s="5"/>
      <c r="EI81" s="5"/>
      <c r="EJ81" s="5"/>
      <c r="EK81" s="5"/>
      <c r="EL81" s="5"/>
      <c r="FE81" s="26"/>
      <c r="FF81" s="26"/>
      <c r="FG81" s="26"/>
      <c r="FH81" s="26"/>
      <c r="FI81" s="26"/>
      <c r="FJ81" s="26"/>
      <c r="FK81" s="26"/>
      <c r="FL81" s="26"/>
      <c r="FM81" s="26"/>
      <c r="FN81" s="205"/>
      <c r="FO81" s="205"/>
      <c r="FP81" s="205"/>
      <c r="FQ81" s="205"/>
      <c r="FR81" s="205"/>
      <c r="FS81" s="205"/>
      <c r="FT81" s="205"/>
      <c r="FU81" s="77"/>
      <c r="FV81" s="77"/>
      <c r="FW81" s="77"/>
      <c r="FX81" s="205"/>
      <c r="FY81" s="205"/>
      <c r="FZ81" s="205"/>
      <c r="GA81" s="205"/>
      <c r="GB81" s="205"/>
      <c r="GC81" s="205"/>
      <c r="GD81" s="205"/>
      <c r="GE81" s="205"/>
      <c r="GF81" s="205"/>
      <c r="GG81" s="205"/>
      <c r="GH81" s="205"/>
      <c r="GI81" s="205"/>
      <c r="GJ81" s="205"/>
      <c r="GK81" s="205"/>
      <c r="GL81" s="205"/>
      <c r="GM81" s="205"/>
      <c r="GN81" s="205"/>
      <c r="GO81" s="205"/>
      <c r="GP81" s="205"/>
      <c r="GQ81" s="205"/>
      <c r="GR81" s="205"/>
      <c r="GS81" s="205"/>
      <c r="GT81" s="205"/>
      <c r="GU81" s="205"/>
      <c r="GV81" s="18"/>
      <c r="GW81" s="5"/>
      <c r="GX81" s="5"/>
      <c r="GY81" s="77"/>
      <c r="GZ81" s="18"/>
      <c r="HA81" s="18"/>
      <c r="HB81" s="18"/>
      <c r="HC81" s="18"/>
      <c r="HD81" s="18"/>
      <c r="HE81" s="18"/>
      <c r="HF81" s="18"/>
      <c r="HG81" s="18"/>
      <c r="HH81" s="205"/>
      <c r="HI81" s="26"/>
      <c r="HJ81" s="26"/>
      <c r="HK81" s="5"/>
    </row>
    <row r="82" spans="2:219">
      <c r="B82" s="235" t="s">
        <v>63</v>
      </c>
      <c r="C82" s="2"/>
      <c r="D82" s="2" t="str">
        <f>IF(H32&lt;0,"Không thuộc phạm vi kiểm tra",IF(L75&gt;L81,"Dầm phải được tăng cường bằng các sườn cứng ngang theo 8.5.9","Không gia cường"))</f>
        <v>Không thuộc phạm vi kiểm tra</v>
      </c>
      <c r="E82" s="269"/>
      <c r="F82" s="32"/>
      <c r="G82" s="285"/>
      <c r="H82" s="254"/>
      <c r="I82" s="32"/>
      <c r="J82" s="282"/>
      <c r="K82" s="283"/>
      <c r="L82" s="31"/>
      <c r="M82" s="284"/>
      <c r="N82" s="234"/>
      <c r="AA82" s="18" t="s">
        <v>488</v>
      </c>
      <c r="AB82" s="22" t="s">
        <v>489</v>
      </c>
      <c r="AC82" s="59">
        <v>7.2811904761904795</v>
      </c>
      <c r="AD82" s="59">
        <v>8.6549999999999994</v>
      </c>
      <c r="AE82" s="22">
        <v>528</v>
      </c>
      <c r="AF82" s="22">
        <v>1528</v>
      </c>
      <c r="AG82" s="22">
        <v>1369.2698412698419</v>
      </c>
      <c r="AH82" s="6">
        <v>10</v>
      </c>
      <c r="AI82" s="6">
        <v>300</v>
      </c>
      <c r="AJ82" s="6">
        <v>14</v>
      </c>
      <c r="AK82" s="24">
        <v>300</v>
      </c>
      <c r="AL82" s="24">
        <v>14</v>
      </c>
      <c r="AM82" s="5">
        <f t="shared" si="17"/>
        <v>1341.2698412698419</v>
      </c>
      <c r="AN82" s="26">
        <f t="shared" si="18"/>
        <v>218.12698412698418</v>
      </c>
      <c r="AO82" s="26">
        <f t="shared" si="19"/>
        <v>586811.79072745051</v>
      </c>
      <c r="AP82" s="15">
        <f t="shared" si="20"/>
        <v>6311.1772486772488</v>
      </c>
      <c r="AQ82" s="5">
        <f t="shared" si="21"/>
        <v>8571.1635945074104</v>
      </c>
      <c r="AR82" s="26">
        <f t="shared" si="22"/>
        <v>420.74514991181661</v>
      </c>
      <c r="AS82" s="26">
        <f t="shared" si="23"/>
        <v>5094.8226505417015</v>
      </c>
      <c r="AT82" s="26">
        <f t="shared" si="24"/>
        <v>51.867428670398397</v>
      </c>
      <c r="AU82" s="26">
        <f t="shared" si="25"/>
        <v>5.3789869588463937</v>
      </c>
      <c r="AV82" s="95">
        <f t="shared" si="26"/>
        <v>1.0005566137566139E-6</v>
      </c>
      <c r="AW82" s="95">
        <f t="shared" si="27"/>
        <v>28928912.396825422</v>
      </c>
      <c r="AX82" s="95">
        <f t="shared" si="28"/>
        <v>2.8928912396825422E-5</v>
      </c>
      <c r="AY82" s="54">
        <f t="shared" si="29"/>
        <v>0.11516876660535029</v>
      </c>
      <c r="AZ82" s="54" t="str">
        <f>_xll.Dce_Name_SectI(AE82,AF82,AI82,AH82,AJ82,"x","-",$O$11)</f>
        <v>(528-1528)x300x10x14</v>
      </c>
      <c r="BA82" s="15">
        <f t="shared" si="30"/>
        <v>1016.4523809523813</v>
      </c>
      <c r="BB82" s="54"/>
      <c r="BC82" s="54"/>
      <c r="BD82" s="22" t="s">
        <v>512</v>
      </c>
      <c r="BE82" s="23">
        <v>-144.14581601567244</v>
      </c>
      <c r="BF82" s="23">
        <v>-128.8136804959741</v>
      </c>
      <c r="BG82" s="23">
        <v>7.7045359208593057E-4</v>
      </c>
      <c r="BH82" s="23">
        <v>-1.076100792690298E-5</v>
      </c>
      <c r="BI82" s="23">
        <v>-5.6237695393206635E-3</v>
      </c>
      <c r="BJ82" s="23">
        <v>1000.3432752185838</v>
      </c>
      <c r="BK82" s="23">
        <v>500.17163760929191</v>
      </c>
      <c r="BL82" s="92">
        <v>2.25</v>
      </c>
      <c r="BM82" s="91">
        <v>2</v>
      </c>
      <c r="BN82" s="5">
        <f t="shared" si="31"/>
        <v>19.473749999999999</v>
      </c>
      <c r="BO82" s="54">
        <f>_xll.Bimoment(BH82,AY82,AC82,AD82,$O$101)</f>
        <v>4.9228064593739717E-5</v>
      </c>
      <c r="BP82" s="5">
        <f t="shared" si="32"/>
        <v>0.31313609467455605</v>
      </c>
      <c r="BQ82" s="5">
        <f t="shared" si="33"/>
        <v>21.416275181845698</v>
      </c>
      <c r="BR82" s="24" t="str">
        <f t="shared" si="34"/>
        <v>Cal</v>
      </c>
      <c r="BS82" s="25">
        <f t="shared" si="35"/>
        <v>2.8911505268024822E-2</v>
      </c>
      <c r="BT82" s="25" t="str">
        <f t="shared" si="36"/>
        <v>CT.105</v>
      </c>
      <c r="BU82" s="25">
        <f t="shared" si="37"/>
        <v>1</v>
      </c>
      <c r="BV82" s="25" cm="1">
        <f t="array" ref="BV82">IF(BT82="CT.104",_xll.TCVN5575AnnexEHeSoCx(1,BP82),1)</f>
        <v>1</v>
      </c>
      <c r="BW82" s="25">
        <f t="shared" si="38"/>
        <v>1</v>
      </c>
      <c r="BX82" s="25">
        <f t="shared" si="39"/>
        <v>3.0433163440026126E-2</v>
      </c>
      <c r="BY82" s="25">
        <f t="shared" si="40"/>
        <v>0.53748175260171982</v>
      </c>
      <c r="BZ82" s="25">
        <f t="shared" si="41"/>
        <v>6.1554930991723222E-5</v>
      </c>
      <c r="CA82" s="25">
        <f t="shared" si="42"/>
        <v>7.9656669628731508E-7</v>
      </c>
      <c r="CB82" s="25">
        <f t="shared" si="43"/>
        <v>0.56797726753943389</v>
      </c>
      <c r="CC82" s="5" t="str">
        <f t="shared" si="44"/>
        <v>OK</v>
      </c>
      <c r="CD82" s="5">
        <f t="shared" si="45"/>
        <v>37.545238889226049</v>
      </c>
      <c r="CE82" s="5">
        <f t="shared" si="46"/>
        <v>37.181722419139881</v>
      </c>
      <c r="CF82" s="5">
        <f t="shared" si="47"/>
        <v>1.2506397644909562</v>
      </c>
      <c r="CG82" s="5">
        <f t="shared" si="48"/>
        <v>1.2385309547993069</v>
      </c>
      <c r="CH82" s="5">
        <f t="shared" si="49"/>
        <v>17.661054318619279</v>
      </c>
      <c r="CI82" s="68">
        <f>_xll.DCETCVN5575PhuLucD2Eta(BP82,CH82,CF82)</f>
        <v>1.2126272189349112</v>
      </c>
      <c r="CJ82" s="5">
        <f t="shared" si="50"/>
        <v>21.416275181845698</v>
      </c>
      <c r="CK82" s="5">
        <f>MIN(noisuy2chieu(CJ82,CF82,Data!$DA$2:$EB$24),1)</f>
        <v>7.1994885802268982E-2</v>
      </c>
      <c r="CL82" s="102">
        <f t="shared" si="51"/>
        <v>0.42271285107124934</v>
      </c>
      <c r="CM82" s="5" t="str">
        <f t="shared" si="52"/>
        <v>OK</v>
      </c>
      <c r="CN82" s="5">
        <f t="shared" si="53"/>
        <v>0.86643683692746631</v>
      </c>
      <c r="CO82" s="5">
        <f t="shared" si="54"/>
        <v>0.5370345235716667</v>
      </c>
      <c r="CP82" s="25">
        <f>_xll.DCETCVNPhuLucFHeSoOnDinh(1, 0.2, AG82, AH82, AI82, AJ82, AI82, AJ82, $D$28)</f>
        <v>1</v>
      </c>
      <c r="CQ82" s="68">
        <f t="shared" si="55"/>
        <v>0.9</v>
      </c>
      <c r="CR82" s="68">
        <f t="shared" si="56"/>
        <v>1</v>
      </c>
      <c r="CS82" s="5">
        <f t="shared" si="57"/>
        <v>0.18181818181818182</v>
      </c>
      <c r="CT82" s="5">
        <f t="shared" si="58"/>
        <v>0.10347287704587492</v>
      </c>
      <c r="CU82" s="26">
        <f t="shared" si="59"/>
        <v>8.8305271593096393</v>
      </c>
      <c r="CV82" s="5"/>
      <c r="CW82" s="25"/>
      <c r="CX82" s="72">
        <f>MAX(_xll.Dce_c_925(CU82, CQ82, CR82, CN82, CP82, CS82, CT82),0.3)</f>
        <v>0.3</v>
      </c>
      <c r="CY82" s="102">
        <f t="shared" si="60"/>
        <v>0.11708167729012751</v>
      </c>
      <c r="CZ82" s="5" t="str">
        <f t="shared" si="61"/>
        <v>OK</v>
      </c>
      <c r="DA82" s="47">
        <f t="shared" si="62"/>
        <v>0.34499859601035404</v>
      </c>
      <c r="DB82" s="46">
        <f t="shared" si="63"/>
        <v>0.48385309547993066</v>
      </c>
      <c r="DC82" s="5" t="str">
        <f t="shared" si="64"/>
        <v>OK</v>
      </c>
      <c r="DD82" s="5">
        <f t="shared" si="65"/>
        <v>1.2506397644909562</v>
      </c>
      <c r="DE82" s="5">
        <f t="shared" si="66"/>
        <v>4.4677979100191463</v>
      </c>
      <c r="DF82" s="5" t="str">
        <f t="shared" si="67"/>
        <v>-</v>
      </c>
      <c r="DG82" s="5" t="str">
        <f t="shared" si="68"/>
        <v>-</v>
      </c>
      <c r="DH82" s="203">
        <f t="shared" si="69"/>
        <v>37.545238889226049</v>
      </c>
      <c r="DI82" s="203">
        <f t="shared" si="70"/>
        <v>180</v>
      </c>
      <c r="DJ82" s="46">
        <f t="shared" si="71"/>
        <v>0.20858466049570026</v>
      </c>
      <c r="DK82" s="5" t="str">
        <f t="shared" si="72"/>
        <v>OK</v>
      </c>
      <c r="EB82" s="18"/>
      <c r="EC82" s="77"/>
      <c r="ED82" s="77"/>
      <c r="EE82" s="18"/>
      <c r="EF82" s="18"/>
      <c r="EG82" s="18"/>
      <c r="EH82" s="5"/>
      <c r="EI82" s="5"/>
      <c r="EJ82" s="5"/>
      <c r="EK82" s="5"/>
      <c r="EL82" s="5"/>
      <c r="FE82" s="26"/>
      <c r="FF82" s="26"/>
      <c r="FG82" s="26"/>
      <c r="FH82" s="26"/>
      <c r="FI82" s="26"/>
      <c r="FJ82" s="26"/>
      <c r="FK82" s="26"/>
      <c r="FL82" s="26"/>
      <c r="FM82" s="26"/>
      <c r="FN82" s="205"/>
      <c r="FO82" s="205"/>
      <c r="FP82" s="205"/>
      <c r="FQ82" s="205"/>
      <c r="FR82" s="205"/>
      <c r="FS82" s="205"/>
      <c r="FT82" s="205"/>
      <c r="FU82" s="77"/>
      <c r="FV82" s="77"/>
      <c r="FW82" s="77"/>
      <c r="FX82" s="205"/>
      <c r="FY82" s="205"/>
      <c r="FZ82" s="205"/>
      <c r="GA82" s="205"/>
      <c r="GB82" s="205"/>
      <c r="GC82" s="205"/>
      <c r="GD82" s="205"/>
      <c r="GE82" s="205"/>
      <c r="GF82" s="205"/>
      <c r="GG82" s="205"/>
      <c r="GH82" s="205"/>
      <c r="GI82" s="205"/>
      <c r="GJ82" s="205"/>
      <c r="GK82" s="205"/>
      <c r="GL82" s="205"/>
      <c r="GM82" s="205"/>
      <c r="GN82" s="205"/>
      <c r="GO82" s="205"/>
      <c r="GP82" s="205"/>
      <c r="GQ82" s="205"/>
      <c r="GR82" s="205"/>
      <c r="GS82" s="205"/>
      <c r="GT82" s="205"/>
      <c r="GU82" s="205"/>
      <c r="GV82" s="18"/>
      <c r="GW82" s="5"/>
      <c r="GX82" s="5"/>
      <c r="GY82" s="77"/>
      <c r="GZ82" s="18"/>
      <c r="HA82" s="18"/>
      <c r="HB82" s="18"/>
      <c r="HC82" s="18"/>
      <c r="HD82" s="18"/>
      <c r="HE82" s="18"/>
      <c r="HF82" s="18"/>
      <c r="HG82" s="18"/>
      <c r="HH82" s="205"/>
      <c r="HI82" s="26"/>
      <c r="HJ82" s="26"/>
      <c r="HK82" s="5"/>
    </row>
    <row r="83" spans="2:219">
      <c r="B83" s="172" t="s">
        <v>422</v>
      </c>
      <c r="C83" s="2"/>
      <c r="D83" s="2"/>
      <c r="E83" s="2"/>
      <c r="F83" s="2"/>
      <c r="G83" s="2"/>
      <c r="H83" s="2"/>
      <c r="I83" s="2"/>
      <c r="J83" s="2"/>
      <c r="K83" s="238"/>
      <c r="L83" s="238"/>
      <c r="M83" s="240"/>
      <c r="N83" s="21"/>
      <c r="AA83" s="18" t="s">
        <v>488</v>
      </c>
      <c r="AB83" s="22" t="s">
        <v>489</v>
      </c>
      <c r="AC83" s="59">
        <v>0</v>
      </c>
      <c r="AD83" s="59">
        <v>8.6549999999999994</v>
      </c>
      <c r="AE83" s="22">
        <v>528</v>
      </c>
      <c r="AF83" s="22">
        <v>1528</v>
      </c>
      <c r="AG83" s="22">
        <v>528</v>
      </c>
      <c r="AH83" s="6">
        <v>10</v>
      </c>
      <c r="AI83" s="6">
        <v>300</v>
      </c>
      <c r="AJ83" s="6">
        <v>14</v>
      </c>
      <c r="AK83" s="24">
        <v>300</v>
      </c>
      <c r="AL83" s="24">
        <v>14</v>
      </c>
      <c r="AM83" s="5">
        <f t="shared" si="17"/>
        <v>500</v>
      </c>
      <c r="AN83" s="26">
        <f t="shared" si="18"/>
        <v>134</v>
      </c>
      <c r="AO83" s="26">
        <f t="shared" si="19"/>
        <v>65911.546666666676</v>
      </c>
      <c r="AP83" s="15">
        <f t="shared" si="20"/>
        <v>6304.166666666667</v>
      </c>
      <c r="AQ83" s="5">
        <f t="shared" si="21"/>
        <v>2496.6494949494954</v>
      </c>
      <c r="AR83" s="26">
        <f t="shared" si="22"/>
        <v>420.27777777777777</v>
      </c>
      <c r="AS83" s="26">
        <f t="shared" si="23"/>
        <v>1391.9</v>
      </c>
      <c r="AT83" s="26">
        <f t="shared" si="24"/>
        <v>22.178305028345793</v>
      </c>
      <c r="AU83" s="26">
        <f t="shared" si="25"/>
        <v>6.8590101254115021</v>
      </c>
      <c r="AV83" s="95">
        <f t="shared" si="26"/>
        <v>7.201333333333334E-7</v>
      </c>
      <c r="AW83" s="95">
        <f t="shared" si="27"/>
        <v>4161087</v>
      </c>
      <c r="AX83" s="95">
        <f t="shared" si="28"/>
        <v>4.1610870000000001E-6</v>
      </c>
      <c r="AY83" s="54">
        <f t="shared" si="29"/>
        <v>0.25762202780669918</v>
      </c>
      <c r="AZ83" s="54" t="str">
        <f>_xll.Dce_Name_SectI(AE83,AF83,AI83,AH83,AJ83,"x","-",$O$11)</f>
        <v>(528-1528)x300x10x14</v>
      </c>
      <c r="BA83" s="15">
        <f t="shared" si="30"/>
        <v>385.5</v>
      </c>
      <c r="BB83" s="54"/>
      <c r="BC83" s="54"/>
      <c r="BD83" s="22" t="s">
        <v>513</v>
      </c>
      <c r="BE83" s="23">
        <v>-45.786934895643554</v>
      </c>
      <c r="BF83" s="23">
        <v>-50.789305422151614</v>
      </c>
      <c r="BG83" s="23">
        <v>2.2936654078483266E-3</v>
      </c>
      <c r="BH83" s="23">
        <v>-3.2035870672984645E-5</v>
      </c>
      <c r="BI83" s="23">
        <v>-2.1999061005209541E-6</v>
      </c>
      <c r="BJ83" s="23">
        <v>-0.59079786329328021</v>
      </c>
      <c r="BK83" s="23">
        <v>110.07466695527694</v>
      </c>
      <c r="BL83" s="92">
        <v>2.25</v>
      </c>
      <c r="BM83" s="91">
        <v>2</v>
      </c>
      <c r="BN83" s="5">
        <f t="shared" si="31"/>
        <v>19.473749999999999</v>
      </c>
      <c r="BO83" s="54">
        <f>_xll.Bimoment(BH83,AY83,AC83,AD83,$O$101)</f>
        <v>0</v>
      </c>
      <c r="BP83" s="5">
        <f t="shared" si="32"/>
        <v>0.84</v>
      </c>
      <c r="BQ83" s="5">
        <f t="shared" si="33"/>
        <v>0.10504900595300434</v>
      </c>
      <c r="BR83" s="24" t="str">
        <f t="shared" si="34"/>
        <v>Cal</v>
      </c>
      <c r="BS83" s="25">
        <f t="shared" si="35"/>
        <v>1.4949092549883625E-2</v>
      </c>
      <c r="BT83" s="25" t="str">
        <f t="shared" si="36"/>
        <v>CT.105</v>
      </c>
      <c r="BU83" s="25">
        <f t="shared" si="37"/>
        <v>1</v>
      </c>
      <c r="BV83" s="25" cm="1">
        <f t="array" ref="BV83">IF(BT83="CT.104",_xll.TCVN5575AnnexEHeSoCx(1,BP83),1)</f>
        <v>1</v>
      </c>
      <c r="BW83" s="25">
        <f t="shared" si="38"/>
        <v>1</v>
      </c>
      <c r="BX83" s="25">
        <f t="shared" si="39"/>
        <v>1.5735886894614342E-2</v>
      </c>
      <c r="BY83" s="25">
        <f t="shared" si="40"/>
        <v>1.0897723685649005E-3</v>
      </c>
      <c r="BZ83" s="25">
        <f t="shared" si="41"/>
        <v>2.4105834405819756E-8</v>
      </c>
      <c r="CA83" s="25">
        <f t="shared" si="42"/>
        <v>0</v>
      </c>
      <c r="CB83" s="25">
        <f t="shared" si="43"/>
        <v>1.6825683369013647E-2</v>
      </c>
      <c r="CC83" s="5" t="str">
        <f t="shared" si="44"/>
        <v>OK</v>
      </c>
      <c r="CD83" s="5">
        <f t="shared" si="45"/>
        <v>87.805402509844015</v>
      </c>
      <c r="CE83" s="5">
        <f t="shared" si="46"/>
        <v>29.158726455153193</v>
      </c>
      <c r="CF83" s="5">
        <f t="shared" si="47"/>
        <v>2.9248163326364334</v>
      </c>
      <c r="CG83" s="5">
        <f t="shared" si="48"/>
        <v>0.97128328026682387</v>
      </c>
      <c r="CH83" s="5">
        <f t="shared" si="49"/>
        <v>6.9253952819010089E-2</v>
      </c>
      <c r="CI83" s="68">
        <f>_xll.DCETCVN5575PhuLucD2Eta(BP83,CH83,CF83)</f>
        <v>1.5168665711766935</v>
      </c>
      <c r="CJ83" s="5">
        <f t="shared" si="50"/>
        <v>0.10504900595300434</v>
      </c>
      <c r="CK83" s="5">
        <f>MIN(noisuy2chieu(CJ83,CF83,Data!$DA$2:$EB$24),1)</f>
        <v>0.67592132091522217</v>
      </c>
      <c r="CL83" s="102">
        <f t="shared" si="51"/>
        <v>2.3280648808810138E-2</v>
      </c>
      <c r="CM83" s="5" t="str">
        <f t="shared" si="52"/>
        <v>OK</v>
      </c>
      <c r="CN83" s="5">
        <f t="shared" si="53"/>
        <v>0.90492218941026858</v>
      </c>
      <c r="CO83" s="5">
        <f t="shared" si="54"/>
        <v>0.5370345235716667</v>
      </c>
      <c r="CP83" s="25">
        <f>_xll.DCETCVNPhuLucFHeSoOnDinh(1, 0.2, AG83, AH83, AI83, AJ83, AI83, AJ83, $D$28)</f>
        <v>1</v>
      </c>
      <c r="CQ83" s="68">
        <f t="shared" si="55"/>
        <v>0.9</v>
      </c>
      <c r="CR83" s="68">
        <f t="shared" si="56"/>
        <v>1</v>
      </c>
      <c r="CS83" s="5">
        <f t="shared" si="57"/>
        <v>0.18181818181818182</v>
      </c>
      <c r="CT83" s="5">
        <f t="shared" si="58"/>
        <v>9.9510191986788829E-2</v>
      </c>
      <c r="CU83" s="26">
        <f t="shared" si="59"/>
        <v>12.903069333046629</v>
      </c>
      <c r="CV83" s="5"/>
      <c r="CW83" s="25"/>
      <c r="CX83" s="72">
        <f>MAX(_xll.Dce_c_925(CU83, CQ83, CR83, CN83, CP83, CS83, CT83),0.3)</f>
        <v>0.3</v>
      </c>
      <c r="CY83" s="102">
        <f t="shared" si="60"/>
        <v>5.7964051417022232E-2</v>
      </c>
      <c r="CZ83" s="5" t="str">
        <f t="shared" si="61"/>
        <v>OK</v>
      </c>
      <c r="DA83" s="47">
        <f t="shared" si="62"/>
        <v>0.34499859601035404</v>
      </c>
      <c r="DB83" s="46">
        <f t="shared" si="63"/>
        <v>0.45712832802668235</v>
      </c>
      <c r="DC83" s="5" t="str">
        <f t="shared" si="64"/>
        <v>OK</v>
      </c>
      <c r="DD83" s="5">
        <f t="shared" si="65"/>
        <v>2.9248163326364334</v>
      </c>
      <c r="DE83" s="5">
        <f t="shared" si="66"/>
        <v>1.6655104634982609</v>
      </c>
      <c r="DF83" s="5" t="str">
        <f t="shared" si="67"/>
        <v>-</v>
      </c>
      <c r="DG83" s="5" t="str">
        <f t="shared" si="68"/>
        <v>-</v>
      </c>
      <c r="DH83" s="203" t="str">
        <f t="shared" si="69"/>
        <v>-</v>
      </c>
      <c r="DI83" s="203">
        <f t="shared" si="70"/>
        <v>180</v>
      </c>
      <c r="DJ83" s="46">
        <f t="shared" si="71"/>
        <v>0</v>
      </c>
      <c r="DK83" s="5" t="str">
        <f t="shared" si="72"/>
        <v>OK</v>
      </c>
      <c r="EB83" s="18"/>
      <c r="EC83" s="77"/>
      <c r="ED83" s="77"/>
      <c r="EE83" s="18"/>
      <c r="EF83" s="18"/>
      <c r="EG83" s="18"/>
      <c r="EH83" s="5"/>
      <c r="EI83" s="5"/>
      <c r="EJ83" s="5"/>
      <c r="EK83" s="5"/>
      <c r="EL83" s="5"/>
      <c r="FE83" s="26"/>
      <c r="FF83" s="26"/>
      <c r="FG83" s="26"/>
      <c r="FH83" s="26"/>
      <c r="FI83" s="26"/>
      <c r="FJ83" s="26"/>
      <c r="FK83" s="26"/>
      <c r="FL83" s="26"/>
      <c r="FM83" s="26"/>
      <c r="FN83" s="205"/>
      <c r="FO83" s="205"/>
      <c r="FP83" s="205"/>
      <c r="FQ83" s="205"/>
      <c r="FR83" s="205"/>
      <c r="FS83" s="205"/>
      <c r="FT83" s="205"/>
      <c r="FU83" s="77"/>
      <c r="FV83" s="77"/>
      <c r="FW83" s="77"/>
      <c r="FX83" s="205"/>
      <c r="FY83" s="205"/>
      <c r="FZ83" s="205"/>
      <c r="GA83" s="205"/>
      <c r="GB83" s="205"/>
      <c r="GC83" s="205"/>
      <c r="GD83" s="205"/>
      <c r="GE83" s="205"/>
      <c r="GF83" s="205"/>
      <c r="GG83" s="205"/>
      <c r="GH83" s="205"/>
      <c r="GI83" s="205"/>
      <c r="GJ83" s="205"/>
      <c r="GK83" s="205"/>
      <c r="GL83" s="205"/>
      <c r="GM83" s="205"/>
      <c r="GN83" s="205"/>
      <c r="GO83" s="205"/>
      <c r="GP83" s="205"/>
      <c r="GQ83" s="205"/>
      <c r="GR83" s="205"/>
      <c r="GS83" s="205"/>
      <c r="GT83" s="205"/>
      <c r="GU83" s="205"/>
      <c r="GV83" s="18"/>
      <c r="GW83" s="5"/>
      <c r="GX83" s="5"/>
      <c r="GY83" s="77"/>
      <c r="GZ83" s="18"/>
      <c r="HA83" s="18"/>
      <c r="HB83" s="18"/>
      <c r="HC83" s="18"/>
      <c r="HD83" s="18"/>
      <c r="HE83" s="18"/>
      <c r="HF83" s="18"/>
      <c r="HG83" s="18"/>
      <c r="HH83" s="205"/>
      <c r="HI83" s="26"/>
      <c r="HJ83" s="26"/>
      <c r="HK83" s="5"/>
    </row>
    <row r="84" spans="2:219" ht="15">
      <c r="B84" s="83"/>
      <c r="C84" s="281" t="str">
        <f>"• Bề rộng sườn tối thiểu:"</f>
        <v>• Bề rộng sườn tối thiểu:</v>
      </c>
      <c r="D84" s="2"/>
      <c r="E84" s="2"/>
      <c r="F84" s="2"/>
      <c r="G84" s="2"/>
      <c r="H84" s="2"/>
      <c r="I84" s="2"/>
      <c r="J84" s="2"/>
      <c r="K84" s="238" t="s">
        <v>364</v>
      </c>
      <c r="L84" s="286">
        <f>F20/30+40</f>
        <v>84.708994708994737</v>
      </c>
      <c r="M84" s="254" t="s">
        <v>1</v>
      </c>
      <c r="N84" s="21"/>
      <c r="AA84" s="18" t="s">
        <v>488</v>
      </c>
      <c r="AB84" s="22" t="s">
        <v>489</v>
      </c>
      <c r="AC84" s="59">
        <v>3.6405952380952398</v>
      </c>
      <c r="AD84" s="59">
        <v>8.6549999999999994</v>
      </c>
      <c r="AE84" s="22">
        <v>528</v>
      </c>
      <c r="AF84" s="22">
        <v>1528</v>
      </c>
      <c r="AG84" s="22">
        <v>948.63492063492095</v>
      </c>
      <c r="AH84" s="6">
        <v>10</v>
      </c>
      <c r="AI84" s="6">
        <v>300</v>
      </c>
      <c r="AJ84" s="6">
        <v>14</v>
      </c>
      <c r="AK84" s="24">
        <v>300</v>
      </c>
      <c r="AL84" s="24">
        <v>14</v>
      </c>
      <c r="AM84" s="5">
        <f t="shared" si="17"/>
        <v>920.63492063492095</v>
      </c>
      <c r="AN84" s="26">
        <f t="shared" si="18"/>
        <v>176.06349206349208</v>
      </c>
      <c r="AO84" s="26">
        <f t="shared" si="19"/>
        <v>248482.7399356656</v>
      </c>
      <c r="AP84" s="15">
        <f t="shared" si="20"/>
        <v>6307.6719576719579</v>
      </c>
      <c r="AQ84" s="5">
        <f t="shared" si="21"/>
        <v>5238.7432621467533</v>
      </c>
      <c r="AR84" s="26">
        <f t="shared" si="22"/>
        <v>420.51146384479722</v>
      </c>
      <c r="AS84" s="26">
        <f t="shared" si="23"/>
        <v>3022.1941546989178</v>
      </c>
      <c r="AT84" s="26">
        <f t="shared" si="24"/>
        <v>37.567600585756203</v>
      </c>
      <c r="AU84" s="26">
        <f t="shared" si="25"/>
        <v>5.9854925384629922</v>
      </c>
      <c r="AV84" s="95">
        <f t="shared" si="26"/>
        <v>8.6034497354497351E-7</v>
      </c>
      <c r="AW84" s="95">
        <f t="shared" si="27"/>
        <v>13758293.349206358</v>
      </c>
      <c r="AX84" s="95">
        <f t="shared" si="28"/>
        <v>1.3758293349206359E-5</v>
      </c>
      <c r="AY84" s="54">
        <f t="shared" si="29"/>
        <v>0.1548581140202015</v>
      </c>
      <c r="AZ84" s="54" t="str">
        <f>_xll.Dce_Name_SectI(AE84,AF84,AI84,AH84,AJ84,"x","-",$O$11)</f>
        <v>(528-1528)x300x10x14</v>
      </c>
      <c r="BA84" s="15">
        <f t="shared" si="30"/>
        <v>700.97619047619071</v>
      </c>
      <c r="BB84" s="54"/>
      <c r="BC84" s="54"/>
      <c r="BD84" s="22" t="s">
        <v>513</v>
      </c>
      <c r="BE84" s="23">
        <v>-39.450081709077722</v>
      </c>
      <c r="BF84" s="23">
        <v>-30.227619234434115</v>
      </c>
      <c r="BG84" s="23">
        <v>2.293665407849589E-3</v>
      </c>
      <c r="BH84" s="23">
        <v>-3.2035870672984645E-5</v>
      </c>
      <c r="BI84" s="23">
        <v>-8.3721723878872455E-3</v>
      </c>
      <c r="BJ84" s="23">
        <v>147.19923432926396</v>
      </c>
      <c r="BK84" s="23">
        <v>110.07466695527694</v>
      </c>
      <c r="BL84" s="92">
        <v>2.25</v>
      </c>
      <c r="BM84" s="91">
        <v>2</v>
      </c>
      <c r="BN84" s="5">
        <f t="shared" si="31"/>
        <v>19.473749999999999</v>
      </c>
      <c r="BO84" s="54">
        <f>_xll.Bimoment(BH84,AY84,AC84,AD84,$O$101)</f>
        <v>2.4637720348144425E-4</v>
      </c>
      <c r="BP84" s="5">
        <f t="shared" si="32"/>
        <v>0.45620689655172403</v>
      </c>
      <c r="BQ84" s="5">
        <f t="shared" si="33"/>
        <v>15.565249458519668</v>
      </c>
      <c r="BR84" s="24" t="str">
        <f t="shared" si="34"/>
        <v>Cal</v>
      </c>
      <c r="BS84" s="25">
        <f t="shared" si="35"/>
        <v>9.8029469627339948E-3</v>
      </c>
      <c r="BT84" s="25" t="str">
        <f t="shared" si="36"/>
        <v>CT.105</v>
      </c>
      <c r="BU84" s="25">
        <f t="shared" si="37"/>
        <v>1</v>
      </c>
      <c r="BV84" s="25" cm="1">
        <f t="array" ref="BV84">IF(BT84="CT.104",_xll.TCVN5575AnnexEHeSoCx(1,BP84),1)</f>
        <v>1</v>
      </c>
      <c r="BW84" s="25">
        <f t="shared" si="38"/>
        <v>1</v>
      </c>
      <c r="BX84" s="25">
        <f t="shared" si="39"/>
        <v>1.0318891539719995E-2</v>
      </c>
      <c r="BY84" s="25">
        <f t="shared" si="40"/>
        <v>0.12939958627579023</v>
      </c>
      <c r="BZ84" s="25">
        <f t="shared" si="41"/>
        <v>9.1688480254395748E-5</v>
      </c>
      <c r="CA84" s="25">
        <f t="shared" si="42"/>
        <v>5.7808762854772076E-6</v>
      </c>
      <c r="CB84" s="25">
        <f t="shared" si="43"/>
        <v>0.13981594717205009</v>
      </c>
      <c r="CC84" s="5" t="str">
        <f t="shared" si="44"/>
        <v>OK</v>
      </c>
      <c r="CD84" s="5">
        <f t="shared" si="45"/>
        <v>51.836555160202302</v>
      </c>
      <c r="CE84" s="5">
        <f t="shared" si="46"/>
        <v>33.414125690541383</v>
      </c>
      <c r="CF84" s="5">
        <f t="shared" si="47"/>
        <v>1.7266865002204341</v>
      </c>
      <c r="CG84" s="5">
        <f t="shared" si="48"/>
        <v>1.1130315193248546</v>
      </c>
      <c r="CH84" s="5">
        <f t="shared" si="49"/>
        <v>12.540066515642582</v>
      </c>
      <c r="CI84" s="68">
        <f>_xll.DCETCVN5575PhuLucD2Eta(BP84,CH84,CF84)</f>
        <v>1.2412413793103447</v>
      </c>
      <c r="CJ84" s="5">
        <f t="shared" si="50"/>
        <v>15.565249458519668</v>
      </c>
      <c r="CK84" s="5">
        <f>MIN(noisuy2chieu(CJ84,CF84,Data!$DA$2:$EB$24),1)</f>
        <v>8.8336482644081116E-2</v>
      </c>
      <c r="CL84" s="102">
        <f t="shared" si="51"/>
        <v>0.11681347537116819</v>
      </c>
      <c r="CM84" s="5" t="str">
        <f t="shared" si="52"/>
        <v>OK</v>
      </c>
      <c r="CN84" s="5">
        <f t="shared" si="53"/>
        <v>0.88472625978979058</v>
      </c>
      <c r="CO84" s="5">
        <f t="shared" si="54"/>
        <v>0.5370345235716667</v>
      </c>
      <c r="CP84" s="25">
        <f>_xll.DCETCVNPhuLucFHeSoOnDinh(1, 0.2, AG84, AH84, AI84, AJ84, AI84, AJ84, $D$28)</f>
        <v>1</v>
      </c>
      <c r="CQ84" s="68">
        <f t="shared" si="55"/>
        <v>0.9</v>
      </c>
      <c r="CR84" s="68">
        <f t="shared" si="56"/>
        <v>1</v>
      </c>
      <c r="CS84" s="5">
        <f t="shared" si="57"/>
        <v>0.18181818181818182</v>
      </c>
      <c r="CT84" s="5">
        <f t="shared" si="58"/>
        <v>0.10155106457844131</v>
      </c>
      <c r="CU84" s="26">
        <f t="shared" si="59"/>
        <v>9.3773833240106601</v>
      </c>
      <c r="CV84" s="5"/>
      <c r="CW84" s="25"/>
      <c r="CX84" s="72">
        <f>MAX(_xll.Dce_c_925(CU84, CQ84, CR84, CN84, CP84, CS84, CT84),0.3)</f>
        <v>0.3</v>
      </c>
      <c r="CY84" s="102">
        <f t="shared" si="60"/>
        <v>3.8877906868699123E-2</v>
      </c>
      <c r="CZ84" s="5" t="str">
        <f t="shared" si="61"/>
        <v>OK</v>
      </c>
      <c r="DA84" s="47">
        <f t="shared" si="62"/>
        <v>0.34499859601035404</v>
      </c>
      <c r="DB84" s="46">
        <f t="shared" si="63"/>
        <v>0.47130315193248545</v>
      </c>
      <c r="DC84" s="5" t="str">
        <f t="shared" si="64"/>
        <v>OK</v>
      </c>
      <c r="DD84" s="5">
        <f t="shared" si="65"/>
        <v>1.7266865002204341</v>
      </c>
      <c r="DE84" s="5">
        <f t="shared" si="66"/>
        <v>3.0666541867587034</v>
      </c>
      <c r="DF84" s="5" t="str">
        <f t="shared" si="67"/>
        <v>-</v>
      </c>
      <c r="DG84" s="5" t="str">
        <f t="shared" si="68"/>
        <v>-</v>
      </c>
      <c r="DH84" s="203">
        <f t="shared" si="69"/>
        <v>51.836555160202302</v>
      </c>
      <c r="DI84" s="203">
        <f t="shared" si="70"/>
        <v>180</v>
      </c>
      <c r="DJ84" s="46">
        <f t="shared" si="71"/>
        <v>0.28798086200112388</v>
      </c>
      <c r="DK84" s="5" t="str">
        <f t="shared" si="72"/>
        <v>OK</v>
      </c>
      <c r="EB84" s="18"/>
      <c r="EC84" s="77"/>
      <c r="ED84" s="77"/>
      <c r="EE84" s="18"/>
      <c r="EF84" s="18"/>
      <c r="EG84" s="18"/>
      <c r="EH84" s="5"/>
      <c r="EI84" s="5"/>
      <c r="EJ84" s="5"/>
      <c r="EK84" s="5"/>
      <c r="EL84" s="5"/>
      <c r="FE84" s="26"/>
      <c r="FF84" s="26"/>
      <c r="FG84" s="26"/>
      <c r="FH84" s="26"/>
      <c r="FI84" s="26"/>
      <c r="FJ84" s="26"/>
      <c r="FK84" s="26"/>
      <c r="FL84" s="26"/>
      <c r="FM84" s="26"/>
      <c r="FN84" s="205"/>
      <c r="FO84" s="205"/>
      <c r="FP84" s="205"/>
      <c r="FQ84" s="205"/>
      <c r="FR84" s="205"/>
      <c r="FS84" s="205"/>
      <c r="FT84" s="205"/>
      <c r="FU84" s="77"/>
      <c r="FV84" s="77"/>
      <c r="FW84" s="77"/>
      <c r="FX84" s="205"/>
      <c r="FY84" s="205"/>
      <c r="FZ84" s="205"/>
      <c r="GA84" s="205"/>
      <c r="GB84" s="205"/>
      <c r="GC84" s="205"/>
      <c r="GD84" s="205"/>
      <c r="GE84" s="205"/>
      <c r="GF84" s="205"/>
      <c r="GG84" s="205"/>
      <c r="GH84" s="205"/>
      <c r="GI84" s="205"/>
      <c r="GJ84" s="205"/>
      <c r="GK84" s="205"/>
      <c r="GL84" s="205"/>
      <c r="GM84" s="205"/>
      <c r="GN84" s="205"/>
      <c r="GO84" s="205"/>
      <c r="GP84" s="205"/>
      <c r="GQ84" s="205"/>
      <c r="GR84" s="205"/>
      <c r="GS84" s="205"/>
      <c r="GT84" s="205"/>
      <c r="GU84" s="205"/>
      <c r="GV84" s="18"/>
      <c r="GW84" s="5"/>
      <c r="GX84" s="5"/>
      <c r="GY84" s="77"/>
      <c r="GZ84" s="18"/>
      <c r="HA84" s="18"/>
      <c r="HB84" s="18"/>
      <c r="HC84" s="18"/>
      <c r="HD84" s="18"/>
      <c r="HE84" s="18"/>
      <c r="HF84" s="18"/>
      <c r="HG84" s="18"/>
      <c r="HH84" s="205"/>
      <c r="HI84" s="26"/>
      <c r="HJ84" s="26"/>
      <c r="HK84" s="5"/>
    </row>
    <row r="85" spans="2:219" ht="15">
      <c r="B85" s="83"/>
      <c r="C85" s="281" t="str">
        <f>"• Chiều dày sườn tối thiểu:"</f>
        <v>• Chiều dày sườn tối thiểu:</v>
      </c>
      <c r="D85" s="2"/>
      <c r="E85" s="2"/>
      <c r="F85" s="2"/>
      <c r="G85" s="2"/>
      <c r="H85" s="2"/>
      <c r="I85" s="2"/>
      <c r="J85" s="2"/>
      <c r="K85" s="238" t="s">
        <v>365</v>
      </c>
      <c r="L85" s="287">
        <f>2*L84*SQRT(D28/B28)</f>
        <v>5.6433486816099823</v>
      </c>
      <c r="M85" s="254" t="s">
        <v>1</v>
      </c>
      <c r="N85" s="21"/>
      <c r="AA85" s="18" t="s">
        <v>488</v>
      </c>
      <c r="AB85" s="22" t="s">
        <v>489</v>
      </c>
      <c r="AC85" s="59">
        <v>7.2811904761904795</v>
      </c>
      <c r="AD85" s="59">
        <v>8.6549999999999994</v>
      </c>
      <c r="AE85" s="22">
        <v>528</v>
      </c>
      <c r="AF85" s="22">
        <v>1528</v>
      </c>
      <c r="AG85" s="22">
        <v>1369.2698412698419</v>
      </c>
      <c r="AH85" s="6">
        <v>10</v>
      </c>
      <c r="AI85" s="6">
        <v>300</v>
      </c>
      <c r="AJ85" s="6">
        <v>14</v>
      </c>
      <c r="AK85" s="24">
        <v>300</v>
      </c>
      <c r="AL85" s="24">
        <v>14</v>
      </c>
      <c r="AM85" s="5">
        <f t="shared" si="17"/>
        <v>1341.2698412698419</v>
      </c>
      <c r="AN85" s="26">
        <f t="shared" si="18"/>
        <v>218.12698412698418</v>
      </c>
      <c r="AO85" s="26">
        <f t="shared" si="19"/>
        <v>586811.79072745051</v>
      </c>
      <c r="AP85" s="15">
        <f t="shared" si="20"/>
        <v>6311.1772486772488</v>
      </c>
      <c r="AQ85" s="5">
        <f t="shared" si="21"/>
        <v>8571.1635945074104</v>
      </c>
      <c r="AR85" s="26">
        <f t="shared" si="22"/>
        <v>420.74514991181661</v>
      </c>
      <c r="AS85" s="26">
        <f t="shared" si="23"/>
        <v>5094.8226505417015</v>
      </c>
      <c r="AT85" s="26">
        <f t="shared" si="24"/>
        <v>51.867428670398397</v>
      </c>
      <c r="AU85" s="26">
        <f t="shared" si="25"/>
        <v>5.3789869588463937</v>
      </c>
      <c r="AV85" s="95">
        <f t="shared" si="26"/>
        <v>1.0005566137566139E-6</v>
      </c>
      <c r="AW85" s="95">
        <f t="shared" si="27"/>
        <v>28928912.396825422</v>
      </c>
      <c r="AX85" s="95">
        <f t="shared" si="28"/>
        <v>2.8928912396825422E-5</v>
      </c>
      <c r="AY85" s="54">
        <f t="shared" si="29"/>
        <v>0.11516876660535029</v>
      </c>
      <c r="AZ85" s="54" t="str">
        <f>_xll.Dce_Name_SectI(AE85,AF85,AI85,AH85,AJ85,"x","-",$O$11)</f>
        <v>(528-1528)x300x10x14</v>
      </c>
      <c r="BA85" s="15">
        <f t="shared" si="30"/>
        <v>1016.4523809523813</v>
      </c>
      <c r="BB85" s="54"/>
      <c r="BC85" s="54"/>
      <c r="BD85" s="22" t="s">
        <v>513</v>
      </c>
      <c r="BE85" s="23">
        <v>-31.571792772019478</v>
      </c>
      <c r="BF85" s="23">
        <v>-9.7717835773086676</v>
      </c>
      <c r="BG85" s="23">
        <v>2.2936654078508445E-3</v>
      </c>
      <c r="BH85" s="23">
        <v>-3.2035870672984645E-5</v>
      </c>
      <c r="BI85" s="23">
        <v>-1.6742144869678566E-2</v>
      </c>
      <c r="BJ85" s="23">
        <v>220.14933391055388</v>
      </c>
      <c r="BK85" s="23">
        <v>110.07466695527694</v>
      </c>
      <c r="BL85" s="92">
        <v>2.25</v>
      </c>
      <c r="BM85" s="91">
        <v>2</v>
      </c>
      <c r="BN85" s="5">
        <f t="shared" si="31"/>
        <v>19.473749999999999</v>
      </c>
      <c r="BO85" s="54">
        <f>_xll.Bimoment(BH85,AY85,AC85,AD85,$O$101)</f>
        <v>1.4655354977145333E-4</v>
      </c>
      <c r="BP85" s="5">
        <f t="shared" si="32"/>
        <v>0.31313609467455605</v>
      </c>
      <c r="BQ85" s="5">
        <f t="shared" si="33"/>
        <v>21.518651637242222</v>
      </c>
      <c r="BR85" s="24" t="str">
        <f t="shared" si="34"/>
        <v>Cal</v>
      </c>
      <c r="BS85" s="25">
        <f t="shared" si="35"/>
        <v>6.3323936710725278E-3</v>
      </c>
      <c r="BT85" s="25" t="str">
        <f t="shared" si="36"/>
        <v>CT.105</v>
      </c>
      <c r="BU85" s="25">
        <f t="shared" si="37"/>
        <v>1</v>
      </c>
      <c r="BV85" s="25" cm="1">
        <f t="array" ref="BV85">IF(BT85="CT.104",_xll.TCVN5575AnnexEHeSoCx(1,BP85),1)</f>
        <v>1</v>
      </c>
      <c r="BW85" s="25">
        <f t="shared" si="38"/>
        <v>1</v>
      </c>
      <c r="BX85" s="25">
        <f t="shared" si="39"/>
        <v>6.6656775484973977E-3</v>
      </c>
      <c r="BY85" s="25">
        <f t="shared" si="40"/>
        <v>0.11828564529360223</v>
      </c>
      <c r="BZ85" s="25">
        <f t="shared" si="41"/>
        <v>1.8325103205260189E-4</v>
      </c>
      <c r="CA85" s="25">
        <f t="shared" si="42"/>
        <v>2.3714049685689013E-6</v>
      </c>
      <c r="CB85" s="25">
        <f t="shared" si="43"/>
        <v>0.12513694527912078</v>
      </c>
      <c r="CC85" s="5" t="str">
        <f t="shared" si="44"/>
        <v>OK</v>
      </c>
      <c r="CD85" s="5">
        <f t="shared" si="45"/>
        <v>37.545238889226049</v>
      </c>
      <c r="CE85" s="5">
        <f t="shared" si="46"/>
        <v>37.181722419139881</v>
      </c>
      <c r="CF85" s="5">
        <f t="shared" si="47"/>
        <v>1.2506397644909562</v>
      </c>
      <c r="CG85" s="5">
        <f t="shared" si="48"/>
        <v>1.2385309547993069</v>
      </c>
      <c r="CH85" s="5">
        <f t="shared" si="49"/>
        <v>17.74547965049204</v>
      </c>
      <c r="CI85" s="68">
        <f>_xll.DCETCVN5575PhuLucD2Eta(BP85,CH85,CF85)</f>
        <v>1.2126272189349112</v>
      </c>
      <c r="CJ85" s="5">
        <f t="shared" si="50"/>
        <v>21.518651637242222</v>
      </c>
      <c r="CK85" s="5">
        <f>MIN(noisuy2chieu(CJ85,CF85,Data!$DA$2:$EB$24),1)</f>
        <v>7.1994885802268982E-2</v>
      </c>
      <c r="CL85" s="102">
        <f t="shared" si="51"/>
        <v>9.2585431231940685E-2</v>
      </c>
      <c r="CM85" s="5" t="str">
        <f t="shared" si="52"/>
        <v>OK</v>
      </c>
      <c r="CN85" s="5">
        <f t="shared" si="53"/>
        <v>0.86643683692746631</v>
      </c>
      <c r="CO85" s="5">
        <f t="shared" si="54"/>
        <v>0.5370345235716667</v>
      </c>
      <c r="CP85" s="25">
        <f>_xll.DCETCVNPhuLucFHeSoOnDinh(1, 0.2, AG85, AH85, AI85, AJ85, AI85, AJ85, $D$28)</f>
        <v>1</v>
      </c>
      <c r="CQ85" s="68">
        <f t="shared" si="55"/>
        <v>0.9</v>
      </c>
      <c r="CR85" s="68">
        <f t="shared" si="56"/>
        <v>1</v>
      </c>
      <c r="CS85" s="5">
        <f t="shared" si="57"/>
        <v>0.18181818181818182</v>
      </c>
      <c r="CT85" s="5">
        <f t="shared" si="58"/>
        <v>0.10347287704587492</v>
      </c>
      <c r="CU85" s="26">
        <f t="shared" si="59"/>
        <v>8.8727398252460201</v>
      </c>
      <c r="CV85" s="5"/>
      <c r="CW85" s="25"/>
      <c r="CX85" s="72">
        <f>MAX(_xll.Dce_c_925(CU85, CQ85, CR85, CN85, CP85, CS85, CT85),0.3)</f>
        <v>0.3</v>
      </c>
      <c r="CY85" s="102">
        <f t="shared" si="60"/>
        <v>2.5644021831354859E-2</v>
      </c>
      <c r="CZ85" s="5" t="str">
        <f t="shared" si="61"/>
        <v>OK</v>
      </c>
      <c r="DA85" s="47">
        <f t="shared" si="62"/>
        <v>0.34499859601035404</v>
      </c>
      <c r="DB85" s="46">
        <f t="shared" si="63"/>
        <v>0.48385309547993066</v>
      </c>
      <c r="DC85" s="5" t="str">
        <f t="shared" si="64"/>
        <v>OK</v>
      </c>
      <c r="DD85" s="5">
        <f t="shared" si="65"/>
        <v>1.2506397644909562</v>
      </c>
      <c r="DE85" s="5">
        <f t="shared" si="66"/>
        <v>4.4677979100191463</v>
      </c>
      <c r="DF85" s="5" t="str">
        <f t="shared" si="67"/>
        <v>-</v>
      </c>
      <c r="DG85" s="5" t="str">
        <f t="shared" si="68"/>
        <v>-</v>
      </c>
      <c r="DH85" s="203">
        <f t="shared" si="69"/>
        <v>37.545238889226049</v>
      </c>
      <c r="DI85" s="203">
        <f t="shared" si="70"/>
        <v>180</v>
      </c>
      <c r="DJ85" s="46">
        <f t="shared" si="71"/>
        <v>0.20858466049570026</v>
      </c>
      <c r="DK85" s="5" t="str">
        <f t="shared" si="72"/>
        <v>OK</v>
      </c>
      <c r="EB85" s="18"/>
      <c r="EC85" s="77"/>
      <c r="ED85" s="77"/>
      <c r="EE85" s="18"/>
      <c r="EF85" s="18"/>
      <c r="EG85" s="18"/>
      <c r="EH85" s="5"/>
      <c r="EI85" s="5"/>
      <c r="EJ85" s="5"/>
      <c r="EK85" s="5"/>
      <c r="EL85" s="5"/>
      <c r="FE85" s="26"/>
      <c r="FF85" s="26"/>
      <c r="FG85" s="26"/>
      <c r="FH85" s="26"/>
      <c r="FI85" s="26"/>
      <c r="FJ85" s="26"/>
      <c r="FK85" s="26"/>
      <c r="FL85" s="26"/>
      <c r="FM85" s="26"/>
      <c r="FN85" s="205"/>
      <c r="FO85" s="205"/>
      <c r="FP85" s="205"/>
      <c r="FQ85" s="205"/>
      <c r="FR85" s="205"/>
      <c r="FS85" s="205"/>
      <c r="FT85" s="205"/>
      <c r="FU85" s="77"/>
      <c r="FV85" s="77"/>
      <c r="FW85" s="77"/>
      <c r="FX85" s="205"/>
      <c r="FY85" s="205"/>
      <c r="FZ85" s="205"/>
      <c r="GA85" s="205"/>
      <c r="GB85" s="205"/>
      <c r="GC85" s="205"/>
      <c r="GD85" s="205"/>
      <c r="GE85" s="205"/>
      <c r="GF85" s="205"/>
      <c r="GG85" s="205"/>
      <c r="GH85" s="205"/>
      <c r="GI85" s="205"/>
      <c r="GJ85" s="205"/>
      <c r="GK85" s="205"/>
      <c r="GL85" s="205"/>
      <c r="GM85" s="205"/>
      <c r="GN85" s="205"/>
      <c r="GO85" s="205"/>
      <c r="GP85" s="205"/>
      <c r="GQ85" s="205"/>
      <c r="GR85" s="205"/>
      <c r="GS85" s="205"/>
      <c r="GT85" s="205"/>
      <c r="GU85" s="205"/>
      <c r="GV85" s="18"/>
      <c r="GW85" s="5"/>
      <c r="GX85" s="5"/>
      <c r="GY85" s="77"/>
      <c r="GZ85" s="18"/>
      <c r="HA85" s="18"/>
      <c r="HB85" s="18"/>
      <c r="HC85" s="18"/>
      <c r="HD85" s="18"/>
      <c r="HE85" s="18"/>
      <c r="HF85" s="18"/>
      <c r="HG85" s="18"/>
      <c r="HH85" s="205"/>
      <c r="HI85" s="26"/>
      <c r="HJ85" s="26"/>
      <c r="HK85" s="5"/>
    </row>
    <row r="86" spans="2:219" ht="15">
      <c r="B86" s="83"/>
      <c r="C86" s="281" t="str">
        <f>"• Khoảng cách sườn lớn nhất:"</f>
        <v>• Khoảng cách sườn lớn nhất:</v>
      </c>
      <c r="D86" s="2"/>
      <c r="E86" s="2"/>
      <c r="F86" s="2"/>
      <c r="G86" s="2"/>
      <c r="H86" s="2"/>
      <c r="I86" s="2"/>
      <c r="J86" s="2"/>
      <c r="K86" s="238" t="s">
        <v>366</v>
      </c>
      <c r="L86" s="288" t="str">
        <f>"("&amp;ROUND(2.5*F20,0)&amp;" - " &amp;ROUND(3*F20,0)&amp;") mm"</f>
        <v>(3353 - 4024) mm</v>
      </c>
      <c r="M86" s="254"/>
      <c r="N86" s="21"/>
      <c r="AA86" s="18" t="s">
        <v>488</v>
      </c>
      <c r="AB86" s="22" t="s">
        <v>489</v>
      </c>
      <c r="AC86" s="59">
        <v>0</v>
      </c>
      <c r="AD86" s="59">
        <v>8.6549999999999994</v>
      </c>
      <c r="AE86" s="22">
        <v>528</v>
      </c>
      <c r="AF86" s="22">
        <v>1528</v>
      </c>
      <c r="AG86" s="22">
        <v>528</v>
      </c>
      <c r="AH86" s="6">
        <v>10</v>
      </c>
      <c r="AI86" s="6">
        <v>300</v>
      </c>
      <c r="AJ86" s="6">
        <v>14</v>
      </c>
      <c r="AK86" s="24">
        <v>300</v>
      </c>
      <c r="AL86" s="24">
        <v>14</v>
      </c>
      <c r="AM86" s="5">
        <f t="shared" si="17"/>
        <v>500</v>
      </c>
      <c r="AN86" s="26">
        <f t="shared" si="18"/>
        <v>134</v>
      </c>
      <c r="AO86" s="26">
        <f t="shared" si="19"/>
        <v>65911.546666666676</v>
      </c>
      <c r="AP86" s="15">
        <f t="shared" si="20"/>
        <v>6304.166666666667</v>
      </c>
      <c r="AQ86" s="5">
        <f t="shared" si="21"/>
        <v>2496.6494949494954</v>
      </c>
      <c r="AR86" s="26">
        <f t="shared" si="22"/>
        <v>420.27777777777777</v>
      </c>
      <c r="AS86" s="26">
        <f t="shared" si="23"/>
        <v>1391.9</v>
      </c>
      <c r="AT86" s="26">
        <f t="shared" si="24"/>
        <v>22.178305028345793</v>
      </c>
      <c r="AU86" s="26">
        <f t="shared" si="25"/>
        <v>6.8590101254115021</v>
      </c>
      <c r="AV86" s="95">
        <f t="shared" si="26"/>
        <v>7.201333333333334E-7</v>
      </c>
      <c r="AW86" s="95">
        <f t="shared" si="27"/>
        <v>4161087</v>
      </c>
      <c r="AX86" s="95">
        <f t="shared" si="28"/>
        <v>4.1610870000000001E-6</v>
      </c>
      <c r="AY86" s="54">
        <f t="shared" si="29"/>
        <v>0.25762202780669918</v>
      </c>
      <c r="AZ86" s="54" t="str">
        <f>_xll.Dce_Name_SectI(AE86,AF86,AI86,AH86,AJ86,"x","-",$O$11)</f>
        <v>(528-1528)x300x10x14</v>
      </c>
      <c r="BA86" s="15">
        <f t="shared" si="30"/>
        <v>385.5</v>
      </c>
      <c r="BB86" s="54"/>
      <c r="BC86" s="54"/>
      <c r="BD86" s="22" t="s">
        <v>514</v>
      </c>
      <c r="BE86" s="23">
        <v>-156.07178964901007</v>
      </c>
      <c r="BF86" s="23">
        <v>-145.2145308976614</v>
      </c>
      <c r="BG86" s="23">
        <v>4.6629700395624798E-3</v>
      </c>
      <c r="BH86" s="23">
        <v>-6.5128202495540264E-5</v>
      </c>
      <c r="BI86" s="23">
        <v>-4.4723594785259222E-6</v>
      </c>
      <c r="BJ86" s="23">
        <v>-2.0405928958490156</v>
      </c>
      <c r="BK86" s="23">
        <v>497.50130494009011</v>
      </c>
      <c r="BL86" s="92">
        <v>2.25</v>
      </c>
      <c r="BM86" s="91">
        <v>2</v>
      </c>
      <c r="BN86" s="5">
        <f t="shared" si="31"/>
        <v>19.473749999999999</v>
      </c>
      <c r="BO86" s="54">
        <f>_xll.Bimoment(BH86,AY86,AC86,AD86,$O$101)</f>
        <v>0</v>
      </c>
      <c r="BP86" s="5">
        <f t="shared" si="32"/>
        <v>0.84</v>
      </c>
      <c r="BQ86" s="5">
        <f t="shared" si="33"/>
        <v>0.10644263674744352</v>
      </c>
      <c r="BR86" s="24" t="str">
        <f t="shared" si="34"/>
        <v>Cal</v>
      </c>
      <c r="BS86" s="25">
        <f t="shared" si="35"/>
        <v>5.0956274605553666E-2</v>
      </c>
      <c r="BT86" s="25" t="str">
        <f t="shared" si="36"/>
        <v>CT.105</v>
      </c>
      <c r="BU86" s="25">
        <f t="shared" si="37"/>
        <v>1</v>
      </c>
      <c r="BV86" s="25" cm="1">
        <f t="array" ref="BV86">IF(BT86="CT.104",_xll.TCVN5575AnnexEHeSoCx(1,BP86),1)</f>
        <v>1</v>
      </c>
      <c r="BW86" s="25">
        <f t="shared" si="38"/>
        <v>1</v>
      </c>
      <c r="BX86" s="25">
        <f t="shared" si="39"/>
        <v>5.3638183795319649E-2</v>
      </c>
      <c r="BY86" s="25">
        <f t="shared" si="40"/>
        <v>3.7640314759943118E-3</v>
      </c>
      <c r="BZ86" s="25">
        <f t="shared" si="41"/>
        <v>4.9006617585684264E-8</v>
      </c>
      <c r="CA86" s="25">
        <f t="shared" si="42"/>
        <v>0</v>
      </c>
      <c r="CB86" s="25">
        <f t="shared" si="43"/>
        <v>5.7402264277931547E-2</v>
      </c>
      <c r="CC86" s="5" t="str">
        <f t="shared" si="44"/>
        <v>OK</v>
      </c>
      <c r="CD86" s="5">
        <f t="shared" si="45"/>
        <v>87.805402509844015</v>
      </c>
      <c r="CE86" s="5">
        <f t="shared" si="46"/>
        <v>29.158726455153193</v>
      </c>
      <c r="CF86" s="5">
        <f t="shared" si="47"/>
        <v>2.9248163326364334</v>
      </c>
      <c r="CG86" s="5">
        <f t="shared" si="48"/>
        <v>0.97128328026682387</v>
      </c>
      <c r="CH86" s="5">
        <f t="shared" si="49"/>
        <v>7.0174476644430189E-2</v>
      </c>
      <c r="CI86" s="68">
        <f>_xll.DCETCVN5575PhuLucD2Eta(BP86,CH86,CF86)</f>
        <v>1.5168283660565349</v>
      </c>
      <c r="CJ86" s="5">
        <f t="shared" si="50"/>
        <v>0.10644263674744352</v>
      </c>
      <c r="CK86" s="5">
        <f>MIN(noisuy2chieu(CJ86,CF86,Data!$DA$2:$EB$24),1)</f>
        <v>0.67527097463607788</v>
      </c>
      <c r="CL86" s="102">
        <f t="shared" si="51"/>
        <v>7.9432088465266476E-2</v>
      </c>
      <c r="CM86" s="5" t="str">
        <f t="shared" si="52"/>
        <v>OK</v>
      </c>
      <c r="CN86" s="5">
        <f t="shared" si="53"/>
        <v>0.90492218941026858</v>
      </c>
      <c r="CO86" s="5">
        <f t="shared" si="54"/>
        <v>0.5370345235716667</v>
      </c>
      <c r="CP86" s="25">
        <f>_xll.DCETCVNPhuLucFHeSoOnDinh(1, 0.2, AG86, AH86, AI86, AJ86, AI86, AJ86, $D$28)</f>
        <v>1</v>
      </c>
      <c r="CQ86" s="68">
        <f t="shared" si="55"/>
        <v>0.9</v>
      </c>
      <c r="CR86" s="68">
        <f t="shared" si="56"/>
        <v>1</v>
      </c>
      <c r="CS86" s="5">
        <f t="shared" si="57"/>
        <v>0.18181818181818182</v>
      </c>
      <c r="CT86" s="5">
        <f t="shared" si="58"/>
        <v>9.9510191986788829E-2</v>
      </c>
      <c r="CU86" s="26">
        <f t="shared" si="59"/>
        <v>17.108700993279868</v>
      </c>
      <c r="CV86" s="5"/>
      <c r="CW86" s="25"/>
      <c r="CX86" s="72">
        <f>MAX(_xll.Dce_c_925(CU86, CQ86, CR86, CN86, CP86, CS86, CT86),0.3)</f>
        <v>0.3</v>
      </c>
      <c r="CY86" s="102">
        <f t="shared" si="60"/>
        <v>0.197579358840695</v>
      </c>
      <c r="CZ86" s="5" t="str">
        <f t="shared" si="61"/>
        <v>OK</v>
      </c>
      <c r="DA86" s="47">
        <f t="shared" si="62"/>
        <v>0.34499859601035404</v>
      </c>
      <c r="DB86" s="46">
        <f t="shared" si="63"/>
        <v>0.45712832802668235</v>
      </c>
      <c r="DC86" s="5" t="str">
        <f t="shared" si="64"/>
        <v>OK</v>
      </c>
      <c r="DD86" s="5">
        <f t="shared" si="65"/>
        <v>2.9248163326364334</v>
      </c>
      <c r="DE86" s="5">
        <f t="shared" si="66"/>
        <v>1.6655104634982609</v>
      </c>
      <c r="DF86" s="5" t="str">
        <f t="shared" si="67"/>
        <v>-</v>
      </c>
      <c r="DG86" s="5" t="str">
        <f t="shared" si="68"/>
        <v>-</v>
      </c>
      <c r="DH86" s="203" t="str">
        <f t="shared" si="69"/>
        <v>-</v>
      </c>
      <c r="DI86" s="203">
        <f t="shared" si="70"/>
        <v>180</v>
      </c>
      <c r="DJ86" s="46">
        <f t="shared" si="71"/>
        <v>0</v>
      </c>
      <c r="DK86" s="5" t="str">
        <f t="shared" si="72"/>
        <v>OK</v>
      </c>
      <c r="EB86" s="18"/>
      <c r="EC86" s="77"/>
      <c r="ED86" s="77"/>
      <c r="EE86" s="18"/>
      <c r="EF86" s="18"/>
      <c r="EG86" s="18"/>
      <c r="EH86" s="5"/>
      <c r="EI86" s="5"/>
      <c r="EJ86" s="5"/>
      <c r="EK86" s="5"/>
      <c r="EL86" s="5"/>
      <c r="FE86" s="26"/>
      <c r="FF86" s="26"/>
      <c r="FG86" s="26"/>
      <c r="FH86" s="26"/>
      <c r="FI86" s="26"/>
      <c r="FJ86" s="26"/>
      <c r="FK86" s="26"/>
      <c r="FL86" s="26"/>
      <c r="FM86" s="26"/>
      <c r="FN86" s="205"/>
      <c r="FO86" s="205"/>
      <c r="FP86" s="205"/>
      <c r="FQ86" s="205"/>
      <c r="FR86" s="205"/>
      <c r="FS86" s="205"/>
      <c r="FT86" s="205"/>
      <c r="FU86" s="77"/>
      <c r="FV86" s="77"/>
      <c r="FW86" s="77"/>
      <c r="FX86" s="205"/>
      <c r="FY86" s="205"/>
      <c r="FZ86" s="205"/>
      <c r="GA86" s="205"/>
      <c r="GB86" s="205"/>
      <c r="GC86" s="205"/>
      <c r="GD86" s="205"/>
      <c r="GE86" s="205"/>
      <c r="GF86" s="205"/>
      <c r="GG86" s="205"/>
      <c r="GH86" s="205"/>
      <c r="GI86" s="205"/>
      <c r="GJ86" s="205"/>
      <c r="GK86" s="205"/>
      <c r="GL86" s="205"/>
      <c r="GM86" s="205"/>
      <c r="GN86" s="205"/>
      <c r="GO86" s="205"/>
      <c r="GP86" s="205"/>
      <c r="GQ86" s="205"/>
      <c r="GR86" s="205"/>
      <c r="GS86" s="205"/>
      <c r="GT86" s="205"/>
      <c r="GU86" s="205"/>
      <c r="GV86" s="18"/>
      <c r="GW86" s="5"/>
      <c r="GX86" s="5"/>
      <c r="GY86" s="77"/>
      <c r="GZ86" s="18"/>
      <c r="HA86" s="18"/>
      <c r="HB86" s="18"/>
      <c r="HC86" s="18"/>
      <c r="HD86" s="18"/>
      <c r="HE86" s="18"/>
      <c r="HF86" s="18"/>
      <c r="HG86" s="18"/>
      <c r="HH86" s="205"/>
      <c r="HI86" s="26"/>
      <c r="HJ86" s="26"/>
      <c r="HK86" s="5"/>
    </row>
    <row r="87" spans="2:219">
      <c r="B87" s="69" t="s">
        <v>138</v>
      </c>
      <c r="C87" s="2"/>
      <c r="D87" s="2"/>
      <c r="E87" s="240"/>
      <c r="F87" s="269"/>
      <c r="G87" s="2"/>
      <c r="H87" s="269"/>
      <c r="I87" s="257"/>
      <c r="J87" s="269"/>
      <c r="K87" s="2"/>
      <c r="L87" s="252"/>
      <c r="M87" s="2"/>
      <c r="N87" s="10"/>
      <c r="AA87" s="18" t="s">
        <v>488</v>
      </c>
      <c r="AB87" s="22" t="s">
        <v>489</v>
      </c>
      <c r="AC87" s="59">
        <v>3.6405952380952398</v>
      </c>
      <c r="AD87" s="59">
        <v>8.6549999999999994</v>
      </c>
      <c r="AE87" s="22">
        <v>528</v>
      </c>
      <c r="AF87" s="22">
        <v>1528</v>
      </c>
      <c r="AG87" s="22">
        <v>948.63492063492095</v>
      </c>
      <c r="AH87" s="6">
        <v>10</v>
      </c>
      <c r="AI87" s="6">
        <v>300</v>
      </c>
      <c r="AJ87" s="6">
        <v>14</v>
      </c>
      <c r="AK87" s="24">
        <v>300</v>
      </c>
      <c r="AL87" s="24">
        <v>14</v>
      </c>
      <c r="AM87" s="5">
        <f t="shared" si="17"/>
        <v>920.63492063492095</v>
      </c>
      <c r="AN87" s="26">
        <f t="shared" si="18"/>
        <v>176.06349206349208</v>
      </c>
      <c r="AO87" s="26">
        <f t="shared" si="19"/>
        <v>248482.7399356656</v>
      </c>
      <c r="AP87" s="15">
        <f t="shared" si="20"/>
        <v>6307.6719576719579</v>
      </c>
      <c r="AQ87" s="5">
        <f t="shared" si="21"/>
        <v>5238.7432621467533</v>
      </c>
      <c r="AR87" s="26">
        <f t="shared" si="22"/>
        <v>420.51146384479722</v>
      </c>
      <c r="AS87" s="26">
        <f t="shared" si="23"/>
        <v>3022.1941546989178</v>
      </c>
      <c r="AT87" s="26">
        <f t="shared" si="24"/>
        <v>37.567600585756203</v>
      </c>
      <c r="AU87" s="26">
        <f t="shared" si="25"/>
        <v>5.9854925384629922</v>
      </c>
      <c r="AV87" s="95">
        <f t="shared" si="26"/>
        <v>8.6034497354497351E-7</v>
      </c>
      <c r="AW87" s="95">
        <f t="shared" si="27"/>
        <v>13758293.349206358</v>
      </c>
      <c r="AX87" s="95">
        <f t="shared" si="28"/>
        <v>1.3758293349206359E-5</v>
      </c>
      <c r="AY87" s="54">
        <f t="shared" si="29"/>
        <v>0.1548581140202015</v>
      </c>
      <c r="AZ87" s="54" t="str">
        <f>_xll.Dce_Name_SectI(AE87,AF87,AI87,AH87,AJ87,"x","-",$O$11)</f>
        <v>(528-1528)x300x10x14</v>
      </c>
      <c r="BA87" s="15">
        <f t="shared" si="30"/>
        <v>700.97619047619071</v>
      </c>
      <c r="BB87" s="54"/>
      <c r="BC87" s="54"/>
      <c r="BD87" s="22" t="s">
        <v>514</v>
      </c>
      <c r="BE87" s="23">
        <v>-150.55498646244422</v>
      </c>
      <c r="BF87" s="23">
        <v>-136.59472520994393</v>
      </c>
      <c r="BG87" s="23">
        <v>4.6629700395630089E-3</v>
      </c>
      <c r="BH87" s="23">
        <v>-6.5128202495540264E-5</v>
      </c>
      <c r="BI87" s="23">
        <v>-1.7020437626678583E-2</v>
      </c>
      <c r="BJ87" s="23">
        <v>512.11200531172153</v>
      </c>
      <c r="BK87" s="23">
        <v>497.50130494009011</v>
      </c>
      <c r="BL87" s="92">
        <v>2.25</v>
      </c>
      <c r="BM87" s="91">
        <v>2</v>
      </c>
      <c r="BN87" s="5">
        <f t="shared" si="31"/>
        <v>19.473749999999999</v>
      </c>
      <c r="BO87" s="54">
        <f>_xll.Bimoment(BH87,AY87,AC87,AD87,$O$101)</f>
        <v>5.0087929753555476E-4</v>
      </c>
      <c r="BP87" s="5">
        <f t="shared" si="32"/>
        <v>0.45620689655172403</v>
      </c>
      <c r="BQ87" s="5">
        <f t="shared" si="33"/>
        <v>14.189537963199296</v>
      </c>
      <c r="BR87" s="24" t="str">
        <f t="shared" si="34"/>
        <v>Cal</v>
      </c>
      <c r="BS87" s="25">
        <f t="shared" si="35"/>
        <v>3.7411393926894326E-2</v>
      </c>
      <c r="BT87" s="25" t="str">
        <f t="shared" si="36"/>
        <v>CT.105</v>
      </c>
      <c r="BU87" s="25">
        <f t="shared" si="37"/>
        <v>1</v>
      </c>
      <c r="BV87" s="25" cm="1">
        <f t="array" ref="BV87">IF(BT87="CT.104",_xll.TCVN5575AnnexEHeSoCx(1,BP87),1)</f>
        <v>1</v>
      </c>
      <c r="BW87" s="25">
        <f t="shared" si="38"/>
        <v>1</v>
      </c>
      <c r="BX87" s="25">
        <f t="shared" si="39"/>
        <v>3.9380414659888764E-2</v>
      </c>
      <c r="BY87" s="25">
        <f t="shared" si="40"/>
        <v>0.45018632003188236</v>
      </c>
      <c r="BZ87" s="25">
        <f t="shared" si="41"/>
        <v>1.8640061228465847E-4</v>
      </c>
      <c r="CA87" s="25">
        <f t="shared" si="42"/>
        <v>1.1752391098261028E-5</v>
      </c>
      <c r="CB87" s="25">
        <f t="shared" si="43"/>
        <v>0.48976488769515403</v>
      </c>
      <c r="CC87" s="5" t="str">
        <f t="shared" si="44"/>
        <v>OK</v>
      </c>
      <c r="CD87" s="5">
        <f t="shared" si="45"/>
        <v>51.836555160202302</v>
      </c>
      <c r="CE87" s="5">
        <f t="shared" si="46"/>
        <v>33.414125690541383</v>
      </c>
      <c r="CF87" s="5">
        <f t="shared" si="47"/>
        <v>1.7266865002204341</v>
      </c>
      <c r="CG87" s="5">
        <f t="shared" si="48"/>
        <v>1.1130315193248546</v>
      </c>
      <c r="CH87" s="5">
        <f t="shared" si="49"/>
        <v>11.431731329391589</v>
      </c>
      <c r="CI87" s="68">
        <f>_xll.DCETCVN5575PhuLucD2Eta(BP87,CH87,CF87)</f>
        <v>1.2412413793103447</v>
      </c>
      <c r="CJ87" s="5">
        <f t="shared" si="50"/>
        <v>14.189537963199296</v>
      </c>
      <c r="CK87" s="5">
        <f>MIN(noisuy2chieu(CJ87,CF87,Data!$DA$2:$EB$24),1)</f>
        <v>9.5716372132301331E-2</v>
      </c>
      <c r="CL87" s="102">
        <f t="shared" si="51"/>
        <v>0.41142819961308469</v>
      </c>
      <c r="CM87" s="5" t="str">
        <f t="shared" si="52"/>
        <v>OK</v>
      </c>
      <c r="CN87" s="5">
        <f t="shared" si="53"/>
        <v>0.88472625978979058</v>
      </c>
      <c r="CO87" s="5">
        <f t="shared" si="54"/>
        <v>0.5370345235716667</v>
      </c>
      <c r="CP87" s="25">
        <f>_xll.DCETCVNPhuLucFHeSoOnDinh(1, 0.2, AG87, AH87, AI87, AJ87, AI87, AJ87, $D$28)</f>
        <v>1</v>
      </c>
      <c r="CQ87" s="68">
        <f t="shared" si="55"/>
        <v>0.9</v>
      </c>
      <c r="CR87" s="68">
        <f t="shared" si="56"/>
        <v>1</v>
      </c>
      <c r="CS87" s="5">
        <f t="shared" si="57"/>
        <v>0.18181818181818182</v>
      </c>
      <c r="CT87" s="5">
        <f t="shared" si="58"/>
        <v>0.10155106457844131</v>
      </c>
      <c r="CU87" s="26">
        <f t="shared" si="59"/>
        <v>11.105580800893311</v>
      </c>
      <c r="CV87" s="5"/>
      <c r="CW87" s="25"/>
      <c r="CX87" s="72">
        <f>MAX(_xll.Dce_c_925(CU87, CQ87, CR87, CN87, CP87, CS87, CT87),0.3)</f>
        <v>0.3</v>
      </c>
      <c r="CY87" s="102">
        <f t="shared" si="60"/>
        <v>0.14837137183820559</v>
      </c>
      <c r="CZ87" s="5" t="str">
        <f t="shared" si="61"/>
        <v>OK</v>
      </c>
      <c r="DA87" s="47">
        <f t="shared" si="62"/>
        <v>0.34499859601035404</v>
      </c>
      <c r="DB87" s="46">
        <f t="shared" si="63"/>
        <v>0.47130315193248545</v>
      </c>
      <c r="DC87" s="5" t="str">
        <f t="shared" si="64"/>
        <v>OK</v>
      </c>
      <c r="DD87" s="5">
        <f t="shared" si="65"/>
        <v>1.7266865002204341</v>
      </c>
      <c r="DE87" s="5">
        <f t="shared" si="66"/>
        <v>3.0666541867587034</v>
      </c>
      <c r="DF87" s="5" t="str">
        <f t="shared" si="67"/>
        <v>-</v>
      </c>
      <c r="DG87" s="5" t="str">
        <f t="shared" si="68"/>
        <v>-</v>
      </c>
      <c r="DH87" s="203">
        <f t="shared" si="69"/>
        <v>51.836555160202302</v>
      </c>
      <c r="DI87" s="203">
        <f t="shared" si="70"/>
        <v>180</v>
      </c>
      <c r="DJ87" s="46">
        <f t="shared" si="71"/>
        <v>0.28798086200112388</v>
      </c>
      <c r="DK87" s="5" t="str">
        <f t="shared" si="72"/>
        <v>OK</v>
      </c>
      <c r="EB87" s="18"/>
      <c r="EC87" s="77"/>
      <c r="ED87" s="77"/>
      <c r="EE87" s="18"/>
      <c r="EF87" s="18"/>
      <c r="EG87" s="18"/>
      <c r="EH87" s="5"/>
      <c r="EI87" s="5"/>
      <c r="EJ87" s="5"/>
      <c r="EK87" s="5"/>
      <c r="EL87" s="5"/>
      <c r="FE87" s="26"/>
      <c r="FF87" s="26"/>
      <c r="FG87" s="26"/>
      <c r="FH87" s="26"/>
      <c r="FI87" s="26"/>
      <c r="FJ87" s="26"/>
      <c r="FK87" s="26"/>
      <c r="FL87" s="26"/>
      <c r="FM87" s="26"/>
      <c r="FN87" s="205"/>
      <c r="FO87" s="205"/>
      <c r="FP87" s="205"/>
      <c r="FQ87" s="205"/>
      <c r="FR87" s="205"/>
      <c r="FS87" s="205"/>
      <c r="FT87" s="205"/>
      <c r="FU87" s="77"/>
      <c r="FV87" s="77"/>
      <c r="FW87" s="77"/>
      <c r="FX87" s="205"/>
      <c r="FY87" s="205"/>
      <c r="FZ87" s="205"/>
      <c r="GA87" s="205"/>
      <c r="GB87" s="205"/>
      <c r="GC87" s="205"/>
      <c r="GD87" s="205"/>
      <c r="GE87" s="205"/>
      <c r="GF87" s="205"/>
      <c r="GG87" s="205"/>
      <c r="GH87" s="205"/>
      <c r="GI87" s="205"/>
      <c r="GJ87" s="205"/>
      <c r="GK87" s="205"/>
      <c r="GL87" s="205"/>
      <c r="GM87" s="205"/>
      <c r="GN87" s="205"/>
      <c r="GO87" s="205"/>
      <c r="GP87" s="205"/>
      <c r="GQ87" s="205"/>
      <c r="GR87" s="205"/>
      <c r="GS87" s="205"/>
      <c r="GT87" s="205"/>
      <c r="GU87" s="205"/>
      <c r="GV87" s="18"/>
      <c r="GW87" s="5"/>
      <c r="GX87" s="5"/>
      <c r="GY87" s="77"/>
      <c r="GZ87" s="18"/>
      <c r="HA87" s="18"/>
      <c r="HB87" s="18"/>
      <c r="HC87" s="18"/>
      <c r="HD87" s="18"/>
      <c r="HE87" s="18"/>
      <c r="HF87" s="18"/>
      <c r="HG87" s="18"/>
      <c r="HH87" s="205"/>
      <c r="HI87" s="26"/>
      <c r="HJ87" s="26"/>
      <c r="HK87" s="5"/>
    </row>
    <row r="88" spans="2:219" ht="15">
      <c r="B88" s="172" t="s">
        <v>423</v>
      </c>
      <c r="C88" s="245"/>
      <c r="D88" s="245"/>
      <c r="E88" s="245"/>
      <c r="F88" s="245"/>
      <c r="G88" s="245"/>
      <c r="H88" s="245"/>
      <c r="I88" s="245"/>
      <c r="J88" s="245"/>
      <c r="K88" s="289" t="s">
        <v>102</v>
      </c>
      <c r="L88" s="275">
        <f>IF(OR(E32=0,E32=F21),"-",MAX(G56,L56))</f>
        <v>37.545238889226049</v>
      </c>
      <c r="M88" s="245"/>
      <c r="N88" s="10"/>
      <c r="AA88" s="18" t="s">
        <v>488</v>
      </c>
      <c r="AB88" s="22" t="s">
        <v>489</v>
      </c>
      <c r="AC88" s="59">
        <v>7.2811904761904795</v>
      </c>
      <c r="AD88" s="59">
        <v>8.6549999999999994</v>
      </c>
      <c r="AE88" s="22">
        <v>528</v>
      </c>
      <c r="AF88" s="22">
        <v>1528</v>
      </c>
      <c r="AG88" s="22">
        <v>1369.2698412698419</v>
      </c>
      <c r="AH88" s="6">
        <v>10</v>
      </c>
      <c r="AI88" s="6">
        <v>300</v>
      </c>
      <c r="AJ88" s="6">
        <v>14</v>
      </c>
      <c r="AK88" s="24">
        <v>300</v>
      </c>
      <c r="AL88" s="24">
        <v>14</v>
      </c>
      <c r="AM88" s="5">
        <f t="shared" ref="AM88:AM151" si="73">AG88-AJ88-AL88</f>
        <v>1341.2698412698419</v>
      </c>
      <c r="AN88" s="26">
        <f t="shared" ref="AN88:AN151" si="74">(AM88*AH88+AI88*AJ88+AK88*AL88)/100</f>
        <v>218.12698412698418</v>
      </c>
      <c r="AO88" s="26">
        <f t="shared" ref="AO88:AO151" si="75">(AH88*AM88^3/12+AI88*AJ88^3/12+AI88*AJ88*(AM88/2+AJ88/2)^2+AK88*AL88^3/12+AK88*AL88*(AM88/2+AL88/2)^2)/10000</f>
        <v>586811.79072745051</v>
      </c>
      <c r="AP88" s="15">
        <f t="shared" ref="AP88:AP151" si="76">(AM88*AH88^3/12+AJ88*AI88^3/12+AL88*AK88^3/12)/10000</f>
        <v>6311.1772486772488</v>
      </c>
      <c r="AQ88" s="5">
        <f t="shared" ref="AQ88:AQ151" si="77">AO88/(AG88/20)</f>
        <v>8571.1635945074104</v>
      </c>
      <c r="AR88" s="26">
        <f t="shared" ref="AR88:AR151" si="78">AP88/(MAX(AI88,AK88)/20)</f>
        <v>420.74514991181661</v>
      </c>
      <c r="AS88" s="26">
        <f t="shared" ref="AS88:AS151" si="79">(AH88*AM88^2/8+AI88*AJ88*(AM88/2+AJ88/2))/1000</f>
        <v>5094.8226505417015</v>
      </c>
      <c r="AT88" s="26">
        <f t="shared" ref="AT88:AT151" si="80">SQRT(AO88/AN88)</f>
        <v>51.867428670398397</v>
      </c>
      <c r="AU88" s="26">
        <f t="shared" ref="AU88:AU151" si="81">SQRT(AP88/AN88)</f>
        <v>5.3789869588463937</v>
      </c>
      <c r="AV88" s="95">
        <f t="shared" ref="AV88:AV151" si="82">((2*AI88*AJ88^3+(AM88+AJ88)*AH88^3)/3)/1000000000000</f>
        <v>1.0005566137566139E-6</v>
      </c>
      <c r="AW88" s="95">
        <f t="shared" ref="AW88:AW151" si="83">(AI88^3*(AM88+AJ88)^2*AJ88/24)/1000000</f>
        <v>28928912.396825422</v>
      </c>
      <c r="AX88" s="95">
        <f t="shared" ref="AX88:AX151" si="84">AW88/1000000000000</f>
        <v>2.8928912396825422E-5</v>
      </c>
      <c r="AY88" s="54">
        <f t="shared" ref="AY88:AY151" si="85">SQRT(($K$106*AV88)/($B$28*AX88))</f>
        <v>0.11516876660535029</v>
      </c>
      <c r="AZ88" s="54" t="str">
        <f>_xll.Dce_Name_SectI(AE88,AF88,AI88,AH88,AJ88,"x","-",$O$11)</f>
        <v>(528-1528)x300x10x14</v>
      </c>
      <c r="BA88" s="15">
        <f t="shared" ref="BA88:BA151" si="86">AI88*(AM88+AJ88)/400</f>
        <v>1016.4523809523813</v>
      </c>
      <c r="BB88" s="54"/>
      <c r="BC88" s="54"/>
      <c r="BD88" s="22" t="s">
        <v>514</v>
      </c>
      <c r="BE88" s="23">
        <v>-143.49674752538598</v>
      </c>
      <c r="BF88" s="23">
        <v>-128.08077005281851</v>
      </c>
      <c r="BG88" s="23">
        <v>4.6629700395635319E-3</v>
      </c>
      <c r="BH88" s="23">
        <v>-6.5128202495540264E-5</v>
      </c>
      <c r="BI88" s="23">
        <v>-3.403640289388056E-2</v>
      </c>
      <c r="BJ88" s="23">
        <v>995.00260988018022</v>
      </c>
      <c r="BK88" s="23">
        <v>497.50130494009011</v>
      </c>
      <c r="BL88" s="92">
        <v>2.25</v>
      </c>
      <c r="BM88" s="91">
        <v>2</v>
      </c>
      <c r="BN88" s="5">
        <f t="shared" ref="BN88:BN151" si="87">BL88*AD88</f>
        <v>19.473749999999999</v>
      </c>
      <c r="BO88" s="54">
        <f>_xll.Bimoment(BH88,AY88,AC88,AD88,$O$101)</f>
        <v>2.9794006110795074E-4</v>
      </c>
      <c r="BP88" s="5">
        <f t="shared" ref="BP88:BP151" si="88">(AI88*AJ88)/(AM88*AH88)</f>
        <v>0.31313609467455605</v>
      </c>
      <c r="BQ88" s="5">
        <f t="shared" ref="BQ88:BQ151" si="89">CJ88</f>
        <v>21.398290789421541</v>
      </c>
      <c r="BR88" s="24" t="str">
        <f t="shared" ref="BR88:BR151" si="90">IF(AND(BQ88&lt;20,BT88="CT.104"),"OK","Cal")</f>
        <v>Cal</v>
      </c>
      <c r="BS88" s="25">
        <f t="shared" ref="BS88:BS151" si="91">ABS(BE88)/(AN88*$D$28)*10</f>
        <v>2.8781320795142271E-2</v>
      </c>
      <c r="BT88" s="25" t="str">
        <f t="shared" ref="BT88:BT151" si="92">"CT."&amp;IF(AND(BS88&gt;0.1,ABS(BF88)*AS88/(AO88*AH88)*100&lt;=0.5*(0.58*$D$28/$E$28)),104,105)</f>
        <v>CT.105</v>
      </c>
      <c r="BU88" s="25">
        <f t="shared" ref="BU88:BU151" si="93">IF(BT88="CT.104",IF(BS88&gt;0.1,1.5,1),1)</f>
        <v>1</v>
      </c>
      <c r="BV88" s="25" cm="1">
        <f t="array" ref="BV88">IF(BT88="CT.104",_xll.TCVN5575AnnexEHeSoCx(1,BP88),1)</f>
        <v>1</v>
      </c>
      <c r="BW88" s="25">
        <f t="shared" ref="BW88:BW151" si="94">IF(BT88="CT.104",1.47,1)</f>
        <v>1</v>
      </c>
      <c r="BX88" s="25">
        <f t="shared" ref="BX88:BX151" si="95">IF(AND(BR88&lt;&gt;"Cal",$O$47="No"),"-",(ABS(BE88)/(AN88*$D$28*$F$28)*10)^BU88)</f>
        <v>3.0296127152781335E-2</v>
      </c>
      <c r="BY88" s="25">
        <f t="shared" ref="BY88:BY151" si="96">IF(AND(BR88&lt;&gt;"Cal",$O$47="No"),"-",ABS(BJ88)/(BV88*AQ88*$D$28*$F$28)*1000)</f>
        <v>0.53461222747244141</v>
      </c>
      <c r="BZ88" s="25">
        <f t="shared" ref="BZ88:BZ151" si="97">IF(AND(BR88&lt;&gt;"Cal",$O$47="No"),"-",ABS(BI88)/(BW88*AR88*$D$28*$F$28)*1000)</f>
        <v>3.7254521485821591E-4</v>
      </c>
      <c r="CA88" s="25">
        <f t="shared" ref="CA88:CA151" si="98">IF(AND(BR88&lt;&gt;"Cal",$O$47="No"),"-",ABS(BO88)*BA88/(AW88*$L$47)*100000)</f>
        <v>4.8210128130566808E-6</v>
      </c>
      <c r="CB88" s="25">
        <f t="shared" ref="CB88:CB151" si="99">IF(AND(BR88&lt;&gt;"Cal",$O$47="No"),0,BX88+BY88+BZ88+CA88)</f>
        <v>0.56528572085289397</v>
      </c>
      <c r="CC88" s="5" t="str">
        <f t="shared" ref="CC88:CC151" si="100">IF(OR(CB88&lt;=1,BR88="OK"),"OK","Check")</f>
        <v>OK</v>
      </c>
      <c r="CD88" s="5">
        <f t="shared" ref="CD88:CD151" si="101">BN88/AT88*100</f>
        <v>37.545238889226049</v>
      </c>
      <c r="CE88" s="5">
        <f t="shared" ref="CE88:CE151" si="102">BM88/AU88*100</f>
        <v>37.181722419139881</v>
      </c>
      <c r="CF88" s="5">
        <f t="shared" ref="CF88:CF151" si="103">CD88*SQRT($D$28/$B$28)</f>
        <v>1.2506397644909562</v>
      </c>
      <c r="CG88" s="5">
        <f t="shared" ref="CG88:CG151" si="104">CE88*SQRT($D$28/$B$28)</f>
        <v>1.2385309547993069</v>
      </c>
      <c r="CH88" s="5">
        <f t="shared" ref="CH88:CH151" si="105">ABS((BJ88/BE88)*100*AN88/AQ88)</f>
        <v>17.646223386125488</v>
      </c>
      <c r="CI88" s="68">
        <f>_xll.DCETCVN5575PhuLucD2Eta(BP88,CH88,CF88)</f>
        <v>1.2126272189349112</v>
      </c>
      <c r="CJ88" s="5">
        <f t="shared" ref="CJ88:CJ151" si="106">CH88*CI88</f>
        <v>21.398290789421541</v>
      </c>
      <c r="CK88" s="5">
        <f>MIN(noisuy2chieu(CJ88,CF88,Data!$DA$2:$EB$24),1)</f>
        <v>7.1994885802268982E-2</v>
      </c>
      <c r="CL88" s="102">
        <f t="shared" ref="CL88:CL151" si="107">IF(BE88&gt;0,"-",ABS(BE88)/(CK88*AN88*$D$28*$F$28)*10)</f>
        <v>0.42080943410325583</v>
      </c>
      <c r="CM88" s="5" t="str">
        <f t="shared" ref="CM88:CM151" si="108">IF(CL88="-","OK",IF(CL88&lt;=1,"OK","Check"))</f>
        <v>OK</v>
      </c>
      <c r="CN88" s="5">
        <f t="shared" ref="CN88:CN151" si="109">FactorPhi7121(CG88,"c")</f>
        <v>0.86643683692746631</v>
      </c>
      <c r="CO88" s="5">
        <f t="shared" ref="CO88:CO151" si="110">FactorPhi7121(3.14,"c")</f>
        <v>0.5370345235716667</v>
      </c>
      <c r="CP88" s="25">
        <f>_xll.DCETCVNPhuLucFHeSoOnDinh(1, 0.2, AG88, AH88, AI88, AJ88, AI88, AJ88, $D$28)</f>
        <v>1</v>
      </c>
      <c r="CQ88" s="68">
        <f t="shared" ref="CQ88:CQ151" si="111">IF(CU88&lt;=1,0.7,IF(CU88&lt;=5,0.65+0.05*CU88,0.65+0.05*5))</f>
        <v>0.9</v>
      </c>
      <c r="CR88" s="68">
        <f t="shared" ref="CR88:CR151" si="112">IF(CG88&lt;=3.14,1,SQRT(CO88/CN88))</f>
        <v>1</v>
      </c>
      <c r="CS88" s="5">
        <f t="shared" ref="CS88:CS151" si="113">CR88/(1+CQ88*5)</f>
        <v>0.18181818181818182</v>
      </c>
      <c r="CT88" s="5">
        <f t="shared" ref="CT88:CT151" si="114">1/(1+10*CN88/CP88)</f>
        <v>0.10347287704587492</v>
      </c>
      <c r="CU88" s="26">
        <f t="shared" ref="CU88:CU151" si="115">ABS((BK88/BE88)*100*AN88/AQ88)</f>
        <v>8.823111693062744</v>
      </c>
      <c r="CV88" s="5"/>
      <c r="CW88" s="25"/>
      <c r="CX88" s="72">
        <f>MAX(_xll.Dce_c_925(CU88, CQ88, CR88, CN88, CP88, CS88, CT88),0.3)</f>
        <v>0.3</v>
      </c>
      <c r="CY88" s="102">
        <f t="shared" ref="CY88:CY151" si="116">IF(BE88&gt;0,"-",ABS(BE88)/(CX88*CN88*AN88*$D$28*$F$28)*10)</f>
        <v>0.11655447483903003</v>
      </c>
      <c r="CZ88" s="5" t="str">
        <f t="shared" ref="CZ88:CZ151" si="117">IF(BE88&gt;0,"OK",IF(CY88&lt;=1,"OK","Check"))</f>
        <v>OK</v>
      </c>
      <c r="DA88" s="47">
        <f t="shared" ref="DA88:DA151" si="118">(((AI88-AH88)/2)/AJ88)*SQRT($D$28/$B$28)</f>
        <v>0.34499859601035404</v>
      </c>
      <c r="DB88" s="46">
        <f t="shared" ref="DB88:DB151" si="119">IF(BE88&lt;0,0.36+0.1*MIN(MAX(0.8,CG88),4),0.5*SQRT($D$28/MIN(ABS(BJ88)*1000/(AQ88)+ABS(BI88)*1000/(AR88),$D$28)))</f>
        <v>0.48385309547993066</v>
      </c>
      <c r="DC88" s="5" t="str">
        <f t="shared" ref="DC88:DC151" si="120">IF(DA88&lt;=DB88,"OK","Gia cường")</f>
        <v>OK</v>
      </c>
      <c r="DD88" s="5">
        <f t="shared" ref="DD88:DD151" si="121">CF88</f>
        <v>1.2506397644909562</v>
      </c>
      <c r="DE88" s="5">
        <f t="shared" ref="DE88:DE151" si="122">(AM88/AH88)*SQRT($D$28/$B$28)</f>
        <v>4.4677979100191463</v>
      </c>
      <c r="DF88" s="5" t="str">
        <f t="shared" ref="DF88:DF151" si="123">IF(BE88&gt;0,$L$81,IF(AND(CH88&gt;=1,CH88&lt;=10,CX88*CN88&gt;CK88),IF(DD88&lt;2,1.3+0.15*DD88^2,MIN(1.2+0.35*DD88,3.1)),"-"))</f>
        <v>-</v>
      </c>
      <c r="DG88" s="5" t="str">
        <f t="shared" ref="DG88:DG151" si="124">IF(DF88="-","-",IF(DE88&lt;=DF88,"OK","Gia cường"))</f>
        <v>-</v>
      </c>
      <c r="DH88" s="203">
        <f t="shared" ref="DH88:DH151" si="125">IF(OR(AC88=0,AC88=AD88),"-",MAX(CD88,CE88))</f>
        <v>37.545238889226049</v>
      </c>
      <c r="DI88" s="203">
        <f t="shared" ref="DI88:DI151" si="126">IF(BE88&lt;0,$DJ$15-60*MAX(CL88,0.5),$DJ$16)</f>
        <v>180</v>
      </c>
      <c r="DJ88" s="46">
        <f t="shared" ref="DJ88:DJ151" si="127">IFERROR(DH88/DI88,0)</f>
        <v>0.20858466049570026</v>
      </c>
      <c r="DK88" s="5" t="str">
        <f t="shared" ref="DK88:DK151" si="128">IF(OR(DH88&lt;=DI88,DH88="-"),"OK","Check")</f>
        <v>OK</v>
      </c>
      <c r="EB88" s="18"/>
      <c r="EC88" s="77"/>
      <c r="ED88" s="77"/>
      <c r="EE88" s="18"/>
      <c r="EF88" s="18"/>
      <c r="EG88" s="18"/>
      <c r="EH88" s="5"/>
      <c r="EI88" s="5"/>
      <c r="EJ88" s="5"/>
      <c r="EK88" s="5"/>
      <c r="EL88" s="5"/>
      <c r="FE88" s="26"/>
      <c r="FF88" s="26"/>
      <c r="FG88" s="26"/>
      <c r="FH88" s="26"/>
      <c r="FI88" s="26"/>
      <c r="FJ88" s="26"/>
      <c r="FK88" s="26"/>
      <c r="FL88" s="26"/>
      <c r="FM88" s="26"/>
      <c r="FN88" s="205"/>
      <c r="FO88" s="205"/>
      <c r="FP88" s="205"/>
      <c r="FQ88" s="205"/>
      <c r="FR88" s="205"/>
      <c r="FS88" s="205"/>
      <c r="FT88" s="205"/>
      <c r="FU88" s="77"/>
      <c r="FV88" s="77"/>
      <c r="FW88" s="77"/>
      <c r="FX88" s="205"/>
      <c r="FY88" s="205"/>
      <c r="FZ88" s="205"/>
      <c r="GA88" s="205"/>
      <c r="GB88" s="205"/>
      <c r="GC88" s="205"/>
      <c r="GD88" s="205"/>
      <c r="GE88" s="205"/>
      <c r="GF88" s="205"/>
      <c r="GG88" s="205"/>
      <c r="GH88" s="205"/>
      <c r="GI88" s="205"/>
      <c r="GJ88" s="205"/>
      <c r="GK88" s="205"/>
      <c r="GL88" s="205"/>
      <c r="GM88" s="205"/>
      <c r="GN88" s="205"/>
      <c r="GO88" s="205"/>
      <c r="GP88" s="205"/>
      <c r="GQ88" s="205"/>
      <c r="GR88" s="205"/>
      <c r="GS88" s="205"/>
      <c r="GT88" s="205"/>
      <c r="GU88" s="205"/>
      <c r="GV88" s="18"/>
      <c r="GW88" s="5"/>
      <c r="GX88" s="5"/>
      <c r="GY88" s="77"/>
      <c r="GZ88" s="18"/>
      <c r="HA88" s="18"/>
      <c r="HB88" s="18"/>
      <c r="HC88" s="18"/>
      <c r="HD88" s="18"/>
      <c r="HE88" s="18"/>
      <c r="HF88" s="18"/>
      <c r="HG88" s="18"/>
      <c r="HH88" s="205"/>
      <c r="HI88" s="26"/>
      <c r="HJ88" s="26"/>
      <c r="HK88" s="5"/>
    </row>
    <row r="89" spans="2:219" ht="15">
      <c r="B89" s="172" t="s">
        <v>424</v>
      </c>
      <c r="C89" s="2"/>
      <c r="D89" s="2"/>
      <c r="E89" s="240"/>
      <c r="F89" s="269" t="s">
        <v>128</v>
      </c>
      <c r="G89" s="271">
        <f>L59</f>
        <v>7.1994885802268982E-2</v>
      </c>
      <c r="H89" s="269" t="s">
        <v>139</v>
      </c>
      <c r="I89" s="271">
        <f>MAX(L60,0.5)</f>
        <v>0.83738614578117099</v>
      </c>
      <c r="J89" s="269"/>
      <c r="K89" s="252" t="s">
        <v>434</v>
      </c>
      <c r="L89" s="275">
        <f>IF(H32&lt;0,$DJ$15-60*I89,$DJ$16)</f>
        <v>159.75683125312975</v>
      </c>
      <c r="M89" s="2"/>
      <c r="N89" s="10"/>
      <c r="AA89" s="18" t="s">
        <v>488</v>
      </c>
      <c r="AB89" s="22" t="s">
        <v>489</v>
      </c>
      <c r="AC89" s="59">
        <v>0</v>
      </c>
      <c r="AD89" s="59">
        <v>8.6549999999999994</v>
      </c>
      <c r="AE89" s="22">
        <v>528</v>
      </c>
      <c r="AF89" s="22">
        <v>1528</v>
      </c>
      <c r="AG89" s="22">
        <v>528</v>
      </c>
      <c r="AH89" s="6">
        <v>10</v>
      </c>
      <c r="AI89" s="6">
        <v>300</v>
      </c>
      <c r="AJ89" s="6">
        <v>14</v>
      </c>
      <c r="AK89" s="24">
        <v>300</v>
      </c>
      <c r="AL89" s="24">
        <v>14</v>
      </c>
      <c r="AM89" s="5">
        <f t="shared" si="73"/>
        <v>500</v>
      </c>
      <c r="AN89" s="26">
        <f t="shared" si="74"/>
        <v>134</v>
      </c>
      <c r="AO89" s="26">
        <f t="shared" si="75"/>
        <v>65911.546666666676</v>
      </c>
      <c r="AP89" s="15">
        <f t="shared" si="76"/>
        <v>6304.166666666667</v>
      </c>
      <c r="AQ89" s="5">
        <f t="shared" si="77"/>
        <v>2496.6494949494954</v>
      </c>
      <c r="AR89" s="26">
        <f t="shared" si="78"/>
        <v>420.27777777777777</v>
      </c>
      <c r="AS89" s="26">
        <f t="shared" si="79"/>
        <v>1391.9</v>
      </c>
      <c r="AT89" s="26">
        <f t="shared" si="80"/>
        <v>22.178305028345793</v>
      </c>
      <c r="AU89" s="26">
        <f t="shared" si="81"/>
        <v>6.8590101254115021</v>
      </c>
      <c r="AV89" s="95">
        <f t="shared" si="82"/>
        <v>7.201333333333334E-7</v>
      </c>
      <c r="AW89" s="95">
        <f t="shared" si="83"/>
        <v>4161087</v>
      </c>
      <c r="AX89" s="95">
        <f t="shared" si="84"/>
        <v>4.1610870000000001E-6</v>
      </c>
      <c r="AY89" s="54">
        <f t="shared" si="85"/>
        <v>0.25762202780669918</v>
      </c>
      <c r="AZ89" s="54" t="str">
        <f>_xll.Dce_Name_SectI(AE89,AF89,AI89,AH89,AJ89,"x","-",$O$11)</f>
        <v>(528-1528)x300x10x14</v>
      </c>
      <c r="BA89" s="15">
        <f t="shared" si="86"/>
        <v>385.5</v>
      </c>
      <c r="BB89" s="54"/>
      <c r="BC89" s="54"/>
      <c r="BD89" s="22" t="s">
        <v>515</v>
      </c>
      <c r="BE89" s="23">
        <v>-44.358607524687642</v>
      </c>
      <c r="BF89" s="23">
        <v>7.3384960626487157</v>
      </c>
      <c r="BG89" s="23">
        <v>-1.9629128295715731E-3</v>
      </c>
      <c r="BH89" s="23">
        <v>2.7416213949637517E-5</v>
      </c>
      <c r="BI89" s="23">
        <v>1.8826738597585433E-6</v>
      </c>
      <c r="BJ89" s="23">
        <v>-0.6265999440119594</v>
      </c>
      <c r="BK89" s="23">
        <v>28.602670191912466</v>
      </c>
      <c r="BL89" s="92">
        <v>2.25</v>
      </c>
      <c r="BM89" s="91">
        <v>2</v>
      </c>
      <c r="BN89" s="5">
        <f t="shared" si="87"/>
        <v>19.473749999999999</v>
      </c>
      <c r="BO89" s="54">
        <f>_xll.Bimoment(BH89,AY89,AC89,AD89,$O$101)</f>
        <v>0</v>
      </c>
      <c r="BP89" s="5">
        <f t="shared" si="88"/>
        <v>0.84</v>
      </c>
      <c r="BQ89" s="5">
        <f t="shared" si="89"/>
        <v>0.11498179100370037</v>
      </c>
      <c r="BR89" s="24" t="str">
        <f t="shared" si="90"/>
        <v>Cal</v>
      </c>
      <c r="BS89" s="25">
        <f t="shared" si="91"/>
        <v>1.4482754322426003E-2</v>
      </c>
      <c r="BT89" s="25" t="str">
        <f t="shared" si="92"/>
        <v>CT.105</v>
      </c>
      <c r="BU89" s="25">
        <f t="shared" si="93"/>
        <v>1</v>
      </c>
      <c r="BV89" s="25" cm="1">
        <f t="array" ref="BV89">IF(BT89="CT.104",_xll.TCVN5575AnnexEHeSoCx(1,BP89),1)</f>
        <v>1</v>
      </c>
      <c r="BW89" s="25">
        <f t="shared" si="94"/>
        <v>1</v>
      </c>
      <c r="BX89" s="25">
        <f t="shared" si="95"/>
        <v>1.5245004549922107E-2</v>
      </c>
      <c r="BY89" s="25">
        <f t="shared" si="96"/>
        <v>1.1558120764386893E-3</v>
      </c>
      <c r="BZ89" s="25">
        <f t="shared" si="97"/>
        <v>2.0629709737500996E-8</v>
      </c>
      <c r="CA89" s="25">
        <f t="shared" si="98"/>
        <v>0</v>
      </c>
      <c r="CB89" s="25">
        <f t="shared" si="99"/>
        <v>1.6400837256070534E-2</v>
      </c>
      <c r="CC89" s="5" t="str">
        <f t="shared" si="100"/>
        <v>OK</v>
      </c>
      <c r="CD89" s="5">
        <f t="shared" si="101"/>
        <v>87.805402509844015</v>
      </c>
      <c r="CE89" s="5">
        <f t="shared" si="102"/>
        <v>29.158726455153193</v>
      </c>
      <c r="CF89" s="5">
        <f t="shared" si="103"/>
        <v>2.9248163326364334</v>
      </c>
      <c r="CG89" s="5">
        <f t="shared" si="104"/>
        <v>0.97128328026682387</v>
      </c>
      <c r="CH89" s="5">
        <f t="shared" si="105"/>
        <v>7.5815790848327083E-2</v>
      </c>
      <c r="CI89" s="68">
        <f>_xll.DCETCVN5575PhuLucD2Eta(BP89,CH89,CF89)</f>
        <v>1.5165942307945668</v>
      </c>
      <c r="CJ89" s="5">
        <f t="shared" si="106"/>
        <v>0.11498179100370037</v>
      </c>
      <c r="CK89" s="5">
        <f>MIN(noisuy2chieu(CJ89,CF89,Data!$DA$2:$EB$24),1)</f>
        <v>0.67128604650497437</v>
      </c>
      <c r="CL89" s="102">
        <f t="shared" si="107"/>
        <v>2.2710146634649497E-2</v>
      </c>
      <c r="CM89" s="5" t="str">
        <f t="shared" si="108"/>
        <v>OK</v>
      </c>
      <c r="CN89" s="5">
        <f t="shared" si="109"/>
        <v>0.90492218941026858</v>
      </c>
      <c r="CO89" s="5">
        <f t="shared" si="110"/>
        <v>0.5370345235716667</v>
      </c>
      <c r="CP89" s="25">
        <f>_xll.DCETCVNPhuLucFHeSoOnDinh(1, 0.2, AG89, AH89, AI89, AJ89, AI89, AJ89, $D$28)</f>
        <v>1</v>
      </c>
      <c r="CQ89" s="68">
        <f t="shared" si="111"/>
        <v>0.82303975859694034</v>
      </c>
      <c r="CR89" s="68">
        <f t="shared" si="112"/>
        <v>1</v>
      </c>
      <c r="CS89" s="5">
        <f t="shared" si="113"/>
        <v>0.195495823421655</v>
      </c>
      <c r="CT89" s="5">
        <f t="shared" si="114"/>
        <v>9.9510191986788829E-2</v>
      </c>
      <c r="CU89" s="26">
        <f t="shared" si="115"/>
        <v>3.4607951719388059</v>
      </c>
      <c r="CV89" s="5"/>
      <c r="CW89" s="25"/>
      <c r="CX89" s="72">
        <f>MAX(_xll.Dce_c_925(CU89, CQ89, CR89, CN89, CP89, CS89, CT89),0.3)</f>
        <v>0.3</v>
      </c>
      <c r="CY89" s="102">
        <f t="shared" si="116"/>
        <v>5.615585784916001E-2</v>
      </c>
      <c r="CZ89" s="5" t="str">
        <f t="shared" si="117"/>
        <v>OK</v>
      </c>
      <c r="DA89" s="47">
        <f t="shared" si="118"/>
        <v>0.34499859601035404</v>
      </c>
      <c r="DB89" s="46">
        <f t="shared" si="119"/>
        <v>0.45712832802668235</v>
      </c>
      <c r="DC89" s="5" t="str">
        <f t="shared" si="120"/>
        <v>OK</v>
      </c>
      <c r="DD89" s="5">
        <f t="shared" si="121"/>
        <v>2.9248163326364334</v>
      </c>
      <c r="DE89" s="5">
        <f t="shared" si="122"/>
        <v>1.6655104634982609</v>
      </c>
      <c r="DF89" s="5" t="str">
        <f t="shared" si="123"/>
        <v>-</v>
      </c>
      <c r="DG89" s="5" t="str">
        <f t="shared" si="124"/>
        <v>-</v>
      </c>
      <c r="DH89" s="203" t="str">
        <f t="shared" si="125"/>
        <v>-</v>
      </c>
      <c r="DI89" s="203">
        <f t="shared" si="126"/>
        <v>180</v>
      </c>
      <c r="DJ89" s="46">
        <f t="shared" si="127"/>
        <v>0</v>
      </c>
      <c r="DK89" s="5" t="str">
        <f t="shared" si="128"/>
        <v>OK</v>
      </c>
      <c r="EB89" s="18"/>
      <c r="EC89" s="77"/>
      <c r="ED89" s="77"/>
      <c r="EE89" s="18"/>
      <c r="EF89" s="18"/>
      <c r="EG89" s="18"/>
      <c r="EH89" s="5"/>
      <c r="EI89" s="5"/>
      <c r="EJ89" s="5"/>
      <c r="EK89" s="5"/>
      <c r="EL89" s="5"/>
      <c r="FE89" s="26"/>
      <c r="FF89" s="26"/>
      <c r="FG89" s="26"/>
      <c r="FH89" s="26"/>
      <c r="FI89" s="26"/>
      <c r="FJ89" s="26"/>
      <c r="FK89" s="26"/>
      <c r="FL89" s="26"/>
      <c r="FM89" s="26"/>
      <c r="FN89" s="205"/>
      <c r="FO89" s="205"/>
      <c r="FP89" s="205"/>
      <c r="FQ89" s="205"/>
      <c r="FR89" s="205"/>
      <c r="FS89" s="205"/>
      <c r="FT89" s="205"/>
      <c r="FU89" s="77"/>
      <c r="FV89" s="77"/>
      <c r="FW89" s="77"/>
      <c r="FX89" s="205"/>
      <c r="FY89" s="205"/>
      <c r="FZ89" s="205"/>
      <c r="GA89" s="205"/>
      <c r="GB89" s="205"/>
      <c r="GC89" s="205"/>
      <c r="GD89" s="205"/>
      <c r="GE89" s="205"/>
      <c r="GF89" s="205"/>
      <c r="GG89" s="205"/>
      <c r="GH89" s="205"/>
      <c r="GI89" s="205"/>
      <c r="GJ89" s="205"/>
      <c r="GK89" s="205"/>
      <c r="GL89" s="205"/>
      <c r="GM89" s="205"/>
      <c r="GN89" s="205"/>
      <c r="GO89" s="205"/>
      <c r="GP89" s="205"/>
      <c r="GQ89" s="205"/>
      <c r="GR89" s="205"/>
      <c r="GS89" s="205"/>
      <c r="GT89" s="205"/>
      <c r="GU89" s="205"/>
      <c r="GV89" s="18"/>
      <c r="GW89" s="5"/>
      <c r="GX89" s="5"/>
      <c r="GY89" s="77"/>
      <c r="GZ89" s="18"/>
      <c r="HA89" s="18"/>
      <c r="HB89" s="18"/>
      <c r="HC89" s="18"/>
      <c r="HD89" s="18"/>
      <c r="HE89" s="18"/>
      <c r="HF89" s="18"/>
      <c r="HG89" s="18"/>
      <c r="HH89" s="205"/>
      <c r="HI89" s="26"/>
      <c r="HJ89" s="26"/>
      <c r="HK89" s="5"/>
    </row>
    <row r="90" spans="2:219">
      <c r="B90" s="172" t="s">
        <v>425</v>
      </c>
      <c r="C90" s="2"/>
      <c r="D90" s="2"/>
      <c r="E90" s="2"/>
      <c r="F90" s="2"/>
      <c r="G90" s="2"/>
      <c r="H90" s="2"/>
      <c r="I90" s="271"/>
      <c r="J90" s="2"/>
      <c r="K90" s="269" t="s">
        <v>103</v>
      </c>
      <c r="L90" s="268">
        <f>IFERROR(L88/L89,"-")</f>
        <v>0.23501491982985556</v>
      </c>
      <c r="M90" s="240" t="s">
        <v>31</v>
      </c>
      <c r="N90" s="21" t="str">
        <f>IF(L90="-","-",IF(L90&lt;=1,"OK","Check"))</f>
        <v>OK</v>
      </c>
      <c r="AA90" s="18" t="s">
        <v>488</v>
      </c>
      <c r="AB90" s="22" t="s">
        <v>489</v>
      </c>
      <c r="AC90" s="59">
        <v>3.6405952380952398</v>
      </c>
      <c r="AD90" s="59">
        <v>8.6549999999999994</v>
      </c>
      <c r="AE90" s="22">
        <v>528</v>
      </c>
      <c r="AF90" s="22">
        <v>1528</v>
      </c>
      <c r="AG90" s="22">
        <v>948.63492063492095</v>
      </c>
      <c r="AH90" s="6">
        <v>10</v>
      </c>
      <c r="AI90" s="6">
        <v>300</v>
      </c>
      <c r="AJ90" s="6">
        <v>14</v>
      </c>
      <c r="AK90" s="24">
        <v>300</v>
      </c>
      <c r="AL90" s="24">
        <v>14</v>
      </c>
      <c r="AM90" s="5">
        <f t="shared" si="73"/>
        <v>920.63492063492095</v>
      </c>
      <c r="AN90" s="26">
        <f t="shared" si="74"/>
        <v>176.06349206349208</v>
      </c>
      <c r="AO90" s="26">
        <f t="shared" si="75"/>
        <v>248482.7399356656</v>
      </c>
      <c r="AP90" s="15">
        <f t="shared" si="76"/>
        <v>6307.6719576719579</v>
      </c>
      <c r="AQ90" s="5">
        <f t="shared" si="77"/>
        <v>5238.7432621467533</v>
      </c>
      <c r="AR90" s="26">
        <f t="shared" si="78"/>
        <v>420.51146384479722</v>
      </c>
      <c r="AS90" s="26">
        <f t="shared" si="79"/>
        <v>3022.1941546989178</v>
      </c>
      <c r="AT90" s="26">
        <f t="shared" si="80"/>
        <v>37.567600585756203</v>
      </c>
      <c r="AU90" s="26">
        <f t="shared" si="81"/>
        <v>5.9854925384629922</v>
      </c>
      <c r="AV90" s="95">
        <f t="shared" si="82"/>
        <v>8.6034497354497351E-7</v>
      </c>
      <c r="AW90" s="95">
        <f t="shared" si="83"/>
        <v>13758293.349206358</v>
      </c>
      <c r="AX90" s="95">
        <f t="shared" si="84"/>
        <v>1.3758293349206359E-5</v>
      </c>
      <c r="AY90" s="54">
        <f t="shared" si="85"/>
        <v>0.1548581140202015</v>
      </c>
      <c r="AZ90" s="54" t="str">
        <f>_xll.Dce_Name_SectI(AE90,AF90,AI90,AH90,AJ90,"x","-",$O$11)</f>
        <v>(528-1528)x300x10x14</v>
      </c>
      <c r="BA90" s="15">
        <f t="shared" si="86"/>
        <v>700.97619047619071</v>
      </c>
      <c r="BB90" s="54"/>
      <c r="BC90" s="54"/>
      <c r="BD90" s="22" t="s">
        <v>515</v>
      </c>
      <c r="BE90" s="23">
        <v>-40.480591838121796</v>
      </c>
      <c r="BF90" s="23">
        <v>-7.906346124633842</v>
      </c>
      <c r="BG90" s="23">
        <v>-1.9629128295725095E-3</v>
      </c>
      <c r="BH90" s="23">
        <v>2.7416213949637517E-5</v>
      </c>
      <c r="BI90" s="23">
        <v>7.1648831321838042E-3</v>
      </c>
      <c r="BJ90" s="23">
        <v>0.3773015780084279</v>
      </c>
      <c r="BK90" s="23">
        <v>28.602670191912466</v>
      </c>
      <c r="BL90" s="92">
        <v>2.25</v>
      </c>
      <c r="BM90" s="91">
        <v>2</v>
      </c>
      <c r="BN90" s="5">
        <f t="shared" si="87"/>
        <v>19.473749999999999</v>
      </c>
      <c r="BO90" s="54">
        <f>_xll.Bimoment(BH90,AY90,AC90,AD90,$O$101)</f>
        <v>-2.10848963398295E-4</v>
      </c>
      <c r="BP90" s="5">
        <f t="shared" si="88"/>
        <v>0.45620689655172403</v>
      </c>
      <c r="BQ90" s="5">
        <f t="shared" si="89"/>
        <v>4.8178060979313382E-2</v>
      </c>
      <c r="BR90" s="24" t="str">
        <f t="shared" si="90"/>
        <v>Cal</v>
      </c>
      <c r="BS90" s="25">
        <f t="shared" si="91"/>
        <v>1.005901832436199E-2</v>
      </c>
      <c r="BT90" s="25" t="str">
        <f t="shared" si="92"/>
        <v>CT.105</v>
      </c>
      <c r="BU90" s="25">
        <f t="shared" si="93"/>
        <v>1</v>
      </c>
      <c r="BV90" s="25" cm="1">
        <f t="array" ref="BV90">IF(BT90="CT.104",_xll.TCVN5575AnnexEHeSoCx(1,BP90),1)</f>
        <v>1</v>
      </c>
      <c r="BW90" s="25">
        <f t="shared" si="94"/>
        <v>1</v>
      </c>
      <c r="BX90" s="25">
        <f t="shared" si="95"/>
        <v>1.0588440341433674E-2</v>
      </c>
      <c r="BY90" s="25">
        <f t="shared" si="96"/>
        <v>3.3167745958707863E-4</v>
      </c>
      <c r="BZ90" s="25">
        <f t="shared" si="97"/>
        <v>7.8466760495846504E-5</v>
      </c>
      <c r="CA90" s="25">
        <f t="shared" si="98"/>
        <v>4.9472587362103711E-6</v>
      </c>
      <c r="CB90" s="25">
        <f t="shared" si="99"/>
        <v>1.1003531820252811E-2</v>
      </c>
      <c r="CC90" s="5" t="str">
        <f t="shared" si="100"/>
        <v>OK</v>
      </c>
      <c r="CD90" s="5">
        <f t="shared" si="101"/>
        <v>51.836555160202302</v>
      </c>
      <c r="CE90" s="5">
        <f t="shared" si="102"/>
        <v>33.414125690541383</v>
      </c>
      <c r="CF90" s="5">
        <f t="shared" si="103"/>
        <v>1.7266865002204341</v>
      </c>
      <c r="CG90" s="5">
        <f t="shared" si="104"/>
        <v>1.1130315193248546</v>
      </c>
      <c r="CH90" s="5">
        <f t="shared" si="105"/>
        <v>3.1324486788596242E-2</v>
      </c>
      <c r="CI90" s="68">
        <f>_xll.DCETCVN5575PhuLucD2Eta(BP90,CH90,CF90)</f>
        <v>1.5380319334346677</v>
      </c>
      <c r="CJ90" s="5">
        <f t="shared" si="106"/>
        <v>4.8178060979313382E-2</v>
      </c>
      <c r="CK90" s="5">
        <f>MIN(noisuy2chieu(CJ90,CF90,Data!$DA$2:$EB$24),1)</f>
        <v>1</v>
      </c>
      <c r="CL90" s="102">
        <f t="shared" si="107"/>
        <v>1.0588440341433674E-2</v>
      </c>
      <c r="CM90" s="5" t="str">
        <f t="shared" si="108"/>
        <v>OK</v>
      </c>
      <c r="CN90" s="5">
        <f t="shared" si="109"/>
        <v>0.88472625978979058</v>
      </c>
      <c r="CO90" s="5">
        <f t="shared" si="110"/>
        <v>0.5370345235716667</v>
      </c>
      <c r="CP90" s="25">
        <f>_xll.DCETCVNPhuLucFHeSoOnDinh(1, 0.2, AG90, AH90, AI90, AJ90, AI90, AJ90, $D$28)</f>
        <v>1</v>
      </c>
      <c r="CQ90" s="68">
        <f t="shared" si="111"/>
        <v>0.76873313242876562</v>
      </c>
      <c r="CR90" s="68">
        <f t="shared" si="112"/>
        <v>1</v>
      </c>
      <c r="CS90" s="5">
        <f t="shared" si="113"/>
        <v>0.20645520763656414</v>
      </c>
      <c r="CT90" s="5">
        <f t="shared" si="114"/>
        <v>0.10155106457844131</v>
      </c>
      <c r="CU90" s="26">
        <f t="shared" si="115"/>
        <v>2.3746626485753106</v>
      </c>
      <c r="CV90" s="5"/>
      <c r="CW90" s="25"/>
      <c r="CX90" s="72">
        <f>MAX(_xll.Dce_c_925(CU90, CQ90, CR90, CN90, CP90, CS90, CT90),0.3)</f>
        <v>0.35392193291561141</v>
      </c>
      <c r="CY90" s="102">
        <f t="shared" si="116"/>
        <v>3.3815483309327293E-2</v>
      </c>
      <c r="CZ90" s="5" t="str">
        <f t="shared" si="117"/>
        <v>OK</v>
      </c>
      <c r="DA90" s="47">
        <f t="shared" si="118"/>
        <v>0.34499859601035404</v>
      </c>
      <c r="DB90" s="46">
        <f t="shared" si="119"/>
        <v>0.47130315193248545</v>
      </c>
      <c r="DC90" s="5" t="str">
        <f t="shared" si="120"/>
        <v>OK</v>
      </c>
      <c r="DD90" s="5">
        <f t="shared" si="121"/>
        <v>1.7266865002204341</v>
      </c>
      <c r="DE90" s="5">
        <f t="shared" si="122"/>
        <v>3.0666541867587034</v>
      </c>
      <c r="DF90" s="5" t="str">
        <f t="shared" si="123"/>
        <v>-</v>
      </c>
      <c r="DG90" s="5" t="str">
        <f t="shared" si="124"/>
        <v>-</v>
      </c>
      <c r="DH90" s="203">
        <f t="shared" si="125"/>
        <v>51.836555160202302</v>
      </c>
      <c r="DI90" s="203">
        <f t="shared" si="126"/>
        <v>180</v>
      </c>
      <c r="DJ90" s="46">
        <f t="shared" si="127"/>
        <v>0.28798086200112388</v>
      </c>
      <c r="DK90" s="5" t="str">
        <f t="shared" si="128"/>
        <v>OK</v>
      </c>
      <c r="EB90" s="18"/>
      <c r="EC90" s="77"/>
      <c r="ED90" s="77"/>
      <c r="EE90" s="18"/>
      <c r="EF90" s="18"/>
      <c r="EG90" s="18"/>
      <c r="EH90" s="5"/>
      <c r="EI90" s="5"/>
      <c r="EJ90" s="5"/>
      <c r="EK90" s="5"/>
      <c r="EL90" s="5"/>
      <c r="FE90" s="26"/>
      <c r="FF90" s="26"/>
      <c r="FG90" s="26"/>
      <c r="FH90" s="26"/>
      <c r="FI90" s="26"/>
      <c r="FJ90" s="26"/>
      <c r="FK90" s="26"/>
      <c r="FL90" s="26"/>
      <c r="FM90" s="26"/>
      <c r="FN90" s="205"/>
      <c r="FO90" s="205"/>
      <c r="FP90" s="205"/>
      <c r="FQ90" s="205"/>
      <c r="FR90" s="205"/>
      <c r="FS90" s="205"/>
      <c r="FT90" s="205"/>
      <c r="FU90" s="77"/>
      <c r="FV90" s="77"/>
      <c r="FW90" s="77"/>
      <c r="FX90" s="205"/>
      <c r="FY90" s="205"/>
      <c r="FZ90" s="205"/>
      <c r="GA90" s="205"/>
      <c r="GB90" s="205"/>
      <c r="GC90" s="205"/>
      <c r="GD90" s="205"/>
      <c r="GE90" s="205"/>
      <c r="GF90" s="205"/>
      <c r="GG90" s="205"/>
      <c r="GH90" s="205"/>
      <c r="GI90" s="205"/>
      <c r="GJ90" s="205"/>
      <c r="GK90" s="205"/>
      <c r="GL90" s="205"/>
      <c r="GM90" s="205"/>
      <c r="GN90" s="205"/>
      <c r="GO90" s="205"/>
      <c r="GP90" s="205"/>
      <c r="GQ90" s="205"/>
      <c r="GR90" s="205"/>
      <c r="GS90" s="205"/>
      <c r="GT90" s="205"/>
      <c r="GU90" s="205"/>
      <c r="GV90" s="18"/>
      <c r="GW90" s="5"/>
      <c r="GX90" s="5"/>
      <c r="GY90" s="77"/>
      <c r="GZ90" s="18"/>
      <c r="HA90" s="18"/>
      <c r="HB90" s="18"/>
      <c r="HC90" s="18"/>
      <c r="HD90" s="18"/>
      <c r="HE90" s="18"/>
      <c r="HF90" s="18"/>
      <c r="HG90" s="18"/>
      <c r="HH90" s="205"/>
      <c r="HI90" s="26"/>
      <c r="HJ90" s="26"/>
      <c r="HK90" s="5"/>
    </row>
    <row r="91" spans="2:219">
      <c r="B91" s="69"/>
      <c r="C91" s="2"/>
      <c r="D91" s="2"/>
      <c r="E91" s="240"/>
      <c r="F91" s="290"/>
      <c r="G91" s="32"/>
      <c r="H91" s="32"/>
      <c r="I91" s="257"/>
      <c r="J91" s="269"/>
      <c r="K91" s="2"/>
      <c r="L91" s="252"/>
      <c r="M91" s="2"/>
      <c r="N91" s="10"/>
      <c r="AA91" s="18" t="s">
        <v>488</v>
      </c>
      <c r="AB91" s="22" t="s">
        <v>489</v>
      </c>
      <c r="AC91" s="59">
        <v>7.2811904761904795</v>
      </c>
      <c r="AD91" s="59">
        <v>8.6549999999999994</v>
      </c>
      <c r="AE91" s="22">
        <v>528</v>
      </c>
      <c r="AF91" s="22">
        <v>1528</v>
      </c>
      <c r="AG91" s="22">
        <v>1369.2698412698419</v>
      </c>
      <c r="AH91" s="6">
        <v>10</v>
      </c>
      <c r="AI91" s="6">
        <v>300</v>
      </c>
      <c r="AJ91" s="6">
        <v>14</v>
      </c>
      <c r="AK91" s="24">
        <v>300</v>
      </c>
      <c r="AL91" s="24">
        <v>14</v>
      </c>
      <c r="AM91" s="5">
        <f t="shared" si="73"/>
        <v>1341.2698412698419</v>
      </c>
      <c r="AN91" s="26">
        <f t="shared" si="74"/>
        <v>218.12698412698418</v>
      </c>
      <c r="AO91" s="26">
        <f t="shared" si="75"/>
        <v>586811.79072745051</v>
      </c>
      <c r="AP91" s="15">
        <f t="shared" si="76"/>
        <v>6311.1772486772488</v>
      </c>
      <c r="AQ91" s="5">
        <f t="shared" si="77"/>
        <v>8571.1635945074104</v>
      </c>
      <c r="AR91" s="26">
        <f t="shared" si="78"/>
        <v>420.74514991181661</v>
      </c>
      <c r="AS91" s="26">
        <f t="shared" si="79"/>
        <v>5094.8226505417015</v>
      </c>
      <c r="AT91" s="26">
        <f t="shared" si="80"/>
        <v>51.867428670398397</v>
      </c>
      <c r="AU91" s="26">
        <f t="shared" si="81"/>
        <v>5.3789869588463937</v>
      </c>
      <c r="AV91" s="95">
        <f t="shared" si="82"/>
        <v>1.0005566137566139E-6</v>
      </c>
      <c r="AW91" s="95">
        <f t="shared" si="83"/>
        <v>28928912.396825422</v>
      </c>
      <c r="AX91" s="95">
        <f t="shared" si="84"/>
        <v>2.8928912396825422E-5</v>
      </c>
      <c r="AY91" s="54">
        <f t="shared" si="85"/>
        <v>0.11516876660535029</v>
      </c>
      <c r="AZ91" s="54" t="str">
        <f>_xll.Dce_Name_SectI(AE91,AF91,AI91,AH91,AJ91,"x","-",$O$11)</f>
        <v>(528-1528)x300x10x14</v>
      </c>
      <c r="BA91" s="15">
        <f t="shared" si="86"/>
        <v>1016.4523809523813</v>
      </c>
      <c r="BB91" s="54"/>
      <c r="BC91" s="54"/>
      <c r="BD91" s="22" t="s">
        <v>515</v>
      </c>
      <c r="BE91" s="23">
        <v>-35.06114040106354</v>
      </c>
      <c r="BF91" s="23">
        <v>-23.257038842508422</v>
      </c>
      <c r="BG91" s="23">
        <v>-1.9629128295734518E-3</v>
      </c>
      <c r="BH91" s="23">
        <v>2.7416213949637517E-5</v>
      </c>
      <c r="BI91" s="23">
        <v>1.4327883590511271E-2</v>
      </c>
      <c r="BJ91" s="23">
        <v>57.205340383824932</v>
      </c>
      <c r="BK91" s="23">
        <v>28.602670191912466</v>
      </c>
      <c r="BL91" s="92">
        <v>2.25</v>
      </c>
      <c r="BM91" s="91">
        <v>2</v>
      </c>
      <c r="BN91" s="5">
        <f t="shared" si="87"/>
        <v>19.473749999999999</v>
      </c>
      <c r="BO91" s="54">
        <f>_xll.Bimoment(BH91,AY91,AC91,AD91,$O$101)</f>
        <v>-1.2542014283386667E-4</v>
      </c>
      <c r="BP91" s="5">
        <f t="shared" si="88"/>
        <v>0.31313609467455605</v>
      </c>
      <c r="BQ91" s="5">
        <f t="shared" si="89"/>
        <v>5.2004084648920301</v>
      </c>
      <c r="BR91" s="24" t="str">
        <f t="shared" si="90"/>
        <v>Cal</v>
      </c>
      <c r="BS91" s="25">
        <f t="shared" si="91"/>
        <v>7.0322564568790109E-3</v>
      </c>
      <c r="BT91" s="25" t="str">
        <f t="shared" si="92"/>
        <v>CT.105</v>
      </c>
      <c r="BU91" s="25">
        <f t="shared" si="93"/>
        <v>1</v>
      </c>
      <c r="BV91" s="25" cm="1">
        <f t="array" ref="BV91">IF(BT91="CT.104",_xll.TCVN5575AnnexEHeSoCx(1,BP91),1)</f>
        <v>1</v>
      </c>
      <c r="BW91" s="25">
        <f t="shared" si="94"/>
        <v>1</v>
      </c>
      <c r="BX91" s="25">
        <f t="shared" si="95"/>
        <v>7.4023752177673798E-3</v>
      </c>
      <c r="BY91" s="25">
        <f t="shared" si="96"/>
        <v>3.073627560594908E-2</v>
      </c>
      <c r="BZ91" s="25">
        <f t="shared" si="97"/>
        <v>1.5682575174976005E-4</v>
      </c>
      <c r="CA91" s="25">
        <f t="shared" si="98"/>
        <v>2.0294421413788675E-6</v>
      </c>
      <c r="CB91" s="25">
        <f t="shared" si="99"/>
        <v>3.8297506017607598E-2</v>
      </c>
      <c r="CC91" s="5" t="str">
        <f t="shared" si="100"/>
        <v>OK</v>
      </c>
      <c r="CD91" s="5">
        <f t="shared" si="101"/>
        <v>37.545238889226049</v>
      </c>
      <c r="CE91" s="5">
        <f t="shared" si="102"/>
        <v>37.181722419139881</v>
      </c>
      <c r="CF91" s="5">
        <f t="shared" si="103"/>
        <v>1.2506397644909562</v>
      </c>
      <c r="CG91" s="5">
        <f t="shared" si="104"/>
        <v>1.2385309547993069</v>
      </c>
      <c r="CH91" s="5">
        <f t="shared" si="105"/>
        <v>4.1522179978360256</v>
      </c>
      <c r="CI91" s="68">
        <f>_xll.DCETCVN5575PhuLucD2Eta(BP91,CH91,CF91)</f>
        <v>1.2524410971683761</v>
      </c>
      <c r="CJ91" s="5">
        <f t="shared" si="106"/>
        <v>5.2004084648920301</v>
      </c>
      <c r="CK91" s="5">
        <f>MIN(noisuy2chieu(CJ91,CF91,Data!$DA$2:$EB$24),1)</f>
        <v>0.24226200580596924</v>
      </c>
      <c r="CL91" s="102">
        <f t="shared" si="107"/>
        <v>3.0555246139982999E-2</v>
      </c>
      <c r="CM91" s="5" t="str">
        <f t="shared" si="108"/>
        <v>OK</v>
      </c>
      <c r="CN91" s="5">
        <f t="shared" si="109"/>
        <v>0.86643683692746631</v>
      </c>
      <c r="CO91" s="5">
        <f t="shared" si="110"/>
        <v>0.5370345235716667</v>
      </c>
      <c r="CP91" s="25">
        <f>_xll.DCETCVNPhuLucFHeSoOnDinh(1, 0.2, AG91, AH91, AI91, AJ91, AI91, AJ91, $D$28)</f>
        <v>1</v>
      </c>
      <c r="CQ91" s="68">
        <f t="shared" si="111"/>
        <v>0.75380544994590071</v>
      </c>
      <c r="CR91" s="68">
        <f t="shared" si="112"/>
        <v>1</v>
      </c>
      <c r="CS91" s="5">
        <f t="shared" si="113"/>
        <v>0.2096863673942562</v>
      </c>
      <c r="CT91" s="5">
        <f t="shared" si="114"/>
        <v>0.10347287704587492</v>
      </c>
      <c r="CU91" s="26">
        <f t="shared" si="115"/>
        <v>2.0761089989180128</v>
      </c>
      <c r="CV91" s="5"/>
      <c r="CW91" s="25"/>
      <c r="CX91" s="72">
        <f>MAX(_xll.Dce_c_925(CU91, CQ91, CR91, CN91, CP91, CS91, CT91),0.3)</f>
        <v>0.38986624139717335</v>
      </c>
      <c r="CY91" s="102">
        <f t="shared" si="116"/>
        <v>2.1913843502430294E-2</v>
      </c>
      <c r="CZ91" s="5" t="str">
        <f t="shared" si="117"/>
        <v>OK</v>
      </c>
      <c r="DA91" s="47">
        <f t="shared" si="118"/>
        <v>0.34499859601035404</v>
      </c>
      <c r="DB91" s="46">
        <f t="shared" si="119"/>
        <v>0.48385309547993066</v>
      </c>
      <c r="DC91" s="5" t="str">
        <f t="shared" si="120"/>
        <v>OK</v>
      </c>
      <c r="DD91" s="5">
        <f t="shared" si="121"/>
        <v>1.2506397644909562</v>
      </c>
      <c r="DE91" s="5">
        <f t="shared" si="122"/>
        <v>4.4677979100191463</v>
      </c>
      <c r="DF91" s="5">
        <f t="shared" si="123"/>
        <v>1.5346149730788992</v>
      </c>
      <c r="DG91" s="5" t="str">
        <f t="shared" si="124"/>
        <v>Gia cường</v>
      </c>
      <c r="DH91" s="203">
        <f t="shared" si="125"/>
        <v>37.545238889226049</v>
      </c>
      <c r="DI91" s="203">
        <f t="shared" si="126"/>
        <v>180</v>
      </c>
      <c r="DJ91" s="46">
        <f t="shared" si="127"/>
        <v>0.20858466049570026</v>
      </c>
      <c r="DK91" s="5" t="str">
        <f t="shared" si="128"/>
        <v>OK</v>
      </c>
      <c r="EB91" s="18"/>
      <c r="EC91" s="77"/>
      <c r="ED91" s="77"/>
      <c r="EE91" s="18"/>
      <c r="EF91" s="18"/>
      <c r="EG91" s="18"/>
      <c r="EH91" s="5"/>
      <c r="EI91" s="5"/>
      <c r="EJ91" s="5"/>
      <c r="EK91" s="5"/>
      <c r="EL91" s="5"/>
      <c r="FE91" s="26"/>
      <c r="FF91" s="26"/>
      <c r="FG91" s="26"/>
      <c r="FH91" s="26"/>
      <c r="FI91" s="26"/>
      <c r="FJ91" s="26"/>
      <c r="FK91" s="26"/>
      <c r="FL91" s="26"/>
      <c r="FM91" s="26"/>
      <c r="FN91" s="205"/>
      <c r="FO91" s="205"/>
      <c r="FP91" s="205"/>
      <c r="FQ91" s="205"/>
      <c r="FR91" s="205"/>
      <c r="FS91" s="205"/>
      <c r="FT91" s="205"/>
      <c r="FU91" s="77"/>
      <c r="FV91" s="77"/>
      <c r="FW91" s="77"/>
      <c r="FX91" s="205"/>
      <c r="FY91" s="205"/>
      <c r="FZ91" s="205"/>
      <c r="GA91" s="205"/>
      <c r="GB91" s="205"/>
      <c r="GC91" s="205"/>
      <c r="GD91" s="205"/>
      <c r="GE91" s="205"/>
      <c r="GF91" s="205"/>
      <c r="GG91" s="205"/>
      <c r="GH91" s="205"/>
      <c r="GI91" s="205"/>
      <c r="GJ91" s="205"/>
      <c r="GK91" s="205"/>
      <c r="GL91" s="205"/>
      <c r="GM91" s="205"/>
      <c r="GN91" s="205"/>
      <c r="GO91" s="205"/>
      <c r="GP91" s="205"/>
      <c r="GQ91" s="205"/>
      <c r="GR91" s="205"/>
      <c r="GS91" s="205"/>
      <c r="GT91" s="205"/>
      <c r="GU91" s="205"/>
      <c r="GV91" s="18"/>
      <c r="GW91" s="5"/>
      <c r="GX91" s="5"/>
      <c r="GY91" s="77"/>
      <c r="GZ91" s="18"/>
      <c r="HA91" s="18"/>
      <c r="HB91" s="18"/>
      <c r="HC91" s="18"/>
      <c r="HD91" s="18"/>
      <c r="HE91" s="18"/>
      <c r="HF91" s="18"/>
      <c r="HG91" s="18"/>
      <c r="HH91" s="205"/>
      <c r="HI91" s="26"/>
      <c r="HJ91" s="26"/>
      <c r="HK91" s="5"/>
    </row>
    <row r="92" spans="2:219">
      <c r="B92" s="69" t="s">
        <v>487</v>
      </c>
      <c r="C92" s="2" t="str">
        <f>IF(MAX(O52,L60,L63)&lt;=1,"Cấu kiện đảm bảo chịu lực","Cấu kiện không đảm bảo chịu lực")</f>
        <v>Cấu kiện không đảm bảo chịu lực</v>
      </c>
      <c r="D92" s="2"/>
      <c r="E92" s="240"/>
      <c r="F92" s="290"/>
      <c r="G92" s="32"/>
      <c r="H92" s="32"/>
      <c r="I92" s="257"/>
      <c r="J92" s="269"/>
      <c r="K92" s="2"/>
      <c r="L92" s="252"/>
      <c r="M92" s="2"/>
      <c r="N92" s="10"/>
      <c r="AA92" s="18" t="s">
        <v>488</v>
      </c>
      <c r="AB92" s="22" t="s">
        <v>489</v>
      </c>
      <c r="AC92" s="59">
        <v>0</v>
      </c>
      <c r="AD92" s="59">
        <v>8.6549999999999994</v>
      </c>
      <c r="AE92" s="22">
        <v>528</v>
      </c>
      <c r="AF92" s="22">
        <v>1528</v>
      </c>
      <c r="AG92" s="22">
        <v>528</v>
      </c>
      <c r="AH92" s="6">
        <v>10</v>
      </c>
      <c r="AI92" s="6">
        <v>300</v>
      </c>
      <c r="AJ92" s="6">
        <v>14</v>
      </c>
      <c r="AK92" s="24">
        <v>300</v>
      </c>
      <c r="AL92" s="24">
        <v>14</v>
      </c>
      <c r="AM92" s="5">
        <f t="shared" si="73"/>
        <v>500</v>
      </c>
      <c r="AN92" s="26">
        <f t="shared" si="74"/>
        <v>134</v>
      </c>
      <c r="AO92" s="26">
        <f t="shared" si="75"/>
        <v>65911.546666666676</v>
      </c>
      <c r="AP92" s="15">
        <f t="shared" si="76"/>
        <v>6304.166666666667</v>
      </c>
      <c r="AQ92" s="5">
        <f t="shared" si="77"/>
        <v>2496.6494949494954</v>
      </c>
      <c r="AR92" s="26">
        <f t="shared" si="78"/>
        <v>420.27777777777777</v>
      </c>
      <c r="AS92" s="26">
        <f t="shared" si="79"/>
        <v>1391.9</v>
      </c>
      <c r="AT92" s="26">
        <f t="shared" si="80"/>
        <v>22.178305028345793</v>
      </c>
      <c r="AU92" s="26">
        <f t="shared" si="81"/>
        <v>6.8590101254115021</v>
      </c>
      <c r="AV92" s="95">
        <f t="shared" si="82"/>
        <v>7.201333333333334E-7</v>
      </c>
      <c r="AW92" s="95">
        <f t="shared" si="83"/>
        <v>4161087</v>
      </c>
      <c r="AX92" s="95">
        <f t="shared" si="84"/>
        <v>4.1610870000000001E-6</v>
      </c>
      <c r="AY92" s="54">
        <f t="shared" si="85"/>
        <v>0.25762202780669918</v>
      </c>
      <c r="AZ92" s="54" t="str">
        <f>_xll.Dce_Name_SectI(AE92,AF92,AI92,AH92,AJ92,"x","-",$O$11)</f>
        <v>(528-1528)x300x10x14</v>
      </c>
      <c r="BA92" s="15">
        <f t="shared" si="86"/>
        <v>385.5</v>
      </c>
      <c r="BB92" s="54"/>
      <c r="BC92" s="54"/>
      <c r="BD92" s="22" t="s">
        <v>516</v>
      </c>
      <c r="BE92" s="23">
        <v>-297.27194691342663</v>
      </c>
      <c r="BF92" s="23">
        <v>-212.60809472853074</v>
      </c>
      <c r="BG92" s="23">
        <v>1.8731114317149153E-3</v>
      </c>
      <c r="BH92" s="23">
        <v>-2.616194819748032E-5</v>
      </c>
      <c r="BI92" s="23">
        <v>-1.7965433185454514E-6</v>
      </c>
      <c r="BJ92" s="23">
        <v>-3.9481119481267788</v>
      </c>
      <c r="BK92" s="23">
        <v>873.08631513219746</v>
      </c>
      <c r="BL92" s="92">
        <v>2.25</v>
      </c>
      <c r="BM92" s="91">
        <v>2</v>
      </c>
      <c r="BN92" s="5">
        <f t="shared" si="87"/>
        <v>19.473749999999999</v>
      </c>
      <c r="BO92" s="54">
        <f>_xll.Bimoment(BH92,AY92,AC92,AD92,$O$101)</f>
        <v>0</v>
      </c>
      <c r="BP92" s="5">
        <f t="shared" si="88"/>
        <v>0.84</v>
      </c>
      <c r="BQ92" s="5">
        <f t="shared" si="89"/>
        <v>0.10811999787541104</v>
      </c>
      <c r="BR92" s="24" t="str">
        <f t="shared" si="90"/>
        <v>Cal</v>
      </c>
      <c r="BS92" s="25">
        <f t="shared" si="91"/>
        <v>9.7057072219868784E-2</v>
      </c>
      <c r="BT92" s="25" t="str">
        <f t="shared" si="92"/>
        <v>CT.105</v>
      </c>
      <c r="BU92" s="25">
        <f t="shared" si="93"/>
        <v>1</v>
      </c>
      <c r="BV92" s="25" cm="1">
        <f t="array" ref="BV92">IF(BT92="CT.104",_xll.TCVN5575AnnexEHeSoCx(1,BP92),1)</f>
        <v>1</v>
      </c>
      <c r="BW92" s="25">
        <f t="shared" si="94"/>
        <v>1</v>
      </c>
      <c r="BX92" s="25">
        <f t="shared" si="95"/>
        <v>0.10216533917880924</v>
      </c>
      <c r="BY92" s="25">
        <f t="shared" si="96"/>
        <v>7.2825979516680508E-3</v>
      </c>
      <c r="BZ92" s="25">
        <f t="shared" si="97"/>
        <v>1.9685920107900552E-8</v>
      </c>
      <c r="CA92" s="25">
        <f t="shared" si="98"/>
        <v>0</v>
      </c>
      <c r="CB92" s="25">
        <f t="shared" si="99"/>
        <v>0.10944795681639739</v>
      </c>
      <c r="CC92" s="5" t="str">
        <f t="shared" si="100"/>
        <v>OK</v>
      </c>
      <c r="CD92" s="5">
        <f t="shared" si="101"/>
        <v>87.805402509844015</v>
      </c>
      <c r="CE92" s="5">
        <f t="shared" si="102"/>
        <v>29.158726455153193</v>
      </c>
      <c r="CF92" s="5">
        <f t="shared" si="103"/>
        <v>2.9248163326364334</v>
      </c>
      <c r="CG92" s="5">
        <f t="shared" si="104"/>
        <v>0.97128328026682387</v>
      </c>
      <c r="CH92" s="5">
        <f t="shared" si="105"/>
        <v>7.1282472218117801E-2</v>
      </c>
      <c r="CI92" s="68">
        <f>_xll.DCETCVN5575PhuLucD2Eta(BP92,CH92,CF92)</f>
        <v>1.5167823801701743</v>
      </c>
      <c r="CJ92" s="5">
        <f t="shared" si="106"/>
        <v>0.10811999787541104</v>
      </c>
      <c r="CK92" s="5">
        <f>MIN(noisuy2chieu(CJ92,CF92,Data!$DA$2:$EB$24),1)</f>
        <v>0.67448824644088745</v>
      </c>
      <c r="CL92" s="102">
        <f t="shared" si="107"/>
        <v>0.15147089622081811</v>
      </c>
      <c r="CM92" s="5" t="str">
        <f t="shared" si="108"/>
        <v>OK</v>
      </c>
      <c r="CN92" s="5">
        <f t="shared" si="109"/>
        <v>0.90492218941026858</v>
      </c>
      <c r="CO92" s="5">
        <f t="shared" si="110"/>
        <v>0.5370345235716667</v>
      </c>
      <c r="CP92" s="25">
        <f>_xll.DCETCVNPhuLucFHeSoOnDinh(1, 0.2, AG92, AH92, AI92, AJ92, AI92, AJ92, $D$28)</f>
        <v>1</v>
      </c>
      <c r="CQ92" s="68">
        <f t="shared" si="111"/>
        <v>0.9</v>
      </c>
      <c r="CR92" s="68">
        <f t="shared" si="112"/>
        <v>1</v>
      </c>
      <c r="CS92" s="5">
        <f t="shared" si="113"/>
        <v>0.18181818181818182</v>
      </c>
      <c r="CT92" s="5">
        <f t="shared" si="114"/>
        <v>9.9510191986788829E-2</v>
      </c>
      <c r="CU92" s="26">
        <f t="shared" si="115"/>
        <v>15.763421052930903</v>
      </c>
      <c r="CV92" s="5"/>
      <c r="CW92" s="25"/>
      <c r="CX92" s="72">
        <f>MAX(_xll.Dce_c_925(CU92, CQ92, CR92, CN92, CP92, CS92, CT92),0.3)</f>
        <v>0.3</v>
      </c>
      <c r="CY92" s="102">
        <f t="shared" si="116"/>
        <v>0.3763319482948756</v>
      </c>
      <c r="CZ92" s="5" t="str">
        <f t="shared" si="117"/>
        <v>OK</v>
      </c>
      <c r="DA92" s="47">
        <f t="shared" si="118"/>
        <v>0.34499859601035404</v>
      </c>
      <c r="DB92" s="46">
        <f t="shared" si="119"/>
        <v>0.45712832802668235</v>
      </c>
      <c r="DC92" s="5" t="str">
        <f t="shared" si="120"/>
        <v>OK</v>
      </c>
      <c r="DD92" s="5">
        <f t="shared" si="121"/>
        <v>2.9248163326364334</v>
      </c>
      <c r="DE92" s="5">
        <f t="shared" si="122"/>
        <v>1.6655104634982609</v>
      </c>
      <c r="DF92" s="5" t="str">
        <f t="shared" si="123"/>
        <v>-</v>
      </c>
      <c r="DG92" s="5" t="str">
        <f t="shared" si="124"/>
        <v>-</v>
      </c>
      <c r="DH92" s="203" t="str">
        <f t="shared" si="125"/>
        <v>-</v>
      </c>
      <c r="DI92" s="203">
        <f t="shared" si="126"/>
        <v>180</v>
      </c>
      <c r="DJ92" s="46">
        <f t="shared" si="127"/>
        <v>0</v>
      </c>
      <c r="DK92" s="5" t="str">
        <f t="shared" si="128"/>
        <v>OK</v>
      </c>
      <c r="EB92" s="18"/>
      <c r="EC92" s="77"/>
      <c r="ED92" s="77"/>
      <c r="EE92" s="18"/>
      <c r="EF92" s="18"/>
      <c r="EG92" s="18"/>
      <c r="EH92" s="5"/>
      <c r="EI92" s="5"/>
      <c r="EJ92" s="5"/>
      <c r="EK92" s="5"/>
      <c r="EL92" s="5"/>
      <c r="FE92" s="26"/>
      <c r="FF92" s="26"/>
      <c r="FG92" s="26"/>
      <c r="FH92" s="26"/>
      <c r="FI92" s="26"/>
      <c r="FJ92" s="26"/>
      <c r="FK92" s="26"/>
      <c r="FL92" s="26"/>
      <c r="FM92" s="26"/>
      <c r="FN92" s="205"/>
      <c r="FO92" s="205"/>
      <c r="FP92" s="205"/>
      <c r="FQ92" s="205"/>
      <c r="FR92" s="205"/>
      <c r="FS92" s="205"/>
      <c r="FT92" s="205"/>
      <c r="FU92" s="77"/>
      <c r="FV92" s="77"/>
      <c r="FW92" s="77"/>
      <c r="FX92" s="205"/>
      <c r="FY92" s="205"/>
      <c r="FZ92" s="205"/>
      <c r="GA92" s="205"/>
      <c r="GB92" s="205"/>
      <c r="GC92" s="205"/>
      <c r="GD92" s="205"/>
      <c r="GE92" s="205"/>
      <c r="GF92" s="205"/>
      <c r="GG92" s="205"/>
      <c r="GH92" s="205"/>
      <c r="GI92" s="205"/>
      <c r="GJ92" s="205"/>
      <c r="GK92" s="205"/>
      <c r="GL92" s="205"/>
      <c r="GM92" s="205"/>
      <c r="GN92" s="205"/>
      <c r="GO92" s="205"/>
      <c r="GP92" s="205"/>
      <c r="GQ92" s="205"/>
      <c r="GR92" s="205"/>
      <c r="GS92" s="205"/>
      <c r="GT92" s="205"/>
      <c r="GU92" s="205"/>
      <c r="GV92" s="18"/>
      <c r="GW92" s="5"/>
      <c r="GX92" s="5"/>
      <c r="GY92" s="77"/>
      <c r="GZ92" s="18"/>
      <c r="HA92" s="18"/>
      <c r="HB92" s="18"/>
      <c r="HC92" s="18"/>
      <c r="HD92" s="18"/>
      <c r="HE92" s="18"/>
      <c r="HF92" s="18"/>
      <c r="HG92" s="18"/>
      <c r="HH92" s="205"/>
      <c r="HI92" s="26"/>
      <c r="HJ92" s="26"/>
      <c r="HK92" s="5"/>
    </row>
    <row r="93" spans="2:219">
      <c r="B93" s="85"/>
      <c r="C93" s="12"/>
      <c r="D93" s="12"/>
      <c r="E93" s="86"/>
      <c r="F93" s="87"/>
      <c r="G93" s="41"/>
      <c r="H93" s="41"/>
      <c r="I93" s="88"/>
      <c r="J93" s="70"/>
      <c r="K93" s="12"/>
      <c r="L93" s="71"/>
      <c r="M93" s="12"/>
      <c r="N93" s="45"/>
      <c r="AA93" s="18" t="s">
        <v>488</v>
      </c>
      <c r="AB93" s="22" t="s">
        <v>489</v>
      </c>
      <c r="AC93" s="59">
        <v>3.6405952380952398</v>
      </c>
      <c r="AD93" s="59">
        <v>8.6549999999999994</v>
      </c>
      <c r="AE93" s="22">
        <v>528</v>
      </c>
      <c r="AF93" s="22">
        <v>1528</v>
      </c>
      <c r="AG93" s="22">
        <v>948.63492063492095</v>
      </c>
      <c r="AH93" s="6">
        <v>10</v>
      </c>
      <c r="AI93" s="6">
        <v>300</v>
      </c>
      <c r="AJ93" s="6">
        <v>14</v>
      </c>
      <c r="AK93" s="24">
        <v>300</v>
      </c>
      <c r="AL93" s="24">
        <v>14</v>
      </c>
      <c r="AM93" s="5">
        <f t="shared" si="73"/>
        <v>920.63492063492095</v>
      </c>
      <c r="AN93" s="26">
        <f t="shared" si="74"/>
        <v>176.06349206349208</v>
      </c>
      <c r="AO93" s="26">
        <f t="shared" si="75"/>
        <v>248482.7399356656</v>
      </c>
      <c r="AP93" s="15">
        <f t="shared" si="76"/>
        <v>6307.6719576719579</v>
      </c>
      <c r="AQ93" s="5">
        <f t="shared" si="77"/>
        <v>5238.7432621467533</v>
      </c>
      <c r="AR93" s="26">
        <f t="shared" si="78"/>
        <v>420.51146384479722</v>
      </c>
      <c r="AS93" s="26">
        <f t="shared" si="79"/>
        <v>3022.1941546989178</v>
      </c>
      <c r="AT93" s="26">
        <f t="shared" si="80"/>
        <v>37.567600585756203</v>
      </c>
      <c r="AU93" s="26">
        <f t="shared" si="81"/>
        <v>5.9854925384629922</v>
      </c>
      <c r="AV93" s="95">
        <f t="shared" si="82"/>
        <v>8.6034497354497351E-7</v>
      </c>
      <c r="AW93" s="95">
        <f t="shared" si="83"/>
        <v>13758293.349206358</v>
      </c>
      <c r="AX93" s="95">
        <f t="shared" si="84"/>
        <v>1.3758293349206359E-5</v>
      </c>
      <c r="AY93" s="54">
        <f t="shared" si="85"/>
        <v>0.1548581140202015</v>
      </c>
      <c r="AZ93" s="54" t="str">
        <f>_xll.Dce_Name_SectI(AE93,AF93,AI93,AH93,AJ93,"x","-",$O$11)</f>
        <v>(528-1528)x300x10x14</v>
      </c>
      <c r="BA93" s="15">
        <f t="shared" si="86"/>
        <v>700.97619047619071</v>
      </c>
      <c r="BB93" s="54"/>
      <c r="BC93" s="54"/>
      <c r="BD93" s="22" t="s">
        <v>516</v>
      </c>
      <c r="BE93" s="23">
        <v>-294.2129312268608</v>
      </c>
      <c r="BF93" s="23">
        <v>-239.77952691581331</v>
      </c>
      <c r="BG93" s="23">
        <v>1.8731114317132478E-3</v>
      </c>
      <c r="BH93" s="23">
        <v>-2.616194819748032E-5</v>
      </c>
      <c r="BI93" s="23">
        <v>-6.8370965330716345E-3</v>
      </c>
      <c r="BJ93" s="23">
        <v>821.43911983871919</v>
      </c>
      <c r="BK93" s="23">
        <v>873.08631513219746</v>
      </c>
      <c r="BL93" s="92">
        <v>2.25</v>
      </c>
      <c r="BM93" s="91">
        <v>2</v>
      </c>
      <c r="BN93" s="5">
        <f t="shared" si="87"/>
        <v>19.473749999999999</v>
      </c>
      <c r="BO93" s="54">
        <f>_xll.Bimoment(BH93,AY93,AC93,AD93,$O$101)</f>
        <v>2.0120282355731877E-4</v>
      </c>
      <c r="BP93" s="5">
        <f t="shared" si="88"/>
        <v>0.45620689655172403</v>
      </c>
      <c r="BQ93" s="5">
        <f t="shared" si="89"/>
        <v>11.646946114649461</v>
      </c>
      <c r="BR93" s="24" t="str">
        <f t="shared" si="90"/>
        <v>Cal</v>
      </c>
      <c r="BS93" s="25">
        <f t="shared" si="91"/>
        <v>7.3108942633793278E-2</v>
      </c>
      <c r="BT93" s="25" t="str">
        <f t="shared" si="92"/>
        <v>CT.105</v>
      </c>
      <c r="BU93" s="25">
        <f t="shared" si="93"/>
        <v>1</v>
      </c>
      <c r="BV93" s="25" cm="1">
        <f t="array" ref="BV93">IF(BT93="CT.104",_xll.TCVN5575AnnexEHeSoCx(1,BP93),1)</f>
        <v>1</v>
      </c>
      <c r="BW93" s="25">
        <f t="shared" si="94"/>
        <v>1</v>
      </c>
      <c r="BX93" s="25">
        <f t="shared" si="95"/>
        <v>7.6956781719782402E-2</v>
      </c>
      <c r="BY93" s="25">
        <f t="shared" si="96"/>
        <v>0.72210893448069913</v>
      </c>
      <c r="BZ93" s="25">
        <f t="shared" si="97"/>
        <v>7.4876980719711732E-5</v>
      </c>
      <c r="CA93" s="25">
        <f t="shared" si="98"/>
        <v>4.7209263472347162E-6</v>
      </c>
      <c r="CB93" s="25">
        <f t="shared" si="99"/>
        <v>0.79914531410754841</v>
      </c>
      <c r="CC93" s="5" t="str">
        <f t="shared" si="100"/>
        <v>OK</v>
      </c>
      <c r="CD93" s="5">
        <f t="shared" si="101"/>
        <v>51.836555160202302</v>
      </c>
      <c r="CE93" s="5">
        <f t="shared" si="102"/>
        <v>33.414125690541383</v>
      </c>
      <c r="CF93" s="5">
        <f t="shared" si="103"/>
        <v>1.7266865002204341</v>
      </c>
      <c r="CG93" s="5">
        <f t="shared" si="104"/>
        <v>1.1130315193248546</v>
      </c>
      <c r="CH93" s="5">
        <f t="shared" si="105"/>
        <v>9.3833047373273253</v>
      </c>
      <c r="CI93" s="68">
        <f>_xll.DCETCVN5575PhuLucD2Eta(BP93,CH93,CF93)</f>
        <v>1.2412413793103447</v>
      </c>
      <c r="CJ93" s="5">
        <f t="shared" si="106"/>
        <v>11.646946114649461</v>
      </c>
      <c r="CK93" s="5">
        <f>MIN(noisuy2chieu(CJ93,CF93,Data!$DA$2:$EB$24),1)</f>
        <v>0.11419686675071716</v>
      </c>
      <c r="CL93" s="102">
        <f t="shared" si="107"/>
        <v>0.67389573733028107</v>
      </c>
      <c r="CM93" s="5" t="str">
        <f t="shared" si="108"/>
        <v>OK</v>
      </c>
      <c r="CN93" s="5">
        <f t="shared" si="109"/>
        <v>0.88472625978979058</v>
      </c>
      <c r="CO93" s="5">
        <f t="shared" si="110"/>
        <v>0.5370345235716667</v>
      </c>
      <c r="CP93" s="25">
        <f>_xll.DCETCVNPhuLucFHeSoOnDinh(1, 0.2, AG93, AH93, AI93, AJ93, AI93, AJ93, $D$28)</f>
        <v>1</v>
      </c>
      <c r="CQ93" s="68">
        <f t="shared" si="111"/>
        <v>0.9</v>
      </c>
      <c r="CR93" s="68">
        <f t="shared" si="112"/>
        <v>1</v>
      </c>
      <c r="CS93" s="5">
        <f t="shared" si="113"/>
        <v>0.18181818181818182</v>
      </c>
      <c r="CT93" s="5">
        <f t="shared" si="114"/>
        <v>0.10155106457844131</v>
      </c>
      <c r="CU93" s="26">
        <f t="shared" si="115"/>
        <v>9.9732710057491563</v>
      </c>
      <c r="CV93" s="5"/>
      <c r="CW93" s="25"/>
      <c r="CX93" s="72">
        <f>MAX(_xll.Dce_c_925(CU93, CQ93, CR93, CN93, CP93, CS93, CT93),0.3)</f>
        <v>0.3</v>
      </c>
      <c r="CY93" s="102">
        <f t="shared" si="116"/>
        <v>0.28994573507240234</v>
      </c>
      <c r="CZ93" s="5" t="str">
        <f t="shared" si="117"/>
        <v>OK</v>
      </c>
      <c r="DA93" s="47">
        <f t="shared" si="118"/>
        <v>0.34499859601035404</v>
      </c>
      <c r="DB93" s="46">
        <f t="shared" si="119"/>
        <v>0.47130315193248545</v>
      </c>
      <c r="DC93" s="5" t="str">
        <f t="shared" si="120"/>
        <v>OK</v>
      </c>
      <c r="DD93" s="5">
        <f t="shared" si="121"/>
        <v>1.7266865002204341</v>
      </c>
      <c r="DE93" s="5">
        <f t="shared" si="122"/>
        <v>3.0666541867587034</v>
      </c>
      <c r="DF93" s="5">
        <f t="shared" si="123"/>
        <v>1.7472169405065237</v>
      </c>
      <c r="DG93" s="5" t="str">
        <f t="shared" si="124"/>
        <v>Gia cường</v>
      </c>
      <c r="DH93" s="203">
        <f t="shared" si="125"/>
        <v>51.836555160202302</v>
      </c>
      <c r="DI93" s="203">
        <f t="shared" si="126"/>
        <v>169.56625576018314</v>
      </c>
      <c r="DJ93" s="46">
        <f t="shared" si="127"/>
        <v>0.30570088917640859</v>
      </c>
      <c r="DK93" s="5" t="str">
        <f t="shared" si="128"/>
        <v>OK</v>
      </c>
      <c r="EB93" s="18"/>
      <c r="EC93" s="77"/>
      <c r="ED93" s="77"/>
      <c r="EE93" s="18"/>
      <c r="EF93" s="18"/>
      <c r="EG93" s="18"/>
      <c r="EH93" s="5"/>
      <c r="EI93" s="5"/>
      <c r="EJ93" s="5"/>
      <c r="EK93" s="5"/>
      <c r="EL93" s="5"/>
      <c r="FE93" s="26"/>
      <c r="FF93" s="26"/>
      <c r="FG93" s="26"/>
      <c r="FH93" s="26"/>
      <c r="FI93" s="26"/>
      <c r="FJ93" s="26"/>
      <c r="FK93" s="26"/>
      <c r="FL93" s="26"/>
      <c r="FM93" s="26"/>
      <c r="FN93" s="205"/>
      <c r="FO93" s="205"/>
      <c r="FP93" s="205"/>
      <c r="FQ93" s="205"/>
      <c r="FR93" s="205"/>
      <c r="FS93" s="205"/>
      <c r="FT93" s="205"/>
      <c r="FU93" s="77"/>
      <c r="FV93" s="77"/>
      <c r="FW93" s="77"/>
      <c r="FX93" s="205"/>
      <c r="FY93" s="205"/>
      <c r="FZ93" s="205"/>
      <c r="GA93" s="205"/>
      <c r="GB93" s="205"/>
      <c r="GC93" s="205"/>
      <c r="GD93" s="205"/>
      <c r="GE93" s="205"/>
      <c r="GF93" s="205"/>
      <c r="GG93" s="205"/>
      <c r="GH93" s="205"/>
      <c r="GI93" s="205"/>
      <c r="GJ93" s="205"/>
      <c r="GK93" s="205"/>
      <c r="GL93" s="205"/>
      <c r="GM93" s="205"/>
      <c r="GN93" s="205"/>
      <c r="GO93" s="205"/>
      <c r="GP93" s="205"/>
      <c r="GQ93" s="205"/>
      <c r="GR93" s="205"/>
      <c r="GS93" s="205"/>
      <c r="GT93" s="205"/>
      <c r="GU93" s="205"/>
      <c r="GV93" s="18"/>
      <c r="GW93" s="5"/>
      <c r="GX93" s="5"/>
      <c r="GY93" s="77"/>
      <c r="GZ93" s="18"/>
      <c r="HA93" s="18"/>
      <c r="HB93" s="18"/>
      <c r="HC93" s="18"/>
      <c r="HD93" s="18"/>
      <c r="HE93" s="18"/>
      <c r="HF93" s="18"/>
      <c r="HG93" s="18"/>
      <c r="HH93" s="205"/>
      <c r="HI93" s="26"/>
      <c r="HJ93" s="26"/>
      <c r="HK93" s="5"/>
    </row>
    <row r="94" spans="2:219">
      <c r="B94" s="431" t="s">
        <v>228</v>
      </c>
      <c r="C94" s="432"/>
      <c r="D94" s="432"/>
      <c r="E94" s="432"/>
      <c r="F94" s="432"/>
      <c r="G94" s="432"/>
      <c r="H94" s="432"/>
      <c r="I94" s="432"/>
      <c r="J94" s="432"/>
      <c r="K94" s="432"/>
      <c r="L94" s="432"/>
      <c r="M94" s="432"/>
      <c r="N94" s="433"/>
      <c r="AA94" s="18" t="s">
        <v>488</v>
      </c>
      <c r="AB94" s="22" t="s">
        <v>489</v>
      </c>
      <c r="AC94" s="59">
        <v>7.2811904761904795</v>
      </c>
      <c r="AD94" s="59">
        <v>8.6549999999999994</v>
      </c>
      <c r="AE94" s="22">
        <v>528</v>
      </c>
      <c r="AF94" s="22">
        <v>1528</v>
      </c>
      <c r="AG94" s="22">
        <v>1369.2698412698419</v>
      </c>
      <c r="AH94" s="6">
        <v>10</v>
      </c>
      <c r="AI94" s="6">
        <v>300</v>
      </c>
      <c r="AJ94" s="6">
        <v>14</v>
      </c>
      <c r="AK94" s="24">
        <v>300</v>
      </c>
      <c r="AL94" s="24">
        <v>14</v>
      </c>
      <c r="AM94" s="5">
        <f t="shared" si="73"/>
        <v>1341.2698412698419</v>
      </c>
      <c r="AN94" s="26">
        <f t="shared" si="74"/>
        <v>218.12698412698418</v>
      </c>
      <c r="AO94" s="26">
        <f t="shared" si="75"/>
        <v>586811.79072745051</v>
      </c>
      <c r="AP94" s="15">
        <f t="shared" si="76"/>
        <v>6311.1772486772488</v>
      </c>
      <c r="AQ94" s="5">
        <f t="shared" si="77"/>
        <v>8571.1635945074104</v>
      </c>
      <c r="AR94" s="26">
        <f t="shared" si="78"/>
        <v>420.74514991181661</v>
      </c>
      <c r="AS94" s="26">
        <f t="shared" si="79"/>
        <v>5094.8226505417015</v>
      </c>
      <c r="AT94" s="26">
        <f t="shared" si="80"/>
        <v>51.867428670398397</v>
      </c>
      <c r="AU94" s="26">
        <f t="shared" si="81"/>
        <v>5.3789869588463937</v>
      </c>
      <c r="AV94" s="95">
        <f t="shared" si="82"/>
        <v>1.0005566137566139E-6</v>
      </c>
      <c r="AW94" s="95">
        <f t="shared" si="83"/>
        <v>28928912.396825422</v>
      </c>
      <c r="AX94" s="95">
        <f t="shared" si="84"/>
        <v>2.8928912396825422E-5</v>
      </c>
      <c r="AY94" s="54">
        <f t="shared" si="85"/>
        <v>0.11516876660535029</v>
      </c>
      <c r="AZ94" s="54" t="str">
        <f>_xll.Dce_Name_SectI(AE94,AF94,AI94,AH94,AJ94,"x","-",$O$11)</f>
        <v>(528-1528)x300x10x14</v>
      </c>
      <c r="BA94" s="15">
        <f t="shared" si="86"/>
        <v>1016.4523809523813</v>
      </c>
      <c r="BB94" s="54"/>
      <c r="BC94" s="54"/>
      <c r="BD94" s="22" t="s">
        <v>516</v>
      </c>
      <c r="BE94" s="23">
        <v>-289.61247978980253</v>
      </c>
      <c r="BF94" s="23">
        <v>-267.05680963368786</v>
      </c>
      <c r="BG94" s="23">
        <v>1.8731114317115734E-3</v>
      </c>
      <c r="BH94" s="23">
        <v>-2.616194819748032E-5</v>
      </c>
      <c r="BI94" s="23">
        <v>-1.3672396522818627E-2</v>
      </c>
      <c r="BJ94" s="23">
        <v>1746.1726302643949</v>
      </c>
      <c r="BK94" s="23">
        <v>873.08631513219746</v>
      </c>
      <c r="BL94" s="92">
        <v>2.25</v>
      </c>
      <c r="BM94" s="91">
        <v>2</v>
      </c>
      <c r="BN94" s="5">
        <f t="shared" si="87"/>
        <v>19.473749999999999</v>
      </c>
      <c r="BO94" s="54">
        <f>_xll.Bimoment(BH94,AY94,AC94,AD94,$O$101)</f>
        <v>1.1968229040551333E-4</v>
      </c>
      <c r="BP94" s="5">
        <f t="shared" si="88"/>
        <v>0.31313609467455605</v>
      </c>
      <c r="BQ94" s="5">
        <f t="shared" si="89"/>
        <v>18.606591678216759</v>
      </c>
      <c r="BR94" s="24" t="str">
        <f t="shared" si="90"/>
        <v>Cal</v>
      </c>
      <c r="BS94" s="25">
        <f t="shared" si="91"/>
        <v>5.8087934610729378E-2</v>
      </c>
      <c r="BT94" s="25" t="str">
        <f t="shared" si="92"/>
        <v>CT.105</v>
      </c>
      <c r="BU94" s="25">
        <f t="shared" si="93"/>
        <v>1</v>
      </c>
      <c r="BV94" s="25" cm="1">
        <f t="array" ref="BV94">IF(BT94="CT.104",_xll.TCVN5575AnnexEHeSoCx(1,BP94),1)</f>
        <v>1</v>
      </c>
      <c r="BW94" s="25">
        <f t="shared" si="94"/>
        <v>1</v>
      </c>
      <c r="BX94" s="25">
        <f t="shared" si="95"/>
        <v>6.1145194327083555E-2</v>
      </c>
      <c r="BY94" s="25">
        <f t="shared" si="96"/>
        <v>0.93821386009176055</v>
      </c>
      <c r="BZ94" s="25">
        <f t="shared" si="97"/>
        <v>1.4965112253786283E-4</v>
      </c>
      <c r="CA94" s="25">
        <f t="shared" si="98"/>
        <v>1.9365970906876239E-6</v>
      </c>
      <c r="CB94" s="25">
        <f t="shared" si="99"/>
        <v>0.99951064213847263</v>
      </c>
      <c r="CC94" s="5" t="str">
        <f t="shared" si="100"/>
        <v>OK</v>
      </c>
      <c r="CD94" s="5">
        <f t="shared" si="101"/>
        <v>37.545238889226049</v>
      </c>
      <c r="CE94" s="5">
        <f t="shared" si="102"/>
        <v>37.181722419139881</v>
      </c>
      <c r="CF94" s="5">
        <f t="shared" si="103"/>
        <v>1.2506397644909562</v>
      </c>
      <c r="CG94" s="5">
        <f t="shared" si="104"/>
        <v>1.2385309547993069</v>
      </c>
      <c r="CH94" s="5">
        <f t="shared" si="105"/>
        <v>15.344032681832356</v>
      </c>
      <c r="CI94" s="68">
        <f>_xll.DCETCVN5575PhuLucD2Eta(BP94,CH94,CF94)</f>
        <v>1.2126272189349112</v>
      </c>
      <c r="CJ94" s="5">
        <f t="shared" si="106"/>
        <v>18.606591678216759</v>
      </c>
      <c r="CK94" s="5">
        <f>MIN(noisuy2chieu(CJ94,CF94,Data!$DA$2:$EB$24),1)</f>
        <v>7.7568516135215759E-2</v>
      </c>
      <c r="CL94" s="102">
        <f t="shared" si="107"/>
        <v>0.78827335333444537</v>
      </c>
      <c r="CM94" s="5" t="str">
        <f t="shared" si="108"/>
        <v>OK</v>
      </c>
      <c r="CN94" s="5">
        <f t="shared" si="109"/>
        <v>0.86643683692746631</v>
      </c>
      <c r="CO94" s="5">
        <f t="shared" si="110"/>
        <v>0.5370345235716667</v>
      </c>
      <c r="CP94" s="25">
        <f>_xll.DCETCVNPhuLucFHeSoOnDinh(1, 0.2, AG94, AH94, AI94, AJ94, AI94, AJ94, $D$28)</f>
        <v>1</v>
      </c>
      <c r="CQ94" s="68">
        <f t="shared" si="111"/>
        <v>0.9</v>
      </c>
      <c r="CR94" s="68">
        <f t="shared" si="112"/>
        <v>1</v>
      </c>
      <c r="CS94" s="5">
        <f t="shared" si="113"/>
        <v>0.18181818181818182</v>
      </c>
      <c r="CT94" s="5">
        <f t="shared" si="114"/>
        <v>0.10347287704587492</v>
      </c>
      <c r="CU94" s="26">
        <f t="shared" si="115"/>
        <v>7.6720163409161781</v>
      </c>
      <c r="CV94" s="5"/>
      <c r="CW94" s="25"/>
      <c r="CX94" s="72">
        <f>MAX(_xll.Dce_c_925(CU94, CQ94, CR94, CN94, CP94, CS94, CT94),0.3)</f>
        <v>0.3</v>
      </c>
      <c r="CY94" s="102">
        <f t="shared" si="116"/>
        <v>0.23523620619176702</v>
      </c>
      <c r="CZ94" s="5" t="str">
        <f t="shared" si="117"/>
        <v>OK</v>
      </c>
      <c r="DA94" s="47">
        <f t="shared" si="118"/>
        <v>0.34499859601035404</v>
      </c>
      <c r="DB94" s="46">
        <f t="shared" si="119"/>
        <v>0.48385309547993066</v>
      </c>
      <c r="DC94" s="5" t="str">
        <f t="shared" si="120"/>
        <v>OK</v>
      </c>
      <c r="DD94" s="5">
        <f t="shared" si="121"/>
        <v>1.2506397644909562</v>
      </c>
      <c r="DE94" s="5">
        <f t="shared" si="122"/>
        <v>4.4677979100191463</v>
      </c>
      <c r="DF94" s="5" t="str">
        <f t="shared" si="123"/>
        <v>-</v>
      </c>
      <c r="DG94" s="5" t="str">
        <f t="shared" si="124"/>
        <v>-</v>
      </c>
      <c r="DH94" s="203">
        <f t="shared" si="125"/>
        <v>37.545238889226049</v>
      </c>
      <c r="DI94" s="203">
        <f t="shared" si="126"/>
        <v>162.70359879993327</v>
      </c>
      <c r="DJ94" s="46">
        <f t="shared" si="127"/>
        <v>0.23075850298427109</v>
      </c>
      <c r="DK94" s="5" t="str">
        <f t="shared" si="128"/>
        <v>OK</v>
      </c>
      <c r="EB94" s="18"/>
      <c r="EC94" s="77"/>
      <c r="ED94" s="77"/>
      <c r="EE94" s="18"/>
      <c r="EF94" s="18"/>
      <c r="EG94" s="18"/>
      <c r="EH94" s="5"/>
      <c r="EI94" s="5"/>
      <c r="EJ94" s="5"/>
      <c r="EK94" s="5"/>
      <c r="EL94" s="5"/>
      <c r="FE94" s="26"/>
      <c r="FF94" s="26"/>
      <c r="FG94" s="26"/>
      <c r="FH94" s="26"/>
      <c r="FI94" s="26"/>
      <c r="FJ94" s="26"/>
      <c r="FK94" s="26"/>
      <c r="FL94" s="26"/>
      <c r="FM94" s="26"/>
      <c r="FN94" s="205"/>
      <c r="FO94" s="205"/>
      <c r="FP94" s="205"/>
      <c r="FQ94" s="205"/>
      <c r="FR94" s="205"/>
      <c r="FS94" s="205"/>
      <c r="FT94" s="205"/>
      <c r="FU94" s="77"/>
      <c r="FV94" s="77"/>
      <c r="FW94" s="77"/>
      <c r="FX94" s="205"/>
      <c r="FY94" s="205"/>
      <c r="FZ94" s="205"/>
      <c r="GA94" s="205"/>
      <c r="GB94" s="205"/>
      <c r="GC94" s="205"/>
      <c r="GD94" s="205"/>
      <c r="GE94" s="205"/>
      <c r="GF94" s="205"/>
      <c r="GG94" s="205"/>
      <c r="GH94" s="205"/>
      <c r="GI94" s="205"/>
      <c r="GJ94" s="205"/>
      <c r="GK94" s="205"/>
      <c r="GL94" s="205"/>
      <c r="GM94" s="205"/>
      <c r="GN94" s="205"/>
      <c r="GO94" s="205"/>
      <c r="GP94" s="205"/>
      <c r="GQ94" s="205"/>
      <c r="GR94" s="205"/>
      <c r="GS94" s="205"/>
      <c r="GT94" s="205"/>
      <c r="GU94" s="205"/>
      <c r="GV94" s="18"/>
      <c r="GW94" s="5"/>
      <c r="GX94" s="5"/>
      <c r="GY94" s="77"/>
      <c r="GZ94" s="18"/>
      <c r="HA94" s="18"/>
      <c r="HB94" s="18"/>
      <c r="HC94" s="18"/>
      <c r="HD94" s="18"/>
      <c r="HE94" s="18"/>
      <c r="HF94" s="18"/>
      <c r="HG94" s="18"/>
      <c r="HH94" s="205"/>
      <c r="HI94" s="26"/>
      <c r="HJ94" s="26"/>
      <c r="HK94" s="5"/>
    </row>
    <row r="95" spans="2:219" ht="15">
      <c r="B95" s="66" t="s">
        <v>131</v>
      </c>
      <c r="C95" s="66" t="s">
        <v>174</v>
      </c>
      <c r="D95" s="5" t="s">
        <v>91</v>
      </c>
      <c r="E95" s="66" t="s">
        <v>84</v>
      </c>
      <c r="F95" s="67" t="s">
        <v>86</v>
      </c>
      <c r="G95" s="66" t="s">
        <v>87</v>
      </c>
      <c r="H95" s="5" t="s">
        <v>88</v>
      </c>
      <c r="I95" s="67" t="s">
        <v>92</v>
      </c>
      <c r="J95" s="5" t="s">
        <v>89</v>
      </c>
      <c r="K95" s="5" t="s">
        <v>469</v>
      </c>
      <c r="L95" s="5" t="s">
        <v>470</v>
      </c>
      <c r="M95" s="5" t="s">
        <v>471</v>
      </c>
      <c r="N95" s="5" t="s">
        <v>93</v>
      </c>
      <c r="AA95" s="18" t="s">
        <v>488</v>
      </c>
      <c r="AB95" s="22" t="s">
        <v>489</v>
      </c>
      <c r="AC95" s="59">
        <v>0</v>
      </c>
      <c r="AD95" s="59">
        <v>8.6549999999999994</v>
      </c>
      <c r="AE95" s="22">
        <v>528</v>
      </c>
      <c r="AF95" s="22">
        <v>1528</v>
      </c>
      <c r="AG95" s="22">
        <v>528</v>
      </c>
      <c r="AH95" s="6">
        <v>10</v>
      </c>
      <c r="AI95" s="6">
        <v>300</v>
      </c>
      <c r="AJ95" s="6">
        <v>14</v>
      </c>
      <c r="AK95" s="24">
        <v>300</v>
      </c>
      <c r="AL95" s="24">
        <v>14</v>
      </c>
      <c r="AM95" s="5">
        <f t="shared" si="73"/>
        <v>500</v>
      </c>
      <c r="AN95" s="26">
        <f t="shared" si="74"/>
        <v>134</v>
      </c>
      <c r="AO95" s="26">
        <f t="shared" si="75"/>
        <v>65911.546666666676</v>
      </c>
      <c r="AP95" s="15">
        <f t="shared" si="76"/>
        <v>6304.166666666667</v>
      </c>
      <c r="AQ95" s="5">
        <f t="shared" si="77"/>
        <v>2496.6494949494954</v>
      </c>
      <c r="AR95" s="26">
        <f t="shared" si="78"/>
        <v>420.27777777777777</v>
      </c>
      <c r="AS95" s="26">
        <f t="shared" si="79"/>
        <v>1391.9</v>
      </c>
      <c r="AT95" s="26">
        <f t="shared" si="80"/>
        <v>22.178305028345793</v>
      </c>
      <c r="AU95" s="26">
        <f t="shared" si="81"/>
        <v>6.8590101254115021</v>
      </c>
      <c r="AV95" s="95">
        <f t="shared" si="82"/>
        <v>7.201333333333334E-7</v>
      </c>
      <c r="AW95" s="95">
        <f t="shared" si="83"/>
        <v>4161087</v>
      </c>
      <c r="AX95" s="95">
        <f t="shared" si="84"/>
        <v>4.1610870000000001E-6</v>
      </c>
      <c r="AY95" s="54">
        <f t="shared" si="85"/>
        <v>0.25762202780669918</v>
      </c>
      <c r="AZ95" s="54" t="str">
        <f>_xll.Dce_Name_SectI(AE95,AF95,AI95,AH95,AJ95,"x","-",$O$11)</f>
        <v>(528-1528)x300x10x14</v>
      </c>
      <c r="BA95" s="15">
        <f t="shared" si="86"/>
        <v>385.5</v>
      </c>
      <c r="BB95" s="54"/>
      <c r="BC95" s="54"/>
      <c r="BD95" s="22" t="s">
        <v>517</v>
      </c>
      <c r="BE95" s="23">
        <v>-60.386375462385161</v>
      </c>
      <c r="BF95" s="23">
        <v>-69.179413941788113</v>
      </c>
      <c r="BG95" s="23">
        <v>-1.6590987283359583E-3</v>
      </c>
      <c r="BH95" s="23">
        <v>2.3172809823428017E-5</v>
      </c>
      <c r="BI95" s="23">
        <v>1.5912789194313937E-6</v>
      </c>
      <c r="BJ95" s="23">
        <v>-0.77707144815803897</v>
      </c>
      <c r="BK95" s="23">
        <v>198.9488588156255</v>
      </c>
      <c r="BL95" s="92">
        <v>2.25</v>
      </c>
      <c r="BM95" s="91">
        <v>2</v>
      </c>
      <c r="BN95" s="5">
        <f t="shared" si="87"/>
        <v>19.473749999999999</v>
      </c>
      <c r="BO95" s="54">
        <f>_xll.Bimoment(BH95,AY95,AC95,AD95,$O$101)</f>
        <v>0</v>
      </c>
      <c r="BP95" s="5">
        <f t="shared" si="88"/>
        <v>0.84</v>
      </c>
      <c r="BQ95" s="5">
        <f t="shared" si="89"/>
        <v>0.10476562688877271</v>
      </c>
      <c r="BR95" s="24" t="str">
        <f t="shared" si="90"/>
        <v>Cal</v>
      </c>
      <c r="BS95" s="25">
        <f t="shared" si="91"/>
        <v>1.9715700943875751E-2</v>
      </c>
      <c r="BT95" s="25" t="str">
        <f t="shared" si="92"/>
        <v>CT.105</v>
      </c>
      <c r="BU95" s="25">
        <f t="shared" si="93"/>
        <v>1</v>
      </c>
      <c r="BV95" s="25" cm="1">
        <f t="array" ref="BV95">IF(BT95="CT.104",_xll.TCVN5575AnnexEHeSoCx(1,BP95),1)</f>
        <v>1</v>
      </c>
      <c r="BW95" s="25">
        <f t="shared" si="94"/>
        <v>1</v>
      </c>
      <c r="BX95" s="25">
        <f t="shared" si="95"/>
        <v>2.0753369414606058E-2</v>
      </c>
      <c r="BY95" s="25">
        <f t="shared" si="96"/>
        <v>1.4333684077373937E-3</v>
      </c>
      <c r="BZ95" s="25">
        <f t="shared" si="97"/>
        <v>1.7436701555671517E-8</v>
      </c>
      <c r="CA95" s="25">
        <f t="shared" si="98"/>
        <v>0</v>
      </c>
      <c r="CB95" s="25">
        <f t="shared" si="99"/>
        <v>2.2186755259045007E-2</v>
      </c>
      <c r="CC95" s="5" t="str">
        <f t="shared" si="100"/>
        <v>OK</v>
      </c>
      <c r="CD95" s="5">
        <f t="shared" si="101"/>
        <v>87.805402509844015</v>
      </c>
      <c r="CE95" s="5">
        <f t="shared" si="102"/>
        <v>29.158726455153193</v>
      </c>
      <c r="CF95" s="5">
        <f t="shared" si="103"/>
        <v>2.9248163326364334</v>
      </c>
      <c r="CG95" s="5">
        <f t="shared" si="104"/>
        <v>0.97128328026682387</v>
      </c>
      <c r="CH95" s="5">
        <f t="shared" si="105"/>
        <v>6.9066780391265084E-2</v>
      </c>
      <c r="CI95" s="68">
        <f>_xll.DCETCVN5575PhuLucD2Eta(BP95,CH95,CF95)</f>
        <v>1.5168743395199942</v>
      </c>
      <c r="CJ95" s="5">
        <f t="shared" si="106"/>
        <v>0.10476562688877271</v>
      </c>
      <c r="CK95" s="5">
        <f>MIN(noisuy2chieu(CJ95,CF95,Data!$DA$2:$EB$24),1)</f>
        <v>0.67605358362197876</v>
      </c>
      <c r="CL95" s="102">
        <f t="shared" si="107"/>
        <v>3.0697817328944867E-2</v>
      </c>
      <c r="CM95" s="5" t="str">
        <f t="shared" si="108"/>
        <v>OK</v>
      </c>
      <c r="CN95" s="5">
        <f t="shared" si="109"/>
        <v>0.90492218941026858</v>
      </c>
      <c r="CO95" s="5">
        <f t="shared" si="110"/>
        <v>0.5370345235716667</v>
      </c>
      <c r="CP95" s="25">
        <f>_xll.DCETCVNPhuLucFHeSoOnDinh(1, 0.2, AG95, AH95, AI95, AJ95, AI95, AJ95, $D$28)</f>
        <v>1</v>
      </c>
      <c r="CQ95" s="68">
        <f t="shared" si="111"/>
        <v>0.9</v>
      </c>
      <c r="CR95" s="68">
        <f t="shared" si="112"/>
        <v>1</v>
      </c>
      <c r="CS95" s="5">
        <f t="shared" si="113"/>
        <v>0.18181818181818182</v>
      </c>
      <c r="CT95" s="5">
        <f t="shared" si="114"/>
        <v>9.9510191986788829E-2</v>
      </c>
      <c r="CU95" s="26">
        <f t="shared" si="115"/>
        <v>17.682746127762815</v>
      </c>
      <c r="CV95" s="5"/>
      <c r="CW95" s="25"/>
      <c r="CX95" s="72">
        <f>MAX(_xll.Dce_c_925(CU95, CQ95, CR95, CN95, CP95, CS95, CT95),0.3)</f>
        <v>0.3</v>
      </c>
      <c r="CY95" s="102">
        <f t="shared" si="116"/>
        <v>7.6446239089097381E-2</v>
      </c>
      <c r="CZ95" s="5" t="str">
        <f t="shared" si="117"/>
        <v>OK</v>
      </c>
      <c r="DA95" s="47">
        <f t="shared" si="118"/>
        <v>0.34499859601035404</v>
      </c>
      <c r="DB95" s="46">
        <f t="shared" si="119"/>
        <v>0.45712832802668235</v>
      </c>
      <c r="DC95" s="5" t="str">
        <f t="shared" si="120"/>
        <v>OK</v>
      </c>
      <c r="DD95" s="5">
        <f t="shared" si="121"/>
        <v>2.9248163326364334</v>
      </c>
      <c r="DE95" s="5">
        <f t="shared" si="122"/>
        <v>1.6655104634982609</v>
      </c>
      <c r="DF95" s="5" t="str">
        <f t="shared" si="123"/>
        <v>-</v>
      </c>
      <c r="DG95" s="5" t="str">
        <f t="shared" si="124"/>
        <v>-</v>
      </c>
      <c r="DH95" s="203" t="str">
        <f t="shared" si="125"/>
        <v>-</v>
      </c>
      <c r="DI95" s="203">
        <f t="shared" si="126"/>
        <v>180</v>
      </c>
      <c r="DJ95" s="46">
        <f t="shared" si="127"/>
        <v>0</v>
      </c>
      <c r="DK95" s="5" t="str">
        <f t="shared" si="128"/>
        <v>OK</v>
      </c>
      <c r="EB95" s="18"/>
      <c r="EC95" s="77"/>
      <c r="ED95" s="77"/>
      <c r="EE95" s="18"/>
      <c r="EF95" s="18"/>
      <c r="EG95" s="18"/>
      <c r="EH95" s="5"/>
      <c r="EI95" s="5"/>
      <c r="EJ95" s="5"/>
      <c r="EK95" s="5"/>
      <c r="EL95" s="5"/>
      <c r="FE95" s="26"/>
      <c r="FF95" s="26"/>
      <c r="FG95" s="26"/>
      <c r="FH95" s="26"/>
      <c r="FI95" s="26"/>
      <c r="FJ95" s="26"/>
      <c r="FK95" s="26"/>
      <c r="FL95" s="26"/>
      <c r="FM95" s="26"/>
      <c r="FN95" s="205"/>
      <c r="FO95" s="205"/>
      <c r="FP95" s="205"/>
      <c r="FQ95" s="205"/>
      <c r="FR95" s="205"/>
      <c r="FS95" s="205"/>
      <c r="FT95" s="205"/>
      <c r="FU95" s="77"/>
      <c r="FV95" s="77"/>
      <c r="FW95" s="77"/>
      <c r="FX95" s="205"/>
      <c r="FY95" s="205"/>
      <c r="FZ95" s="205"/>
      <c r="GA95" s="205"/>
      <c r="GB95" s="205"/>
      <c r="GC95" s="205"/>
      <c r="GD95" s="205"/>
      <c r="GE95" s="205"/>
      <c r="GF95" s="205"/>
      <c r="GG95" s="205"/>
      <c r="GH95" s="205"/>
      <c r="GI95" s="205"/>
      <c r="GJ95" s="205"/>
      <c r="GK95" s="205"/>
      <c r="GL95" s="205"/>
      <c r="GM95" s="205"/>
      <c r="GN95" s="205"/>
      <c r="GO95" s="205"/>
      <c r="GP95" s="205"/>
      <c r="GQ95" s="205"/>
      <c r="GR95" s="205"/>
      <c r="GS95" s="205"/>
      <c r="GT95" s="205"/>
      <c r="GU95" s="205"/>
      <c r="GV95" s="18"/>
      <c r="GW95" s="5"/>
      <c r="GX95" s="5"/>
      <c r="GY95" s="77"/>
      <c r="GZ95" s="18"/>
      <c r="HA95" s="18"/>
      <c r="HB95" s="18"/>
      <c r="HC95" s="18"/>
      <c r="HD95" s="18"/>
      <c r="HE95" s="18"/>
      <c r="HF95" s="18"/>
      <c r="HG95" s="18"/>
      <c r="HH95" s="205"/>
      <c r="HI95" s="26"/>
      <c r="HJ95" s="26"/>
      <c r="HK95" s="5"/>
    </row>
    <row r="96" spans="2:219">
      <c r="B96" s="54">
        <f>L56</f>
        <v>37.181722419139881</v>
      </c>
      <c r="C96" s="54">
        <f>L57</f>
        <v>1.2385309547993069</v>
      </c>
      <c r="D96" s="54">
        <f>G62</f>
        <v>9.74382174246497</v>
      </c>
      <c r="E96" s="68">
        <f>IF(D96&lt;=1,0.7,IF(D96&lt;=5,0.65+0.05*D96,0.65+0.05*5))</f>
        <v>0.9</v>
      </c>
      <c r="F96" s="54" cm="1">
        <f t="array" ref="F96">FactorPhi7121(3.14,"c")</f>
        <v>0.5370345235716667</v>
      </c>
      <c r="G96" s="68">
        <f>IF(C96&lt;=3.14,1,SQRT(F96/L62))</f>
        <v>1</v>
      </c>
      <c r="H96" s="68">
        <f>G96/(1+E96*5)</f>
        <v>0.18181818181818182</v>
      </c>
      <c r="I96" s="72" cm="1">
        <f t="array" ref="I96">_xll.DCETCVNPhuLucFHeSoOnDinh(1, 0.2, F32, F17, F18, F19, F18, F19, $D$28)</f>
        <v>1</v>
      </c>
      <c r="J96" s="68">
        <f>1/(1+10*L62/I96)</f>
        <v>0.10347287704587492</v>
      </c>
      <c r="K96" s="68" t="str">
        <f>IF(D96&lt;=5,G96/(1+E96*D96),"-")</f>
        <v>-</v>
      </c>
      <c r="L96" s="68">
        <f>IF(AND(D96&gt;5,D96&lt;10),H96*(2-0.2*D96)+J96*(0.2*D96-1),"-")</f>
        <v>0.107486949778399</v>
      </c>
      <c r="M96" s="68" t="str">
        <f>IF(D96&gt;=10,1/(1+D96*L62/I96),"-")</f>
        <v>-</v>
      </c>
      <c r="N96" s="68">
        <f>MAX(IF(D96&lt;=5,K96,IF(D96&lt;10,L96,M96)),0.3)</f>
        <v>0.3</v>
      </c>
      <c r="AA96" s="18" t="s">
        <v>488</v>
      </c>
      <c r="AB96" s="22" t="s">
        <v>489</v>
      </c>
      <c r="AC96" s="59">
        <v>3.6405952380952398</v>
      </c>
      <c r="AD96" s="59">
        <v>8.6549999999999994</v>
      </c>
      <c r="AE96" s="22">
        <v>528</v>
      </c>
      <c r="AF96" s="22">
        <v>1528</v>
      </c>
      <c r="AG96" s="22">
        <v>948.63492063492095</v>
      </c>
      <c r="AH96" s="6">
        <v>10</v>
      </c>
      <c r="AI96" s="6">
        <v>300</v>
      </c>
      <c r="AJ96" s="6">
        <v>14</v>
      </c>
      <c r="AK96" s="24">
        <v>300</v>
      </c>
      <c r="AL96" s="24">
        <v>14</v>
      </c>
      <c r="AM96" s="5">
        <f t="shared" si="73"/>
        <v>920.63492063492095</v>
      </c>
      <c r="AN96" s="26">
        <f t="shared" si="74"/>
        <v>176.06349206349208</v>
      </c>
      <c r="AO96" s="26">
        <f t="shared" si="75"/>
        <v>248482.7399356656</v>
      </c>
      <c r="AP96" s="15">
        <f t="shared" si="76"/>
        <v>6307.6719576719579</v>
      </c>
      <c r="AQ96" s="5">
        <f t="shared" si="77"/>
        <v>5238.7432621467533</v>
      </c>
      <c r="AR96" s="26">
        <f t="shared" si="78"/>
        <v>420.51146384479722</v>
      </c>
      <c r="AS96" s="26">
        <f t="shared" si="79"/>
        <v>3022.1941546989178</v>
      </c>
      <c r="AT96" s="26">
        <f t="shared" si="80"/>
        <v>37.567600585756203</v>
      </c>
      <c r="AU96" s="26">
        <f t="shared" si="81"/>
        <v>5.9854925384629922</v>
      </c>
      <c r="AV96" s="95">
        <f t="shared" si="82"/>
        <v>8.6034497354497351E-7</v>
      </c>
      <c r="AW96" s="95">
        <f t="shared" si="83"/>
        <v>13758293.349206358</v>
      </c>
      <c r="AX96" s="95">
        <f t="shared" si="84"/>
        <v>1.3758293349206359E-5</v>
      </c>
      <c r="AY96" s="54">
        <f t="shared" si="85"/>
        <v>0.1548581140202015</v>
      </c>
      <c r="AZ96" s="54" t="str">
        <f>_xll.Dce_Name_SectI(AE96,AF96,AI96,AH96,AJ96,"x","-",$O$11)</f>
        <v>(528-1528)x300x10x14</v>
      </c>
      <c r="BA96" s="15">
        <f t="shared" si="86"/>
        <v>700.97619047619071</v>
      </c>
      <c r="BB96" s="54"/>
      <c r="BC96" s="54"/>
      <c r="BD96" s="22" t="s">
        <v>517</v>
      </c>
      <c r="BE96" s="23">
        <v>-54.460859775819301</v>
      </c>
      <c r="BF96" s="23">
        <v>-54.607781129070645</v>
      </c>
      <c r="BG96" s="23">
        <v>-1.6590987283350636E-3</v>
      </c>
      <c r="BH96" s="23">
        <v>2.3172809823428017E-5</v>
      </c>
      <c r="BI96" s="23">
        <v>6.0559227665092832E-3</v>
      </c>
      <c r="BJ96" s="23">
        <v>225.05093114343993</v>
      </c>
      <c r="BK96" s="23">
        <v>198.9488588156255</v>
      </c>
      <c r="BL96" s="92">
        <v>2.25</v>
      </c>
      <c r="BM96" s="91">
        <v>2</v>
      </c>
      <c r="BN96" s="5">
        <f t="shared" si="87"/>
        <v>19.473749999999999</v>
      </c>
      <c r="BO96" s="54">
        <f>_xll.Bimoment(BH96,AY96,AC96,AD96,$O$101)</f>
        <v>-1.7821435663111407E-4</v>
      </c>
      <c r="BP96" s="5">
        <f t="shared" si="88"/>
        <v>0.45620689655172403</v>
      </c>
      <c r="BQ96" s="5">
        <f t="shared" si="89"/>
        <v>17.238313010886866</v>
      </c>
      <c r="BR96" s="24" t="str">
        <f t="shared" si="90"/>
        <v>Cal</v>
      </c>
      <c r="BS96" s="25">
        <f t="shared" si="91"/>
        <v>1.3532973742977093E-2</v>
      </c>
      <c r="BT96" s="25" t="str">
        <f t="shared" si="92"/>
        <v>CT.105</v>
      </c>
      <c r="BU96" s="25">
        <f t="shared" si="93"/>
        <v>1</v>
      </c>
      <c r="BV96" s="25" cm="1">
        <f t="array" ref="BV96">IF(BT96="CT.104",_xll.TCVN5575AnnexEHeSoCx(1,BP96),1)</f>
        <v>1</v>
      </c>
      <c r="BW96" s="25">
        <f t="shared" si="94"/>
        <v>1</v>
      </c>
      <c r="BX96" s="25">
        <f t="shared" si="95"/>
        <v>1.4245235518923259E-2</v>
      </c>
      <c r="BY96" s="25">
        <f t="shared" si="96"/>
        <v>0.19783728844541268</v>
      </c>
      <c r="BZ96" s="25">
        <f t="shared" si="97"/>
        <v>6.6321897026699181E-5</v>
      </c>
      <c r="CA96" s="25">
        <f t="shared" si="98"/>
        <v>4.181536008293789E-6</v>
      </c>
      <c r="CB96" s="25">
        <f t="shared" si="99"/>
        <v>0.21215302739737094</v>
      </c>
      <c r="CC96" s="5" t="str">
        <f t="shared" si="100"/>
        <v>OK</v>
      </c>
      <c r="CD96" s="5">
        <f t="shared" si="101"/>
        <v>51.836555160202302</v>
      </c>
      <c r="CE96" s="5">
        <f t="shared" si="102"/>
        <v>33.414125690541383</v>
      </c>
      <c r="CF96" s="5">
        <f t="shared" si="103"/>
        <v>1.7266865002204341</v>
      </c>
      <c r="CG96" s="5">
        <f t="shared" si="104"/>
        <v>1.1130315193248546</v>
      </c>
      <c r="CH96" s="5">
        <f t="shared" si="105"/>
        <v>13.887961921205665</v>
      </c>
      <c r="CI96" s="68">
        <f>_xll.DCETCVN5575PhuLucD2Eta(BP96,CH96,CF96)</f>
        <v>1.2412413793103447</v>
      </c>
      <c r="CJ96" s="5">
        <f t="shared" si="106"/>
        <v>17.238313010886866</v>
      </c>
      <c r="CK96" s="5">
        <f>MIN(noisuy2chieu(CJ96,CF96,Data!$DA$2:$EB$24),1)</f>
        <v>7.9686626791954041E-2</v>
      </c>
      <c r="CL96" s="102">
        <f t="shared" si="107"/>
        <v>0.17876569874283599</v>
      </c>
      <c r="CM96" s="5" t="str">
        <f t="shared" si="108"/>
        <v>OK</v>
      </c>
      <c r="CN96" s="5">
        <f t="shared" si="109"/>
        <v>0.88472625978979058</v>
      </c>
      <c r="CO96" s="5">
        <f t="shared" si="110"/>
        <v>0.5370345235716667</v>
      </c>
      <c r="CP96" s="25">
        <f>_xll.DCETCVNPhuLucFHeSoOnDinh(1, 0.2, AG96, AH96, AI96, AJ96, AI96, AJ96, $D$28)</f>
        <v>1</v>
      </c>
      <c r="CQ96" s="68">
        <f t="shared" si="111"/>
        <v>0.9</v>
      </c>
      <c r="CR96" s="68">
        <f t="shared" si="112"/>
        <v>1</v>
      </c>
      <c r="CS96" s="5">
        <f t="shared" si="113"/>
        <v>0.18181818181818182</v>
      </c>
      <c r="CT96" s="5">
        <f t="shared" si="114"/>
        <v>0.10155106457844131</v>
      </c>
      <c r="CU96" s="26">
        <f t="shared" si="115"/>
        <v>12.277195039631668</v>
      </c>
      <c r="CV96" s="5"/>
      <c r="CW96" s="25"/>
      <c r="CX96" s="72">
        <f>MAX(_xll.Dce_c_925(CU96, CQ96, CR96, CN96, CP96, CS96, CT96),0.3)</f>
        <v>0.3</v>
      </c>
      <c r="CY96" s="102">
        <f t="shared" si="116"/>
        <v>5.3670972089935494E-2</v>
      </c>
      <c r="CZ96" s="5" t="str">
        <f t="shared" si="117"/>
        <v>OK</v>
      </c>
      <c r="DA96" s="47">
        <f t="shared" si="118"/>
        <v>0.34499859601035404</v>
      </c>
      <c r="DB96" s="46">
        <f t="shared" si="119"/>
        <v>0.47130315193248545</v>
      </c>
      <c r="DC96" s="5" t="str">
        <f t="shared" si="120"/>
        <v>OK</v>
      </c>
      <c r="DD96" s="5">
        <f t="shared" si="121"/>
        <v>1.7266865002204341</v>
      </c>
      <c r="DE96" s="5">
        <f t="shared" si="122"/>
        <v>3.0666541867587034</v>
      </c>
      <c r="DF96" s="5" t="str">
        <f t="shared" si="123"/>
        <v>-</v>
      </c>
      <c r="DG96" s="5" t="str">
        <f t="shared" si="124"/>
        <v>-</v>
      </c>
      <c r="DH96" s="203">
        <f t="shared" si="125"/>
        <v>51.836555160202302</v>
      </c>
      <c r="DI96" s="203">
        <f t="shared" si="126"/>
        <v>180</v>
      </c>
      <c r="DJ96" s="46">
        <f t="shared" si="127"/>
        <v>0.28798086200112388</v>
      </c>
      <c r="DK96" s="5" t="str">
        <f t="shared" si="128"/>
        <v>OK</v>
      </c>
      <c r="EB96" s="18"/>
      <c r="EC96" s="77"/>
      <c r="ED96" s="77"/>
      <c r="EE96" s="18"/>
      <c r="EF96" s="18"/>
      <c r="EG96" s="18"/>
      <c r="EH96" s="5"/>
      <c r="EI96" s="5"/>
      <c r="EJ96" s="5"/>
      <c r="EK96" s="5"/>
      <c r="EL96" s="5"/>
      <c r="FE96" s="26"/>
      <c r="FF96" s="26"/>
      <c r="FG96" s="26"/>
      <c r="FH96" s="26"/>
      <c r="FI96" s="26"/>
      <c r="FJ96" s="26"/>
      <c r="FK96" s="26"/>
      <c r="FL96" s="26"/>
      <c r="FM96" s="26"/>
      <c r="FN96" s="205"/>
      <c r="FO96" s="205"/>
      <c r="FP96" s="205"/>
      <c r="FQ96" s="205"/>
      <c r="FR96" s="205"/>
      <c r="FS96" s="205"/>
      <c r="FT96" s="205"/>
      <c r="FU96" s="77"/>
      <c r="FV96" s="77"/>
      <c r="FW96" s="77"/>
      <c r="FX96" s="205"/>
      <c r="FY96" s="205"/>
      <c r="FZ96" s="205"/>
      <c r="GA96" s="205"/>
      <c r="GB96" s="205"/>
      <c r="GC96" s="205"/>
      <c r="GD96" s="205"/>
      <c r="GE96" s="205"/>
      <c r="GF96" s="205"/>
      <c r="GG96" s="205"/>
      <c r="GH96" s="205"/>
      <c r="GI96" s="205"/>
      <c r="GJ96" s="205"/>
      <c r="GK96" s="205"/>
      <c r="GL96" s="205"/>
      <c r="GM96" s="205"/>
      <c r="GN96" s="205"/>
      <c r="GO96" s="205"/>
      <c r="GP96" s="205"/>
      <c r="GQ96" s="205"/>
      <c r="GR96" s="205"/>
      <c r="GS96" s="205"/>
      <c r="GT96" s="205"/>
      <c r="GU96" s="205"/>
      <c r="GV96" s="18"/>
      <c r="GW96" s="5"/>
      <c r="GX96" s="5"/>
      <c r="GY96" s="77"/>
      <c r="GZ96" s="18"/>
      <c r="HA96" s="18"/>
      <c r="HB96" s="18"/>
      <c r="HC96" s="18"/>
      <c r="HD96" s="18"/>
      <c r="HE96" s="18"/>
      <c r="HF96" s="18"/>
      <c r="HG96" s="18"/>
      <c r="HH96" s="205"/>
      <c r="HI96" s="26"/>
      <c r="HJ96" s="26"/>
      <c r="HK96" s="5"/>
    </row>
    <row r="97" spans="2:219" ht="15" customHeight="1">
      <c r="B97" s="431" t="s">
        <v>356</v>
      </c>
      <c r="C97" s="432"/>
      <c r="D97" s="432"/>
      <c r="E97" s="432"/>
      <c r="F97" s="432"/>
      <c r="G97" s="433"/>
      <c r="H97" s="426" t="s">
        <v>229</v>
      </c>
      <c r="I97" s="427"/>
      <c r="J97" s="427"/>
      <c r="K97" s="427"/>
      <c r="L97" s="427"/>
      <c r="M97" s="427"/>
      <c r="N97" s="428"/>
      <c r="AA97" s="18" t="s">
        <v>488</v>
      </c>
      <c r="AB97" s="22" t="s">
        <v>489</v>
      </c>
      <c r="AC97" s="59">
        <v>7.2811904761904795</v>
      </c>
      <c r="AD97" s="59">
        <v>8.6549999999999994</v>
      </c>
      <c r="AE97" s="22">
        <v>528</v>
      </c>
      <c r="AF97" s="22">
        <v>1528</v>
      </c>
      <c r="AG97" s="22">
        <v>1369.2698412698419</v>
      </c>
      <c r="AH97" s="6">
        <v>10</v>
      </c>
      <c r="AI97" s="6">
        <v>300</v>
      </c>
      <c r="AJ97" s="6">
        <v>14</v>
      </c>
      <c r="AK97" s="24">
        <v>300</v>
      </c>
      <c r="AL97" s="24">
        <v>14</v>
      </c>
      <c r="AM97" s="5">
        <f t="shared" si="73"/>
        <v>1341.2698412698419</v>
      </c>
      <c r="AN97" s="26">
        <f t="shared" si="74"/>
        <v>218.12698412698418</v>
      </c>
      <c r="AO97" s="26">
        <f t="shared" si="75"/>
        <v>586811.79072745051</v>
      </c>
      <c r="AP97" s="15">
        <f t="shared" si="76"/>
        <v>6311.1772486772488</v>
      </c>
      <c r="AQ97" s="5">
        <f t="shared" si="77"/>
        <v>8571.1635945074104</v>
      </c>
      <c r="AR97" s="26">
        <f t="shared" si="78"/>
        <v>420.74514991181661</v>
      </c>
      <c r="AS97" s="26">
        <f t="shared" si="79"/>
        <v>5094.8226505417015</v>
      </c>
      <c r="AT97" s="26">
        <f t="shared" si="80"/>
        <v>51.867428670398397</v>
      </c>
      <c r="AU97" s="26">
        <f t="shared" si="81"/>
        <v>5.3789869588463937</v>
      </c>
      <c r="AV97" s="95">
        <f t="shared" si="82"/>
        <v>1.0005566137566139E-6</v>
      </c>
      <c r="AW97" s="95">
        <f t="shared" si="83"/>
        <v>28928912.396825422</v>
      </c>
      <c r="AX97" s="95">
        <f t="shared" si="84"/>
        <v>2.8928912396825422E-5</v>
      </c>
      <c r="AY97" s="54">
        <f t="shared" si="85"/>
        <v>0.11516876660535029</v>
      </c>
      <c r="AZ97" s="54" t="str">
        <f>_xll.Dce_Name_SectI(AE97,AF97,AI97,AH97,AJ97,"x","-",$O$11)</f>
        <v>(528-1528)x300x10x14</v>
      </c>
      <c r="BA97" s="15">
        <f t="shared" si="86"/>
        <v>1016.4523809523813</v>
      </c>
      <c r="BB97" s="54"/>
      <c r="BC97" s="54"/>
      <c r="BD97" s="22" t="s">
        <v>517</v>
      </c>
      <c r="BE97" s="23">
        <v>-46.993908338761088</v>
      </c>
      <c r="BF97" s="23">
        <v>-40.141998846945228</v>
      </c>
      <c r="BG97" s="23">
        <v>-1.6590987283341759E-3</v>
      </c>
      <c r="BH97" s="23">
        <v>2.3172809823428017E-5</v>
      </c>
      <c r="BI97" s="23">
        <v>1.2110254254095884E-2</v>
      </c>
      <c r="BJ97" s="23">
        <v>397.897717631251</v>
      </c>
      <c r="BK97" s="23">
        <v>198.9488588156255</v>
      </c>
      <c r="BL97" s="92">
        <v>2.25</v>
      </c>
      <c r="BM97" s="91">
        <v>2</v>
      </c>
      <c r="BN97" s="5">
        <f t="shared" si="87"/>
        <v>19.473749999999999</v>
      </c>
      <c r="BO97" s="54">
        <f>_xll.Bimoment(BH97,AY97,AC97,AD97,$O$101)</f>
        <v>-1.0600796752079611E-4</v>
      </c>
      <c r="BP97" s="5">
        <f t="shared" si="88"/>
        <v>0.31313609467455605</v>
      </c>
      <c r="BQ97" s="5">
        <f t="shared" si="89"/>
        <v>26.129241640028109</v>
      </c>
      <c r="BR97" s="24" t="str">
        <f t="shared" si="90"/>
        <v>Cal</v>
      </c>
      <c r="BS97" s="25">
        <f t="shared" si="91"/>
        <v>9.4256265360726406E-3</v>
      </c>
      <c r="BT97" s="25" t="str">
        <f t="shared" si="92"/>
        <v>CT.105</v>
      </c>
      <c r="BU97" s="25">
        <f t="shared" si="93"/>
        <v>1</v>
      </c>
      <c r="BV97" s="25" cm="1">
        <f t="array" ref="BV97">IF(BT97="CT.104",_xll.TCVN5575AnnexEHeSoCx(1,BP97),1)</f>
        <v>1</v>
      </c>
      <c r="BW97" s="25">
        <f t="shared" si="94"/>
        <v>1</v>
      </c>
      <c r="BX97" s="25">
        <f t="shared" si="95"/>
        <v>9.9217121432343593E-3</v>
      </c>
      <c r="BY97" s="25">
        <f t="shared" si="96"/>
        <v>0.21378937403456641</v>
      </c>
      <c r="BZ97" s="25">
        <f t="shared" si="97"/>
        <v>1.3255270503014649E-4</v>
      </c>
      <c r="CA97" s="25">
        <f t="shared" si="98"/>
        <v>1.7153308212509333E-6</v>
      </c>
      <c r="CB97" s="25">
        <f t="shared" si="99"/>
        <v>0.22384535421365218</v>
      </c>
      <c r="CC97" s="5" t="str">
        <f t="shared" si="100"/>
        <v>OK</v>
      </c>
      <c r="CD97" s="5">
        <f t="shared" si="101"/>
        <v>37.545238889226049</v>
      </c>
      <c r="CE97" s="5">
        <f t="shared" si="102"/>
        <v>37.181722419139881</v>
      </c>
      <c r="CF97" s="5">
        <f t="shared" si="103"/>
        <v>1.2506397644909562</v>
      </c>
      <c r="CG97" s="5">
        <f t="shared" si="104"/>
        <v>1.2385309547993069</v>
      </c>
      <c r="CH97" s="5">
        <f t="shared" si="105"/>
        <v>21.547629174098738</v>
      </c>
      <c r="CI97" s="68">
        <f>_xll.DCETCVN5575PhuLucD2Eta(BP97,CH97,CF97)</f>
        <v>1.2126272189349112</v>
      </c>
      <c r="CJ97" s="5">
        <f t="shared" si="106"/>
        <v>26.129241640028109</v>
      </c>
      <c r="CK97" s="5">
        <f>MIN(noisuy2chieu(CJ97,CF97,Data!$DA$2:$EB$24),1)</f>
        <v>7.1994885802268982E-2</v>
      </c>
      <c r="CL97" s="102">
        <f t="shared" si="107"/>
        <v>0.13781134635707232</v>
      </c>
      <c r="CM97" s="5" t="str">
        <f t="shared" si="108"/>
        <v>OK</v>
      </c>
      <c r="CN97" s="5">
        <f t="shared" si="109"/>
        <v>0.86643683692746631</v>
      </c>
      <c r="CO97" s="5">
        <f t="shared" si="110"/>
        <v>0.5370345235716667</v>
      </c>
      <c r="CP97" s="25">
        <f>_xll.DCETCVNPhuLucFHeSoOnDinh(1, 0.2, AG97, AH97, AI97, AJ97, AI97, AJ97, $D$28)</f>
        <v>1</v>
      </c>
      <c r="CQ97" s="68">
        <f t="shared" si="111"/>
        <v>0.9</v>
      </c>
      <c r="CR97" s="68">
        <f t="shared" si="112"/>
        <v>1</v>
      </c>
      <c r="CS97" s="5">
        <f t="shared" si="113"/>
        <v>0.18181818181818182</v>
      </c>
      <c r="CT97" s="5">
        <f t="shared" si="114"/>
        <v>0.10347287704587492</v>
      </c>
      <c r="CU97" s="26">
        <f t="shared" si="115"/>
        <v>10.773814587049369</v>
      </c>
      <c r="CV97" s="5"/>
      <c r="CW97" s="25"/>
      <c r="CX97" s="72">
        <f>MAX(_xll.Dce_c_925(CU97, CQ97, CR97, CN97, CP97, CS97, CT97),0.3)</f>
        <v>0.3</v>
      </c>
      <c r="CY97" s="102">
        <f t="shared" si="116"/>
        <v>3.8170553699057294E-2</v>
      </c>
      <c r="CZ97" s="5" t="str">
        <f t="shared" si="117"/>
        <v>OK</v>
      </c>
      <c r="DA97" s="47">
        <f t="shared" si="118"/>
        <v>0.34499859601035404</v>
      </c>
      <c r="DB97" s="46">
        <f t="shared" si="119"/>
        <v>0.48385309547993066</v>
      </c>
      <c r="DC97" s="5" t="str">
        <f t="shared" si="120"/>
        <v>OK</v>
      </c>
      <c r="DD97" s="5">
        <f t="shared" si="121"/>
        <v>1.2506397644909562</v>
      </c>
      <c r="DE97" s="5">
        <f t="shared" si="122"/>
        <v>4.4677979100191463</v>
      </c>
      <c r="DF97" s="5" t="str">
        <f t="shared" si="123"/>
        <v>-</v>
      </c>
      <c r="DG97" s="5" t="str">
        <f t="shared" si="124"/>
        <v>-</v>
      </c>
      <c r="DH97" s="203">
        <f t="shared" si="125"/>
        <v>37.545238889226049</v>
      </c>
      <c r="DI97" s="203">
        <f t="shared" si="126"/>
        <v>180</v>
      </c>
      <c r="DJ97" s="46">
        <f t="shared" si="127"/>
        <v>0.20858466049570026</v>
      </c>
      <c r="DK97" s="5" t="str">
        <f t="shared" si="128"/>
        <v>OK</v>
      </c>
      <c r="EB97" s="18"/>
      <c r="EC97" s="77"/>
      <c r="ED97" s="77"/>
      <c r="EE97" s="18"/>
      <c r="EF97" s="18"/>
      <c r="EG97" s="18"/>
      <c r="EH97" s="5"/>
      <c r="EI97" s="5"/>
      <c r="EJ97" s="5"/>
      <c r="EK97" s="5"/>
      <c r="EL97" s="5"/>
      <c r="FE97" s="26"/>
      <c r="FF97" s="26"/>
      <c r="FG97" s="26"/>
      <c r="FH97" s="26"/>
      <c r="FI97" s="26"/>
      <c r="FJ97" s="26"/>
      <c r="FK97" s="26"/>
      <c r="FL97" s="26"/>
      <c r="FM97" s="26"/>
      <c r="FN97" s="205"/>
      <c r="FO97" s="205"/>
      <c r="FP97" s="205"/>
      <c r="FQ97" s="205"/>
      <c r="FR97" s="205"/>
      <c r="FS97" s="205"/>
      <c r="FT97" s="205"/>
      <c r="FU97" s="77"/>
      <c r="FV97" s="77"/>
      <c r="FW97" s="77"/>
      <c r="FX97" s="205"/>
      <c r="FY97" s="205"/>
      <c r="FZ97" s="205"/>
      <c r="GA97" s="205"/>
      <c r="GB97" s="205"/>
      <c r="GC97" s="205"/>
      <c r="GD97" s="205"/>
      <c r="GE97" s="205"/>
      <c r="GF97" s="205"/>
      <c r="GG97" s="205"/>
      <c r="GH97" s="205"/>
      <c r="GI97" s="205"/>
      <c r="GJ97" s="205"/>
      <c r="GK97" s="205"/>
      <c r="GL97" s="205"/>
      <c r="GM97" s="205"/>
      <c r="GN97" s="205"/>
      <c r="GO97" s="205"/>
      <c r="GP97" s="205"/>
      <c r="GQ97" s="205"/>
      <c r="GR97" s="205"/>
      <c r="GS97" s="205"/>
      <c r="GT97" s="205"/>
      <c r="GU97" s="205"/>
      <c r="GV97" s="18"/>
      <c r="GW97" s="5"/>
      <c r="GX97" s="5"/>
      <c r="GY97" s="77"/>
      <c r="GZ97" s="18"/>
      <c r="HA97" s="18"/>
      <c r="HB97" s="18"/>
      <c r="HC97" s="18"/>
      <c r="HD97" s="18"/>
      <c r="HE97" s="18"/>
      <c r="HF97" s="18"/>
      <c r="HG97" s="18"/>
      <c r="HH97" s="205"/>
      <c r="HI97" s="26"/>
      <c r="HJ97" s="26"/>
      <c r="HK97" s="5"/>
    </row>
    <row r="98" spans="2:219" ht="15" customHeight="1">
      <c r="B98" s="25" t="s">
        <v>357</v>
      </c>
      <c r="C98" s="32" t="s">
        <v>358</v>
      </c>
      <c r="D98" s="5" t="s">
        <v>359</v>
      </c>
      <c r="E98" s="5" t="s">
        <v>362</v>
      </c>
      <c r="F98" s="67" t="s">
        <v>360</v>
      </c>
      <c r="G98" s="5" t="s">
        <v>361</v>
      </c>
      <c r="H98" s="357"/>
      <c r="I98" s="358"/>
      <c r="J98" s="358"/>
      <c r="K98" s="359"/>
      <c r="L98" s="5" t="s">
        <v>91</v>
      </c>
      <c r="M98" s="32" t="s">
        <v>358</v>
      </c>
      <c r="N98" s="229" t="s">
        <v>367</v>
      </c>
      <c r="AA98" s="18" t="s">
        <v>488</v>
      </c>
      <c r="AB98" s="22" t="s">
        <v>489</v>
      </c>
      <c r="AC98" s="59">
        <v>0</v>
      </c>
      <c r="AD98" s="59">
        <v>8.6549999999999994</v>
      </c>
      <c r="AE98" s="22">
        <v>528</v>
      </c>
      <c r="AF98" s="22">
        <v>1528</v>
      </c>
      <c r="AG98" s="22">
        <v>528</v>
      </c>
      <c r="AH98" s="6">
        <v>10</v>
      </c>
      <c r="AI98" s="6">
        <v>300</v>
      </c>
      <c r="AJ98" s="6">
        <v>14</v>
      </c>
      <c r="AK98" s="24">
        <v>300</v>
      </c>
      <c r="AL98" s="24">
        <v>14</v>
      </c>
      <c r="AM98" s="5">
        <f t="shared" si="73"/>
        <v>500</v>
      </c>
      <c r="AN98" s="26">
        <f t="shared" si="74"/>
        <v>134</v>
      </c>
      <c r="AO98" s="26">
        <f t="shared" si="75"/>
        <v>65911.546666666676</v>
      </c>
      <c r="AP98" s="15">
        <f t="shared" si="76"/>
        <v>6304.166666666667</v>
      </c>
      <c r="AQ98" s="5">
        <f t="shared" si="77"/>
        <v>2496.6494949494954</v>
      </c>
      <c r="AR98" s="26">
        <f t="shared" si="78"/>
        <v>420.27777777777777</v>
      </c>
      <c r="AS98" s="26">
        <f t="shared" si="79"/>
        <v>1391.9</v>
      </c>
      <c r="AT98" s="26">
        <f t="shared" si="80"/>
        <v>22.178305028345793</v>
      </c>
      <c r="AU98" s="26">
        <f t="shared" si="81"/>
        <v>6.8590101254115021</v>
      </c>
      <c r="AV98" s="95">
        <f t="shared" si="82"/>
        <v>7.201333333333334E-7</v>
      </c>
      <c r="AW98" s="95">
        <f t="shared" si="83"/>
        <v>4161087</v>
      </c>
      <c r="AX98" s="95">
        <f t="shared" si="84"/>
        <v>4.1610870000000001E-6</v>
      </c>
      <c r="AY98" s="54">
        <f t="shared" si="85"/>
        <v>0.25762202780669918</v>
      </c>
      <c r="AZ98" s="54" t="str">
        <f>_xll.Dce_Name_SectI(AE98,AF98,AI98,AH98,AJ98,"x","-",$O$11)</f>
        <v>(528-1528)x300x10x14</v>
      </c>
      <c r="BA98" s="15">
        <f t="shared" si="86"/>
        <v>385.5</v>
      </c>
      <c r="BB98" s="54"/>
      <c r="BC98" s="54"/>
      <c r="BD98" s="22" t="s">
        <v>518</v>
      </c>
      <c r="BE98" s="23">
        <v>-289.6777369247921</v>
      </c>
      <c r="BF98" s="23">
        <v>-297.97395111594398</v>
      </c>
      <c r="BG98" s="23">
        <v>2.3789515261924844E-3</v>
      </c>
      <c r="BH98" s="23">
        <v>-3.322707103206246E-5</v>
      </c>
      <c r="BI98" s="23">
        <v>-2.2817059338944845E-6</v>
      </c>
      <c r="BJ98" s="23">
        <v>-3.7601664894315001</v>
      </c>
      <c r="BK98" s="23">
        <v>1075.8893630395853</v>
      </c>
      <c r="BL98" s="92">
        <v>2.25</v>
      </c>
      <c r="BM98" s="91">
        <v>2</v>
      </c>
      <c r="BN98" s="5">
        <f t="shared" si="87"/>
        <v>19.473749999999999</v>
      </c>
      <c r="BO98" s="54">
        <f>_xll.Bimoment(BH98,AY98,AC98,AD98,$O$101)</f>
        <v>0</v>
      </c>
      <c r="BP98" s="5">
        <f t="shared" si="88"/>
        <v>0.84</v>
      </c>
      <c r="BQ98" s="5">
        <f t="shared" si="89"/>
        <v>0.10567728018522782</v>
      </c>
      <c r="BR98" s="24" t="str">
        <f t="shared" si="90"/>
        <v>Cal</v>
      </c>
      <c r="BS98" s="25">
        <f t="shared" si="91"/>
        <v>9.4577619331788473E-2</v>
      </c>
      <c r="BT98" s="25" t="str">
        <f t="shared" si="92"/>
        <v>CT.105</v>
      </c>
      <c r="BU98" s="25">
        <f t="shared" si="93"/>
        <v>1</v>
      </c>
      <c r="BV98" s="25" cm="1">
        <f t="array" ref="BV98">IF(BT98="CT.104",_xll.TCVN5575AnnexEHeSoCx(1,BP98),1)</f>
        <v>1</v>
      </c>
      <c r="BW98" s="25">
        <f t="shared" si="94"/>
        <v>1</v>
      </c>
      <c r="BX98" s="25">
        <f t="shared" si="95"/>
        <v>9.9555388770303649E-2</v>
      </c>
      <c r="BY98" s="25">
        <f t="shared" si="96"/>
        <v>6.9359180118631642E-3</v>
      </c>
      <c r="BZ98" s="25">
        <f t="shared" si="97"/>
        <v>2.5002169589061905E-8</v>
      </c>
      <c r="CA98" s="25">
        <f t="shared" si="98"/>
        <v>0</v>
      </c>
      <c r="CB98" s="25">
        <f t="shared" si="99"/>
        <v>0.1064913317843364</v>
      </c>
      <c r="CC98" s="5" t="str">
        <f t="shared" si="100"/>
        <v>OK</v>
      </c>
      <c r="CD98" s="5">
        <f t="shared" si="101"/>
        <v>87.805402509844015</v>
      </c>
      <c r="CE98" s="5">
        <f t="shared" si="102"/>
        <v>29.158726455153193</v>
      </c>
      <c r="CF98" s="5">
        <f t="shared" si="103"/>
        <v>2.9248163326364334</v>
      </c>
      <c r="CG98" s="5">
        <f t="shared" si="104"/>
        <v>0.97128328026682387</v>
      </c>
      <c r="CH98" s="5">
        <f t="shared" si="105"/>
        <v>6.9668936031839171E-2</v>
      </c>
      <c r="CI98" s="68">
        <f>_xll.DCETCVN5575PhuLucD2Eta(BP98,CH98,CF98)</f>
        <v>1.5168493478489837</v>
      </c>
      <c r="CJ98" s="5">
        <f t="shared" si="106"/>
        <v>0.10567728018522782</v>
      </c>
      <c r="CK98" s="5">
        <f>MIN(noisuy2chieu(CJ98,CF98,Data!$DA$2:$EB$24),1)</f>
        <v>0.6756281852722168</v>
      </c>
      <c r="CL98" s="102">
        <f t="shared" si="107"/>
        <v>0.14735233215617236</v>
      </c>
      <c r="CM98" s="5" t="str">
        <f t="shared" si="108"/>
        <v>OK</v>
      </c>
      <c r="CN98" s="5">
        <f t="shared" si="109"/>
        <v>0.90492218941026858</v>
      </c>
      <c r="CO98" s="5">
        <f t="shared" si="110"/>
        <v>0.5370345235716667</v>
      </c>
      <c r="CP98" s="25">
        <f>_xll.DCETCVNPhuLucFHeSoOnDinh(1, 0.2, AG98, AH98, AI98, AJ98, AI98, AJ98, $D$28)</f>
        <v>1</v>
      </c>
      <c r="CQ98" s="68">
        <f t="shared" si="111"/>
        <v>0.9</v>
      </c>
      <c r="CR98" s="68">
        <f t="shared" si="112"/>
        <v>1</v>
      </c>
      <c r="CS98" s="5">
        <f t="shared" si="113"/>
        <v>0.18181818181818182</v>
      </c>
      <c r="CT98" s="5">
        <f t="shared" si="114"/>
        <v>9.9510191986788829E-2</v>
      </c>
      <c r="CU98" s="26">
        <f t="shared" si="115"/>
        <v>19.934241587870133</v>
      </c>
      <c r="CV98" s="5"/>
      <c r="CW98" s="25"/>
      <c r="CX98" s="72">
        <f>MAX(_xll.Dce_c_925(CU98, CQ98, CR98, CN98, CP98, CS98, CT98),0.3)</f>
        <v>0.3</v>
      </c>
      <c r="CY98" s="102">
        <f t="shared" si="116"/>
        <v>0.36671804469429281</v>
      </c>
      <c r="CZ98" s="5" t="str">
        <f t="shared" si="117"/>
        <v>OK</v>
      </c>
      <c r="DA98" s="47">
        <f t="shared" si="118"/>
        <v>0.34499859601035404</v>
      </c>
      <c r="DB98" s="46">
        <f t="shared" si="119"/>
        <v>0.45712832802668235</v>
      </c>
      <c r="DC98" s="5" t="str">
        <f t="shared" si="120"/>
        <v>OK</v>
      </c>
      <c r="DD98" s="5">
        <f t="shared" si="121"/>
        <v>2.9248163326364334</v>
      </c>
      <c r="DE98" s="5">
        <f t="shared" si="122"/>
        <v>1.6655104634982609</v>
      </c>
      <c r="DF98" s="5" t="str">
        <f t="shared" si="123"/>
        <v>-</v>
      </c>
      <c r="DG98" s="5" t="str">
        <f t="shared" si="124"/>
        <v>-</v>
      </c>
      <c r="DH98" s="203" t="str">
        <f t="shared" si="125"/>
        <v>-</v>
      </c>
      <c r="DI98" s="203">
        <f t="shared" si="126"/>
        <v>180</v>
      </c>
      <c r="DJ98" s="46">
        <f t="shared" si="127"/>
        <v>0</v>
      </c>
      <c r="DK98" s="5" t="str">
        <f t="shared" si="128"/>
        <v>OK</v>
      </c>
      <c r="EB98" s="18"/>
      <c r="EC98" s="77"/>
      <c r="ED98" s="77"/>
      <c r="EE98" s="18"/>
      <c r="EF98" s="18"/>
      <c r="EG98" s="18"/>
      <c r="EH98" s="5"/>
      <c r="EI98" s="5"/>
      <c r="EJ98" s="5"/>
      <c r="EK98" s="5"/>
      <c r="EL98" s="5"/>
      <c r="FE98" s="26"/>
      <c r="FF98" s="26"/>
      <c r="FG98" s="26"/>
      <c r="FH98" s="26"/>
      <c r="FI98" s="26"/>
      <c r="FJ98" s="26"/>
      <c r="FK98" s="26"/>
      <c r="FL98" s="26"/>
      <c r="FM98" s="26"/>
      <c r="FN98" s="205"/>
      <c r="FO98" s="205"/>
      <c r="FP98" s="205"/>
      <c r="FQ98" s="205"/>
      <c r="FR98" s="205"/>
      <c r="FS98" s="205"/>
      <c r="FT98" s="205"/>
      <c r="FU98" s="77"/>
      <c r="FV98" s="77"/>
      <c r="FW98" s="77"/>
      <c r="FX98" s="205"/>
      <c r="FY98" s="205"/>
      <c r="FZ98" s="205"/>
      <c r="GA98" s="205"/>
      <c r="GB98" s="205"/>
      <c r="GC98" s="205"/>
      <c r="GD98" s="205"/>
      <c r="GE98" s="205"/>
      <c r="GF98" s="205"/>
      <c r="GG98" s="205"/>
      <c r="GH98" s="205"/>
      <c r="GI98" s="205"/>
      <c r="GJ98" s="205"/>
      <c r="GK98" s="205"/>
      <c r="GL98" s="205"/>
      <c r="GM98" s="205"/>
      <c r="GN98" s="205"/>
      <c r="GO98" s="205"/>
      <c r="GP98" s="205"/>
      <c r="GQ98" s="205"/>
      <c r="GR98" s="205"/>
      <c r="GS98" s="205"/>
      <c r="GT98" s="205"/>
      <c r="GU98" s="205"/>
      <c r="GV98" s="18"/>
      <c r="GW98" s="5"/>
      <c r="GX98" s="5"/>
      <c r="GY98" s="77"/>
      <c r="GZ98" s="18"/>
      <c r="HA98" s="18"/>
      <c r="HB98" s="18"/>
      <c r="HC98" s="18"/>
      <c r="HD98" s="18"/>
      <c r="HE98" s="18"/>
      <c r="HF98" s="18"/>
      <c r="HG98" s="18"/>
      <c r="HH98" s="205"/>
      <c r="HI98" s="26"/>
      <c r="HJ98" s="26"/>
      <c r="HK98" s="5"/>
    </row>
    <row r="99" spans="2:219">
      <c r="B99" s="25">
        <f>G58</f>
        <v>19.48764348492994</v>
      </c>
      <c r="C99" s="25">
        <f>G57</f>
        <v>1.2506397644909562</v>
      </c>
      <c r="D99" s="25">
        <f>0.36+0.1*MIN(MAX(0.8,G77),4)</f>
        <v>0.4850639764490956</v>
      </c>
      <c r="E99" s="25">
        <f>D99-0.01*(1.5+0.7*C99)*5</f>
        <v>0.36629158469191214</v>
      </c>
      <c r="F99" s="25">
        <f>ABS(L32)*1000000/(J28*1000*F28)+ABS(K32)*1000000/(K28*1000*F28)</f>
        <v>268.58640053120229</v>
      </c>
      <c r="G99" s="25">
        <f>IF(B99&lt;=5,0,0.5*SQRT(D28/F99))</f>
        <v>0.46125274754386308</v>
      </c>
      <c r="H99" s="360"/>
      <c r="I99" s="361"/>
      <c r="J99" s="361"/>
      <c r="K99" s="362"/>
      <c r="L99" s="54">
        <f>G58</f>
        <v>19.48764348492994</v>
      </c>
      <c r="M99" s="54">
        <f>G77</f>
        <v>1.2506397644909562</v>
      </c>
      <c r="N99" s="54">
        <f>noisuy1chieu(L99,$B$127:$B$130,$C$127:$C$130)</f>
        <v>3.3993022441864014</v>
      </c>
      <c r="AA99" s="18" t="s">
        <v>488</v>
      </c>
      <c r="AB99" s="22" t="s">
        <v>489</v>
      </c>
      <c r="AC99" s="59">
        <v>3.6405952380952398</v>
      </c>
      <c r="AD99" s="59">
        <v>8.6549999999999994</v>
      </c>
      <c r="AE99" s="22">
        <v>528</v>
      </c>
      <c r="AF99" s="22">
        <v>1528</v>
      </c>
      <c r="AG99" s="22">
        <v>948.63492063492095</v>
      </c>
      <c r="AH99" s="6">
        <v>10</v>
      </c>
      <c r="AI99" s="6">
        <v>300</v>
      </c>
      <c r="AJ99" s="6">
        <v>14</v>
      </c>
      <c r="AK99" s="24">
        <v>300</v>
      </c>
      <c r="AL99" s="24">
        <v>14</v>
      </c>
      <c r="AM99" s="5">
        <f t="shared" si="73"/>
        <v>920.63492063492095</v>
      </c>
      <c r="AN99" s="26">
        <f t="shared" si="74"/>
        <v>176.06349206349208</v>
      </c>
      <c r="AO99" s="26">
        <f t="shared" si="75"/>
        <v>248482.7399356656</v>
      </c>
      <c r="AP99" s="15">
        <f t="shared" si="76"/>
        <v>6307.6719576719579</v>
      </c>
      <c r="AQ99" s="5">
        <f t="shared" si="77"/>
        <v>5238.7432621467533</v>
      </c>
      <c r="AR99" s="26">
        <f t="shared" si="78"/>
        <v>420.51146384479722</v>
      </c>
      <c r="AS99" s="26">
        <f t="shared" si="79"/>
        <v>3022.1941546989178</v>
      </c>
      <c r="AT99" s="26">
        <f t="shared" si="80"/>
        <v>37.567600585756203</v>
      </c>
      <c r="AU99" s="26">
        <f t="shared" si="81"/>
        <v>5.9854925384629922</v>
      </c>
      <c r="AV99" s="95">
        <f t="shared" si="82"/>
        <v>8.6034497354497351E-7</v>
      </c>
      <c r="AW99" s="95">
        <f t="shared" si="83"/>
        <v>13758293.349206358</v>
      </c>
      <c r="AX99" s="95">
        <f t="shared" si="84"/>
        <v>1.3758293349206359E-5</v>
      </c>
      <c r="AY99" s="54">
        <f t="shared" si="85"/>
        <v>0.1548581140202015</v>
      </c>
      <c r="AZ99" s="54" t="str">
        <f>_xll.Dce_Name_SectI(AE99,AF99,AI99,AH99,AJ99,"x","-",$O$11)</f>
        <v>(528-1528)x300x10x14</v>
      </c>
      <c r="BA99" s="15">
        <f t="shared" si="86"/>
        <v>700.97619047619071</v>
      </c>
      <c r="BB99" s="54"/>
      <c r="BC99" s="54"/>
      <c r="BD99" s="22" t="s">
        <v>518</v>
      </c>
      <c r="BE99" s="23">
        <v>-284.57122123822626</v>
      </c>
      <c r="BF99" s="23">
        <v>-295.32890830322651</v>
      </c>
      <c r="BG99" s="23">
        <v>2.3789515261926474E-3</v>
      </c>
      <c r="BH99" s="23">
        <v>-3.322707103206246E-5</v>
      </c>
      <c r="BI99" s="23">
        <v>-8.6834776386963478E-3</v>
      </c>
      <c r="BJ99" s="23">
        <v>1078.7388171692464</v>
      </c>
      <c r="BK99" s="23">
        <v>1075.8893630395853</v>
      </c>
      <c r="BL99" s="92">
        <v>2.25</v>
      </c>
      <c r="BM99" s="91">
        <v>2</v>
      </c>
      <c r="BN99" s="5">
        <f t="shared" si="87"/>
        <v>19.473749999999999</v>
      </c>
      <c r="BO99" s="54">
        <f>_xll.Bimoment(BH99,AY99,AC99,AD99,$O$101)</f>
        <v>2.5553832840455033E-4</v>
      </c>
      <c r="BP99" s="5">
        <f t="shared" si="88"/>
        <v>0.45620689655172403</v>
      </c>
      <c r="BQ99" s="5">
        <f t="shared" si="89"/>
        <v>15.813345885624379</v>
      </c>
      <c r="BR99" s="24" t="str">
        <f t="shared" si="90"/>
        <v>Cal</v>
      </c>
      <c r="BS99" s="25">
        <f t="shared" si="91"/>
        <v>7.0713075057506403E-2</v>
      </c>
      <c r="BT99" s="25" t="str">
        <f t="shared" si="92"/>
        <v>CT.105</v>
      </c>
      <c r="BU99" s="25">
        <f t="shared" si="93"/>
        <v>1</v>
      </c>
      <c r="BV99" s="25" cm="1">
        <f t="array" ref="BV99">IF(BT99="CT.104",_xll.TCVN5575AnnexEHeSoCx(1,BP99),1)</f>
        <v>1</v>
      </c>
      <c r="BW99" s="25">
        <f t="shared" si="94"/>
        <v>1</v>
      </c>
      <c r="BX99" s="25">
        <f t="shared" si="95"/>
        <v>7.4434815850006747E-2</v>
      </c>
      <c r="BY99" s="25">
        <f t="shared" si="96"/>
        <v>0.9482953989359505</v>
      </c>
      <c r="BZ99" s="25">
        <f t="shared" si="97"/>
        <v>9.5097763295819496E-5</v>
      </c>
      <c r="CA99" s="25">
        <f t="shared" si="98"/>
        <v>5.9958285175341265E-6</v>
      </c>
      <c r="CB99" s="25">
        <f t="shared" si="99"/>
        <v>1.0228313083777705</v>
      </c>
      <c r="CC99" s="5" t="str">
        <f t="shared" si="100"/>
        <v>Check</v>
      </c>
      <c r="CD99" s="5">
        <f t="shared" si="101"/>
        <v>51.836555160202302</v>
      </c>
      <c r="CE99" s="5">
        <f t="shared" si="102"/>
        <v>33.414125690541383</v>
      </c>
      <c r="CF99" s="5">
        <f t="shared" si="103"/>
        <v>1.7266865002204341</v>
      </c>
      <c r="CG99" s="5">
        <f t="shared" si="104"/>
        <v>1.1130315193248546</v>
      </c>
      <c r="CH99" s="5">
        <f t="shared" si="105"/>
        <v>12.739944179439577</v>
      </c>
      <c r="CI99" s="68">
        <f>_xll.DCETCVN5575PhuLucD2Eta(BP99,CH99,CF99)</f>
        <v>1.2412413793103447</v>
      </c>
      <c r="CJ99" s="5">
        <f t="shared" si="106"/>
        <v>15.813345885624379</v>
      </c>
      <c r="CK99" s="5">
        <f>MIN(noisuy2chieu(CJ99,CF99,Data!$DA$2:$EB$24),1)</f>
        <v>8.7005592882633209E-2</v>
      </c>
      <c r="CL99" s="102">
        <f t="shared" si="107"/>
        <v>0.85551759816654682</v>
      </c>
      <c r="CM99" s="5" t="str">
        <f t="shared" si="108"/>
        <v>OK</v>
      </c>
      <c r="CN99" s="5">
        <f t="shared" si="109"/>
        <v>0.88472625978979058</v>
      </c>
      <c r="CO99" s="5">
        <f t="shared" si="110"/>
        <v>0.5370345235716667</v>
      </c>
      <c r="CP99" s="25">
        <f>_xll.DCETCVNPhuLucFHeSoOnDinh(1, 0.2, AG99, AH99, AI99, AJ99, AI99, AJ99, $D$28)</f>
        <v>1</v>
      </c>
      <c r="CQ99" s="68">
        <f t="shared" si="111"/>
        <v>0.9</v>
      </c>
      <c r="CR99" s="68">
        <f t="shared" si="112"/>
        <v>1</v>
      </c>
      <c r="CS99" s="5">
        <f t="shared" si="113"/>
        <v>0.18181818181818182</v>
      </c>
      <c r="CT99" s="5">
        <f t="shared" si="114"/>
        <v>0.10155106457844131</v>
      </c>
      <c r="CU99" s="26">
        <f t="shared" si="115"/>
        <v>12.706292023814903</v>
      </c>
      <c r="CV99" s="5"/>
      <c r="CW99" s="25"/>
      <c r="CX99" s="72">
        <f>MAX(_xll.Dce_c_925(CU99, CQ99, CR99, CN99, CP99, CS99, CT99),0.3)</f>
        <v>0.3</v>
      </c>
      <c r="CY99" s="102">
        <f t="shared" si="116"/>
        <v>0.28044386621044548</v>
      </c>
      <c r="CZ99" s="5" t="str">
        <f t="shared" si="117"/>
        <v>OK</v>
      </c>
      <c r="DA99" s="47">
        <f t="shared" si="118"/>
        <v>0.34499859601035404</v>
      </c>
      <c r="DB99" s="46">
        <f t="shared" si="119"/>
        <v>0.47130315193248545</v>
      </c>
      <c r="DC99" s="5" t="str">
        <f t="shared" si="120"/>
        <v>OK</v>
      </c>
      <c r="DD99" s="5">
        <f t="shared" si="121"/>
        <v>1.7266865002204341</v>
      </c>
      <c r="DE99" s="5">
        <f t="shared" si="122"/>
        <v>3.0666541867587034</v>
      </c>
      <c r="DF99" s="5" t="str">
        <f t="shared" si="123"/>
        <v>-</v>
      </c>
      <c r="DG99" s="5" t="str">
        <f t="shared" si="124"/>
        <v>-</v>
      </c>
      <c r="DH99" s="203">
        <f t="shared" si="125"/>
        <v>51.836555160202302</v>
      </c>
      <c r="DI99" s="203">
        <f t="shared" si="126"/>
        <v>158.6689441100072</v>
      </c>
      <c r="DJ99" s="46">
        <f t="shared" si="127"/>
        <v>0.32669628862131556</v>
      </c>
      <c r="DK99" s="5" t="str">
        <f t="shared" si="128"/>
        <v>OK</v>
      </c>
      <c r="EB99" s="18"/>
      <c r="EC99" s="77"/>
      <c r="ED99" s="77"/>
      <c r="EE99" s="18"/>
      <c r="EF99" s="18"/>
      <c r="EG99" s="18"/>
      <c r="EH99" s="5"/>
      <c r="EI99" s="5"/>
      <c r="EJ99" s="5"/>
      <c r="EK99" s="5"/>
      <c r="EL99" s="5"/>
      <c r="FE99" s="26"/>
      <c r="FF99" s="26"/>
      <c r="FG99" s="26"/>
      <c r="FH99" s="26"/>
      <c r="FI99" s="26"/>
      <c r="FJ99" s="26"/>
      <c r="FK99" s="26"/>
      <c r="FL99" s="26"/>
      <c r="FM99" s="26"/>
      <c r="FN99" s="205"/>
      <c r="FO99" s="205"/>
      <c r="FP99" s="205"/>
      <c r="FQ99" s="205"/>
      <c r="FR99" s="205"/>
      <c r="FS99" s="205"/>
      <c r="FT99" s="205"/>
      <c r="FU99" s="77"/>
      <c r="FV99" s="77"/>
      <c r="FW99" s="77"/>
      <c r="FX99" s="205"/>
      <c r="FY99" s="205"/>
      <c r="FZ99" s="205"/>
      <c r="GA99" s="205"/>
      <c r="GB99" s="205"/>
      <c r="GC99" s="205"/>
      <c r="GD99" s="205"/>
      <c r="GE99" s="205"/>
      <c r="GF99" s="205"/>
      <c r="GG99" s="205"/>
      <c r="GH99" s="205"/>
      <c r="GI99" s="205"/>
      <c r="GJ99" s="205"/>
      <c r="GK99" s="205"/>
      <c r="GL99" s="205"/>
      <c r="GM99" s="205"/>
      <c r="GN99" s="205"/>
      <c r="GO99" s="205"/>
      <c r="GP99" s="205"/>
      <c r="GQ99" s="205"/>
      <c r="GR99" s="205"/>
      <c r="GS99" s="205"/>
      <c r="GT99" s="205"/>
      <c r="GU99" s="205"/>
      <c r="GV99" s="18"/>
      <c r="GW99" s="5"/>
      <c r="GX99" s="5"/>
      <c r="GY99" s="77"/>
      <c r="GZ99" s="18"/>
      <c r="HA99" s="18"/>
      <c r="HB99" s="18"/>
      <c r="HC99" s="18"/>
      <c r="HD99" s="18"/>
      <c r="HE99" s="18"/>
      <c r="HF99" s="18"/>
      <c r="HG99" s="18"/>
      <c r="HH99" s="205"/>
      <c r="HI99" s="26"/>
      <c r="HJ99" s="26"/>
      <c r="HK99" s="5"/>
    </row>
    <row r="100" spans="2:219" ht="15" customHeight="1">
      <c r="B100" s="431" t="s">
        <v>392</v>
      </c>
      <c r="C100" s="432"/>
      <c r="D100" s="432"/>
      <c r="E100" s="432"/>
      <c r="F100" s="432"/>
      <c r="G100" s="432"/>
      <c r="H100" s="432"/>
      <c r="I100" s="432"/>
      <c r="J100" s="432"/>
      <c r="K100" s="441" t="s">
        <v>377</v>
      </c>
      <c r="L100" s="441"/>
      <c r="M100" s="441"/>
      <c r="N100" s="441"/>
      <c r="O100" s="363" t="str">
        <f>VLOOKUP($K$100,$O$102:$R$106,4,FALSE)</f>
        <v>Khớp - Khớp</v>
      </c>
      <c r="P100" s="363"/>
      <c r="Q100" s="364"/>
      <c r="AA100" s="18" t="s">
        <v>488</v>
      </c>
      <c r="AB100" s="22" t="s">
        <v>489</v>
      </c>
      <c r="AC100" s="59">
        <v>7.2811904761904795</v>
      </c>
      <c r="AD100" s="59">
        <v>8.6549999999999994</v>
      </c>
      <c r="AE100" s="22">
        <v>528</v>
      </c>
      <c r="AF100" s="22">
        <v>1528</v>
      </c>
      <c r="AG100" s="22">
        <v>1369.2698412698419</v>
      </c>
      <c r="AH100" s="6">
        <v>10</v>
      </c>
      <c r="AI100" s="6">
        <v>300</v>
      </c>
      <c r="AJ100" s="6">
        <v>14</v>
      </c>
      <c r="AK100" s="24">
        <v>300</v>
      </c>
      <c r="AL100" s="24">
        <v>14</v>
      </c>
      <c r="AM100" s="5">
        <f t="shared" si="73"/>
        <v>1341.2698412698419</v>
      </c>
      <c r="AN100" s="26">
        <f t="shared" si="74"/>
        <v>218.12698412698418</v>
      </c>
      <c r="AO100" s="26">
        <f t="shared" si="75"/>
        <v>586811.79072745051</v>
      </c>
      <c r="AP100" s="15">
        <f t="shared" si="76"/>
        <v>6311.1772486772488</v>
      </c>
      <c r="AQ100" s="5">
        <f t="shared" si="77"/>
        <v>8571.1635945074104</v>
      </c>
      <c r="AR100" s="26">
        <f t="shared" si="78"/>
        <v>420.74514991181661</v>
      </c>
      <c r="AS100" s="26">
        <f t="shared" si="79"/>
        <v>5094.8226505417015</v>
      </c>
      <c r="AT100" s="26">
        <f t="shared" si="80"/>
        <v>51.867428670398397</v>
      </c>
      <c r="AU100" s="26">
        <f t="shared" si="81"/>
        <v>5.3789869588463937</v>
      </c>
      <c r="AV100" s="95">
        <f t="shared" si="82"/>
        <v>1.0005566137566139E-6</v>
      </c>
      <c r="AW100" s="95">
        <f t="shared" si="83"/>
        <v>28928912.396825422</v>
      </c>
      <c r="AX100" s="95">
        <f t="shared" si="84"/>
        <v>2.8928912396825422E-5</v>
      </c>
      <c r="AY100" s="54">
        <f t="shared" si="85"/>
        <v>0.11516876660535029</v>
      </c>
      <c r="AZ100" s="54" t="str">
        <f>_xll.Dce_Name_SectI(AE100,AF100,AI100,AH100,AJ100,"x","-",$O$11)</f>
        <v>(528-1528)x300x10x14</v>
      </c>
      <c r="BA100" s="15">
        <f t="shared" si="86"/>
        <v>1016.4523809523813</v>
      </c>
      <c r="BB100" s="54"/>
      <c r="BC100" s="54"/>
      <c r="BD100" s="22" t="s">
        <v>518</v>
      </c>
      <c r="BE100" s="23">
        <v>-277.92326980116798</v>
      </c>
      <c r="BF100" s="23">
        <v>-292.78971602110113</v>
      </c>
      <c r="BG100" s="23">
        <v>2.3789515261928027E-3</v>
      </c>
      <c r="BH100" s="23">
        <v>-3.322707103206246E-5</v>
      </c>
      <c r="BI100" s="23">
        <v>-1.7364673571459384E-2</v>
      </c>
      <c r="BJ100" s="23">
        <v>2151.7787260791706</v>
      </c>
      <c r="BK100" s="23">
        <v>1075.8893630395853</v>
      </c>
      <c r="BL100" s="92">
        <v>2.25</v>
      </c>
      <c r="BM100" s="91">
        <v>2</v>
      </c>
      <c r="BN100" s="5">
        <f t="shared" si="87"/>
        <v>19.473749999999999</v>
      </c>
      <c r="BO100" s="54">
        <f>_xll.Bimoment(BH100,AY100,AC100,AD100,$O$101)</f>
        <v>1.5200289881190567E-4</v>
      </c>
      <c r="BP100" s="5">
        <f t="shared" si="88"/>
        <v>0.31313609467455605</v>
      </c>
      <c r="BQ100" s="5">
        <f t="shared" si="89"/>
        <v>23.892941593581224</v>
      </c>
      <c r="BR100" s="24" t="str">
        <f t="shared" si="90"/>
        <v>Cal</v>
      </c>
      <c r="BS100" s="25">
        <f t="shared" si="91"/>
        <v>5.574341525174422E-2</v>
      </c>
      <c r="BT100" s="25" t="str">
        <f t="shared" si="92"/>
        <v>CT.105</v>
      </c>
      <c r="BU100" s="25">
        <f t="shared" si="93"/>
        <v>1</v>
      </c>
      <c r="BV100" s="25" cm="1">
        <f t="array" ref="BV100">IF(BT100="CT.104",_xll.TCVN5575AnnexEHeSoCx(1,BP100),1)</f>
        <v>1</v>
      </c>
      <c r="BW100" s="25">
        <f t="shared" si="94"/>
        <v>1</v>
      </c>
      <c r="BX100" s="25">
        <f t="shared" si="95"/>
        <v>5.8677279212362349E-2</v>
      </c>
      <c r="BY100" s="25">
        <f t="shared" si="96"/>
        <v>1.1561449250022839</v>
      </c>
      <c r="BZ100" s="25">
        <f t="shared" si="97"/>
        <v>1.9006491569604762E-4</v>
      </c>
      <c r="CA100" s="25">
        <f t="shared" si="98"/>
        <v>2.4595817026715371E-6</v>
      </c>
      <c r="CB100" s="25">
        <f t="shared" si="99"/>
        <v>1.2150147287120452</v>
      </c>
      <c r="CC100" s="5" t="str">
        <f t="shared" si="100"/>
        <v>Check</v>
      </c>
      <c r="CD100" s="5">
        <f t="shared" si="101"/>
        <v>37.545238889226049</v>
      </c>
      <c r="CE100" s="5">
        <f t="shared" si="102"/>
        <v>37.181722419139881</v>
      </c>
      <c r="CF100" s="5">
        <f t="shared" si="103"/>
        <v>1.2506397644909562</v>
      </c>
      <c r="CG100" s="5">
        <f t="shared" si="104"/>
        <v>1.2385309547993069</v>
      </c>
      <c r="CH100" s="5">
        <f t="shared" si="105"/>
        <v>19.703451498117573</v>
      </c>
      <c r="CI100" s="68">
        <f>_xll.DCETCVN5575PhuLucD2Eta(BP100,CH100,CF100)</f>
        <v>1.2126272189349112</v>
      </c>
      <c r="CJ100" s="5">
        <f t="shared" si="106"/>
        <v>23.892941593581224</v>
      </c>
      <c r="CK100" s="5">
        <f>MIN(noisuy2chieu(CJ100,CF100,Data!$DA$2:$EB$24),1)</f>
        <v>7.1994885802268982E-2</v>
      </c>
      <c r="CL100" s="102">
        <f t="shared" si="107"/>
        <v>0.81502010258780178</v>
      </c>
      <c r="CM100" s="5" t="str">
        <f t="shared" si="108"/>
        <v>OK</v>
      </c>
      <c r="CN100" s="5">
        <f t="shared" si="109"/>
        <v>0.86643683692746631</v>
      </c>
      <c r="CO100" s="5">
        <f t="shared" si="110"/>
        <v>0.5370345235716667</v>
      </c>
      <c r="CP100" s="25">
        <f>_xll.DCETCVNPhuLucFHeSoOnDinh(1, 0.2, AG100, AH100, AI100, AJ100, AI100, AJ100, $D$28)</f>
        <v>1</v>
      </c>
      <c r="CQ100" s="68">
        <f t="shared" si="111"/>
        <v>0.9</v>
      </c>
      <c r="CR100" s="68">
        <f t="shared" si="112"/>
        <v>1</v>
      </c>
      <c r="CS100" s="5">
        <f t="shared" si="113"/>
        <v>0.18181818181818182</v>
      </c>
      <c r="CT100" s="5">
        <f t="shared" si="114"/>
        <v>0.10347287704587492</v>
      </c>
      <c r="CU100" s="26">
        <f t="shared" si="115"/>
        <v>9.8517257490587866</v>
      </c>
      <c r="CV100" s="5"/>
      <c r="CW100" s="25"/>
      <c r="CX100" s="72">
        <f>MAX(_xll.Dce_c_925(CU100, CQ100, CR100, CN100, CP100, CS100, CT100),0.3)</f>
        <v>0.3</v>
      </c>
      <c r="CY100" s="102">
        <f t="shared" si="116"/>
        <v>0.22574170715256464</v>
      </c>
      <c r="CZ100" s="5" t="str">
        <f t="shared" si="117"/>
        <v>OK</v>
      </c>
      <c r="DA100" s="47">
        <f t="shared" si="118"/>
        <v>0.34499859601035404</v>
      </c>
      <c r="DB100" s="46">
        <f t="shared" si="119"/>
        <v>0.48385309547993066</v>
      </c>
      <c r="DC100" s="5" t="str">
        <f t="shared" si="120"/>
        <v>OK</v>
      </c>
      <c r="DD100" s="5">
        <f t="shared" si="121"/>
        <v>1.2506397644909562</v>
      </c>
      <c r="DE100" s="5">
        <f t="shared" si="122"/>
        <v>4.4677979100191463</v>
      </c>
      <c r="DF100" s="5" t="str">
        <f t="shared" si="123"/>
        <v>-</v>
      </c>
      <c r="DG100" s="5" t="str">
        <f t="shared" si="124"/>
        <v>-</v>
      </c>
      <c r="DH100" s="203">
        <f t="shared" si="125"/>
        <v>37.545238889226049</v>
      </c>
      <c r="DI100" s="203">
        <f t="shared" si="126"/>
        <v>161.09879384473189</v>
      </c>
      <c r="DJ100" s="46">
        <f t="shared" si="127"/>
        <v>0.23305723148624194</v>
      </c>
      <c r="DK100" s="5" t="str">
        <f t="shared" si="128"/>
        <v>OK</v>
      </c>
      <c r="EB100" s="18"/>
      <c r="EC100" s="77"/>
      <c r="ED100" s="77"/>
      <c r="EE100" s="18"/>
      <c r="EF100" s="18"/>
      <c r="EG100" s="18"/>
      <c r="EH100" s="5"/>
      <c r="EI100" s="5"/>
      <c r="EJ100" s="5"/>
      <c r="EK100" s="5"/>
      <c r="EL100" s="5"/>
      <c r="FE100" s="26"/>
      <c r="FF100" s="26"/>
      <c r="FG100" s="26"/>
      <c r="FH100" s="26"/>
      <c r="FI100" s="26"/>
      <c r="FJ100" s="26"/>
      <c r="FK100" s="26"/>
      <c r="FL100" s="26"/>
      <c r="FM100" s="26"/>
      <c r="FN100" s="205"/>
      <c r="FO100" s="205"/>
      <c r="FP100" s="205"/>
      <c r="FQ100" s="205"/>
      <c r="FR100" s="205"/>
      <c r="FS100" s="205"/>
      <c r="FT100" s="205"/>
      <c r="FU100" s="77"/>
      <c r="FV100" s="77"/>
      <c r="FW100" s="77"/>
      <c r="FX100" s="205"/>
      <c r="FY100" s="205"/>
      <c r="FZ100" s="205"/>
      <c r="GA100" s="205"/>
      <c r="GB100" s="205"/>
      <c r="GC100" s="205"/>
      <c r="GD100" s="205"/>
      <c r="GE100" s="205"/>
      <c r="GF100" s="205"/>
      <c r="GG100" s="205"/>
      <c r="GH100" s="205"/>
      <c r="GI100" s="205"/>
      <c r="GJ100" s="205"/>
      <c r="GK100" s="205"/>
      <c r="GL100" s="205"/>
      <c r="GM100" s="205"/>
      <c r="GN100" s="205"/>
      <c r="GO100" s="205"/>
      <c r="GP100" s="205"/>
      <c r="GQ100" s="205"/>
      <c r="GR100" s="205"/>
      <c r="GS100" s="205"/>
      <c r="GT100" s="205"/>
      <c r="GU100" s="205"/>
      <c r="GV100" s="18"/>
      <c r="GW100" s="5"/>
      <c r="GX100" s="5"/>
      <c r="GY100" s="77"/>
      <c r="GZ100" s="18"/>
      <c r="HA100" s="18"/>
      <c r="HB100" s="18"/>
      <c r="HC100" s="18"/>
      <c r="HD100" s="18"/>
      <c r="HE100" s="18"/>
      <c r="HF100" s="18"/>
      <c r="HG100" s="18"/>
      <c r="HH100" s="205"/>
      <c r="HI100" s="26"/>
      <c r="HJ100" s="26"/>
      <c r="HK100" s="5"/>
    </row>
    <row r="101" spans="2:219" ht="14.4">
      <c r="B101" s="390"/>
      <c r="C101" s="390"/>
      <c r="D101" s="390"/>
      <c r="E101" s="390"/>
      <c r="F101" s="390"/>
      <c r="G101" s="390"/>
      <c r="H101" s="390"/>
      <c r="I101" s="390"/>
      <c r="J101" s="390"/>
      <c r="K101" s="5" t="s">
        <v>217</v>
      </c>
      <c r="L101" s="5" t="s">
        <v>40</v>
      </c>
      <c r="M101" s="5" t="s">
        <v>79</v>
      </c>
      <c r="N101" s="5" t="s">
        <v>216</v>
      </c>
      <c r="O101" s="363" t="str">
        <f>VLOOKUP(K100,$O$102:$P$106,2,FALSE)</f>
        <v>K-K</v>
      </c>
      <c r="P101" s="363"/>
      <c r="Q101" s="364"/>
      <c r="AA101" s="18" t="s">
        <v>488</v>
      </c>
      <c r="AB101" s="22" t="s">
        <v>490</v>
      </c>
      <c r="AC101" s="59">
        <v>0</v>
      </c>
      <c r="AD101" s="59">
        <v>8.6549999999999994</v>
      </c>
      <c r="AE101" s="22">
        <v>528</v>
      </c>
      <c r="AF101" s="22">
        <v>1528</v>
      </c>
      <c r="AG101" s="22">
        <v>528</v>
      </c>
      <c r="AH101" s="6">
        <v>10</v>
      </c>
      <c r="AI101" s="6">
        <v>300</v>
      </c>
      <c r="AJ101" s="6">
        <v>14</v>
      </c>
      <c r="AK101" s="24">
        <v>300</v>
      </c>
      <c r="AL101" s="24">
        <v>14</v>
      </c>
      <c r="AM101" s="5">
        <f t="shared" si="73"/>
        <v>500</v>
      </c>
      <c r="AN101" s="26">
        <f t="shared" si="74"/>
        <v>134</v>
      </c>
      <c r="AO101" s="26">
        <f t="shared" si="75"/>
        <v>65911.546666666676</v>
      </c>
      <c r="AP101" s="15">
        <f t="shared" si="76"/>
        <v>6304.166666666667</v>
      </c>
      <c r="AQ101" s="5">
        <f t="shared" si="77"/>
        <v>2496.6494949494954</v>
      </c>
      <c r="AR101" s="26">
        <f t="shared" si="78"/>
        <v>420.27777777777777</v>
      </c>
      <c r="AS101" s="26">
        <f t="shared" si="79"/>
        <v>1391.9</v>
      </c>
      <c r="AT101" s="26">
        <f t="shared" si="80"/>
        <v>22.178305028345793</v>
      </c>
      <c r="AU101" s="26">
        <f t="shared" si="81"/>
        <v>6.8590101254115021</v>
      </c>
      <c r="AV101" s="95">
        <f t="shared" si="82"/>
        <v>7.201333333333334E-7</v>
      </c>
      <c r="AW101" s="95">
        <f t="shared" si="83"/>
        <v>4161087</v>
      </c>
      <c r="AX101" s="95">
        <f t="shared" si="84"/>
        <v>4.1610870000000001E-6</v>
      </c>
      <c r="AY101" s="54">
        <f t="shared" si="85"/>
        <v>0.25762202780669918</v>
      </c>
      <c r="AZ101" s="54" t="str">
        <f>_xll.Dce_Name_SectI(AE101,AF101,AI101,AH101,AJ101,"x","-",$O$11)</f>
        <v>(528-1528)x300x10x14</v>
      </c>
      <c r="BA101" s="15">
        <f t="shared" si="86"/>
        <v>385.5</v>
      </c>
      <c r="BB101" s="54"/>
      <c r="BC101" s="54"/>
      <c r="BD101" s="22" t="s">
        <v>492</v>
      </c>
      <c r="BE101" s="23">
        <v>-167.24720599627241</v>
      </c>
      <c r="BF101" s="23">
        <v>-144.18263882492204</v>
      </c>
      <c r="BG101" s="23">
        <v>1.0390720716562255E-3</v>
      </c>
      <c r="BH101" s="23">
        <v>-1.4512831031748495E-5</v>
      </c>
      <c r="BI101" s="23">
        <v>-9.9659740249585797E-7</v>
      </c>
      <c r="BJ101" s="23">
        <v>-2.1976708450778464</v>
      </c>
      <c r="BK101" s="23">
        <v>526.34067173078984</v>
      </c>
      <c r="BL101" s="92">
        <v>2.25</v>
      </c>
      <c r="BM101" s="91">
        <v>2</v>
      </c>
      <c r="BN101" s="5">
        <f t="shared" si="87"/>
        <v>19.473749999999999</v>
      </c>
      <c r="BO101" s="54">
        <f>_xll.Bimoment(BH101,AY101,AC101,AD101,$O$101)</f>
        <v>0</v>
      </c>
      <c r="BP101" s="5">
        <f t="shared" si="88"/>
        <v>0.84</v>
      </c>
      <c r="BQ101" s="5">
        <f t="shared" si="89"/>
        <v>0.10697523742671665</v>
      </c>
      <c r="BR101" s="24" t="str">
        <f t="shared" si="90"/>
        <v>Cal</v>
      </c>
      <c r="BS101" s="25">
        <f t="shared" si="91"/>
        <v>5.4604964644305365E-2</v>
      </c>
      <c r="BT101" s="25" t="str">
        <f t="shared" si="92"/>
        <v>CT.105</v>
      </c>
      <c r="BU101" s="25">
        <f t="shared" si="93"/>
        <v>1</v>
      </c>
      <c r="BV101" s="25" cm="1">
        <f t="array" ref="BV101">IF(BT101="CT.104",_xll.TCVN5575AnnexEHeSoCx(1,BP101),1)</f>
        <v>1</v>
      </c>
      <c r="BW101" s="25">
        <f t="shared" si="94"/>
        <v>1</v>
      </c>
      <c r="BX101" s="25">
        <f t="shared" si="95"/>
        <v>5.7478910151900382E-2</v>
      </c>
      <c r="BY101" s="25">
        <f t="shared" si="96"/>
        <v>4.0537739063853384E-3</v>
      </c>
      <c r="BZ101" s="25">
        <f t="shared" si="97"/>
        <v>1.0920380623584906E-8</v>
      </c>
      <c r="CA101" s="25">
        <f t="shared" si="98"/>
        <v>0</v>
      </c>
      <c r="CB101" s="25">
        <f t="shared" si="99"/>
        <v>6.1532694978666341E-2</v>
      </c>
      <c r="CC101" s="5" t="str">
        <f t="shared" si="100"/>
        <v>OK</v>
      </c>
      <c r="CD101" s="5">
        <f t="shared" si="101"/>
        <v>87.805402509844015</v>
      </c>
      <c r="CE101" s="5">
        <f t="shared" si="102"/>
        <v>29.158726455153193</v>
      </c>
      <c r="CF101" s="5">
        <f t="shared" si="103"/>
        <v>2.9248163326364334</v>
      </c>
      <c r="CG101" s="5">
        <f t="shared" si="104"/>
        <v>0.97128328026682387</v>
      </c>
      <c r="CH101" s="5">
        <f t="shared" si="105"/>
        <v>7.0526283391114566E-2</v>
      </c>
      <c r="CI101" s="68">
        <f>_xll.DCETCVN5575PhuLucD2Eta(BP101,CH101,CF101)</f>
        <v>1.5168137647842392</v>
      </c>
      <c r="CJ101" s="5">
        <f t="shared" si="106"/>
        <v>0.10697523742671665</v>
      </c>
      <c r="CK101" s="5">
        <f>MIN(noisuy2chieu(CJ101,CF101,Data!$DA$2:$EB$24),1)</f>
        <v>0.6750224232673645</v>
      </c>
      <c r="CL101" s="102">
        <f t="shared" si="107"/>
        <v>8.5151112275175495E-2</v>
      </c>
      <c r="CM101" s="5" t="str">
        <f t="shared" si="108"/>
        <v>OK</v>
      </c>
      <c r="CN101" s="5">
        <f t="shared" si="109"/>
        <v>0.90492218941026858</v>
      </c>
      <c r="CO101" s="5">
        <f t="shared" si="110"/>
        <v>0.5370345235716667</v>
      </c>
      <c r="CP101" s="25">
        <f>_xll.DCETCVNPhuLucFHeSoOnDinh(1, 0.2, AG101, AH101, AI101, AJ101, AI101, AJ101, $D$28)</f>
        <v>1</v>
      </c>
      <c r="CQ101" s="68">
        <f t="shared" si="111"/>
        <v>0.9</v>
      </c>
      <c r="CR101" s="68">
        <f t="shared" si="112"/>
        <v>1</v>
      </c>
      <c r="CS101" s="5">
        <f t="shared" si="113"/>
        <v>0.18181818181818182</v>
      </c>
      <c r="CT101" s="5">
        <f t="shared" si="114"/>
        <v>9.9510191986788829E-2</v>
      </c>
      <c r="CU101" s="26">
        <f t="shared" si="115"/>
        <v>16.890996874211336</v>
      </c>
      <c r="CV101" s="5"/>
      <c r="CW101" s="25"/>
      <c r="CX101" s="72">
        <f>MAX(_xll.Dce_c_925(CU101, CQ101, CR101, CN101, CP101, CS101, CT101),0.3)</f>
        <v>0.3</v>
      </c>
      <c r="CY101" s="102">
        <f t="shared" si="116"/>
        <v>0.21172689698090316</v>
      </c>
      <c r="CZ101" s="5" t="str">
        <f t="shared" si="117"/>
        <v>OK</v>
      </c>
      <c r="DA101" s="47">
        <f t="shared" si="118"/>
        <v>0.34499859601035404</v>
      </c>
      <c r="DB101" s="46">
        <f t="shared" si="119"/>
        <v>0.45712832802668235</v>
      </c>
      <c r="DC101" s="5" t="str">
        <f t="shared" si="120"/>
        <v>OK</v>
      </c>
      <c r="DD101" s="5">
        <f t="shared" si="121"/>
        <v>2.9248163326364334</v>
      </c>
      <c r="DE101" s="5">
        <f t="shared" si="122"/>
        <v>1.6655104634982609</v>
      </c>
      <c r="DF101" s="5" t="str">
        <f t="shared" si="123"/>
        <v>-</v>
      </c>
      <c r="DG101" s="5" t="str">
        <f t="shared" si="124"/>
        <v>-</v>
      </c>
      <c r="DH101" s="203" t="str">
        <f t="shared" si="125"/>
        <v>-</v>
      </c>
      <c r="DI101" s="203">
        <f t="shared" si="126"/>
        <v>180</v>
      </c>
      <c r="DJ101" s="46">
        <f t="shared" si="127"/>
        <v>0</v>
      </c>
      <c r="DK101" s="5" t="str">
        <f t="shared" si="128"/>
        <v>OK</v>
      </c>
      <c r="EB101" s="18"/>
      <c r="EC101" s="77"/>
      <c r="ED101" s="77"/>
      <c r="EE101" s="18"/>
      <c r="EF101" s="18"/>
      <c r="EG101" s="18"/>
      <c r="EH101" s="5"/>
      <c r="EI101" s="5"/>
      <c r="EJ101" s="5"/>
      <c r="EK101" s="5"/>
      <c r="EL101" s="5"/>
      <c r="FE101" s="26"/>
      <c r="FF101" s="26"/>
      <c r="FG101" s="26"/>
      <c r="FH101" s="26"/>
      <c r="FI101" s="26"/>
      <c r="FJ101" s="26"/>
      <c r="FK101" s="26"/>
      <c r="FL101" s="26"/>
      <c r="FM101" s="26"/>
      <c r="FN101" s="205"/>
      <c r="FO101" s="205"/>
      <c r="FP101" s="205"/>
      <c r="FQ101" s="205"/>
      <c r="FR101" s="205"/>
      <c r="FS101" s="205"/>
      <c r="FT101" s="205"/>
      <c r="FU101" s="77"/>
      <c r="FV101" s="77"/>
      <c r="FW101" s="77"/>
      <c r="FX101" s="205"/>
      <c r="FY101" s="205"/>
      <c r="FZ101" s="205"/>
      <c r="GA101" s="205"/>
      <c r="GB101" s="205"/>
      <c r="GC101" s="205"/>
      <c r="GD101" s="205"/>
      <c r="GE101" s="205"/>
      <c r="GF101" s="205"/>
      <c r="GG101" s="205"/>
      <c r="GH101" s="205"/>
      <c r="GI101" s="205"/>
      <c r="GJ101" s="205"/>
      <c r="GK101" s="205"/>
      <c r="GL101" s="205"/>
      <c r="GM101" s="205"/>
      <c r="GN101" s="205"/>
      <c r="GO101" s="205"/>
      <c r="GP101" s="205"/>
      <c r="GQ101" s="205"/>
      <c r="GR101" s="205"/>
      <c r="GS101" s="205"/>
      <c r="GT101" s="205"/>
      <c r="GU101" s="205"/>
      <c r="GV101" s="18"/>
      <c r="GW101" s="5"/>
      <c r="GX101" s="5"/>
      <c r="GY101" s="77"/>
      <c r="GZ101" s="18"/>
      <c r="HA101" s="18"/>
      <c r="HB101" s="18"/>
      <c r="HC101" s="18"/>
      <c r="HD101" s="18"/>
      <c r="HE101" s="18"/>
      <c r="HF101" s="18"/>
      <c r="HG101" s="18"/>
      <c r="HH101" s="205"/>
      <c r="HI101" s="26"/>
      <c r="HJ101" s="26"/>
      <c r="HK101" s="5"/>
    </row>
    <row r="102" spans="2:219">
      <c r="B102" s="390"/>
      <c r="C102" s="390"/>
      <c r="D102" s="390"/>
      <c r="E102" s="390"/>
      <c r="F102" s="390"/>
      <c r="G102" s="390"/>
      <c r="H102" s="390"/>
      <c r="I102" s="390"/>
      <c r="J102" s="390"/>
      <c r="K102" s="5" t="s">
        <v>79</v>
      </c>
      <c r="L102" s="5" t="s">
        <v>79</v>
      </c>
      <c r="M102" s="5" t="s">
        <v>56</v>
      </c>
      <c r="N102" s="5" t="s">
        <v>220</v>
      </c>
      <c r="O102" s="166" t="s">
        <v>377</v>
      </c>
      <c r="P102" s="5" t="s">
        <v>373</v>
      </c>
      <c r="Q102" s="54" cm="1">
        <f t="array" ref="Q102">_xll.Bimoment($M$103,$N$103,$K$103,$L$103,P102)</f>
        <v>1.6299316758071377E-4</v>
      </c>
      <c r="R102" s="1" t="s">
        <v>381</v>
      </c>
      <c r="AA102" s="18" t="s">
        <v>488</v>
      </c>
      <c r="AB102" s="22" t="s">
        <v>490</v>
      </c>
      <c r="AC102" s="59">
        <v>3.6405952380952398</v>
      </c>
      <c r="AD102" s="59">
        <v>8.6549999999999994</v>
      </c>
      <c r="AE102" s="22">
        <v>528</v>
      </c>
      <c r="AF102" s="22">
        <v>1528</v>
      </c>
      <c r="AG102" s="22">
        <v>948.63492063492095</v>
      </c>
      <c r="AH102" s="6">
        <v>10</v>
      </c>
      <c r="AI102" s="6">
        <v>300</v>
      </c>
      <c r="AJ102" s="6">
        <v>14</v>
      </c>
      <c r="AK102" s="24">
        <v>300</v>
      </c>
      <c r="AL102" s="24">
        <v>14</v>
      </c>
      <c r="AM102" s="5">
        <f t="shared" si="73"/>
        <v>920.63492063492095</v>
      </c>
      <c r="AN102" s="26">
        <f t="shared" si="74"/>
        <v>176.06349206349208</v>
      </c>
      <c r="AO102" s="26">
        <f t="shared" si="75"/>
        <v>248482.7399356656</v>
      </c>
      <c r="AP102" s="15">
        <f t="shared" si="76"/>
        <v>6307.6719576719579</v>
      </c>
      <c r="AQ102" s="5">
        <f t="shared" si="77"/>
        <v>5238.7432621467533</v>
      </c>
      <c r="AR102" s="26">
        <f t="shared" si="78"/>
        <v>420.51146384479722</v>
      </c>
      <c r="AS102" s="26">
        <f t="shared" si="79"/>
        <v>3022.1941546989178</v>
      </c>
      <c r="AT102" s="26">
        <f t="shared" si="80"/>
        <v>37.567600585756203</v>
      </c>
      <c r="AU102" s="26">
        <f t="shared" si="81"/>
        <v>5.9854925384629922</v>
      </c>
      <c r="AV102" s="95">
        <f t="shared" si="82"/>
        <v>8.6034497354497351E-7</v>
      </c>
      <c r="AW102" s="95">
        <f t="shared" si="83"/>
        <v>13758293.349206358</v>
      </c>
      <c r="AX102" s="95">
        <f t="shared" si="84"/>
        <v>1.3758293349206359E-5</v>
      </c>
      <c r="AY102" s="54">
        <f t="shared" si="85"/>
        <v>0.1548581140202015</v>
      </c>
      <c r="AZ102" s="54" t="str">
        <f>_xll.Dce_Name_SectI(AE102,AF102,AI102,AH102,AJ102,"x","-",$O$11)</f>
        <v>(528-1528)x300x10x14</v>
      </c>
      <c r="BA102" s="15">
        <f t="shared" si="86"/>
        <v>700.97619047619071</v>
      </c>
      <c r="BB102" s="54"/>
      <c r="BC102" s="54"/>
      <c r="BD102" s="22" t="s">
        <v>492</v>
      </c>
      <c r="BE102" s="23">
        <v>-162.34544030970659</v>
      </c>
      <c r="BF102" s="23">
        <v>-144.51924351220461</v>
      </c>
      <c r="BG102" s="23">
        <v>1.0390720716562047E-3</v>
      </c>
      <c r="BH102" s="23">
        <v>-1.4512831031748495E-5</v>
      </c>
      <c r="BI102" s="23">
        <v>-3.7927460899807785E-3</v>
      </c>
      <c r="BJ102" s="23">
        <v>524.53110601324863</v>
      </c>
      <c r="BK102" s="23">
        <v>526.34067173078984</v>
      </c>
      <c r="BL102" s="92">
        <v>2.25</v>
      </c>
      <c r="BM102" s="91">
        <v>2</v>
      </c>
      <c r="BN102" s="5">
        <f t="shared" si="87"/>
        <v>19.473749999999999</v>
      </c>
      <c r="BO102" s="54">
        <f>_xll.Bimoment(BH102,AY102,AC102,AD102,$O$101)</f>
        <v>1.1161334619870941E-4</v>
      </c>
      <c r="BP102" s="5">
        <f t="shared" si="88"/>
        <v>0.45620689655172403</v>
      </c>
      <c r="BQ102" s="5">
        <f t="shared" si="89"/>
        <v>13.478128546009614</v>
      </c>
      <c r="BR102" s="24" t="str">
        <f t="shared" si="90"/>
        <v>Cal</v>
      </c>
      <c r="BS102" s="25">
        <f t="shared" si="91"/>
        <v>4.0341202655393871E-2</v>
      </c>
      <c r="BT102" s="25" t="str">
        <f t="shared" si="92"/>
        <v>CT.105</v>
      </c>
      <c r="BU102" s="25">
        <f t="shared" si="93"/>
        <v>1</v>
      </c>
      <c r="BV102" s="25" cm="1">
        <f t="array" ref="BV102">IF(BT102="CT.104",_xll.TCVN5575AnnexEHeSoCx(1,BP102),1)</f>
        <v>1</v>
      </c>
      <c r="BW102" s="25">
        <f t="shared" si="94"/>
        <v>1</v>
      </c>
      <c r="BX102" s="25">
        <f t="shared" si="95"/>
        <v>4.2464423847783019E-2</v>
      </c>
      <c r="BY102" s="25">
        <f t="shared" si="96"/>
        <v>0.46110367636201305</v>
      </c>
      <c r="BZ102" s="25">
        <f t="shared" si="97"/>
        <v>4.153654617578841E-5</v>
      </c>
      <c r="CA102" s="25">
        <f t="shared" si="98"/>
        <v>2.6188419101504716E-6</v>
      </c>
      <c r="CB102" s="25">
        <f t="shared" si="99"/>
        <v>0.50361225559788192</v>
      </c>
      <c r="CC102" s="5" t="str">
        <f t="shared" si="100"/>
        <v>OK</v>
      </c>
      <c r="CD102" s="5">
        <f t="shared" si="101"/>
        <v>51.836555160202302</v>
      </c>
      <c r="CE102" s="5">
        <f t="shared" si="102"/>
        <v>33.414125690541383</v>
      </c>
      <c r="CF102" s="5">
        <f t="shared" si="103"/>
        <v>1.7266865002204341</v>
      </c>
      <c r="CG102" s="5">
        <f t="shared" si="104"/>
        <v>1.1130315193248546</v>
      </c>
      <c r="CH102" s="5">
        <f t="shared" si="105"/>
        <v>10.8585878384898</v>
      </c>
      <c r="CI102" s="68">
        <f>_xll.DCETCVN5575PhuLucD2Eta(BP102,CH102,CF102)</f>
        <v>1.2412413793103447</v>
      </c>
      <c r="CJ102" s="5">
        <f t="shared" si="106"/>
        <v>13.478128546009614</v>
      </c>
      <c r="CK102" s="5">
        <f>MIN(noisuy2chieu(CJ102,CF102,Data!$DA$2:$EB$24),1)</f>
        <v>0.10041056573390961</v>
      </c>
      <c r="CL102" s="102">
        <f t="shared" si="107"/>
        <v>0.42290792345812239</v>
      </c>
      <c r="CM102" s="5" t="str">
        <f t="shared" si="108"/>
        <v>OK</v>
      </c>
      <c r="CN102" s="5">
        <f t="shared" si="109"/>
        <v>0.88472625978979058</v>
      </c>
      <c r="CO102" s="5">
        <f t="shared" si="110"/>
        <v>0.5370345235716667</v>
      </c>
      <c r="CP102" s="25">
        <f>_xll.DCETCVNPhuLucFHeSoOnDinh(1, 0.2, AG102, AH102, AI102, AJ102, AI102, AJ102, $D$28)</f>
        <v>1</v>
      </c>
      <c r="CQ102" s="68">
        <f t="shared" si="111"/>
        <v>0.9</v>
      </c>
      <c r="CR102" s="68">
        <f t="shared" si="112"/>
        <v>1</v>
      </c>
      <c r="CS102" s="5">
        <f t="shared" si="113"/>
        <v>0.18181818181818182</v>
      </c>
      <c r="CT102" s="5">
        <f t="shared" si="114"/>
        <v>0.10155106457844131</v>
      </c>
      <c r="CU102" s="26">
        <f t="shared" si="115"/>
        <v>10.896048587848954</v>
      </c>
      <c r="CV102" s="5"/>
      <c r="CW102" s="25"/>
      <c r="CX102" s="72">
        <f>MAX(_xll.Dce_c_925(CU102, CQ102, CR102, CN102, CP102, CS102, CT102),0.3)</f>
        <v>0.3</v>
      </c>
      <c r="CY102" s="102">
        <f t="shared" si="116"/>
        <v>0.15999081967595452</v>
      </c>
      <c r="CZ102" s="5" t="str">
        <f t="shared" si="117"/>
        <v>OK</v>
      </c>
      <c r="DA102" s="47">
        <f t="shared" si="118"/>
        <v>0.34499859601035404</v>
      </c>
      <c r="DB102" s="46">
        <f t="shared" si="119"/>
        <v>0.47130315193248545</v>
      </c>
      <c r="DC102" s="5" t="str">
        <f t="shared" si="120"/>
        <v>OK</v>
      </c>
      <c r="DD102" s="5">
        <f t="shared" si="121"/>
        <v>1.7266865002204341</v>
      </c>
      <c r="DE102" s="5">
        <f t="shared" si="122"/>
        <v>3.0666541867587034</v>
      </c>
      <c r="DF102" s="5" t="str">
        <f t="shared" si="123"/>
        <v>-</v>
      </c>
      <c r="DG102" s="5" t="str">
        <f t="shared" si="124"/>
        <v>-</v>
      </c>
      <c r="DH102" s="203">
        <f t="shared" si="125"/>
        <v>51.836555160202302</v>
      </c>
      <c r="DI102" s="203">
        <f t="shared" si="126"/>
        <v>180</v>
      </c>
      <c r="DJ102" s="46">
        <f t="shared" si="127"/>
        <v>0.28798086200112388</v>
      </c>
      <c r="DK102" s="5" t="str">
        <f t="shared" si="128"/>
        <v>OK</v>
      </c>
      <c r="EB102" s="18"/>
      <c r="EC102" s="77"/>
      <c r="ED102" s="77"/>
      <c r="EE102" s="18"/>
      <c r="EF102" s="18"/>
      <c r="EG102" s="18"/>
      <c r="EH102" s="5"/>
      <c r="EI102" s="5"/>
      <c r="EJ102" s="5"/>
      <c r="EK102" s="5"/>
      <c r="EL102" s="5"/>
      <c r="FE102" s="26"/>
      <c r="FF102" s="26"/>
      <c r="FG102" s="26"/>
      <c r="FH102" s="26"/>
      <c r="FI102" s="26"/>
      <c r="FJ102" s="26"/>
      <c r="FK102" s="26"/>
      <c r="FL102" s="26"/>
      <c r="FM102" s="26"/>
      <c r="FN102" s="205"/>
      <c r="FO102" s="205"/>
      <c r="FP102" s="205"/>
      <c r="FQ102" s="205"/>
      <c r="FR102" s="205"/>
      <c r="FS102" s="205"/>
      <c r="FT102" s="205"/>
      <c r="FU102" s="77"/>
      <c r="FV102" s="77"/>
      <c r="FW102" s="77"/>
      <c r="FX102" s="205"/>
      <c r="FY102" s="205"/>
      <c r="FZ102" s="205"/>
      <c r="GA102" s="205"/>
      <c r="GB102" s="205"/>
      <c r="GC102" s="205"/>
      <c r="GD102" s="205"/>
      <c r="GE102" s="205"/>
      <c r="GF102" s="205"/>
      <c r="GG102" s="205"/>
      <c r="GH102" s="205"/>
      <c r="GI102" s="205"/>
      <c r="GJ102" s="205"/>
      <c r="GK102" s="205"/>
      <c r="GL102" s="205"/>
      <c r="GM102" s="205"/>
      <c r="GN102" s="205"/>
      <c r="GO102" s="205"/>
      <c r="GP102" s="205"/>
      <c r="GQ102" s="205"/>
      <c r="GR102" s="205"/>
      <c r="GS102" s="205"/>
      <c r="GT102" s="205"/>
      <c r="GU102" s="205"/>
      <c r="GV102" s="18"/>
      <c r="GW102" s="5"/>
      <c r="GX102" s="5"/>
      <c r="GY102" s="77"/>
      <c r="GZ102" s="18"/>
      <c r="HA102" s="18"/>
      <c r="HB102" s="18"/>
      <c r="HC102" s="18"/>
      <c r="HD102" s="18"/>
      <c r="HE102" s="18"/>
      <c r="HF102" s="18"/>
      <c r="HG102" s="18"/>
      <c r="HH102" s="205"/>
      <c r="HI102" s="26"/>
      <c r="HJ102" s="26"/>
      <c r="HK102" s="5"/>
    </row>
    <row r="103" spans="2:219">
      <c r="B103" s="390"/>
      <c r="C103" s="390"/>
      <c r="D103" s="390"/>
      <c r="E103" s="390"/>
      <c r="F103" s="390"/>
      <c r="G103" s="390"/>
      <c r="H103" s="390"/>
      <c r="I103" s="390"/>
      <c r="J103" s="390"/>
      <c r="K103" s="54">
        <f>E32</f>
        <v>7.2811904761904795</v>
      </c>
      <c r="L103" s="54">
        <f>F21</f>
        <v>8.6549999999999994</v>
      </c>
      <c r="M103" s="54">
        <f>M32</f>
        <v>-3.5629488643153718E-5</v>
      </c>
      <c r="N103" s="68">
        <f>SQRT((K106*L106)/($B$28*M106))</f>
        <v>0.11516876660535029</v>
      </c>
      <c r="O103" s="166" t="s">
        <v>378</v>
      </c>
      <c r="P103" s="5" t="s">
        <v>374</v>
      </c>
      <c r="Q103" s="54">
        <f>_xll.Bimoment($M$103,$N$103,$K$103,$L$103,P103)</f>
        <v>-4.2545666855084411E-5</v>
      </c>
      <c r="R103" s="1" t="s">
        <v>382</v>
      </c>
      <c r="AA103" s="18" t="s">
        <v>488</v>
      </c>
      <c r="AB103" s="22" t="s">
        <v>490</v>
      </c>
      <c r="AC103" s="59">
        <v>7.2811904761904795</v>
      </c>
      <c r="AD103" s="59">
        <v>8.6549999999999994</v>
      </c>
      <c r="AE103" s="22">
        <v>528</v>
      </c>
      <c r="AF103" s="22">
        <v>1528</v>
      </c>
      <c r="AG103" s="22">
        <v>1369.2698412698419</v>
      </c>
      <c r="AH103" s="6">
        <v>10</v>
      </c>
      <c r="AI103" s="6">
        <v>300</v>
      </c>
      <c r="AJ103" s="6">
        <v>14</v>
      </c>
      <c r="AK103" s="24">
        <v>300</v>
      </c>
      <c r="AL103" s="24">
        <v>14</v>
      </c>
      <c r="AM103" s="5">
        <f t="shared" si="73"/>
        <v>1341.2698412698419</v>
      </c>
      <c r="AN103" s="26">
        <f t="shared" si="74"/>
        <v>218.12698412698418</v>
      </c>
      <c r="AO103" s="26">
        <f t="shared" si="75"/>
        <v>586811.79072745051</v>
      </c>
      <c r="AP103" s="15">
        <f t="shared" si="76"/>
        <v>6311.1772486772488</v>
      </c>
      <c r="AQ103" s="5">
        <f t="shared" si="77"/>
        <v>8571.1635945074104</v>
      </c>
      <c r="AR103" s="26">
        <f t="shared" si="78"/>
        <v>420.74514991181661</v>
      </c>
      <c r="AS103" s="26">
        <f t="shared" si="79"/>
        <v>5094.8226505417015</v>
      </c>
      <c r="AT103" s="26">
        <f t="shared" si="80"/>
        <v>51.867428670398397</v>
      </c>
      <c r="AU103" s="26">
        <f t="shared" si="81"/>
        <v>5.3789869588463937</v>
      </c>
      <c r="AV103" s="95">
        <f t="shared" si="82"/>
        <v>1.0005566137566139E-6</v>
      </c>
      <c r="AW103" s="95">
        <f t="shared" si="83"/>
        <v>28928912.396825422</v>
      </c>
      <c r="AX103" s="95">
        <f t="shared" si="84"/>
        <v>2.8928912396825422E-5</v>
      </c>
      <c r="AY103" s="54">
        <f t="shared" si="85"/>
        <v>0.11516876660535029</v>
      </c>
      <c r="AZ103" s="54" t="str">
        <f>_xll.Dce_Name_SectI(AE103,AF103,AI103,AH103,AJ103,"x","-",$O$11)</f>
        <v>(528-1528)x300x10x14</v>
      </c>
      <c r="BA103" s="15">
        <f t="shared" si="86"/>
        <v>1016.4523809523813</v>
      </c>
      <c r="BB103" s="54"/>
      <c r="BC103" s="54"/>
      <c r="BD103" s="22" t="s">
        <v>492</v>
      </c>
      <c r="BE103" s="23">
        <v>-155.90223887264835</v>
      </c>
      <c r="BF103" s="23">
        <v>-144.96169873007921</v>
      </c>
      <c r="BG103" s="23">
        <v>1.0390720716561776E-3</v>
      </c>
      <c r="BH103" s="23">
        <v>-1.4512831031748495E-5</v>
      </c>
      <c r="BI103" s="23">
        <v>-7.5844955825589734E-3</v>
      </c>
      <c r="BJ103" s="23">
        <v>1052.6813434615797</v>
      </c>
      <c r="BK103" s="23">
        <v>526.34067173078984</v>
      </c>
      <c r="BL103" s="92">
        <v>2.25</v>
      </c>
      <c r="BM103" s="91">
        <v>2</v>
      </c>
      <c r="BN103" s="5">
        <f t="shared" si="87"/>
        <v>19.473749999999999</v>
      </c>
      <c r="BO103" s="54">
        <f>_xll.Bimoment(BH103,AY103,AC103,AD103,$O$101)</f>
        <v>6.6391418752031404E-5</v>
      </c>
      <c r="BP103" s="5">
        <f t="shared" si="88"/>
        <v>0.31313609467455605</v>
      </c>
      <c r="BQ103" s="5">
        <f t="shared" si="89"/>
        <v>20.837302507251913</v>
      </c>
      <c r="BR103" s="24" t="str">
        <f t="shared" si="90"/>
        <v>Cal</v>
      </c>
      <c r="BS103" s="25">
        <f t="shared" si="91"/>
        <v>3.1269505595454591E-2</v>
      </c>
      <c r="BT103" s="25" t="str">
        <f t="shared" si="92"/>
        <v>CT.105</v>
      </c>
      <c r="BU103" s="25">
        <f t="shared" si="93"/>
        <v>1</v>
      </c>
      <c r="BV103" s="25" cm="1">
        <f t="array" ref="BV103">IF(BT103="CT.104",_xll.TCVN5575AnnexEHeSoCx(1,BP103),1)</f>
        <v>1</v>
      </c>
      <c r="BW103" s="25">
        <f t="shared" si="94"/>
        <v>1</v>
      </c>
      <c r="BX103" s="25">
        <f t="shared" si="95"/>
        <v>3.2915269047846939E-2</v>
      </c>
      <c r="BY103" s="25">
        <f t="shared" si="96"/>
        <v>0.56560285597084781</v>
      </c>
      <c r="BZ103" s="25">
        <f t="shared" si="97"/>
        <v>8.3016044474653757E-5</v>
      </c>
      <c r="CA103" s="25">
        <f t="shared" si="98"/>
        <v>1.0742895040374734E-6</v>
      </c>
      <c r="CB103" s="25">
        <f t="shared" si="99"/>
        <v>0.59860221535267344</v>
      </c>
      <c r="CC103" s="5" t="str">
        <f t="shared" si="100"/>
        <v>OK</v>
      </c>
      <c r="CD103" s="5">
        <f t="shared" si="101"/>
        <v>37.545238889226049</v>
      </c>
      <c r="CE103" s="5">
        <f t="shared" si="102"/>
        <v>37.181722419139881</v>
      </c>
      <c r="CF103" s="5">
        <f t="shared" si="103"/>
        <v>1.2506397644909562</v>
      </c>
      <c r="CG103" s="5">
        <f t="shared" si="104"/>
        <v>1.2385309547993069</v>
      </c>
      <c r="CH103" s="5">
        <f t="shared" si="105"/>
        <v>17.183601177577042</v>
      </c>
      <c r="CI103" s="68">
        <f>_xll.DCETCVN5575PhuLucD2Eta(BP103,CH103,CF103)</f>
        <v>1.2126272189349112</v>
      </c>
      <c r="CJ103" s="5">
        <f t="shared" si="106"/>
        <v>20.837302507251913</v>
      </c>
      <c r="CK103" s="5">
        <f>MIN(noisuy2chieu(CJ103,CF103,Data!$DA$2:$EB$24),1)</f>
        <v>7.1994885802268982E-2</v>
      </c>
      <c r="CL103" s="102">
        <f t="shared" si="107"/>
        <v>0.45718898892689935</v>
      </c>
      <c r="CM103" s="5" t="str">
        <f t="shared" si="108"/>
        <v>OK</v>
      </c>
      <c r="CN103" s="5">
        <f t="shared" si="109"/>
        <v>0.86643683692746631</v>
      </c>
      <c r="CO103" s="5">
        <f t="shared" si="110"/>
        <v>0.5370345235716667</v>
      </c>
      <c r="CP103" s="25">
        <f>_xll.DCETCVNPhuLucFHeSoOnDinh(1, 0.2, AG103, AH103, AI103, AJ103, AI103, AJ103, $D$28)</f>
        <v>1</v>
      </c>
      <c r="CQ103" s="68">
        <f t="shared" si="111"/>
        <v>0.9</v>
      </c>
      <c r="CR103" s="68">
        <f t="shared" si="112"/>
        <v>1</v>
      </c>
      <c r="CS103" s="5">
        <f t="shared" si="113"/>
        <v>0.18181818181818182</v>
      </c>
      <c r="CT103" s="5">
        <f t="shared" si="114"/>
        <v>0.10347287704587492</v>
      </c>
      <c r="CU103" s="26">
        <f t="shared" si="115"/>
        <v>8.5918005887885212</v>
      </c>
      <c r="CV103" s="5"/>
      <c r="CW103" s="25"/>
      <c r="CX103" s="72">
        <f>MAX(_xll.Dce_c_925(CU103, CQ103, CR103, CN103, CP103, CS103, CT103),0.3)</f>
        <v>0.3</v>
      </c>
      <c r="CY103" s="102">
        <f t="shared" si="116"/>
        <v>0.12663076962643977</v>
      </c>
      <c r="CZ103" s="5" t="str">
        <f t="shared" si="117"/>
        <v>OK</v>
      </c>
      <c r="DA103" s="47">
        <f t="shared" si="118"/>
        <v>0.34499859601035404</v>
      </c>
      <c r="DB103" s="46">
        <f t="shared" si="119"/>
        <v>0.48385309547993066</v>
      </c>
      <c r="DC103" s="5" t="str">
        <f t="shared" si="120"/>
        <v>OK</v>
      </c>
      <c r="DD103" s="5">
        <f t="shared" si="121"/>
        <v>1.2506397644909562</v>
      </c>
      <c r="DE103" s="5">
        <f t="shared" si="122"/>
        <v>4.4677979100191463</v>
      </c>
      <c r="DF103" s="5" t="str">
        <f t="shared" si="123"/>
        <v>-</v>
      </c>
      <c r="DG103" s="5" t="str">
        <f t="shared" si="124"/>
        <v>-</v>
      </c>
      <c r="DH103" s="203">
        <f t="shared" si="125"/>
        <v>37.545238889226049</v>
      </c>
      <c r="DI103" s="203">
        <f t="shared" si="126"/>
        <v>180</v>
      </c>
      <c r="DJ103" s="46">
        <f t="shared" si="127"/>
        <v>0.20858466049570026</v>
      </c>
      <c r="DK103" s="5" t="str">
        <f t="shared" si="128"/>
        <v>OK</v>
      </c>
      <c r="EB103" s="18"/>
      <c r="EC103" s="77"/>
      <c r="ED103" s="77"/>
      <c r="EE103" s="18"/>
      <c r="EF103" s="18"/>
      <c r="EG103" s="18"/>
      <c r="EH103" s="5"/>
      <c r="EI103" s="5"/>
      <c r="EJ103" s="5"/>
      <c r="EK103" s="5"/>
      <c r="EL103" s="5"/>
      <c r="FE103" s="26"/>
      <c r="FF103" s="26"/>
      <c r="FG103" s="26"/>
      <c r="FH103" s="26"/>
      <c r="FI103" s="26"/>
      <c r="FJ103" s="26"/>
      <c r="FK103" s="26"/>
      <c r="FL103" s="26"/>
      <c r="FM103" s="26"/>
      <c r="FN103" s="205"/>
      <c r="FO103" s="205"/>
      <c r="FP103" s="205"/>
      <c r="FQ103" s="205"/>
      <c r="FR103" s="205"/>
      <c r="FS103" s="205"/>
      <c r="FT103" s="205"/>
      <c r="FU103" s="77"/>
      <c r="FV103" s="77"/>
      <c r="FW103" s="77"/>
      <c r="FX103" s="205"/>
      <c r="FY103" s="205"/>
      <c r="FZ103" s="205"/>
      <c r="GA103" s="205"/>
      <c r="GB103" s="205"/>
      <c r="GC103" s="205"/>
      <c r="GD103" s="205"/>
      <c r="GE103" s="205"/>
      <c r="GF103" s="205"/>
      <c r="GG103" s="205"/>
      <c r="GH103" s="205"/>
      <c r="GI103" s="205"/>
      <c r="GJ103" s="205"/>
      <c r="GK103" s="205"/>
      <c r="GL103" s="205"/>
      <c r="GM103" s="205"/>
      <c r="GN103" s="205"/>
      <c r="GO103" s="205"/>
      <c r="GP103" s="205"/>
      <c r="GQ103" s="205"/>
      <c r="GR103" s="205"/>
      <c r="GS103" s="205"/>
      <c r="GT103" s="205"/>
      <c r="GU103" s="205"/>
      <c r="GV103" s="18"/>
      <c r="GW103" s="5"/>
      <c r="GX103" s="5"/>
      <c r="GY103" s="77"/>
      <c r="GZ103" s="18"/>
      <c r="HA103" s="18"/>
      <c r="HB103" s="18"/>
      <c r="HC103" s="18"/>
      <c r="HD103" s="18"/>
      <c r="HE103" s="18"/>
      <c r="HF103" s="18"/>
      <c r="HG103" s="18"/>
      <c r="HH103" s="205"/>
      <c r="HI103" s="26"/>
      <c r="HJ103" s="26"/>
      <c r="HK103" s="5"/>
    </row>
    <row r="104" spans="2:219" ht="15">
      <c r="B104" s="390"/>
      <c r="C104" s="390"/>
      <c r="D104" s="390"/>
      <c r="E104" s="390"/>
      <c r="F104" s="390"/>
      <c r="G104" s="390"/>
      <c r="H104" s="390"/>
      <c r="I104" s="390"/>
      <c r="J104" s="390"/>
      <c r="K104" s="5" t="s">
        <v>213</v>
      </c>
      <c r="L104" s="5" t="s">
        <v>214</v>
      </c>
      <c r="M104" s="5" t="s">
        <v>215</v>
      </c>
      <c r="N104" s="5" t="s">
        <v>107</v>
      </c>
      <c r="O104" s="166" t="s">
        <v>379</v>
      </c>
      <c r="P104" s="5" t="s">
        <v>375</v>
      </c>
      <c r="Q104" s="54">
        <f>_xll.Bimoment($M$103,$N$103,$K$103,$L$103,P104)</f>
        <v>-1.1913254817462352E-4</v>
      </c>
      <c r="R104" s="1" t="s">
        <v>383</v>
      </c>
      <c r="AA104" s="18" t="s">
        <v>488</v>
      </c>
      <c r="AB104" s="22" t="s">
        <v>490</v>
      </c>
      <c r="AC104" s="59">
        <v>0</v>
      </c>
      <c r="AD104" s="59">
        <v>8.6549999999999994</v>
      </c>
      <c r="AE104" s="22">
        <v>528</v>
      </c>
      <c r="AF104" s="22">
        <v>1528</v>
      </c>
      <c r="AG104" s="22">
        <v>528</v>
      </c>
      <c r="AH104" s="6">
        <v>10</v>
      </c>
      <c r="AI104" s="6">
        <v>300</v>
      </c>
      <c r="AJ104" s="6">
        <v>14</v>
      </c>
      <c r="AK104" s="24">
        <v>300</v>
      </c>
      <c r="AL104" s="24">
        <v>14</v>
      </c>
      <c r="AM104" s="5">
        <f t="shared" si="73"/>
        <v>500</v>
      </c>
      <c r="AN104" s="26">
        <f t="shared" si="74"/>
        <v>134</v>
      </c>
      <c r="AO104" s="26">
        <f t="shared" si="75"/>
        <v>65911.546666666676</v>
      </c>
      <c r="AP104" s="15">
        <f t="shared" si="76"/>
        <v>6304.166666666667</v>
      </c>
      <c r="AQ104" s="5">
        <f t="shared" si="77"/>
        <v>2496.6494949494954</v>
      </c>
      <c r="AR104" s="26">
        <f t="shared" si="78"/>
        <v>420.27777777777777</v>
      </c>
      <c r="AS104" s="26">
        <f t="shared" si="79"/>
        <v>1391.9</v>
      </c>
      <c r="AT104" s="26">
        <f t="shared" si="80"/>
        <v>22.178305028345793</v>
      </c>
      <c r="AU104" s="26">
        <f t="shared" si="81"/>
        <v>6.8590101254115021</v>
      </c>
      <c r="AV104" s="95">
        <f t="shared" si="82"/>
        <v>7.201333333333334E-7</v>
      </c>
      <c r="AW104" s="95">
        <f t="shared" si="83"/>
        <v>4161087</v>
      </c>
      <c r="AX104" s="95">
        <f t="shared" si="84"/>
        <v>4.1610870000000001E-6</v>
      </c>
      <c r="AY104" s="54">
        <f t="shared" si="85"/>
        <v>0.25762202780669918</v>
      </c>
      <c r="AZ104" s="54" t="str">
        <f>_xll.Dce_Name_SectI(AE104,AF104,AI104,AH104,AJ104,"x","-",$O$11)</f>
        <v>(528-1528)x300x10x14</v>
      </c>
      <c r="BA104" s="15">
        <f t="shared" si="86"/>
        <v>385.5</v>
      </c>
      <c r="BB104" s="54"/>
      <c r="BC104" s="54"/>
      <c r="BD104" s="22" t="s">
        <v>495</v>
      </c>
      <c r="BE104" s="23">
        <v>-271.41037458165425</v>
      </c>
      <c r="BF104" s="23">
        <v>-248.52112148735722</v>
      </c>
      <c r="BG104" s="23">
        <v>1.8370335782755822E-3</v>
      </c>
      <c r="BH104" s="23">
        <v>-2.5658044950304943E-5</v>
      </c>
      <c r="BI104" s="23">
        <v>-1.7619402371771287E-6</v>
      </c>
      <c r="BJ104" s="23">
        <v>-3.5524556025607188</v>
      </c>
      <c r="BK104" s="23">
        <v>906.41202574177146</v>
      </c>
      <c r="BL104" s="92">
        <v>2.25</v>
      </c>
      <c r="BM104" s="91">
        <v>2</v>
      </c>
      <c r="BN104" s="5">
        <f t="shared" si="87"/>
        <v>19.473749999999999</v>
      </c>
      <c r="BO104" s="54">
        <f>_xll.Bimoment(BH104,AY104,AC104,AD104,$O$101)</f>
        <v>0</v>
      </c>
      <c r="BP104" s="5">
        <f t="shared" si="88"/>
        <v>0.84</v>
      </c>
      <c r="BQ104" s="5">
        <f t="shared" si="89"/>
        <v>0.10655773371396619</v>
      </c>
      <c r="BR104" s="24" t="str">
        <f t="shared" si="90"/>
        <v>Cal</v>
      </c>
      <c r="BS104" s="25">
        <f t="shared" si="91"/>
        <v>8.8613461850353542E-2</v>
      </c>
      <c r="BT104" s="25" t="str">
        <f t="shared" si="92"/>
        <v>CT.105</v>
      </c>
      <c r="BU104" s="25">
        <f t="shared" si="93"/>
        <v>1</v>
      </c>
      <c r="BV104" s="25" cm="1">
        <f t="array" ref="BV104">IF(BT104="CT.104",_xll.TCVN5575AnnexEHeSoCx(1,BP104),1)</f>
        <v>1</v>
      </c>
      <c r="BW104" s="25">
        <f t="shared" si="94"/>
        <v>1</v>
      </c>
      <c r="BX104" s="25">
        <f t="shared" si="95"/>
        <v>9.3277328263530038E-2</v>
      </c>
      <c r="BY104" s="25">
        <f t="shared" si="96"/>
        <v>6.5527792105477623E-3</v>
      </c>
      <c r="BZ104" s="25">
        <f t="shared" si="97"/>
        <v>1.9306751129188978E-8</v>
      </c>
      <c r="CA104" s="25">
        <f t="shared" si="98"/>
        <v>0</v>
      </c>
      <c r="CB104" s="25">
        <f t="shared" si="99"/>
        <v>9.9830126780828934E-2</v>
      </c>
      <c r="CC104" s="5" t="str">
        <f t="shared" si="100"/>
        <v>OK</v>
      </c>
      <c r="CD104" s="5">
        <f t="shared" si="101"/>
        <v>87.805402509844015</v>
      </c>
      <c r="CE104" s="5">
        <f t="shared" si="102"/>
        <v>29.158726455153193</v>
      </c>
      <c r="CF104" s="5">
        <f t="shared" si="103"/>
        <v>2.9248163326364334</v>
      </c>
      <c r="CG104" s="5">
        <f t="shared" si="104"/>
        <v>0.97128328026682387</v>
      </c>
      <c r="CH104" s="5">
        <f t="shared" si="105"/>
        <v>7.0250502802081186E-2</v>
      </c>
      <c r="CI104" s="68">
        <f>_xll.DCETCVN5575PhuLucD2Eta(BP104,CH104,CF104)</f>
        <v>1.5168252106917219</v>
      </c>
      <c r="CJ104" s="5">
        <f t="shared" si="106"/>
        <v>0.10655773371396619</v>
      </c>
      <c r="CK104" s="5">
        <f>MIN(noisuy2chieu(CJ104,CF104,Data!$DA$2:$EB$24),1)</f>
        <v>0.67521727085113525</v>
      </c>
      <c r="CL104" s="102">
        <f t="shared" si="107"/>
        <v>0.13814416824076592</v>
      </c>
      <c r="CM104" s="5" t="str">
        <f t="shared" si="108"/>
        <v>OK</v>
      </c>
      <c r="CN104" s="5">
        <f t="shared" si="109"/>
        <v>0.90492218941026858</v>
      </c>
      <c r="CO104" s="5">
        <f t="shared" si="110"/>
        <v>0.5370345235716667</v>
      </c>
      <c r="CP104" s="25">
        <f>_xll.DCETCVNPhuLucFHeSoOnDinh(1, 0.2, AG104, AH104, AI104, AJ104, AI104, AJ104, $D$28)</f>
        <v>1</v>
      </c>
      <c r="CQ104" s="68">
        <f t="shared" si="111"/>
        <v>0.9</v>
      </c>
      <c r="CR104" s="68">
        <f t="shared" si="112"/>
        <v>1</v>
      </c>
      <c r="CS104" s="5">
        <f t="shared" si="113"/>
        <v>0.18181818181818182</v>
      </c>
      <c r="CT104" s="5">
        <f t="shared" si="114"/>
        <v>9.9510191986788829E-2</v>
      </c>
      <c r="CU104" s="26">
        <f t="shared" si="115"/>
        <v>17.924474695282008</v>
      </c>
      <c r="CV104" s="5"/>
      <c r="CW104" s="25"/>
      <c r="CX104" s="72">
        <f>MAX(_xll.Dce_c_925(CU104, CQ104, CR104, CN104, CP104, CS104, CT104),0.3)</f>
        <v>0.3</v>
      </c>
      <c r="CY104" s="102">
        <f t="shared" si="116"/>
        <v>0.34359244494571117</v>
      </c>
      <c r="CZ104" s="5" t="str">
        <f t="shared" si="117"/>
        <v>OK</v>
      </c>
      <c r="DA104" s="47">
        <f t="shared" si="118"/>
        <v>0.34499859601035404</v>
      </c>
      <c r="DB104" s="46">
        <f t="shared" si="119"/>
        <v>0.45712832802668235</v>
      </c>
      <c r="DC104" s="5" t="str">
        <f t="shared" si="120"/>
        <v>OK</v>
      </c>
      <c r="DD104" s="5">
        <f t="shared" si="121"/>
        <v>2.9248163326364334</v>
      </c>
      <c r="DE104" s="5">
        <f t="shared" si="122"/>
        <v>1.6655104634982609</v>
      </c>
      <c r="DF104" s="5" t="str">
        <f t="shared" si="123"/>
        <v>-</v>
      </c>
      <c r="DG104" s="5" t="str">
        <f t="shared" si="124"/>
        <v>-</v>
      </c>
      <c r="DH104" s="203" t="str">
        <f t="shared" si="125"/>
        <v>-</v>
      </c>
      <c r="DI104" s="203">
        <f t="shared" si="126"/>
        <v>180</v>
      </c>
      <c r="DJ104" s="46">
        <f t="shared" si="127"/>
        <v>0</v>
      </c>
      <c r="DK104" s="5" t="str">
        <f t="shared" si="128"/>
        <v>OK</v>
      </c>
      <c r="EB104" s="18"/>
      <c r="EC104" s="77"/>
      <c r="ED104" s="77"/>
      <c r="EE104" s="18"/>
      <c r="EF104" s="18"/>
      <c r="EG104" s="18"/>
      <c r="EH104" s="5"/>
      <c r="EI104" s="5"/>
      <c r="EJ104" s="5"/>
      <c r="EK104" s="5"/>
      <c r="EL104" s="5"/>
      <c r="FE104" s="26"/>
      <c r="FF104" s="26"/>
      <c r="FG104" s="26"/>
      <c r="FH104" s="26"/>
      <c r="FI104" s="26"/>
      <c r="FJ104" s="26"/>
      <c r="FK104" s="26"/>
      <c r="FL104" s="26"/>
      <c r="FM104" s="26"/>
      <c r="FN104" s="205"/>
      <c r="FO104" s="205"/>
      <c r="FP104" s="205"/>
      <c r="FQ104" s="205"/>
      <c r="FR104" s="205"/>
      <c r="FS104" s="205"/>
      <c r="FT104" s="205"/>
      <c r="FU104" s="77"/>
      <c r="FV104" s="77"/>
      <c r="FW104" s="77"/>
      <c r="FX104" s="205"/>
      <c r="FY104" s="205"/>
      <c r="FZ104" s="205"/>
      <c r="GA104" s="205"/>
      <c r="GB104" s="205"/>
      <c r="GC104" s="205"/>
      <c r="GD104" s="205"/>
      <c r="GE104" s="205"/>
      <c r="GF104" s="205"/>
      <c r="GG104" s="205"/>
      <c r="GH104" s="205"/>
      <c r="GI104" s="205"/>
      <c r="GJ104" s="205"/>
      <c r="GK104" s="205"/>
      <c r="GL104" s="205"/>
      <c r="GM104" s="205"/>
      <c r="GN104" s="205"/>
      <c r="GO104" s="205"/>
      <c r="GP104" s="205"/>
      <c r="GQ104" s="205"/>
      <c r="GR104" s="205"/>
      <c r="GS104" s="205"/>
      <c r="GT104" s="205"/>
      <c r="GU104" s="205"/>
      <c r="GV104" s="18"/>
      <c r="GW104" s="5"/>
      <c r="GX104" s="5"/>
      <c r="GY104" s="77"/>
      <c r="GZ104" s="18"/>
      <c r="HA104" s="18"/>
      <c r="HB104" s="18"/>
      <c r="HC104" s="18"/>
      <c r="HD104" s="18"/>
      <c r="HE104" s="18"/>
      <c r="HF104" s="18"/>
      <c r="HG104" s="18"/>
      <c r="HH104" s="205"/>
      <c r="HI104" s="26"/>
      <c r="HJ104" s="26"/>
      <c r="HK104" s="5"/>
    </row>
    <row r="105" spans="2:219" ht="15">
      <c r="B105" s="390"/>
      <c r="C105" s="390"/>
      <c r="D105" s="390"/>
      <c r="E105" s="390"/>
      <c r="F105" s="390"/>
      <c r="G105" s="390"/>
      <c r="H105" s="390"/>
      <c r="I105" s="390"/>
      <c r="J105" s="390"/>
      <c r="K105" s="95" t="s">
        <v>47</v>
      </c>
      <c r="L105" s="5" t="s">
        <v>218</v>
      </c>
      <c r="M105" s="5" t="s">
        <v>219</v>
      </c>
      <c r="N105" s="5" t="s">
        <v>221</v>
      </c>
      <c r="O105" s="166" t="s">
        <v>380</v>
      </c>
      <c r="P105" s="5" t="s">
        <v>376</v>
      </c>
      <c r="Q105" s="54">
        <f>_xll.Bimoment($M$103,$N$103,$K$103,$L$103,P105)</f>
        <v>0.20420259548954145</v>
      </c>
      <c r="R105" s="1" t="s">
        <v>384</v>
      </c>
      <c r="AA105" s="18" t="s">
        <v>488</v>
      </c>
      <c r="AB105" s="22" t="s">
        <v>490</v>
      </c>
      <c r="AC105" s="59">
        <v>3.6405952380952398</v>
      </c>
      <c r="AD105" s="59">
        <v>8.6549999999999994</v>
      </c>
      <c r="AE105" s="22">
        <v>528</v>
      </c>
      <c r="AF105" s="22">
        <v>1528</v>
      </c>
      <c r="AG105" s="22">
        <v>948.63492063492095</v>
      </c>
      <c r="AH105" s="6">
        <v>10</v>
      </c>
      <c r="AI105" s="6">
        <v>300</v>
      </c>
      <c r="AJ105" s="6">
        <v>14</v>
      </c>
      <c r="AK105" s="24">
        <v>300</v>
      </c>
      <c r="AL105" s="24">
        <v>14</v>
      </c>
      <c r="AM105" s="5">
        <f t="shared" si="73"/>
        <v>920.63492063492095</v>
      </c>
      <c r="AN105" s="26">
        <f t="shared" si="74"/>
        <v>176.06349206349208</v>
      </c>
      <c r="AO105" s="26">
        <f t="shared" si="75"/>
        <v>248482.7399356656</v>
      </c>
      <c r="AP105" s="15">
        <f t="shared" si="76"/>
        <v>6307.6719576719579</v>
      </c>
      <c r="AQ105" s="5">
        <f t="shared" si="77"/>
        <v>5238.7432621467533</v>
      </c>
      <c r="AR105" s="26">
        <f t="shared" si="78"/>
        <v>420.51146384479722</v>
      </c>
      <c r="AS105" s="26">
        <f t="shared" si="79"/>
        <v>3022.1941546989178</v>
      </c>
      <c r="AT105" s="26">
        <f t="shared" si="80"/>
        <v>37.567600585756203</v>
      </c>
      <c r="AU105" s="26">
        <f t="shared" si="81"/>
        <v>5.9854925384629922</v>
      </c>
      <c r="AV105" s="95">
        <f t="shared" si="82"/>
        <v>8.6034497354497351E-7</v>
      </c>
      <c r="AW105" s="95">
        <f t="shared" si="83"/>
        <v>13758293.349206358</v>
      </c>
      <c r="AX105" s="95">
        <f t="shared" si="84"/>
        <v>1.3758293349206359E-5</v>
      </c>
      <c r="AY105" s="54">
        <f t="shared" si="85"/>
        <v>0.1548581140202015</v>
      </c>
      <c r="AZ105" s="54" t="str">
        <f>_xll.Dce_Name_SectI(AE105,AF105,AI105,AH105,AJ105,"x","-",$O$11)</f>
        <v>(528-1528)x300x10x14</v>
      </c>
      <c r="BA105" s="15">
        <f t="shared" si="86"/>
        <v>700.97619047619071</v>
      </c>
      <c r="BB105" s="54"/>
      <c r="BC105" s="54"/>
      <c r="BD105" s="22" t="s">
        <v>495</v>
      </c>
      <c r="BE105" s="23">
        <v>-266.50860889508846</v>
      </c>
      <c r="BF105" s="23">
        <v>-248.85772617463982</v>
      </c>
      <c r="BG105" s="23">
        <v>1.8370335782755614E-3</v>
      </c>
      <c r="BH105" s="23">
        <v>-2.5658044950304943E-5</v>
      </c>
      <c r="BI105" s="23">
        <v>-6.705407749110652E-3</v>
      </c>
      <c r="BJ105" s="23">
        <v>903.92506764548875</v>
      </c>
      <c r="BK105" s="23">
        <v>906.41202574177146</v>
      </c>
      <c r="BL105" s="92">
        <v>2.25</v>
      </c>
      <c r="BM105" s="91">
        <v>2</v>
      </c>
      <c r="BN105" s="5">
        <f t="shared" si="87"/>
        <v>19.473749999999999</v>
      </c>
      <c r="BO105" s="54">
        <f>_xll.Bimoment(BH105,AY105,AC105,AD105,$O$101)</f>
        <v>1.9732747163910219E-4</v>
      </c>
      <c r="BP105" s="5">
        <f t="shared" si="88"/>
        <v>0.45620689655172403</v>
      </c>
      <c r="BQ105" s="5">
        <f t="shared" si="89"/>
        <v>14.14880070955989</v>
      </c>
      <c r="BR105" s="24" t="str">
        <f t="shared" si="90"/>
        <v>Cal</v>
      </c>
      <c r="BS105" s="25">
        <f t="shared" si="91"/>
        <v>6.6224698275070992E-2</v>
      </c>
      <c r="BT105" s="25" t="str">
        <f t="shared" si="92"/>
        <v>CT.105</v>
      </c>
      <c r="BU105" s="25">
        <f t="shared" si="93"/>
        <v>1</v>
      </c>
      <c r="BV105" s="25" cm="1">
        <f t="array" ref="BV105">IF(BT105="CT.104",_xll.TCVN5575AnnexEHeSoCx(1,BP105),1)</f>
        <v>1</v>
      </c>
      <c r="BW105" s="25">
        <f t="shared" si="94"/>
        <v>1</v>
      </c>
      <c r="BX105" s="25">
        <f t="shared" si="95"/>
        <v>6.9710208710601046E-2</v>
      </c>
      <c r="BY105" s="25">
        <f t="shared" si="96"/>
        <v>0.79462050404421303</v>
      </c>
      <c r="BZ105" s="25">
        <f t="shared" si="97"/>
        <v>7.3434781024277724E-5</v>
      </c>
      <c r="CA105" s="25">
        <f t="shared" si="98"/>
        <v>4.6299969524476532E-6</v>
      </c>
      <c r="CB105" s="25">
        <f t="shared" si="99"/>
        <v>0.86440877753279088</v>
      </c>
      <c r="CC105" s="5" t="str">
        <f t="shared" si="100"/>
        <v>OK</v>
      </c>
      <c r="CD105" s="5">
        <f t="shared" si="101"/>
        <v>51.836555160202302</v>
      </c>
      <c r="CE105" s="5">
        <f t="shared" si="102"/>
        <v>33.414125690541383</v>
      </c>
      <c r="CF105" s="5">
        <f t="shared" si="103"/>
        <v>1.7266865002204341</v>
      </c>
      <c r="CG105" s="5">
        <f t="shared" si="104"/>
        <v>1.1130315193248546</v>
      </c>
      <c r="CH105" s="5">
        <f t="shared" si="105"/>
        <v>11.398911561763441</v>
      </c>
      <c r="CI105" s="68">
        <f>_xll.DCETCVN5575PhuLucD2Eta(BP105,CH105,CF105)</f>
        <v>1.2412413793103447</v>
      </c>
      <c r="CJ105" s="5">
        <f t="shared" si="106"/>
        <v>14.14880070955989</v>
      </c>
      <c r="CK105" s="5">
        <f>MIN(noisuy2chieu(CJ105,CF105,Data!$DA$2:$EB$24),1)</f>
        <v>9.5934905111789703E-2</v>
      </c>
      <c r="CL105" s="102">
        <f t="shared" si="107"/>
        <v>0.72664072194963969</v>
      </c>
      <c r="CM105" s="5" t="str">
        <f t="shared" si="108"/>
        <v>OK</v>
      </c>
      <c r="CN105" s="5">
        <f t="shared" si="109"/>
        <v>0.88472625978979058</v>
      </c>
      <c r="CO105" s="5">
        <f t="shared" si="110"/>
        <v>0.5370345235716667</v>
      </c>
      <c r="CP105" s="25">
        <f>_xll.DCETCVNPhuLucFHeSoOnDinh(1, 0.2, AG105, AH105, AI105, AJ105, AI105, AJ105, $D$28)</f>
        <v>1</v>
      </c>
      <c r="CQ105" s="68">
        <f t="shared" si="111"/>
        <v>0.9</v>
      </c>
      <c r="CR105" s="68">
        <f t="shared" si="112"/>
        <v>1</v>
      </c>
      <c r="CS105" s="5">
        <f t="shared" si="113"/>
        <v>0.18181818181818182</v>
      </c>
      <c r="CT105" s="5">
        <f t="shared" si="114"/>
        <v>0.10155106457844131</v>
      </c>
      <c r="CU105" s="26">
        <f t="shared" si="115"/>
        <v>11.430273249155494</v>
      </c>
      <c r="CV105" s="5"/>
      <c r="CW105" s="25"/>
      <c r="CX105" s="72">
        <f>MAX(_xll.Dce_c_925(CU105, CQ105, CR105, CN105, CP105, CS105, CT105),0.3)</f>
        <v>0.3</v>
      </c>
      <c r="CY105" s="102">
        <f t="shared" si="116"/>
        <v>0.26264322980972704</v>
      </c>
      <c r="CZ105" s="5" t="str">
        <f t="shared" si="117"/>
        <v>OK</v>
      </c>
      <c r="DA105" s="47">
        <f t="shared" si="118"/>
        <v>0.34499859601035404</v>
      </c>
      <c r="DB105" s="46">
        <f t="shared" si="119"/>
        <v>0.47130315193248545</v>
      </c>
      <c r="DC105" s="5" t="str">
        <f t="shared" si="120"/>
        <v>OK</v>
      </c>
      <c r="DD105" s="5">
        <f t="shared" si="121"/>
        <v>1.7266865002204341</v>
      </c>
      <c r="DE105" s="5">
        <f t="shared" si="122"/>
        <v>3.0666541867587034</v>
      </c>
      <c r="DF105" s="5" t="str">
        <f t="shared" si="123"/>
        <v>-</v>
      </c>
      <c r="DG105" s="5" t="str">
        <f t="shared" si="124"/>
        <v>-</v>
      </c>
      <c r="DH105" s="203">
        <f t="shared" si="125"/>
        <v>51.836555160202302</v>
      </c>
      <c r="DI105" s="203">
        <f t="shared" si="126"/>
        <v>166.40155668302162</v>
      </c>
      <c r="DJ105" s="46">
        <f t="shared" si="127"/>
        <v>0.31151484513420613</v>
      </c>
      <c r="DK105" s="5" t="str">
        <f t="shared" si="128"/>
        <v>OK</v>
      </c>
      <c r="EB105" s="18"/>
      <c r="EC105" s="77"/>
      <c r="ED105" s="77"/>
      <c r="EE105" s="18"/>
      <c r="EF105" s="18"/>
      <c r="EG105" s="18"/>
      <c r="EH105" s="5"/>
      <c r="EI105" s="5"/>
      <c r="EJ105" s="5"/>
      <c r="EK105" s="5"/>
      <c r="EL105" s="5"/>
      <c r="FE105" s="26"/>
      <c r="FF105" s="26"/>
      <c r="FG105" s="26"/>
      <c r="FH105" s="26"/>
      <c r="FI105" s="26"/>
      <c r="FJ105" s="26"/>
      <c r="FK105" s="26"/>
      <c r="FL105" s="26"/>
      <c r="FM105" s="26"/>
      <c r="FN105" s="205"/>
      <c r="FO105" s="205"/>
      <c r="FP105" s="205"/>
      <c r="FQ105" s="205"/>
      <c r="FR105" s="205"/>
      <c r="FS105" s="205"/>
      <c r="FT105" s="205"/>
      <c r="FU105" s="77"/>
      <c r="FV105" s="77"/>
      <c r="FW105" s="77"/>
      <c r="FX105" s="205"/>
      <c r="FY105" s="205"/>
      <c r="FZ105" s="205"/>
      <c r="GA105" s="205"/>
      <c r="GB105" s="205"/>
      <c r="GC105" s="205"/>
      <c r="GD105" s="205"/>
      <c r="GE105" s="205"/>
      <c r="GF105" s="205"/>
      <c r="GG105" s="205"/>
      <c r="GH105" s="205"/>
      <c r="GI105" s="205"/>
      <c r="GJ105" s="205"/>
      <c r="GK105" s="205"/>
      <c r="GL105" s="205"/>
      <c r="GM105" s="205"/>
      <c r="GN105" s="205"/>
      <c r="GO105" s="205"/>
      <c r="GP105" s="205"/>
      <c r="GQ105" s="205"/>
      <c r="GR105" s="205"/>
      <c r="GS105" s="205"/>
      <c r="GT105" s="205"/>
      <c r="GU105" s="205"/>
      <c r="GV105" s="18"/>
      <c r="GW105" s="5"/>
      <c r="GX105" s="5"/>
      <c r="GY105" s="77"/>
      <c r="GZ105" s="18"/>
      <c r="HA105" s="18"/>
      <c r="HB105" s="18"/>
      <c r="HC105" s="18"/>
      <c r="HD105" s="18"/>
      <c r="HE105" s="18"/>
      <c r="HF105" s="18"/>
      <c r="HG105" s="18"/>
      <c r="HH105" s="205"/>
      <c r="HI105" s="26"/>
      <c r="HJ105" s="26"/>
      <c r="HK105" s="5"/>
    </row>
    <row r="106" spans="2:219">
      <c r="B106" s="436"/>
      <c r="C106" s="436"/>
      <c r="D106" s="436"/>
      <c r="E106" s="436"/>
      <c r="F106" s="436"/>
      <c r="G106" s="436"/>
      <c r="H106" s="436"/>
      <c r="I106" s="436"/>
      <c r="J106" s="436"/>
      <c r="K106" s="15">
        <v>79000</v>
      </c>
      <c r="L106" s="176">
        <f>((2*F18*F19^3+(F20+F19)*F17^3)/3)/1000000000000</f>
        <v>1.0005566137566139E-6</v>
      </c>
      <c r="M106" s="176">
        <f>M28/1000000000000</f>
        <v>2.8928912396825422E-5</v>
      </c>
      <c r="N106" s="54">
        <f>VLOOKUP(K100,$O$102:$Q$106,3,FALSE)</f>
        <v>1.6299316758071377E-4</v>
      </c>
      <c r="O106" s="166" t="s">
        <v>368</v>
      </c>
      <c r="P106" s="5" t="s">
        <v>237</v>
      </c>
      <c r="Q106" s="6">
        <v>1.6299316758071377E-4</v>
      </c>
      <c r="R106" s="1" t="s">
        <v>237</v>
      </c>
      <c r="AA106" s="18" t="s">
        <v>488</v>
      </c>
      <c r="AB106" s="22" t="s">
        <v>490</v>
      </c>
      <c r="AC106" s="59">
        <v>7.2811904761904795</v>
      </c>
      <c r="AD106" s="59">
        <v>8.6549999999999994</v>
      </c>
      <c r="AE106" s="22">
        <v>528</v>
      </c>
      <c r="AF106" s="22">
        <v>1528</v>
      </c>
      <c r="AG106" s="22">
        <v>1369.2698412698419</v>
      </c>
      <c r="AH106" s="6">
        <v>10</v>
      </c>
      <c r="AI106" s="6">
        <v>300</v>
      </c>
      <c r="AJ106" s="6">
        <v>14</v>
      </c>
      <c r="AK106" s="24">
        <v>300</v>
      </c>
      <c r="AL106" s="24">
        <v>14</v>
      </c>
      <c r="AM106" s="5">
        <f t="shared" si="73"/>
        <v>1341.2698412698419</v>
      </c>
      <c r="AN106" s="26">
        <f t="shared" si="74"/>
        <v>218.12698412698418</v>
      </c>
      <c r="AO106" s="26">
        <f t="shared" si="75"/>
        <v>586811.79072745051</v>
      </c>
      <c r="AP106" s="15">
        <f t="shared" si="76"/>
        <v>6311.1772486772488</v>
      </c>
      <c r="AQ106" s="5">
        <f t="shared" si="77"/>
        <v>8571.1635945074104</v>
      </c>
      <c r="AR106" s="26">
        <f t="shared" si="78"/>
        <v>420.74514991181661</v>
      </c>
      <c r="AS106" s="26">
        <f t="shared" si="79"/>
        <v>5094.8226505417015</v>
      </c>
      <c r="AT106" s="26">
        <f t="shared" si="80"/>
        <v>51.867428670398397</v>
      </c>
      <c r="AU106" s="26">
        <f t="shared" si="81"/>
        <v>5.3789869588463937</v>
      </c>
      <c r="AV106" s="95">
        <f t="shared" si="82"/>
        <v>1.0005566137566139E-6</v>
      </c>
      <c r="AW106" s="95">
        <f t="shared" si="83"/>
        <v>28928912.396825422</v>
      </c>
      <c r="AX106" s="95">
        <f t="shared" si="84"/>
        <v>2.8928912396825422E-5</v>
      </c>
      <c r="AY106" s="54">
        <f t="shared" si="85"/>
        <v>0.11516876660535029</v>
      </c>
      <c r="AZ106" s="54" t="str">
        <f>_xll.Dce_Name_SectI(AE106,AF106,AI106,AH106,AJ106,"x","-",$O$11)</f>
        <v>(528-1528)x300x10x14</v>
      </c>
      <c r="BA106" s="15">
        <f t="shared" si="86"/>
        <v>1016.4523809523813</v>
      </c>
      <c r="BB106" s="54"/>
      <c r="BC106" s="54"/>
      <c r="BD106" s="22" t="s">
        <v>495</v>
      </c>
      <c r="BE106" s="23">
        <v>-260.06540745803022</v>
      </c>
      <c r="BF106" s="23">
        <v>-249.30018139251439</v>
      </c>
      <c r="BG106" s="23">
        <v>1.8370335782755343E-3</v>
      </c>
      <c r="BH106" s="23">
        <v>-2.5658044950304943E-5</v>
      </c>
      <c r="BI106" s="23">
        <v>-1.3409053557984038E-2</v>
      </c>
      <c r="BJ106" s="23">
        <v>1812.8240514835429</v>
      </c>
      <c r="BK106" s="23">
        <v>906.41202574177146</v>
      </c>
      <c r="BL106" s="92">
        <v>2.25</v>
      </c>
      <c r="BM106" s="91">
        <v>2</v>
      </c>
      <c r="BN106" s="5">
        <f t="shared" si="87"/>
        <v>19.473749999999999</v>
      </c>
      <c r="BO106" s="54">
        <f>_xll.Bimoment(BH106,AY106,AC106,AD106,$O$101)</f>
        <v>1.1737709912887389E-4</v>
      </c>
      <c r="BP106" s="5">
        <f t="shared" si="88"/>
        <v>0.31313609467455605</v>
      </c>
      <c r="BQ106" s="5">
        <f t="shared" si="89"/>
        <v>21.511465023264083</v>
      </c>
      <c r="BR106" s="24" t="str">
        <f t="shared" si="90"/>
        <v>Cal</v>
      </c>
      <c r="BS106" s="25">
        <f t="shared" si="91"/>
        <v>5.2161641631945546E-2</v>
      </c>
      <c r="BT106" s="25" t="str">
        <f t="shared" si="92"/>
        <v>CT.105</v>
      </c>
      <c r="BU106" s="25">
        <f t="shared" si="93"/>
        <v>1</v>
      </c>
      <c r="BV106" s="25" cm="1">
        <f t="array" ref="BV106">IF(BT106="CT.104",_xll.TCVN5575AnnexEHeSoCx(1,BP106),1)</f>
        <v>1</v>
      </c>
      <c r="BW106" s="25">
        <f t="shared" si="94"/>
        <v>1</v>
      </c>
      <c r="BX106" s="25">
        <f t="shared" si="95"/>
        <v>5.4906991191521627E-2</v>
      </c>
      <c r="BY106" s="25">
        <f t="shared" si="96"/>
        <v>0.97402548953709789</v>
      </c>
      <c r="BZ106" s="25">
        <f t="shared" si="97"/>
        <v>1.4676870391913918E-4</v>
      </c>
      <c r="CA106" s="25">
        <f t="shared" si="98"/>
        <v>1.8992964449137798E-6</v>
      </c>
      <c r="CB106" s="25">
        <f t="shared" si="99"/>
        <v>1.0290811487289837</v>
      </c>
      <c r="CC106" s="5" t="str">
        <f t="shared" si="100"/>
        <v>Check</v>
      </c>
      <c r="CD106" s="5">
        <f t="shared" si="101"/>
        <v>37.545238889226049</v>
      </c>
      <c r="CE106" s="5">
        <f t="shared" si="102"/>
        <v>37.181722419139881</v>
      </c>
      <c r="CF106" s="5">
        <f t="shared" si="103"/>
        <v>1.2506397644909562</v>
      </c>
      <c r="CG106" s="5">
        <f t="shared" si="104"/>
        <v>1.2385309547993069</v>
      </c>
      <c r="CH106" s="5">
        <f t="shared" si="105"/>
        <v>17.739553168003503</v>
      </c>
      <c r="CI106" s="68">
        <f>_xll.DCETCVN5575PhuLucD2Eta(BP106,CH106,CF106)</f>
        <v>1.2126272189349112</v>
      </c>
      <c r="CJ106" s="5">
        <f t="shared" si="106"/>
        <v>21.511465023264083</v>
      </c>
      <c r="CK106" s="5">
        <f>MIN(noisuy2chieu(CJ106,CF106,Data!$DA$2:$EB$24),1)</f>
        <v>7.1994885802268982E-2</v>
      </c>
      <c r="CL106" s="102">
        <f t="shared" si="107"/>
        <v>0.76265127140171374</v>
      </c>
      <c r="CM106" s="5" t="str">
        <f t="shared" si="108"/>
        <v>OK</v>
      </c>
      <c r="CN106" s="5">
        <f t="shared" si="109"/>
        <v>0.86643683692746631</v>
      </c>
      <c r="CO106" s="5">
        <f t="shared" si="110"/>
        <v>0.5370345235716667</v>
      </c>
      <c r="CP106" s="25">
        <f>_xll.DCETCVNPhuLucFHeSoOnDinh(1, 0.2, AG106, AH106, AI106, AJ106, AI106, AJ106, $D$28)</f>
        <v>1</v>
      </c>
      <c r="CQ106" s="68">
        <f t="shared" si="111"/>
        <v>0.9</v>
      </c>
      <c r="CR106" s="68">
        <f t="shared" si="112"/>
        <v>1</v>
      </c>
      <c r="CS106" s="5">
        <f t="shared" si="113"/>
        <v>0.18181818181818182</v>
      </c>
      <c r="CT106" s="5">
        <f t="shared" si="114"/>
        <v>0.10347287704587492</v>
      </c>
      <c r="CU106" s="26">
        <f t="shared" si="115"/>
        <v>8.8697765840017517</v>
      </c>
      <c r="CV106" s="5"/>
      <c r="CW106" s="25"/>
      <c r="CX106" s="72">
        <f>MAX(_xll.Dce_c_925(CU106, CQ106, CR106, CN106, CP106, CS106, CT106),0.3)</f>
        <v>0.3</v>
      </c>
      <c r="CY106" s="102">
        <f t="shared" si="116"/>
        <v>0.21123675283794582</v>
      </c>
      <c r="CZ106" s="5" t="str">
        <f t="shared" si="117"/>
        <v>OK</v>
      </c>
      <c r="DA106" s="47">
        <f t="shared" si="118"/>
        <v>0.34499859601035404</v>
      </c>
      <c r="DB106" s="46">
        <f t="shared" si="119"/>
        <v>0.48385309547993066</v>
      </c>
      <c r="DC106" s="5" t="str">
        <f t="shared" si="120"/>
        <v>OK</v>
      </c>
      <c r="DD106" s="5">
        <f t="shared" si="121"/>
        <v>1.2506397644909562</v>
      </c>
      <c r="DE106" s="5">
        <f t="shared" si="122"/>
        <v>4.4677979100191463</v>
      </c>
      <c r="DF106" s="5" t="str">
        <f t="shared" si="123"/>
        <v>-</v>
      </c>
      <c r="DG106" s="5" t="str">
        <f t="shared" si="124"/>
        <v>-</v>
      </c>
      <c r="DH106" s="203">
        <f t="shared" si="125"/>
        <v>37.545238889226049</v>
      </c>
      <c r="DI106" s="203">
        <f t="shared" si="126"/>
        <v>164.24092371589717</v>
      </c>
      <c r="DJ106" s="46">
        <f t="shared" si="127"/>
        <v>0.22859856142901114</v>
      </c>
      <c r="DK106" s="5" t="str">
        <f t="shared" si="128"/>
        <v>OK</v>
      </c>
      <c r="EB106" s="18"/>
      <c r="EC106" s="77"/>
      <c r="ED106" s="77"/>
      <c r="EE106" s="18"/>
      <c r="EF106" s="18"/>
      <c r="EG106" s="18"/>
      <c r="EH106" s="5"/>
      <c r="EI106" s="5"/>
      <c r="EJ106" s="5"/>
      <c r="EK106" s="5"/>
      <c r="EL106" s="5"/>
      <c r="FE106" s="26"/>
      <c r="FF106" s="26"/>
      <c r="FG106" s="26"/>
      <c r="FH106" s="26"/>
      <c r="FI106" s="26"/>
      <c r="FJ106" s="26"/>
      <c r="FK106" s="26"/>
      <c r="FL106" s="26"/>
      <c r="FM106" s="26"/>
      <c r="FN106" s="205"/>
      <c r="FO106" s="205"/>
      <c r="FP106" s="205"/>
      <c r="FQ106" s="205"/>
      <c r="FR106" s="205"/>
      <c r="FS106" s="205"/>
      <c r="FT106" s="205"/>
      <c r="FU106" s="77"/>
      <c r="FV106" s="77"/>
      <c r="FW106" s="77"/>
      <c r="FX106" s="205"/>
      <c r="FY106" s="205"/>
      <c r="FZ106" s="205"/>
      <c r="GA106" s="205"/>
      <c r="GB106" s="205"/>
      <c r="GC106" s="205"/>
      <c r="GD106" s="205"/>
      <c r="GE106" s="205"/>
      <c r="GF106" s="205"/>
      <c r="GG106" s="205"/>
      <c r="GH106" s="205"/>
      <c r="GI106" s="205"/>
      <c r="GJ106" s="205"/>
      <c r="GK106" s="205"/>
      <c r="GL106" s="205"/>
      <c r="GM106" s="205"/>
      <c r="GN106" s="205"/>
      <c r="GO106" s="205"/>
      <c r="GP106" s="205"/>
      <c r="GQ106" s="205"/>
      <c r="GR106" s="205"/>
      <c r="GS106" s="205"/>
      <c r="GT106" s="205"/>
      <c r="GU106" s="205"/>
      <c r="GV106" s="18"/>
      <c r="GW106" s="5"/>
      <c r="GX106" s="5"/>
      <c r="GY106" s="77"/>
      <c r="GZ106" s="18"/>
      <c r="HA106" s="18"/>
      <c r="HB106" s="18"/>
      <c r="HC106" s="18"/>
      <c r="HD106" s="18"/>
      <c r="HE106" s="18"/>
      <c r="HF106" s="18"/>
      <c r="HG106" s="18"/>
      <c r="HH106" s="205"/>
      <c r="HI106" s="26"/>
      <c r="HJ106" s="26"/>
      <c r="HK106" s="5"/>
    </row>
    <row r="107" spans="2:219">
      <c r="B107" s="167" t="s">
        <v>385</v>
      </c>
      <c r="C107" s="82"/>
      <c r="D107" s="82"/>
      <c r="E107" s="82"/>
      <c r="F107" s="82"/>
      <c r="G107" s="82"/>
      <c r="H107" s="82"/>
      <c r="I107" s="82"/>
      <c r="J107" s="82"/>
      <c r="K107" s="159"/>
      <c r="L107" s="159"/>
      <c r="M107" s="159"/>
      <c r="N107" s="160"/>
      <c r="O107" s="2"/>
      <c r="P107" s="32"/>
      <c r="Q107" s="28"/>
      <c r="AA107" s="18" t="s">
        <v>488</v>
      </c>
      <c r="AB107" s="22" t="s">
        <v>490</v>
      </c>
      <c r="AC107" s="59">
        <v>0</v>
      </c>
      <c r="AD107" s="59">
        <v>8.6549999999999994</v>
      </c>
      <c r="AE107" s="22">
        <v>528</v>
      </c>
      <c r="AF107" s="22">
        <v>1528</v>
      </c>
      <c r="AG107" s="22">
        <v>528</v>
      </c>
      <c r="AH107" s="6">
        <v>10</v>
      </c>
      <c r="AI107" s="6">
        <v>300</v>
      </c>
      <c r="AJ107" s="6">
        <v>14</v>
      </c>
      <c r="AK107" s="24">
        <v>300</v>
      </c>
      <c r="AL107" s="24">
        <v>14</v>
      </c>
      <c r="AM107" s="5">
        <f t="shared" si="73"/>
        <v>500</v>
      </c>
      <c r="AN107" s="26">
        <f t="shared" si="74"/>
        <v>134</v>
      </c>
      <c r="AO107" s="26">
        <f t="shared" si="75"/>
        <v>65911.546666666676</v>
      </c>
      <c r="AP107" s="15">
        <f t="shared" si="76"/>
        <v>6304.166666666667</v>
      </c>
      <c r="AQ107" s="5">
        <f t="shared" si="77"/>
        <v>2496.6494949494954</v>
      </c>
      <c r="AR107" s="26">
        <f t="shared" si="78"/>
        <v>420.27777777777777</v>
      </c>
      <c r="AS107" s="26">
        <f t="shared" si="79"/>
        <v>1391.9</v>
      </c>
      <c r="AT107" s="26">
        <f t="shared" si="80"/>
        <v>22.178305028345793</v>
      </c>
      <c r="AU107" s="26">
        <f t="shared" si="81"/>
        <v>6.8590101254115021</v>
      </c>
      <c r="AV107" s="95">
        <f t="shared" si="82"/>
        <v>7.201333333333334E-7</v>
      </c>
      <c r="AW107" s="95">
        <f t="shared" si="83"/>
        <v>4161087</v>
      </c>
      <c r="AX107" s="95">
        <f t="shared" si="84"/>
        <v>4.1610870000000001E-6</v>
      </c>
      <c r="AY107" s="54">
        <f t="shared" si="85"/>
        <v>0.25762202780669918</v>
      </c>
      <c r="AZ107" s="54" t="str">
        <f>_xll.Dce_Name_SectI(AE107,AF107,AI107,AH107,AJ107,"x","-",$O$11)</f>
        <v>(528-1528)x300x10x14</v>
      </c>
      <c r="BA107" s="15">
        <f t="shared" si="86"/>
        <v>385.5</v>
      </c>
      <c r="BB107" s="54"/>
      <c r="BC107" s="54"/>
      <c r="BD107" s="22" t="s">
        <v>496</v>
      </c>
      <c r="BE107" s="23">
        <v>47.947182190094793</v>
      </c>
      <c r="BF107" s="23">
        <v>43.109338985868334</v>
      </c>
      <c r="BG107" s="23">
        <v>-2.4258319877357346E-3</v>
      </c>
      <c r="BH107" s="23">
        <v>3.3881855464861583E-5</v>
      </c>
      <c r="BI107" s="23">
        <v>2.3266700386062605E-6</v>
      </c>
      <c r="BJ107" s="23">
        <v>0.62833629747626096</v>
      </c>
      <c r="BK107" s="23">
        <v>-231.96777923651916</v>
      </c>
      <c r="BL107" s="92">
        <v>2.25</v>
      </c>
      <c r="BM107" s="91">
        <v>2</v>
      </c>
      <c r="BN107" s="5">
        <f t="shared" si="87"/>
        <v>19.473749999999999</v>
      </c>
      <c r="BO107" s="54">
        <f>_xll.Bimoment(BH107,AY107,AC107,AD107,$O$101)</f>
        <v>0</v>
      </c>
      <c r="BP107" s="5">
        <f t="shared" si="88"/>
        <v>0.84</v>
      </c>
      <c r="BQ107" s="5">
        <f t="shared" si="89"/>
        <v>0.10668682895624355</v>
      </c>
      <c r="BR107" s="24" t="str">
        <f t="shared" si="90"/>
        <v>Cal</v>
      </c>
      <c r="BS107" s="25">
        <f t="shared" si="91"/>
        <v>1.5654397170273487E-2</v>
      </c>
      <c r="BT107" s="25" t="str">
        <f t="shared" si="92"/>
        <v>CT.105</v>
      </c>
      <c r="BU107" s="25">
        <f t="shared" si="93"/>
        <v>1</v>
      </c>
      <c r="BV107" s="25" cm="1">
        <f t="array" ref="BV107">IF(BT107="CT.104",_xll.TCVN5575AnnexEHeSoCx(1,BP107),1)</f>
        <v>1</v>
      </c>
      <c r="BW107" s="25">
        <f t="shared" si="94"/>
        <v>1</v>
      </c>
      <c r="BX107" s="25">
        <f t="shared" si="95"/>
        <v>1.6478312810814199E-2</v>
      </c>
      <c r="BY107" s="25">
        <f t="shared" si="96"/>
        <v>1.1590149147443492E-3</v>
      </c>
      <c r="BZ107" s="25">
        <f t="shared" si="97"/>
        <v>2.5494871192158208E-8</v>
      </c>
      <c r="CA107" s="25">
        <f t="shared" si="98"/>
        <v>0</v>
      </c>
      <c r="CB107" s="25">
        <f t="shared" si="99"/>
        <v>1.7637353220429742E-2</v>
      </c>
      <c r="CC107" s="5" t="str">
        <f t="shared" si="100"/>
        <v>OK</v>
      </c>
      <c r="CD107" s="5">
        <f t="shared" si="101"/>
        <v>87.805402509844015</v>
      </c>
      <c r="CE107" s="5">
        <f t="shared" si="102"/>
        <v>29.158726455153193</v>
      </c>
      <c r="CF107" s="5">
        <f t="shared" si="103"/>
        <v>2.9248163326364334</v>
      </c>
      <c r="CG107" s="5">
        <f t="shared" si="104"/>
        <v>0.97128328026682387</v>
      </c>
      <c r="CH107" s="5">
        <f t="shared" si="105"/>
        <v>7.0335775758773353E-2</v>
      </c>
      <c r="CI107" s="68">
        <f>_xll.DCETCVN5575PhuLucD2Eta(BP107,CH107,CF107)</f>
        <v>1.5168216715507818</v>
      </c>
      <c r="CJ107" s="5">
        <f t="shared" si="106"/>
        <v>0.10668682895624355</v>
      </c>
      <c r="CK107" s="5">
        <f>MIN(noisuy2chieu(CJ107,CF107,Data!$DA$2:$EB$24),1)</f>
        <v>0.67515701055526733</v>
      </c>
      <c r="CL107" s="102" t="str">
        <f t="shared" si="107"/>
        <v>-</v>
      </c>
      <c r="CM107" s="5" t="str">
        <f t="shared" si="108"/>
        <v>OK</v>
      </c>
      <c r="CN107" s="5">
        <f t="shared" si="109"/>
        <v>0.90492218941026858</v>
      </c>
      <c r="CO107" s="5">
        <f t="shared" si="110"/>
        <v>0.5370345235716667</v>
      </c>
      <c r="CP107" s="25">
        <f>_xll.DCETCVNPhuLucFHeSoOnDinh(1, 0.2, AG107, AH107, AI107, AJ107, AI107, AJ107, $D$28)</f>
        <v>1</v>
      </c>
      <c r="CQ107" s="68">
        <f t="shared" si="111"/>
        <v>0.9</v>
      </c>
      <c r="CR107" s="68">
        <f t="shared" si="112"/>
        <v>1</v>
      </c>
      <c r="CS107" s="5">
        <f t="shared" si="113"/>
        <v>0.18181818181818182</v>
      </c>
      <c r="CT107" s="5">
        <f t="shared" si="114"/>
        <v>9.9510191986788829E-2</v>
      </c>
      <c r="CU107" s="26">
        <f t="shared" si="115"/>
        <v>25.966403292588502</v>
      </c>
      <c r="CV107" s="5"/>
      <c r="CW107" s="25"/>
      <c r="CX107" s="72">
        <f>MAX(_xll.Dce_c_925(CU107, CQ107, CR107, CN107, CP107, CS107, CT107),0.3)</f>
        <v>0.3</v>
      </c>
      <c r="CY107" s="102" t="str">
        <f t="shared" si="116"/>
        <v>-</v>
      </c>
      <c r="CZ107" s="5" t="str">
        <f t="shared" si="117"/>
        <v>OK</v>
      </c>
      <c r="DA107" s="47">
        <f t="shared" si="118"/>
        <v>0.34499859601035404</v>
      </c>
      <c r="DB107" s="46">
        <f t="shared" si="119"/>
        <v>15.068114539144887</v>
      </c>
      <c r="DC107" s="5" t="str">
        <f t="shared" si="120"/>
        <v>OK</v>
      </c>
      <c r="DD107" s="5">
        <f t="shared" si="121"/>
        <v>2.9248163326364334</v>
      </c>
      <c r="DE107" s="5">
        <f t="shared" si="122"/>
        <v>1.6655104634982609</v>
      </c>
      <c r="DF107" s="5">
        <f t="shared" si="123"/>
        <v>3.2</v>
      </c>
      <c r="DG107" s="5" t="str">
        <f t="shared" si="124"/>
        <v>OK</v>
      </c>
      <c r="DH107" s="203" t="str">
        <f t="shared" si="125"/>
        <v>-</v>
      </c>
      <c r="DI107" s="203" t="str">
        <f t="shared" si="126"/>
        <v>-</v>
      </c>
      <c r="DJ107" s="46">
        <f t="shared" si="127"/>
        <v>0</v>
      </c>
      <c r="DK107" s="5" t="str">
        <f t="shared" si="128"/>
        <v>OK</v>
      </c>
      <c r="EB107" s="18"/>
      <c r="EC107" s="77"/>
      <c r="ED107" s="77"/>
      <c r="EE107" s="18"/>
      <c r="EF107" s="18"/>
      <c r="EG107" s="18"/>
      <c r="EH107" s="5"/>
      <c r="EI107" s="5"/>
      <c r="EJ107" s="5"/>
      <c r="EK107" s="5"/>
      <c r="EL107" s="5"/>
      <c r="FE107" s="26"/>
      <c r="FF107" s="26"/>
      <c r="FG107" s="26"/>
      <c r="FH107" s="26"/>
      <c r="FI107" s="26"/>
      <c r="FJ107" s="26"/>
      <c r="FK107" s="26"/>
      <c r="FL107" s="26"/>
      <c r="FM107" s="26"/>
      <c r="FN107" s="205"/>
      <c r="FO107" s="205"/>
      <c r="FP107" s="205"/>
      <c r="FQ107" s="205"/>
      <c r="FR107" s="205"/>
      <c r="FS107" s="205"/>
      <c r="FT107" s="205"/>
      <c r="FU107" s="77"/>
      <c r="FV107" s="77"/>
      <c r="FW107" s="77"/>
      <c r="FX107" s="205"/>
      <c r="FY107" s="205"/>
      <c r="FZ107" s="205"/>
      <c r="GA107" s="205"/>
      <c r="GB107" s="205"/>
      <c r="GC107" s="205"/>
      <c r="GD107" s="205"/>
      <c r="GE107" s="205"/>
      <c r="GF107" s="205"/>
      <c r="GG107" s="205"/>
      <c r="GH107" s="205"/>
      <c r="GI107" s="205"/>
      <c r="GJ107" s="205"/>
      <c r="GK107" s="205"/>
      <c r="GL107" s="205"/>
      <c r="GM107" s="205"/>
      <c r="GN107" s="205"/>
      <c r="GO107" s="205"/>
      <c r="GP107" s="205"/>
      <c r="GQ107" s="205"/>
      <c r="GR107" s="205"/>
      <c r="GS107" s="205"/>
      <c r="GT107" s="205"/>
      <c r="GU107" s="205"/>
      <c r="GV107" s="18"/>
      <c r="GW107" s="5"/>
      <c r="GX107" s="5"/>
      <c r="GY107" s="77"/>
      <c r="GZ107" s="18"/>
      <c r="HA107" s="18"/>
      <c r="HB107" s="18"/>
      <c r="HC107" s="18"/>
      <c r="HD107" s="18"/>
      <c r="HE107" s="18"/>
      <c r="HF107" s="18"/>
      <c r="HG107" s="18"/>
      <c r="HH107" s="205"/>
      <c r="HI107" s="26"/>
      <c r="HJ107" s="26"/>
      <c r="HK107" s="5"/>
    </row>
    <row r="108" spans="2:219">
      <c r="B108" s="161" t="s">
        <v>386</v>
      </c>
      <c r="C108" s="82"/>
      <c r="D108" s="82"/>
      <c r="E108" s="82"/>
      <c r="F108" s="82"/>
      <c r="G108" s="82"/>
      <c r="H108" s="82"/>
      <c r="I108" s="82"/>
      <c r="J108" s="82"/>
      <c r="K108" s="257"/>
      <c r="L108" s="257"/>
      <c r="M108" s="257"/>
      <c r="N108" s="162"/>
      <c r="O108" s="2"/>
      <c r="P108" s="32"/>
      <c r="Q108" s="28"/>
      <c r="AA108" s="18" t="s">
        <v>488</v>
      </c>
      <c r="AB108" s="22" t="s">
        <v>490</v>
      </c>
      <c r="AC108" s="59">
        <v>3.6405952380952398</v>
      </c>
      <c r="AD108" s="59">
        <v>8.6549999999999994</v>
      </c>
      <c r="AE108" s="22">
        <v>528</v>
      </c>
      <c r="AF108" s="22">
        <v>1528</v>
      </c>
      <c r="AG108" s="22">
        <v>948.63492063492095</v>
      </c>
      <c r="AH108" s="6">
        <v>10</v>
      </c>
      <c r="AI108" s="6">
        <v>300</v>
      </c>
      <c r="AJ108" s="6">
        <v>14</v>
      </c>
      <c r="AK108" s="24">
        <v>300</v>
      </c>
      <c r="AL108" s="24">
        <v>14</v>
      </c>
      <c r="AM108" s="5">
        <f t="shared" si="73"/>
        <v>920.63492063492095</v>
      </c>
      <c r="AN108" s="26">
        <f t="shared" si="74"/>
        <v>176.06349206349208</v>
      </c>
      <c r="AO108" s="26">
        <f t="shared" si="75"/>
        <v>248482.7399356656</v>
      </c>
      <c r="AP108" s="15">
        <f t="shared" si="76"/>
        <v>6307.6719576719579</v>
      </c>
      <c r="AQ108" s="5">
        <f t="shared" si="77"/>
        <v>5238.7432621467533</v>
      </c>
      <c r="AR108" s="26">
        <f t="shared" si="78"/>
        <v>420.51146384479722</v>
      </c>
      <c r="AS108" s="26">
        <f t="shared" si="79"/>
        <v>3022.1941546989178</v>
      </c>
      <c r="AT108" s="26">
        <f t="shared" si="80"/>
        <v>37.567600585756203</v>
      </c>
      <c r="AU108" s="26">
        <f t="shared" si="81"/>
        <v>5.9854925384629922</v>
      </c>
      <c r="AV108" s="95">
        <f t="shared" si="82"/>
        <v>8.6034497354497351E-7</v>
      </c>
      <c r="AW108" s="95">
        <f t="shared" si="83"/>
        <v>13758293.349206358</v>
      </c>
      <c r="AX108" s="95">
        <f t="shared" si="84"/>
        <v>1.3758293349206359E-5</v>
      </c>
      <c r="AY108" s="54">
        <f t="shared" si="85"/>
        <v>0.1548581140202015</v>
      </c>
      <c r="AZ108" s="54" t="str">
        <f>_xll.Dce_Name_SectI(AE108,AF108,AI108,AH108,AJ108,"x","-",$O$11)</f>
        <v>(528-1528)x300x10x14</v>
      </c>
      <c r="BA108" s="15">
        <f t="shared" si="86"/>
        <v>700.97619047619071</v>
      </c>
      <c r="BB108" s="54"/>
      <c r="BC108" s="54"/>
      <c r="BD108" s="22" t="s">
        <v>496</v>
      </c>
      <c r="BE108" s="23">
        <v>54.284035376660626</v>
      </c>
      <c r="BF108" s="23">
        <v>63.671025173585775</v>
      </c>
      <c r="BG108" s="23">
        <v>-2.4258319877344726E-3</v>
      </c>
      <c r="BH108" s="23">
        <v>3.3881855464861583E-5</v>
      </c>
      <c r="BI108" s="23">
        <v>8.8545973252526153E-3</v>
      </c>
      <c r="BJ108" s="23">
        <v>-194.23364478214751</v>
      </c>
      <c r="BK108" s="23">
        <v>-231.96777923651916</v>
      </c>
      <c r="BL108" s="92">
        <v>2.25</v>
      </c>
      <c r="BM108" s="91">
        <v>2</v>
      </c>
      <c r="BN108" s="5">
        <f t="shared" si="87"/>
        <v>19.473749999999999</v>
      </c>
      <c r="BO108" s="54">
        <f>_xll.Bimoment(BH108,AY108,AC108,AD108,$O$101)</f>
        <v>-2.6057405723124569E-4</v>
      </c>
      <c r="BP108" s="5">
        <f t="shared" si="88"/>
        <v>0.45620689655172403</v>
      </c>
      <c r="BQ108" s="5">
        <f t="shared" si="89"/>
        <v>14.926252233156784</v>
      </c>
      <c r="BR108" s="24" t="str">
        <f t="shared" si="90"/>
        <v>Cal</v>
      </c>
      <c r="BS108" s="25">
        <f t="shared" si="91"/>
        <v>1.3489034665247099E-2</v>
      </c>
      <c r="BT108" s="25" t="str">
        <f t="shared" si="92"/>
        <v>CT.105</v>
      </c>
      <c r="BU108" s="25">
        <f t="shared" si="93"/>
        <v>1</v>
      </c>
      <c r="BV108" s="25" cm="1">
        <f t="array" ref="BV108">IF(BT108="CT.104",_xll.TCVN5575AnnexEHeSoCx(1,BP108),1)</f>
        <v>1</v>
      </c>
      <c r="BW108" s="25">
        <f t="shared" si="94"/>
        <v>1</v>
      </c>
      <c r="BX108" s="25">
        <f t="shared" si="95"/>
        <v>1.4198983858154844E-2</v>
      </c>
      <c r="BY108" s="25">
        <f t="shared" si="96"/>
        <v>0.17074649464159594</v>
      </c>
      <c r="BZ108" s="25">
        <f t="shared" si="97"/>
        <v>9.6971793508653185E-5</v>
      </c>
      <c r="CA108" s="25">
        <f t="shared" si="98"/>
        <v>6.1139844383863147E-6</v>
      </c>
      <c r="CB108" s="25">
        <f t="shared" si="99"/>
        <v>0.18504856427769784</v>
      </c>
      <c r="CC108" s="5" t="str">
        <f t="shared" si="100"/>
        <v>OK</v>
      </c>
      <c r="CD108" s="5">
        <f t="shared" si="101"/>
        <v>51.836555160202302</v>
      </c>
      <c r="CE108" s="5">
        <f t="shared" si="102"/>
        <v>33.414125690541383</v>
      </c>
      <c r="CF108" s="5">
        <f t="shared" si="103"/>
        <v>1.7266865002204341</v>
      </c>
      <c r="CG108" s="5">
        <f t="shared" si="104"/>
        <v>1.1130315193248546</v>
      </c>
      <c r="CH108" s="5">
        <f t="shared" si="105"/>
        <v>12.025261550215212</v>
      </c>
      <c r="CI108" s="68">
        <f>_xll.DCETCVN5575PhuLucD2Eta(BP108,CH108,CF108)</f>
        <v>1.2412413793103447</v>
      </c>
      <c r="CJ108" s="5">
        <f t="shared" si="106"/>
        <v>14.926252233156784</v>
      </c>
      <c r="CK108" s="5">
        <f>MIN(noisuy2chieu(CJ108,CF108,Data!$DA$2:$EB$24),1)</f>
        <v>9.1764330863952637E-2</v>
      </c>
      <c r="CL108" s="102" t="str">
        <f t="shared" si="107"/>
        <v>-</v>
      </c>
      <c r="CM108" s="5" t="str">
        <f t="shared" si="108"/>
        <v>OK</v>
      </c>
      <c r="CN108" s="5">
        <f t="shared" si="109"/>
        <v>0.88472625978979058</v>
      </c>
      <c r="CO108" s="5">
        <f t="shared" si="110"/>
        <v>0.5370345235716667</v>
      </c>
      <c r="CP108" s="25">
        <f>_xll.DCETCVNPhuLucFHeSoOnDinh(1, 0.2, AG108, AH108, AI108, AJ108, AI108, AJ108, $D$28)</f>
        <v>1</v>
      </c>
      <c r="CQ108" s="68">
        <f t="shared" si="111"/>
        <v>0.9</v>
      </c>
      <c r="CR108" s="68">
        <f t="shared" si="112"/>
        <v>1</v>
      </c>
      <c r="CS108" s="5">
        <f t="shared" si="113"/>
        <v>0.18181818181818182</v>
      </c>
      <c r="CT108" s="5">
        <f t="shared" si="114"/>
        <v>0.10155106457844131</v>
      </c>
      <c r="CU108" s="26">
        <f t="shared" si="115"/>
        <v>14.361431664789068</v>
      </c>
      <c r="CV108" s="5"/>
      <c r="CW108" s="25"/>
      <c r="CX108" s="72">
        <f>MAX(_xll.Dce_c_925(CU108, CQ108, CR108, CN108, CP108, CS108, CT108),0.3)</f>
        <v>0.3</v>
      </c>
      <c r="CY108" s="102" t="str">
        <f t="shared" si="116"/>
        <v>-</v>
      </c>
      <c r="CZ108" s="5" t="str">
        <f t="shared" si="117"/>
        <v>OK</v>
      </c>
      <c r="DA108" s="47">
        <f t="shared" si="118"/>
        <v>0.34499859601035404</v>
      </c>
      <c r="DB108" s="46">
        <f t="shared" si="119"/>
        <v>1.2411063976636465</v>
      </c>
      <c r="DC108" s="5" t="str">
        <f t="shared" si="120"/>
        <v>OK</v>
      </c>
      <c r="DD108" s="5">
        <f t="shared" si="121"/>
        <v>1.7266865002204341</v>
      </c>
      <c r="DE108" s="5">
        <f t="shared" si="122"/>
        <v>3.0666541867587034</v>
      </c>
      <c r="DF108" s="5">
        <f t="shared" si="123"/>
        <v>3.2</v>
      </c>
      <c r="DG108" s="5" t="str">
        <f t="shared" si="124"/>
        <v>OK</v>
      </c>
      <c r="DH108" s="203">
        <f t="shared" si="125"/>
        <v>51.836555160202302</v>
      </c>
      <c r="DI108" s="203" t="str">
        <f t="shared" si="126"/>
        <v>-</v>
      </c>
      <c r="DJ108" s="46">
        <f t="shared" si="127"/>
        <v>0</v>
      </c>
      <c r="DK108" s="5" t="str">
        <f t="shared" si="128"/>
        <v>OK</v>
      </c>
      <c r="EB108" s="18"/>
      <c r="EC108" s="77"/>
      <c r="ED108" s="77"/>
      <c r="EE108" s="18"/>
      <c r="EF108" s="18"/>
      <c r="EG108" s="18"/>
      <c r="EH108" s="5"/>
      <c r="EI108" s="5"/>
      <c r="EJ108" s="5"/>
      <c r="EK108" s="5"/>
      <c r="EL108" s="5"/>
      <c r="FE108" s="26"/>
      <c r="FF108" s="26"/>
      <c r="FG108" s="26"/>
      <c r="FH108" s="26"/>
      <c r="FI108" s="26"/>
      <c r="FJ108" s="26"/>
      <c r="FK108" s="26"/>
      <c r="FL108" s="26"/>
      <c r="FM108" s="26"/>
      <c r="FN108" s="205"/>
      <c r="FO108" s="205"/>
      <c r="FP108" s="205"/>
      <c r="FQ108" s="205"/>
      <c r="FR108" s="205"/>
      <c r="FS108" s="205"/>
      <c r="FT108" s="205"/>
      <c r="FU108" s="77"/>
      <c r="FV108" s="77"/>
      <c r="FW108" s="77"/>
      <c r="FX108" s="205"/>
      <c r="FY108" s="205"/>
      <c r="FZ108" s="205"/>
      <c r="GA108" s="205"/>
      <c r="GB108" s="205"/>
      <c r="GC108" s="205"/>
      <c r="GD108" s="205"/>
      <c r="GE108" s="205"/>
      <c r="GF108" s="205"/>
      <c r="GG108" s="205"/>
      <c r="GH108" s="205"/>
      <c r="GI108" s="205"/>
      <c r="GJ108" s="205"/>
      <c r="GK108" s="205"/>
      <c r="GL108" s="205"/>
      <c r="GM108" s="205"/>
      <c r="GN108" s="205"/>
      <c r="GO108" s="205"/>
      <c r="GP108" s="205"/>
      <c r="GQ108" s="205"/>
      <c r="GR108" s="205"/>
      <c r="GS108" s="205"/>
      <c r="GT108" s="205"/>
      <c r="GU108" s="205"/>
      <c r="GV108" s="18"/>
      <c r="GW108" s="5"/>
      <c r="GX108" s="5"/>
      <c r="GY108" s="77"/>
      <c r="GZ108" s="18"/>
      <c r="HA108" s="18"/>
      <c r="HB108" s="18"/>
      <c r="HC108" s="18"/>
      <c r="HD108" s="18"/>
      <c r="HE108" s="18"/>
      <c r="HF108" s="18"/>
      <c r="HG108" s="18"/>
      <c r="HH108" s="205"/>
      <c r="HI108" s="26"/>
      <c r="HJ108" s="26"/>
      <c r="HK108" s="5"/>
    </row>
    <row r="109" spans="2:219">
      <c r="B109" s="352" t="s">
        <v>389</v>
      </c>
      <c r="C109" s="353"/>
      <c r="D109" s="353"/>
      <c r="E109" s="353"/>
      <c r="F109" s="353"/>
      <c r="G109" s="353"/>
      <c r="H109" s="353"/>
      <c r="I109" s="353"/>
      <c r="J109" s="353"/>
      <c r="K109" s="353"/>
      <c r="L109" s="353"/>
      <c r="M109" s="353"/>
      <c r="N109" s="354"/>
      <c r="O109" s="2"/>
      <c r="P109" s="32"/>
      <c r="Q109" s="28"/>
      <c r="AA109" s="18" t="s">
        <v>488</v>
      </c>
      <c r="AB109" s="22" t="s">
        <v>490</v>
      </c>
      <c r="AC109" s="59">
        <v>7.2811904761904795</v>
      </c>
      <c r="AD109" s="59">
        <v>8.6549999999999994</v>
      </c>
      <c r="AE109" s="22">
        <v>528</v>
      </c>
      <c r="AF109" s="22">
        <v>1528</v>
      </c>
      <c r="AG109" s="22">
        <v>1369.2698412698419</v>
      </c>
      <c r="AH109" s="6">
        <v>10</v>
      </c>
      <c r="AI109" s="6">
        <v>300</v>
      </c>
      <c r="AJ109" s="6">
        <v>14</v>
      </c>
      <c r="AK109" s="24">
        <v>300</v>
      </c>
      <c r="AL109" s="24">
        <v>14</v>
      </c>
      <c r="AM109" s="5">
        <f t="shared" si="73"/>
        <v>1341.2698412698419</v>
      </c>
      <c r="AN109" s="26">
        <f t="shared" si="74"/>
        <v>218.12698412698418</v>
      </c>
      <c r="AO109" s="26">
        <f t="shared" si="75"/>
        <v>586811.79072745051</v>
      </c>
      <c r="AP109" s="15">
        <f t="shared" si="76"/>
        <v>6311.1772486772488</v>
      </c>
      <c r="AQ109" s="5">
        <f t="shared" si="77"/>
        <v>8571.1635945074104</v>
      </c>
      <c r="AR109" s="26">
        <f t="shared" si="78"/>
        <v>420.74514991181661</v>
      </c>
      <c r="AS109" s="26">
        <f t="shared" si="79"/>
        <v>5094.8226505417015</v>
      </c>
      <c r="AT109" s="26">
        <f t="shared" si="80"/>
        <v>51.867428670398397</v>
      </c>
      <c r="AU109" s="26">
        <f t="shared" si="81"/>
        <v>5.3789869588463937</v>
      </c>
      <c r="AV109" s="95">
        <f t="shared" si="82"/>
        <v>1.0005566137566139E-6</v>
      </c>
      <c r="AW109" s="95">
        <f t="shared" si="83"/>
        <v>28928912.396825422</v>
      </c>
      <c r="AX109" s="95">
        <f t="shared" si="84"/>
        <v>2.8928912396825422E-5</v>
      </c>
      <c r="AY109" s="54">
        <f t="shared" si="85"/>
        <v>0.11516876660535029</v>
      </c>
      <c r="AZ109" s="54" t="str">
        <f>_xll.Dce_Name_SectI(AE109,AF109,AI109,AH109,AJ109,"x","-",$O$11)</f>
        <v>(528-1528)x300x10x14</v>
      </c>
      <c r="BA109" s="15">
        <f t="shared" si="86"/>
        <v>1016.4523809523813</v>
      </c>
      <c r="BB109" s="54"/>
      <c r="BC109" s="54"/>
      <c r="BD109" s="22" t="s">
        <v>496</v>
      </c>
      <c r="BE109" s="23">
        <v>62.162324313718841</v>
      </c>
      <c r="BF109" s="23">
        <v>84.126860830711166</v>
      </c>
      <c r="BG109" s="23">
        <v>-2.4258319877332171E-3</v>
      </c>
      <c r="BH109" s="23">
        <v>3.3881855464861583E-5</v>
      </c>
      <c r="BI109" s="23">
        <v>1.7706867980462032E-2</v>
      </c>
      <c r="BJ109" s="23">
        <v>-463.93555847303833</v>
      </c>
      <c r="BK109" s="23">
        <v>-231.96777923651916</v>
      </c>
      <c r="BL109" s="92">
        <v>2.25</v>
      </c>
      <c r="BM109" s="91">
        <v>2</v>
      </c>
      <c r="BN109" s="5">
        <f t="shared" si="87"/>
        <v>19.473749999999999</v>
      </c>
      <c r="BO109" s="54">
        <f>_xll.Bimoment(BH109,AY109,AC109,AD109,$O$101)</f>
        <v>-1.5499832178452746E-4</v>
      </c>
      <c r="BP109" s="5">
        <f t="shared" si="88"/>
        <v>0.31313609467455605</v>
      </c>
      <c r="BQ109" s="5">
        <f t="shared" si="89"/>
        <v>23.031771236359742</v>
      </c>
      <c r="BR109" s="24" t="str">
        <f t="shared" si="90"/>
        <v>Cal</v>
      </c>
      <c r="BS109" s="25">
        <f t="shared" si="91"/>
        <v>1.2467974558993417E-2</v>
      </c>
      <c r="BT109" s="25" t="str">
        <f t="shared" si="92"/>
        <v>CT.105</v>
      </c>
      <c r="BU109" s="25">
        <f t="shared" si="93"/>
        <v>1</v>
      </c>
      <c r="BV109" s="25" cm="1">
        <f t="array" ref="BV109">IF(BT109="CT.104",_xll.TCVN5575AnnexEHeSoCx(1,BP109),1)</f>
        <v>1</v>
      </c>
      <c r="BW109" s="25">
        <f t="shared" si="94"/>
        <v>1</v>
      </c>
      <c r="BX109" s="25">
        <f t="shared" si="95"/>
        <v>1.3124183746308861E-2</v>
      </c>
      <c r="BY109" s="25">
        <f t="shared" si="96"/>
        <v>0.24927132839260566</v>
      </c>
      <c r="BZ109" s="25">
        <f t="shared" si="97"/>
        <v>1.938104022570876E-4</v>
      </c>
      <c r="CA109" s="25">
        <f t="shared" si="98"/>
        <v>2.5080510910372113E-6</v>
      </c>
      <c r="CB109" s="25">
        <f t="shared" si="99"/>
        <v>0.26259183059226265</v>
      </c>
      <c r="CC109" s="5" t="str">
        <f t="shared" si="100"/>
        <v>OK</v>
      </c>
      <c r="CD109" s="5">
        <f t="shared" si="101"/>
        <v>37.545238889226049</v>
      </c>
      <c r="CE109" s="5">
        <f t="shared" si="102"/>
        <v>37.181722419139881</v>
      </c>
      <c r="CF109" s="5">
        <f t="shared" si="103"/>
        <v>1.2506397644909562</v>
      </c>
      <c r="CG109" s="5">
        <f t="shared" si="104"/>
        <v>1.2385309547993069</v>
      </c>
      <c r="CH109" s="5">
        <f t="shared" si="105"/>
        <v>18.993282417484636</v>
      </c>
      <c r="CI109" s="68">
        <f>_xll.DCETCVN5575PhuLucD2Eta(BP109,CH109,CF109)</f>
        <v>1.2126272189349112</v>
      </c>
      <c r="CJ109" s="5">
        <f t="shared" si="106"/>
        <v>23.031771236359742</v>
      </c>
      <c r="CK109" s="5">
        <f>MIN(noisuy2chieu(CJ109,CF109,Data!$DA$2:$EB$24),1)</f>
        <v>7.1994885802268982E-2</v>
      </c>
      <c r="CL109" s="102" t="str">
        <f t="shared" si="107"/>
        <v>-</v>
      </c>
      <c r="CM109" s="5" t="str">
        <f t="shared" si="108"/>
        <v>OK</v>
      </c>
      <c r="CN109" s="5">
        <f t="shared" si="109"/>
        <v>0.86643683692746631</v>
      </c>
      <c r="CO109" s="5">
        <f t="shared" si="110"/>
        <v>0.5370345235716667</v>
      </c>
      <c r="CP109" s="25">
        <f>_xll.DCETCVNPhuLucFHeSoOnDinh(1, 0.2, AG109, AH109, AI109, AJ109, AI109, AJ109, $D$28)</f>
        <v>1</v>
      </c>
      <c r="CQ109" s="68">
        <f t="shared" si="111"/>
        <v>0.9</v>
      </c>
      <c r="CR109" s="68">
        <f t="shared" si="112"/>
        <v>1</v>
      </c>
      <c r="CS109" s="5">
        <f t="shared" si="113"/>
        <v>0.18181818181818182</v>
      </c>
      <c r="CT109" s="5">
        <f t="shared" si="114"/>
        <v>0.10347287704587492</v>
      </c>
      <c r="CU109" s="26">
        <f t="shared" si="115"/>
        <v>9.496641208742318</v>
      </c>
      <c r="CV109" s="5"/>
      <c r="CW109" s="25"/>
      <c r="CX109" s="72">
        <f>MAX(_xll.Dce_c_925(CU109, CQ109, CR109, CN109, CP109, CS109, CT109),0.3)</f>
        <v>0.3</v>
      </c>
      <c r="CY109" s="102" t="str">
        <f t="shared" si="116"/>
        <v>-</v>
      </c>
      <c r="CZ109" s="5" t="str">
        <f t="shared" si="117"/>
        <v>OK</v>
      </c>
      <c r="DA109" s="47">
        <f t="shared" si="118"/>
        <v>0.34499859601035404</v>
      </c>
      <c r="DB109" s="46">
        <f t="shared" si="119"/>
        <v>1.0270776283162792</v>
      </c>
      <c r="DC109" s="5" t="str">
        <f t="shared" si="120"/>
        <v>OK</v>
      </c>
      <c r="DD109" s="5">
        <f t="shared" si="121"/>
        <v>1.2506397644909562</v>
      </c>
      <c r="DE109" s="5">
        <f t="shared" si="122"/>
        <v>4.4677979100191463</v>
      </c>
      <c r="DF109" s="5">
        <f t="shared" si="123"/>
        <v>3.2</v>
      </c>
      <c r="DG109" s="5" t="str">
        <f t="shared" si="124"/>
        <v>Gia cường</v>
      </c>
      <c r="DH109" s="203">
        <f t="shared" si="125"/>
        <v>37.545238889226049</v>
      </c>
      <c r="DI109" s="203" t="str">
        <f t="shared" si="126"/>
        <v>-</v>
      </c>
      <c r="DJ109" s="46">
        <f t="shared" si="127"/>
        <v>0</v>
      </c>
      <c r="DK109" s="5" t="str">
        <f t="shared" si="128"/>
        <v>OK</v>
      </c>
      <c r="EB109" s="18"/>
      <c r="EC109" s="77"/>
      <c r="ED109" s="77"/>
      <c r="EE109" s="18"/>
      <c r="EF109" s="18"/>
      <c r="EG109" s="18"/>
      <c r="EH109" s="5"/>
      <c r="EI109" s="5"/>
      <c r="EJ109" s="5"/>
      <c r="EK109" s="5"/>
      <c r="EL109" s="5"/>
      <c r="FE109" s="26"/>
      <c r="FF109" s="26"/>
      <c r="FG109" s="26"/>
      <c r="FH109" s="26"/>
      <c r="FI109" s="26"/>
      <c r="FJ109" s="26"/>
      <c r="FK109" s="26"/>
      <c r="FL109" s="26"/>
      <c r="FM109" s="26"/>
      <c r="FN109" s="205"/>
      <c r="FO109" s="205"/>
      <c r="FP109" s="205"/>
      <c r="FQ109" s="205"/>
      <c r="FR109" s="205"/>
      <c r="FS109" s="205"/>
      <c r="FT109" s="205"/>
      <c r="FU109" s="77"/>
      <c r="FV109" s="77"/>
      <c r="FW109" s="77"/>
      <c r="FX109" s="205"/>
      <c r="FY109" s="205"/>
      <c r="FZ109" s="205"/>
      <c r="GA109" s="205"/>
      <c r="GB109" s="205"/>
      <c r="GC109" s="205"/>
      <c r="GD109" s="205"/>
      <c r="GE109" s="205"/>
      <c r="GF109" s="205"/>
      <c r="GG109" s="205"/>
      <c r="GH109" s="205"/>
      <c r="GI109" s="205"/>
      <c r="GJ109" s="205"/>
      <c r="GK109" s="205"/>
      <c r="GL109" s="205"/>
      <c r="GM109" s="205"/>
      <c r="GN109" s="205"/>
      <c r="GO109" s="205"/>
      <c r="GP109" s="205"/>
      <c r="GQ109" s="205"/>
      <c r="GR109" s="205"/>
      <c r="GS109" s="205"/>
      <c r="GT109" s="205"/>
      <c r="GU109" s="205"/>
      <c r="GV109" s="18"/>
      <c r="GW109" s="5"/>
      <c r="GX109" s="5"/>
      <c r="GY109" s="77"/>
      <c r="GZ109" s="18"/>
      <c r="HA109" s="18"/>
      <c r="HB109" s="18"/>
      <c r="HC109" s="18"/>
      <c r="HD109" s="18"/>
      <c r="HE109" s="18"/>
      <c r="HF109" s="18"/>
      <c r="HG109" s="18"/>
      <c r="HH109" s="205"/>
      <c r="HI109" s="26"/>
      <c r="HJ109" s="26"/>
      <c r="HK109" s="5"/>
    </row>
    <row r="110" spans="2:219">
      <c r="B110" s="352"/>
      <c r="C110" s="353"/>
      <c r="D110" s="353"/>
      <c r="E110" s="353"/>
      <c r="F110" s="353"/>
      <c r="G110" s="353"/>
      <c r="H110" s="353"/>
      <c r="I110" s="353"/>
      <c r="J110" s="353"/>
      <c r="K110" s="353"/>
      <c r="L110" s="353"/>
      <c r="M110" s="353"/>
      <c r="N110" s="354"/>
      <c r="O110" s="2"/>
      <c r="P110" s="32"/>
      <c r="Q110" s="28"/>
      <c r="AA110" s="18" t="s">
        <v>488</v>
      </c>
      <c r="AB110" s="22" t="s">
        <v>490</v>
      </c>
      <c r="AC110" s="59">
        <v>0</v>
      </c>
      <c r="AD110" s="59">
        <v>8.6549999999999994</v>
      </c>
      <c r="AE110" s="22">
        <v>528</v>
      </c>
      <c r="AF110" s="22">
        <v>1528</v>
      </c>
      <c r="AG110" s="22">
        <v>528</v>
      </c>
      <c r="AH110" s="6">
        <v>10</v>
      </c>
      <c r="AI110" s="6">
        <v>300</v>
      </c>
      <c r="AJ110" s="6">
        <v>14</v>
      </c>
      <c r="AK110" s="24">
        <v>300</v>
      </c>
      <c r="AL110" s="24">
        <v>14</v>
      </c>
      <c r="AM110" s="5">
        <f t="shared" si="73"/>
        <v>500</v>
      </c>
      <c r="AN110" s="26">
        <f t="shared" si="74"/>
        <v>134</v>
      </c>
      <c r="AO110" s="26">
        <f t="shared" si="75"/>
        <v>65911.546666666676</v>
      </c>
      <c r="AP110" s="15">
        <f t="shared" si="76"/>
        <v>6304.166666666667</v>
      </c>
      <c r="AQ110" s="5">
        <f t="shared" si="77"/>
        <v>2496.6494949494954</v>
      </c>
      <c r="AR110" s="26">
        <f t="shared" si="78"/>
        <v>420.27777777777777</v>
      </c>
      <c r="AS110" s="26">
        <f t="shared" si="79"/>
        <v>1391.9</v>
      </c>
      <c r="AT110" s="26">
        <f t="shared" si="80"/>
        <v>22.178305028345793</v>
      </c>
      <c r="AU110" s="26">
        <f t="shared" si="81"/>
        <v>6.8590101254115021</v>
      </c>
      <c r="AV110" s="95">
        <f t="shared" si="82"/>
        <v>7.201333333333334E-7</v>
      </c>
      <c r="AW110" s="95">
        <f t="shared" si="83"/>
        <v>4161087</v>
      </c>
      <c r="AX110" s="95">
        <f t="shared" si="84"/>
        <v>4.1610870000000001E-6</v>
      </c>
      <c r="AY110" s="54">
        <f t="shared" si="85"/>
        <v>0.25762202780669918</v>
      </c>
      <c r="AZ110" s="54" t="str">
        <f>_xll.Dce_Name_SectI(AE110,AF110,AI110,AH110,AJ110,"x","-",$O$11)</f>
        <v>(528-1528)x300x10x14</v>
      </c>
      <c r="BA110" s="15">
        <f t="shared" si="86"/>
        <v>385.5</v>
      </c>
      <c r="BB110" s="54"/>
      <c r="BC110" s="54"/>
      <c r="BD110" s="22" t="s">
        <v>497</v>
      </c>
      <c r="BE110" s="23">
        <v>-62.183447217777598</v>
      </c>
      <c r="BF110" s="23">
        <v>-51.138109763665028</v>
      </c>
      <c r="BG110" s="23">
        <v>-9.3735099299807265E-4</v>
      </c>
      <c r="BH110" s="23">
        <v>1.3092081819842632E-5</v>
      </c>
      <c r="BI110" s="23">
        <v>8.9903442501287896E-7</v>
      </c>
      <c r="BJ110" s="23">
        <v>-0.81947516280124288</v>
      </c>
      <c r="BK110" s="23">
        <v>154.81111323420043</v>
      </c>
      <c r="BL110" s="92">
        <v>2.25</v>
      </c>
      <c r="BM110" s="91">
        <v>2</v>
      </c>
      <c r="BN110" s="5">
        <f t="shared" si="87"/>
        <v>19.473749999999999</v>
      </c>
      <c r="BO110" s="54">
        <f>_xll.Bimoment(BH110,AY110,AC110,AD110,$O$101)</f>
        <v>0</v>
      </c>
      <c r="BP110" s="5">
        <f t="shared" si="88"/>
        <v>0.84</v>
      </c>
      <c r="BQ110" s="5">
        <f t="shared" si="89"/>
        <v>0.10728476520206111</v>
      </c>
      <c r="BR110" s="24" t="str">
        <f t="shared" si="90"/>
        <v>Cal</v>
      </c>
      <c r="BS110" s="25">
        <f t="shared" si="91"/>
        <v>2.0302431461028135E-2</v>
      </c>
      <c r="BT110" s="25" t="str">
        <f t="shared" si="92"/>
        <v>CT.105</v>
      </c>
      <c r="BU110" s="25">
        <f t="shared" si="93"/>
        <v>1</v>
      </c>
      <c r="BV110" s="25" cm="1">
        <f t="array" ref="BV110">IF(BT110="CT.104",_xll.TCVN5575AnnexEHeSoCx(1,BP110),1)</f>
        <v>1</v>
      </c>
      <c r="BW110" s="25">
        <f t="shared" si="94"/>
        <v>1</v>
      </c>
      <c r="BX110" s="25">
        <f t="shared" si="95"/>
        <v>2.1370980485292776E-2</v>
      </c>
      <c r="BY110" s="25">
        <f t="shared" si="96"/>
        <v>1.5115853401499186E-3</v>
      </c>
      <c r="BZ110" s="25">
        <f t="shared" si="97"/>
        <v>9.8513181855169878E-9</v>
      </c>
      <c r="CA110" s="25">
        <f t="shared" si="98"/>
        <v>0</v>
      </c>
      <c r="CB110" s="25">
        <f t="shared" si="99"/>
        <v>2.2882575676760879E-2</v>
      </c>
      <c r="CC110" s="5" t="str">
        <f t="shared" si="100"/>
        <v>OK</v>
      </c>
      <c r="CD110" s="5">
        <f t="shared" si="101"/>
        <v>87.805402509844015</v>
      </c>
      <c r="CE110" s="5">
        <f t="shared" si="102"/>
        <v>29.158726455153193</v>
      </c>
      <c r="CF110" s="5">
        <f t="shared" si="103"/>
        <v>2.9248163326364334</v>
      </c>
      <c r="CG110" s="5">
        <f t="shared" si="104"/>
        <v>0.97128328026682387</v>
      </c>
      <c r="CH110" s="5">
        <f t="shared" si="105"/>
        <v>7.0730743551526407E-2</v>
      </c>
      <c r="CI110" s="68">
        <f>_xll.DCETCVN5575PhuLucD2Eta(BP110,CH110,CF110)</f>
        <v>1.5168052789365289</v>
      </c>
      <c r="CJ110" s="5">
        <f t="shared" si="106"/>
        <v>0.10728476520206111</v>
      </c>
      <c r="CK110" s="5">
        <f>MIN(noisuy2chieu(CJ110,CF110,Data!$DA$2:$EB$24),1)</f>
        <v>0.67487800121307373</v>
      </c>
      <c r="CL110" s="102">
        <f t="shared" si="107"/>
        <v>3.1666435188106669E-2</v>
      </c>
      <c r="CM110" s="5" t="str">
        <f t="shared" si="108"/>
        <v>OK</v>
      </c>
      <c r="CN110" s="5">
        <f t="shared" si="109"/>
        <v>0.90492218941026858</v>
      </c>
      <c r="CO110" s="5">
        <f t="shared" si="110"/>
        <v>0.5370345235716667</v>
      </c>
      <c r="CP110" s="25">
        <f>_xll.DCETCVNPhuLucFHeSoOnDinh(1, 0.2, AG110, AH110, AI110, AJ110, AI110, AJ110, $D$28)</f>
        <v>1</v>
      </c>
      <c r="CQ110" s="68">
        <f t="shared" si="111"/>
        <v>0.9</v>
      </c>
      <c r="CR110" s="68">
        <f t="shared" si="112"/>
        <v>1</v>
      </c>
      <c r="CS110" s="5">
        <f t="shared" si="113"/>
        <v>0.18181818181818182</v>
      </c>
      <c r="CT110" s="5">
        <f t="shared" si="114"/>
        <v>9.9510191986788829E-2</v>
      </c>
      <c r="CU110" s="26">
        <f t="shared" si="115"/>
        <v>13.362095211847633</v>
      </c>
      <c r="CV110" s="5"/>
      <c r="CW110" s="25"/>
      <c r="CX110" s="72">
        <f>MAX(_xll.Dce_c_925(CU110, CQ110, CR110, CN110, CP110, CS110, CT110),0.3)</f>
        <v>0.3</v>
      </c>
      <c r="CY110" s="102">
        <f t="shared" si="116"/>
        <v>7.8721245264266271E-2</v>
      </c>
      <c r="CZ110" s="5" t="str">
        <f t="shared" si="117"/>
        <v>OK</v>
      </c>
      <c r="DA110" s="47">
        <f t="shared" si="118"/>
        <v>0.34499859601035404</v>
      </c>
      <c r="DB110" s="46">
        <f t="shared" si="119"/>
        <v>0.45712832802668235</v>
      </c>
      <c r="DC110" s="5" t="str">
        <f t="shared" si="120"/>
        <v>OK</v>
      </c>
      <c r="DD110" s="5">
        <f t="shared" si="121"/>
        <v>2.9248163326364334</v>
      </c>
      <c r="DE110" s="5">
        <f t="shared" si="122"/>
        <v>1.6655104634982609</v>
      </c>
      <c r="DF110" s="5" t="str">
        <f t="shared" si="123"/>
        <v>-</v>
      </c>
      <c r="DG110" s="5" t="str">
        <f t="shared" si="124"/>
        <v>-</v>
      </c>
      <c r="DH110" s="203" t="str">
        <f t="shared" si="125"/>
        <v>-</v>
      </c>
      <c r="DI110" s="203">
        <f t="shared" si="126"/>
        <v>180</v>
      </c>
      <c r="DJ110" s="46">
        <f t="shared" si="127"/>
        <v>0</v>
      </c>
      <c r="DK110" s="5" t="str">
        <f t="shared" si="128"/>
        <v>OK</v>
      </c>
      <c r="EB110" s="18"/>
      <c r="EC110" s="77"/>
      <c r="ED110" s="77"/>
      <c r="EE110" s="18"/>
      <c r="EF110" s="18"/>
      <c r="EG110" s="18"/>
      <c r="EH110" s="5"/>
      <c r="EI110" s="5"/>
      <c r="EJ110" s="5"/>
      <c r="EK110" s="5"/>
      <c r="EL110" s="5"/>
      <c r="FE110" s="26"/>
      <c r="FF110" s="26"/>
      <c r="FG110" s="26"/>
      <c r="FH110" s="26"/>
      <c r="FI110" s="26"/>
      <c r="FJ110" s="26"/>
      <c r="FK110" s="26"/>
      <c r="FL110" s="26"/>
      <c r="FM110" s="26"/>
      <c r="FN110" s="205"/>
      <c r="FO110" s="205"/>
      <c r="FP110" s="205"/>
      <c r="FQ110" s="205"/>
      <c r="FR110" s="205"/>
      <c r="FS110" s="205"/>
      <c r="FT110" s="205"/>
      <c r="FU110" s="77"/>
      <c r="FV110" s="77"/>
      <c r="FW110" s="77"/>
      <c r="FX110" s="205"/>
      <c r="FY110" s="205"/>
      <c r="FZ110" s="205"/>
      <c r="GA110" s="205"/>
      <c r="GB110" s="205"/>
      <c r="GC110" s="205"/>
      <c r="GD110" s="205"/>
      <c r="GE110" s="205"/>
      <c r="GF110" s="205"/>
      <c r="GG110" s="205"/>
      <c r="GH110" s="205"/>
      <c r="GI110" s="205"/>
      <c r="GJ110" s="205"/>
      <c r="GK110" s="205"/>
      <c r="GL110" s="205"/>
      <c r="GM110" s="205"/>
      <c r="GN110" s="205"/>
      <c r="GO110" s="205"/>
      <c r="GP110" s="205"/>
      <c r="GQ110" s="205"/>
      <c r="GR110" s="205"/>
      <c r="GS110" s="205"/>
      <c r="GT110" s="205"/>
      <c r="GU110" s="205"/>
      <c r="GV110" s="18"/>
      <c r="GW110" s="5"/>
      <c r="GX110" s="5"/>
      <c r="GY110" s="77"/>
      <c r="GZ110" s="18"/>
      <c r="HA110" s="18"/>
      <c r="HB110" s="18"/>
      <c r="HC110" s="18"/>
      <c r="HD110" s="18"/>
      <c r="HE110" s="18"/>
      <c r="HF110" s="18"/>
      <c r="HG110" s="18"/>
      <c r="HH110" s="205"/>
      <c r="HI110" s="26"/>
      <c r="HJ110" s="26"/>
      <c r="HK110" s="5"/>
    </row>
    <row r="111" spans="2:219">
      <c r="B111" s="161" t="s">
        <v>388</v>
      </c>
      <c r="C111" s="82"/>
      <c r="D111" s="82"/>
      <c r="E111" s="82"/>
      <c r="F111" s="82"/>
      <c r="G111" s="82"/>
      <c r="H111" s="82"/>
      <c r="I111" s="82"/>
      <c r="J111" s="82"/>
      <c r="K111" s="257"/>
      <c r="L111" s="257"/>
      <c r="M111" s="257"/>
      <c r="N111" s="162"/>
      <c r="O111" s="2"/>
      <c r="P111" s="32"/>
      <c r="Q111" s="28"/>
      <c r="AA111" s="18" t="s">
        <v>488</v>
      </c>
      <c r="AB111" s="22" t="s">
        <v>490</v>
      </c>
      <c r="AC111" s="59">
        <v>3.6405952380952398</v>
      </c>
      <c r="AD111" s="59">
        <v>8.6549999999999994</v>
      </c>
      <c r="AE111" s="22">
        <v>528</v>
      </c>
      <c r="AF111" s="22">
        <v>1528</v>
      </c>
      <c r="AG111" s="22">
        <v>948.63492063492095</v>
      </c>
      <c r="AH111" s="6">
        <v>10</v>
      </c>
      <c r="AI111" s="6">
        <v>300</v>
      </c>
      <c r="AJ111" s="6">
        <v>14</v>
      </c>
      <c r="AK111" s="24">
        <v>300</v>
      </c>
      <c r="AL111" s="24">
        <v>14</v>
      </c>
      <c r="AM111" s="5">
        <f t="shared" si="73"/>
        <v>920.63492063492095</v>
      </c>
      <c r="AN111" s="26">
        <f t="shared" si="74"/>
        <v>176.06349206349208</v>
      </c>
      <c r="AO111" s="26">
        <f t="shared" si="75"/>
        <v>248482.7399356656</v>
      </c>
      <c r="AP111" s="15">
        <f t="shared" si="76"/>
        <v>6307.6719576719579</v>
      </c>
      <c r="AQ111" s="5">
        <f t="shared" si="77"/>
        <v>5238.7432621467533</v>
      </c>
      <c r="AR111" s="26">
        <f t="shared" si="78"/>
        <v>420.51146384479722</v>
      </c>
      <c r="AS111" s="26">
        <f t="shared" si="79"/>
        <v>3022.1941546989178</v>
      </c>
      <c r="AT111" s="26">
        <f t="shared" si="80"/>
        <v>37.567600585756203</v>
      </c>
      <c r="AU111" s="26">
        <f t="shared" si="81"/>
        <v>5.9854925384629922</v>
      </c>
      <c r="AV111" s="95">
        <f t="shared" si="82"/>
        <v>8.6034497354497351E-7</v>
      </c>
      <c r="AW111" s="95">
        <f t="shared" si="83"/>
        <v>13758293.349206358</v>
      </c>
      <c r="AX111" s="95">
        <f t="shared" si="84"/>
        <v>1.3758293349206359E-5</v>
      </c>
      <c r="AY111" s="54">
        <f t="shared" si="85"/>
        <v>0.1548581140202015</v>
      </c>
      <c r="AZ111" s="54" t="str">
        <f>_xll.Dce_Name_SectI(AE111,AF111,AI111,AH111,AJ111,"x","-",$O$11)</f>
        <v>(528-1528)x300x10x14</v>
      </c>
      <c r="BA111" s="15">
        <f t="shared" si="86"/>
        <v>700.97619047619071</v>
      </c>
      <c r="BB111" s="54"/>
      <c r="BC111" s="54"/>
      <c r="BD111" s="22" t="s">
        <v>497</v>
      </c>
      <c r="BE111" s="23">
        <v>-56.66664403121176</v>
      </c>
      <c r="BF111" s="23">
        <v>-42.518304075947597</v>
      </c>
      <c r="BG111" s="23">
        <v>-9.3735099299754356E-4</v>
      </c>
      <c r="BH111" s="23">
        <v>1.3092081819842632E-5</v>
      </c>
      <c r="BI111" s="23">
        <v>3.4214511299134574E-3</v>
      </c>
      <c r="BJ111" s="23">
        <v>170.03237247235575</v>
      </c>
      <c r="BK111" s="23">
        <v>154.81111323420043</v>
      </c>
      <c r="BL111" s="92">
        <v>2.25</v>
      </c>
      <c r="BM111" s="91">
        <v>2</v>
      </c>
      <c r="BN111" s="5">
        <f t="shared" si="87"/>
        <v>19.473749999999999</v>
      </c>
      <c r="BO111" s="54">
        <f>_xll.Bimoment(BH111,AY111,AC111,AD111,$O$101)</f>
        <v>-1.0068683755934797E-4</v>
      </c>
      <c r="BP111" s="5">
        <f t="shared" si="88"/>
        <v>0.45620689655172403</v>
      </c>
      <c r="BQ111" s="5">
        <f t="shared" si="89"/>
        <v>12.517066595453274</v>
      </c>
      <c r="BR111" s="24" t="str">
        <f t="shared" si="90"/>
        <v>Cal</v>
      </c>
      <c r="BS111" s="25">
        <f t="shared" si="91"/>
        <v>1.4081088857827929E-2</v>
      </c>
      <c r="BT111" s="25" t="str">
        <f t="shared" si="92"/>
        <v>CT.105</v>
      </c>
      <c r="BU111" s="25">
        <f t="shared" si="93"/>
        <v>1</v>
      </c>
      <c r="BV111" s="25" cm="1">
        <f t="array" ref="BV111">IF(BT111="CT.104",_xll.TCVN5575AnnexEHeSoCx(1,BP111),1)</f>
        <v>1</v>
      </c>
      <c r="BW111" s="25">
        <f t="shared" si="94"/>
        <v>1</v>
      </c>
      <c r="BX111" s="25">
        <f t="shared" si="95"/>
        <v>1.4822198797713612E-2</v>
      </c>
      <c r="BY111" s="25">
        <f t="shared" si="96"/>
        <v>0.1494716922385497</v>
      </c>
      <c r="BZ111" s="25">
        <f t="shared" si="97"/>
        <v>3.7470281288082215E-5</v>
      </c>
      <c r="CA111" s="25">
        <f t="shared" si="98"/>
        <v>2.3624675630769868E-6</v>
      </c>
      <c r="CB111" s="25">
        <f t="shared" si="99"/>
        <v>0.16433372378511446</v>
      </c>
      <c r="CC111" s="5" t="str">
        <f t="shared" si="100"/>
        <v>OK</v>
      </c>
      <c r="CD111" s="5">
        <f t="shared" si="101"/>
        <v>51.836555160202302</v>
      </c>
      <c r="CE111" s="5">
        <f t="shared" si="102"/>
        <v>33.414125690541383</v>
      </c>
      <c r="CF111" s="5">
        <f t="shared" si="103"/>
        <v>1.7266865002204341</v>
      </c>
      <c r="CG111" s="5">
        <f t="shared" si="104"/>
        <v>1.1130315193248546</v>
      </c>
      <c r="CH111" s="5">
        <f t="shared" si="105"/>
        <v>10.084313014450077</v>
      </c>
      <c r="CI111" s="68">
        <f>_xll.DCETCVN5575PhuLucD2Eta(BP111,CH111,CF111)</f>
        <v>1.2412413793103447</v>
      </c>
      <c r="CJ111" s="5">
        <f t="shared" si="106"/>
        <v>12.517066595453274</v>
      </c>
      <c r="CK111" s="5">
        <f>MIN(noisuy2chieu(CJ111,CF111,Data!$DA$2:$EB$24),1)</f>
        <v>0.10718280822038651</v>
      </c>
      <c r="CL111" s="102">
        <f t="shared" si="107"/>
        <v>0.13828895737865529</v>
      </c>
      <c r="CM111" s="5" t="str">
        <f t="shared" si="108"/>
        <v>OK</v>
      </c>
      <c r="CN111" s="5">
        <f t="shared" si="109"/>
        <v>0.88472625978979058</v>
      </c>
      <c r="CO111" s="5">
        <f t="shared" si="110"/>
        <v>0.5370345235716667</v>
      </c>
      <c r="CP111" s="25">
        <f>_xll.DCETCVNPhuLucFHeSoOnDinh(1, 0.2, AG111, AH111, AI111, AJ111, AI111, AJ111, $D$28)</f>
        <v>1</v>
      </c>
      <c r="CQ111" s="68">
        <f t="shared" si="111"/>
        <v>0.9</v>
      </c>
      <c r="CR111" s="68">
        <f t="shared" si="112"/>
        <v>1</v>
      </c>
      <c r="CS111" s="5">
        <f t="shared" si="113"/>
        <v>0.18181818181818182</v>
      </c>
      <c r="CT111" s="5">
        <f t="shared" si="114"/>
        <v>0.10155106457844131</v>
      </c>
      <c r="CU111" s="26">
        <f t="shared" si="115"/>
        <v>9.1815676113263063</v>
      </c>
      <c r="CV111" s="5"/>
      <c r="CW111" s="25"/>
      <c r="CX111" s="72">
        <f>MAX(_xll.Dce_c_925(CU111, CQ111, CR111, CN111, CP111, CS111, CT111),0.3)</f>
        <v>0.3</v>
      </c>
      <c r="CY111" s="102">
        <f t="shared" si="116"/>
        <v>5.5844764161799766E-2</v>
      </c>
      <c r="CZ111" s="5" t="str">
        <f t="shared" si="117"/>
        <v>OK</v>
      </c>
      <c r="DA111" s="47">
        <f t="shared" si="118"/>
        <v>0.34499859601035404</v>
      </c>
      <c r="DB111" s="46">
        <f t="shared" si="119"/>
        <v>0.47130315193248545</v>
      </c>
      <c r="DC111" s="5" t="str">
        <f t="shared" si="120"/>
        <v>OK</v>
      </c>
      <c r="DD111" s="5">
        <f t="shared" si="121"/>
        <v>1.7266865002204341</v>
      </c>
      <c r="DE111" s="5">
        <f t="shared" si="122"/>
        <v>3.0666541867587034</v>
      </c>
      <c r="DF111" s="5" t="str">
        <f t="shared" si="123"/>
        <v>-</v>
      </c>
      <c r="DG111" s="5" t="str">
        <f t="shared" si="124"/>
        <v>-</v>
      </c>
      <c r="DH111" s="203">
        <f t="shared" si="125"/>
        <v>51.836555160202302</v>
      </c>
      <c r="DI111" s="203">
        <f t="shared" si="126"/>
        <v>180</v>
      </c>
      <c r="DJ111" s="46">
        <f t="shared" si="127"/>
        <v>0.28798086200112388</v>
      </c>
      <c r="DK111" s="5" t="str">
        <f t="shared" si="128"/>
        <v>OK</v>
      </c>
      <c r="EB111" s="18"/>
      <c r="EC111" s="77"/>
      <c r="ED111" s="77"/>
      <c r="EE111" s="18"/>
      <c r="EF111" s="18"/>
      <c r="EG111" s="18"/>
      <c r="EH111" s="5"/>
      <c r="EI111" s="5"/>
      <c r="EJ111" s="5"/>
      <c r="EK111" s="5"/>
      <c r="EL111" s="5"/>
      <c r="FE111" s="26"/>
      <c r="FF111" s="26"/>
      <c r="FG111" s="26"/>
      <c r="FH111" s="26"/>
      <c r="FI111" s="26"/>
      <c r="FJ111" s="26"/>
      <c r="FK111" s="26"/>
      <c r="FL111" s="26"/>
      <c r="FM111" s="26"/>
      <c r="FN111" s="205"/>
      <c r="FO111" s="205"/>
      <c r="FP111" s="205"/>
      <c r="FQ111" s="205"/>
      <c r="FR111" s="205"/>
      <c r="FS111" s="205"/>
      <c r="FT111" s="205"/>
      <c r="FU111" s="77"/>
      <c r="FV111" s="77"/>
      <c r="FW111" s="77"/>
      <c r="FX111" s="205"/>
      <c r="FY111" s="205"/>
      <c r="FZ111" s="205"/>
      <c r="GA111" s="205"/>
      <c r="GB111" s="205"/>
      <c r="GC111" s="205"/>
      <c r="GD111" s="205"/>
      <c r="GE111" s="205"/>
      <c r="GF111" s="205"/>
      <c r="GG111" s="205"/>
      <c r="GH111" s="205"/>
      <c r="GI111" s="205"/>
      <c r="GJ111" s="205"/>
      <c r="GK111" s="205"/>
      <c r="GL111" s="205"/>
      <c r="GM111" s="205"/>
      <c r="GN111" s="205"/>
      <c r="GO111" s="205"/>
      <c r="GP111" s="205"/>
      <c r="GQ111" s="205"/>
      <c r="GR111" s="205"/>
      <c r="GS111" s="205"/>
      <c r="GT111" s="205"/>
      <c r="GU111" s="205"/>
      <c r="GV111" s="18"/>
      <c r="GW111" s="5"/>
      <c r="GX111" s="5"/>
      <c r="GY111" s="77"/>
      <c r="GZ111" s="18"/>
      <c r="HA111" s="18"/>
      <c r="HB111" s="18"/>
      <c r="HC111" s="18"/>
      <c r="HD111" s="18"/>
      <c r="HE111" s="18"/>
      <c r="HF111" s="18"/>
      <c r="HG111" s="18"/>
      <c r="HH111" s="205"/>
      <c r="HI111" s="26"/>
      <c r="HJ111" s="26"/>
      <c r="HK111" s="5"/>
    </row>
    <row r="112" spans="2:219">
      <c r="B112" s="161" t="s">
        <v>387</v>
      </c>
      <c r="C112" s="82"/>
      <c r="D112" s="82"/>
      <c r="E112" s="82"/>
      <c r="F112" s="82"/>
      <c r="G112" s="82"/>
      <c r="H112" s="82"/>
      <c r="I112" s="82"/>
      <c r="J112" s="82"/>
      <c r="K112" s="257"/>
      <c r="L112" s="257"/>
      <c r="M112" s="257"/>
      <c r="N112" s="162"/>
      <c r="O112" s="2"/>
      <c r="P112" s="32"/>
      <c r="Q112" s="28"/>
      <c r="AA112" s="18" t="s">
        <v>488</v>
      </c>
      <c r="AB112" s="22" t="s">
        <v>490</v>
      </c>
      <c r="AC112" s="59">
        <v>7.2811904761904795</v>
      </c>
      <c r="AD112" s="59">
        <v>8.6549999999999994</v>
      </c>
      <c r="AE112" s="22">
        <v>528</v>
      </c>
      <c r="AF112" s="22">
        <v>1528</v>
      </c>
      <c r="AG112" s="22">
        <v>1369.2698412698419</v>
      </c>
      <c r="AH112" s="6">
        <v>10</v>
      </c>
      <c r="AI112" s="6">
        <v>300</v>
      </c>
      <c r="AJ112" s="6">
        <v>14</v>
      </c>
      <c r="AK112" s="24">
        <v>300</v>
      </c>
      <c r="AL112" s="24">
        <v>14</v>
      </c>
      <c r="AM112" s="5">
        <f t="shared" si="73"/>
        <v>1341.2698412698419</v>
      </c>
      <c r="AN112" s="26">
        <f t="shared" si="74"/>
        <v>218.12698412698418</v>
      </c>
      <c r="AO112" s="26">
        <f t="shared" si="75"/>
        <v>586811.79072745051</v>
      </c>
      <c r="AP112" s="15">
        <f t="shared" si="76"/>
        <v>6311.1772486772488</v>
      </c>
      <c r="AQ112" s="5">
        <f t="shared" si="77"/>
        <v>8571.1635945074104</v>
      </c>
      <c r="AR112" s="26">
        <f t="shared" si="78"/>
        <v>420.74514991181661</v>
      </c>
      <c r="AS112" s="26">
        <f t="shared" si="79"/>
        <v>5094.8226505417015</v>
      </c>
      <c r="AT112" s="26">
        <f t="shared" si="80"/>
        <v>51.867428670398397</v>
      </c>
      <c r="AU112" s="26">
        <f t="shared" si="81"/>
        <v>5.3789869588463937</v>
      </c>
      <c r="AV112" s="95">
        <f t="shared" si="82"/>
        <v>1.0005566137566139E-6</v>
      </c>
      <c r="AW112" s="95">
        <f t="shared" si="83"/>
        <v>28928912.396825422</v>
      </c>
      <c r="AX112" s="95">
        <f t="shared" si="84"/>
        <v>2.8928912396825422E-5</v>
      </c>
      <c r="AY112" s="54">
        <f t="shared" si="85"/>
        <v>0.11516876660535029</v>
      </c>
      <c r="AZ112" s="54" t="str">
        <f>_xll.Dce_Name_SectI(AE112,AF112,AI112,AH112,AJ112,"x","-",$O$11)</f>
        <v>(528-1528)x300x10x14</v>
      </c>
      <c r="BA112" s="15">
        <f t="shared" si="86"/>
        <v>1016.4523809523813</v>
      </c>
      <c r="BB112" s="54"/>
      <c r="BC112" s="54"/>
      <c r="BD112" s="22" t="s">
        <v>497</v>
      </c>
      <c r="BE112" s="23">
        <v>-49.608405094153525</v>
      </c>
      <c r="BF112" s="23">
        <v>-34.004348918822188</v>
      </c>
      <c r="BG112" s="23">
        <v>-9.3735099299702119E-4</v>
      </c>
      <c r="BH112" s="23">
        <v>1.3092081819842632E-5</v>
      </c>
      <c r="BI112" s="23">
        <v>6.8420032253999827E-3</v>
      </c>
      <c r="BJ112" s="23">
        <v>309.62222646840087</v>
      </c>
      <c r="BK112" s="23">
        <v>154.81111323420043</v>
      </c>
      <c r="BL112" s="92">
        <v>2.25</v>
      </c>
      <c r="BM112" s="91">
        <v>2</v>
      </c>
      <c r="BN112" s="5">
        <f t="shared" si="87"/>
        <v>19.473749999999999</v>
      </c>
      <c r="BO112" s="54">
        <f>_xll.Bimoment(BH112,AY112,AC112,AD112,$O$101)</f>
        <v>-5.9891959365857006E-5</v>
      </c>
      <c r="BP112" s="5">
        <f t="shared" si="88"/>
        <v>0.31313609467455605</v>
      </c>
      <c r="BQ112" s="5">
        <f t="shared" si="89"/>
        <v>19.26077629800286</v>
      </c>
      <c r="BR112" s="24" t="str">
        <f t="shared" si="90"/>
        <v>Cal</v>
      </c>
      <c r="BS112" s="25">
        <f t="shared" si="91"/>
        <v>9.9500193960675755E-3</v>
      </c>
      <c r="BT112" s="25" t="str">
        <f t="shared" si="92"/>
        <v>CT.105</v>
      </c>
      <c r="BU112" s="25">
        <f t="shared" si="93"/>
        <v>1</v>
      </c>
      <c r="BV112" s="25" cm="1">
        <f t="array" ref="BV112">IF(BT112="CT.104",_xll.TCVN5575AnnexEHeSoCx(1,BP112),1)</f>
        <v>1</v>
      </c>
      <c r="BW112" s="25">
        <f t="shared" si="94"/>
        <v>1</v>
      </c>
      <c r="BX112" s="25">
        <f t="shared" si="95"/>
        <v>1.0473704627439556E-2</v>
      </c>
      <c r="BY112" s="25">
        <f t="shared" si="96"/>
        <v>0.16635918993939283</v>
      </c>
      <c r="BZ112" s="25">
        <f t="shared" si="97"/>
        <v>7.4889099462549898E-5</v>
      </c>
      <c r="CA112" s="25">
        <f t="shared" si="98"/>
        <v>9.6912077693791359E-7</v>
      </c>
      <c r="CB112" s="25">
        <f t="shared" si="99"/>
        <v>0.17690875278707185</v>
      </c>
      <c r="CC112" s="5" t="str">
        <f t="shared" si="100"/>
        <v>OK</v>
      </c>
      <c r="CD112" s="5">
        <f t="shared" si="101"/>
        <v>37.545238889226049</v>
      </c>
      <c r="CE112" s="5">
        <f t="shared" si="102"/>
        <v>37.181722419139881</v>
      </c>
      <c r="CF112" s="5">
        <f t="shared" si="103"/>
        <v>1.2506397644909562</v>
      </c>
      <c r="CG112" s="5">
        <f t="shared" si="104"/>
        <v>1.2385309547993069</v>
      </c>
      <c r="CH112" s="5">
        <f t="shared" si="105"/>
        <v>15.88350978540644</v>
      </c>
      <c r="CI112" s="68">
        <f>_xll.DCETCVN5575PhuLucD2Eta(BP112,CH112,CF112)</f>
        <v>1.2126272189349112</v>
      </c>
      <c r="CJ112" s="5">
        <f t="shared" si="106"/>
        <v>19.26077629800286</v>
      </c>
      <c r="CK112" s="5">
        <f>MIN(noisuy2chieu(CJ112,CF112,Data!$DA$2:$EB$24),1)</f>
        <v>7.4951782822608948E-2</v>
      </c>
      <c r="CL112" s="102">
        <f t="shared" si="107"/>
        <v>0.13973923278420267</v>
      </c>
      <c r="CM112" s="5" t="str">
        <f t="shared" si="108"/>
        <v>OK</v>
      </c>
      <c r="CN112" s="5">
        <f t="shared" si="109"/>
        <v>0.86643683692746631</v>
      </c>
      <c r="CO112" s="5">
        <f t="shared" si="110"/>
        <v>0.5370345235716667</v>
      </c>
      <c r="CP112" s="25">
        <f>_xll.DCETCVNPhuLucFHeSoOnDinh(1, 0.2, AG112, AH112, AI112, AJ112, AI112, AJ112, $D$28)</f>
        <v>1</v>
      </c>
      <c r="CQ112" s="68">
        <f t="shared" si="111"/>
        <v>0.9</v>
      </c>
      <c r="CR112" s="68">
        <f t="shared" si="112"/>
        <v>1</v>
      </c>
      <c r="CS112" s="5">
        <f t="shared" si="113"/>
        <v>0.18181818181818182</v>
      </c>
      <c r="CT112" s="5">
        <f t="shared" si="114"/>
        <v>0.10347287704587492</v>
      </c>
      <c r="CU112" s="26">
        <f t="shared" si="115"/>
        <v>7.9417548927032202</v>
      </c>
      <c r="CV112" s="5"/>
      <c r="CW112" s="25"/>
      <c r="CX112" s="72">
        <f>MAX(_xll.Dce_c_925(CU112, CQ112, CR112, CN112, CP112, CS112, CT112),0.3)</f>
        <v>0.3</v>
      </c>
      <c r="CY112" s="102">
        <f t="shared" si="116"/>
        <v>4.0294164871771877E-2</v>
      </c>
      <c r="CZ112" s="5" t="str">
        <f t="shared" si="117"/>
        <v>OK</v>
      </c>
      <c r="DA112" s="47">
        <f t="shared" si="118"/>
        <v>0.34499859601035404</v>
      </c>
      <c r="DB112" s="46">
        <f t="shared" si="119"/>
        <v>0.48385309547993066</v>
      </c>
      <c r="DC112" s="5" t="str">
        <f t="shared" si="120"/>
        <v>OK</v>
      </c>
      <c r="DD112" s="5">
        <f t="shared" si="121"/>
        <v>1.2506397644909562</v>
      </c>
      <c r="DE112" s="5">
        <f t="shared" si="122"/>
        <v>4.4677979100191463</v>
      </c>
      <c r="DF112" s="5" t="str">
        <f t="shared" si="123"/>
        <v>-</v>
      </c>
      <c r="DG112" s="5" t="str">
        <f t="shared" si="124"/>
        <v>-</v>
      </c>
      <c r="DH112" s="203">
        <f t="shared" si="125"/>
        <v>37.545238889226049</v>
      </c>
      <c r="DI112" s="203">
        <f t="shared" si="126"/>
        <v>180</v>
      </c>
      <c r="DJ112" s="46">
        <f t="shared" si="127"/>
        <v>0.20858466049570026</v>
      </c>
      <c r="DK112" s="5" t="str">
        <f t="shared" si="128"/>
        <v>OK</v>
      </c>
      <c r="EB112" s="18"/>
      <c r="EC112" s="77"/>
      <c r="ED112" s="77"/>
      <c r="EE112" s="18"/>
      <c r="EF112" s="18"/>
      <c r="EG112" s="18"/>
      <c r="EH112" s="5"/>
      <c r="EI112" s="5"/>
      <c r="EJ112" s="5"/>
      <c r="EK112" s="5"/>
      <c r="EL112" s="5"/>
      <c r="FE112" s="26"/>
      <c r="FF112" s="26"/>
      <c r="FG112" s="26"/>
      <c r="FH112" s="26"/>
      <c r="FI112" s="26"/>
      <c r="FJ112" s="26"/>
      <c r="FK112" s="26"/>
      <c r="FL112" s="26"/>
      <c r="FM112" s="26"/>
      <c r="FN112" s="205"/>
      <c r="FO112" s="205"/>
      <c r="FP112" s="205"/>
      <c r="FQ112" s="205"/>
      <c r="FR112" s="205"/>
      <c r="FS112" s="205"/>
      <c r="FT112" s="205"/>
      <c r="FU112" s="77"/>
      <c r="FV112" s="77"/>
      <c r="FW112" s="77"/>
      <c r="FX112" s="205"/>
      <c r="FY112" s="205"/>
      <c r="FZ112" s="205"/>
      <c r="GA112" s="205"/>
      <c r="GB112" s="205"/>
      <c r="GC112" s="205"/>
      <c r="GD112" s="205"/>
      <c r="GE112" s="205"/>
      <c r="GF112" s="205"/>
      <c r="GG112" s="205"/>
      <c r="GH112" s="205"/>
      <c r="GI112" s="205"/>
      <c r="GJ112" s="205"/>
      <c r="GK112" s="205"/>
      <c r="GL112" s="205"/>
      <c r="GM112" s="205"/>
      <c r="GN112" s="205"/>
      <c r="GO112" s="205"/>
      <c r="GP112" s="205"/>
      <c r="GQ112" s="205"/>
      <c r="GR112" s="205"/>
      <c r="GS112" s="205"/>
      <c r="GT112" s="205"/>
      <c r="GU112" s="205"/>
      <c r="GV112" s="18"/>
      <c r="GW112" s="5"/>
      <c r="GX112" s="5"/>
      <c r="GY112" s="77"/>
      <c r="GZ112" s="18"/>
      <c r="HA112" s="18"/>
      <c r="HB112" s="18"/>
      <c r="HC112" s="18"/>
      <c r="HD112" s="18"/>
      <c r="HE112" s="18"/>
      <c r="HF112" s="18"/>
      <c r="HG112" s="18"/>
      <c r="HH112" s="205"/>
      <c r="HI112" s="26"/>
      <c r="HJ112" s="26"/>
      <c r="HK112" s="5"/>
    </row>
    <row r="113" spans="2:219">
      <c r="B113" s="163" t="s">
        <v>390</v>
      </c>
      <c r="C113" s="164"/>
      <c r="D113" s="164"/>
      <c r="E113" s="164"/>
      <c r="F113" s="164"/>
      <c r="G113" s="164"/>
      <c r="H113" s="164"/>
      <c r="I113" s="164"/>
      <c r="J113" s="164"/>
      <c r="K113" s="88"/>
      <c r="L113" s="88"/>
      <c r="M113" s="88"/>
      <c r="N113" s="165"/>
      <c r="O113" s="2"/>
      <c r="P113" s="32"/>
      <c r="Q113" s="28"/>
      <c r="AA113" s="18" t="s">
        <v>488</v>
      </c>
      <c r="AB113" s="22" t="s">
        <v>490</v>
      </c>
      <c r="AC113" s="59">
        <v>0</v>
      </c>
      <c r="AD113" s="59">
        <v>8.6549999999999994</v>
      </c>
      <c r="AE113" s="22">
        <v>528</v>
      </c>
      <c r="AF113" s="22">
        <v>1528</v>
      </c>
      <c r="AG113" s="22">
        <v>528</v>
      </c>
      <c r="AH113" s="6">
        <v>10</v>
      </c>
      <c r="AI113" s="6">
        <v>300</v>
      </c>
      <c r="AJ113" s="6">
        <v>14</v>
      </c>
      <c r="AK113" s="24">
        <v>300</v>
      </c>
      <c r="AL113" s="24">
        <v>14</v>
      </c>
      <c r="AM113" s="5">
        <f t="shared" si="73"/>
        <v>500</v>
      </c>
      <c r="AN113" s="26">
        <f t="shared" si="74"/>
        <v>134</v>
      </c>
      <c r="AO113" s="26">
        <f t="shared" si="75"/>
        <v>65911.546666666676</v>
      </c>
      <c r="AP113" s="15">
        <f t="shared" si="76"/>
        <v>6304.166666666667</v>
      </c>
      <c r="AQ113" s="5">
        <f t="shared" si="77"/>
        <v>2496.6494949494954</v>
      </c>
      <c r="AR113" s="26">
        <f t="shared" si="78"/>
        <v>420.27777777777777</v>
      </c>
      <c r="AS113" s="26">
        <f t="shared" si="79"/>
        <v>1391.9</v>
      </c>
      <c r="AT113" s="26">
        <f t="shared" si="80"/>
        <v>22.178305028345793</v>
      </c>
      <c r="AU113" s="26">
        <f t="shared" si="81"/>
        <v>6.8590101254115021</v>
      </c>
      <c r="AV113" s="95">
        <f t="shared" si="82"/>
        <v>7.201333333333334E-7</v>
      </c>
      <c r="AW113" s="95">
        <f t="shared" si="83"/>
        <v>4161087</v>
      </c>
      <c r="AX113" s="95">
        <f t="shared" si="84"/>
        <v>4.1610870000000001E-6</v>
      </c>
      <c r="AY113" s="54">
        <f t="shared" si="85"/>
        <v>0.25762202780669918</v>
      </c>
      <c r="AZ113" s="54" t="str">
        <f>_xll.Dce_Name_SectI(AE113,AF113,AI113,AH113,AJ113,"x","-",$O$11)</f>
        <v>(528-1528)x300x10x14</v>
      </c>
      <c r="BA113" s="15">
        <f t="shared" si="86"/>
        <v>385.5</v>
      </c>
      <c r="BB113" s="54"/>
      <c r="BC113" s="54"/>
      <c r="BD113" s="22" t="s">
        <v>498</v>
      </c>
      <c r="BE113" s="23">
        <v>47.401151641756343</v>
      </c>
      <c r="BF113" s="23">
        <v>42.479894355285637</v>
      </c>
      <c r="BG113" s="23">
        <v>1.4388775677949975E-3</v>
      </c>
      <c r="BH113" s="23">
        <v>-2.009695726256539E-5</v>
      </c>
      <c r="BI113" s="23">
        <v>-1.3800598505572803E-6</v>
      </c>
      <c r="BJ113" s="23">
        <v>0.62131354477089618</v>
      </c>
      <c r="BK113" s="23">
        <v>-229.67434084035631</v>
      </c>
      <c r="BL113" s="92">
        <v>2.25</v>
      </c>
      <c r="BM113" s="91">
        <v>2</v>
      </c>
      <c r="BN113" s="5">
        <f t="shared" si="87"/>
        <v>19.473749999999999</v>
      </c>
      <c r="BO113" s="54">
        <f>_xll.Bimoment(BH113,AY113,AC113,AD113,$O$101)</f>
        <v>0</v>
      </c>
      <c r="BP113" s="5">
        <f t="shared" si="88"/>
        <v>0.84</v>
      </c>
      <c r="BQ113" s="5">
        <f t="shared" si="89"/>
        <v>0.10670960119751179</v>
      </c>
      <c r="BR113" s="24" t="str">
        <f t="shared" si="90"/>
        <v>Cal</v>
      </c>
      <c r="BS113" s="25">
        <f t="shared" si="91"/>
        <v>1.5476122271095821E-2</v>
      </c>
      <c r="BT113" s="25" t="str">
        <f t="shared" si="92"/>
        <v>CT.105</v>
      </c>
      <c r="BU113" s="25">
        <f t="shared" si="93"/>
        <v>1</v>
      </c>
      <c r="BV113" s="25" cm="1">
        <f t="array" ref="BV113">IF(BT113="CT.104",_xll.TCVN5575AnnexEHeSoCx(1,BP113),1)</f>
        <v>1</v>
      </c>
      <c r="BW113" s="25">
        <f t="shared" si="94"/>
        <v>1</v>
      </c>
      <c r="BX113" s="25">
        <f t="shared" si="95"/>
        <v>1.6290655022206127E-2</v>
      </c>
      <c r="BY113" s="25">
        <f t="shared" si="96"/>
        <v>1.146060904032615E-3</v>
      </c>
      <c r="BZ113" s="25">
        <f t="shared" si="97"/>
        <v>1.5122233726146846E-8</v>
      </c>
      <c r="CA113" s="25">
        <f t="shared" si="98"/>
        <v>0</v>
      </c>
      <c r="CB113" s="25">
        <f t="shared" si="99"/>
        <v>1.7436731048472466E-2</v>
      </c>
      <c r="CC113" s="5" t="str">
        <f t="shared" si="100"/>
        <v>OK</v>
      </c>
      <c r="CD113" s="5">
        <f t="shared" si="101"/>
        <v>87.805402509844015</v>
      </c>
      <c r="CE113" s="5">
        <f t="shared" si="102"/>
        <v>29.158726455153193</v>
      </c>
      <c r="CF113" s="5">
        <f t="shared" si="103"/>
        <v>2.9248163326364334</v>
      </c>
      <c r="CG113" s="5">
        <f t="shared" si="104"/>
        <v>0.97128328026682387</v>
      </c>
      <c r="CH113" s="5">
        <f t="shared" si="105"/>
        <v>7.0350817844365116E-2</v>
      </c>
      <c r="CI113" s="68">
        <f>_xll.DCETCVN5575PhuLucD2Eta(BP113,CH113,CF113)</f>
        <v>1.5168210472489752</v>
      </c>
      <c r="CJ113" s="5">
        <f t="shared" si="106"/>
        <v>0.10670960119751179</v>
      </c>
      <c r="CK113" s="5">
        <f>MIN(noisuy2chieu(CJ113,CF113,Data!$DA$2:$EB$24),1)</f>
        <v>0.67514640092849731</v>
      </c>
      <c r="CL113" s="102" t="str">
        <f t="shared" si="107"/>
        <v>-</v>
      </c>
      <c r="CM113" s="5" t="str">
        <f t="shared" si="108"/>
        <v>OK</v>
      </c>
      <c r="CN113" s="5">
        <f t="shared" si="109"/>
        <v>0.90492218941026858</v>
      </c>
      <c r="CO113" s="5">
        <f t="shared" si="110"/>
        <v>0.5370345235716667</v>
      </c>
      <c r="CP113" s="25">
        <f>_xll.DCETCVNPhuLucFHeSoOnDinh(1, 0.2, AG113, AH113, AI113, AJ113, AI113, AJ113, $D$28)</f>
        <v>1</v>
      </c>
      <c r="CQ113" s="68">
        <f t="shared" si="111"/>
        <v>0.9</v>
      </c>
      <c r="CR113" s="68">
        <f t="shared" si="112"/>
        <v>1</v>
      </c>
      <c r="CS113" s="5">
        <f t="shared" si="113"/>
        <v>0.18181818181818182</v>
      </c>
      <c r="CT113" s="5">
        <f t="shared" si="114"/>
        <v>9.9510191986788829E-2</v>
      </c>
      <c r="CU113" s="26">
        <f t="shared" si="115"/>
        <v>26.005835301631112</v>
      </c>
      <c r="CV113" s="5"/>
      <c r="CW113" s="25"/>
      <c r="CX113" s="72">
        <f>MAX(_xll.Dce_c_925(CU113, CQ113, CR113, CN113, CP113, CS113, CT113),0.3)</f>
        <v>0.3</v>
      </c>
      <c r="CY113" s="102" t="str">
        <f t="shared" si="116"/>
        <v>-</v>
      </c>
      <c r="CZ113" s="5" t="str">
        <f t="shared" si="117"/>
        <v>OK</v>
      </c>
      <c r="DA113" s="47">
        <f t="shared" si="118"/>
        <v>0.34499859601035404</v>
      </c>
      <c r="DB113" s="46">
        <f t="shared" si="119"/>
        <v>15.153099944237459</v>
      </c>
      <c r="DC113" s="5" t="str">
        <f t="shared" si="120"/>
        <v>OK</v>
      </c>
      <c r="DD113" s="5">
        <f t="shared" si="121"/>
        <v>2.9248163326364334</v>
      </c>
      <c r="DE113" s="5">
        <f t="shared" si="122"/>
        <v>1.6655104634982609</v>
      </c>
      <c r="DF113" s="5">
        <f t="shared" si="123"/>
        <v>3.2</v>
      </c>
      <c r="DG113" s="5" t="str">
        <f t="shared" si="124"/>
        <v>OK</v>
      </c>
      <c r="DH113" s="203" t="str">
        <f t="shared" si="125"/>
        <v>-</v>
      </c>
      <c r="DI113" s="203" t="str">
        <f t="shared" si="126"/>
        <v>-</v>
      </c>
      <c r="DJ113" s="46">
        <f t="shared" si="127"/>
        <v>0</v>
      </c>
      <c r="DK113" s="5" t="str">
        <f t="shared" si="128"/>
        <v>OK</v>
      </c>
      <c r="EB113" s="18"/>
      <c r="EC113" s="77"/>
      <c r="ED113" s="77"/>
      <c r="EE113" s="18"/>
      <c r="EF113" s="18"/>
      <c r="EG113" s="18"/>
      <c r="EH113" s="5"/>
      <c r="EI113" s="5"/>
      <c r="EJ113" s="5"/>
      <c r="EK113" s="5"/>
      <c r="EL113" s="5"/>
      <c r="FE113" s="26"/>
      <c r="FF113" s="26"/>
      <c r="FG113" s="26"/>
      <c r="FH113" s="26"/>
      <c r="FI113" s="26"/>
      <c r="FJ113" s="26"/>
      <c r="FK113" s="26"/>
      <c r="FL113" s="26"/>
      <c r="FM113" s="26"/>
      <c r="FN113" s="205"/>
      <c r="FO113" s="205"/>
      <c r="FP113" s="205"/>
      <c r="FQ113" s="205"/>
      <c r="FR113" s="205"/>
      <c r="FS113" s="205"/>
      <c r="FT113" s="205"/>
      <c r="FU113" s="77"/>
      <c r="FV113" s="77"/>
      <c r="FW113" s="77"/>
      <c r="FX113" s="205"/>
      <c r="FY113" s="205"/>
      <c r="FZ113" s="205"/>
      <c r="GA113" s="205"/>
      <c r="GB113" s="205"/>
      <c r="GC113" s="205"/>
      <c r="GD113" s="205"/>
      <c r="GE113" s="205"/>
      <c r="GF113" s="205"/>
      <c r="GG113" s="205"/>
      <c r="GH113" s="205"/>
      <c r="GI113" s="205"/>
      <c r="GJ113" s="205"/>
      <c r="GK113" s="205"/>
      <c r="GL113" s="205"/>
      <c r="GM113" s="205"/>
      <c r="GN113" s="205"/>
      <c r="GO113" s="205"/>
      <c r="GP113" s="205"/>
      <c r="GQ113" s="205"/>
      <c r="GR113" s="205"/>
      <c r="GS113" s="205"/>
      <c r="GT113" s="205"/>
      <c r="GU113" s="205"/>
      <c r="GV113" s="18"/>
      <c r="GW113" s="5"/>
      <c r="GX113" s="5"/>
      <c r="GY113" s="77"/>
      <c r="GZ113" s="18"/>
      <c r="HA113" s="18"/>
      <c r="HB113" s="18"/>
      <c r="HC113" s="18"/>
      <c r="HD113" s="18"/>
      <c r="HE113" s="18"/>
      <c r="HF113" s="18"/>
      <c r="HG113" s="18"/>
      <c r="HH113" s="205"/>
      <c r="HI113" s="26"/>
      <c r="HJ113" s="26"/>
      <c r="HK113" s="5"/>
    </row>
    <row r="114" spans="2:219" ht="15" customHeight="1">
      <c r="B114" s="437" t="s">
        <v>257</v>
      </c>
      <c r="C114" s="437"/>
      <c r="D114" s="437"/>
      <c r="E114" s="438"/>
      <c r="F114" s="438"/>
      <c r="G114" s="438"/>
      <c r="H114" s="2"/>
      <c r="I114" s="437" t="s">
        <v>258</v>
      </c>
      <c r="J114" s="437"/>
      <c r="K114" s="437"/>
      <c r="L114" s="437"/>
      <c r="M114" s="437"/>
      <c r="N114" s="437"/>
      <c r="AA114" s="18" t="s">
        <v>488</v>
      </c>
      <c r="AB114" s="22" t="s">
        <v>490</v>
      </c>
      <c r="AC114" s="59">
        <v>3.6405952380952398</v>
      </c>
      <c r="AD114" s="59">
        <v>8.6549999999999994</v>
      </c>
      <c r="AE114" s="22">
        <v>528</v>
      </c>
      <c r="AF114" s="22">
        <v>1528</v>
      </c>
      <c r="AG114" s="22">
        <v>948.63492063492095</v>
      </c>
      <c r="AH114" s="6">
        <v>10</v>
      </c>
      <c r="AI114" s="6">
        <v>300</v>
      </c>
      <c r="AJ114" s="6">
        <v>14</v>
      </c>
      <c r="AK114" s="24">
        <v>300</v>
      </c>
      <c r="AL114" s="24">
        <v>14</v>
      </c>
      <c r="AM114" s="5">
        <f t="shared" si="73"/>
        <v>920.63492063492095</v>
      </c>
      <c r="AN114" s="26">
        <f t="shared" si="74"/>
        <v>176.06349206349208</v>
      </c>
      <c r="AO114" s="26">
        <f t="shared" si="75"/>
        <v>248482.7399356656</v>
      </c>
      <c r="AP114" s="15">
        <f t="shared" si="76"/>
        <v>6307.6719576719579</v>
      </c>
      <c r="AQ114" s="5">
        <f t="shared" si="77"/>
        <v>5238.7432621467533</v>
      </c>
      <c r="AR114" s="26">
        <f t="shared" si="78"/>
        <v>420.51146384479722</v>
      </c>
      <c r="AS114" s="26">
        <f t="shared" si="79"/>
        <v>3022.1941546989178</v>
      </c>
      <c r="AT114" s="26">
        <f t="shared" si="80"/>
        <v>37.567600585756203</v>
      </c>
      <c r="AU114" s="26">
        <f t="shared" si="81"/>
        <v>5.9854925384629922</v>
      </c>
      <c r="AV114" s="95">
        <f t="shared" si="82"/>
        <v>8.6034497354497351E-7</v>
      </c>
      <c r="AW114" s="95">
        <f t="shared" si="83"/>
        <v>13758293.349206358</v>
      </c>
      <c r="AX114" s="95">
        <f t="shared" si="84"/>
        <v>1.3758293349206359E-5</v>
      </c>
      <c r="AY114" s="54">
        <f t="shared" si="85"/>
        <v>0.1548581140202015</v>
      </c>
      <c r="AZ114" s="54" t="str">
        <f>_xll.Dce_Name_SectI(AE114,AF114,AI114,AH114,AJ114,"x","-",$O$11)</f>
        <v>(528-1528)x300x10x14</v>
      </c>
      <c r="BA114" s="15">
        <f t="shared" si="86"/>
        <v>700.97619047619071</v>
      </c>
      <c r="BB114" s="54"/>
      <c r="BC114" s="54"/>
      <c r="BD114" s="22" t="s">
        <v>498</v>
      </c>
      <c r="BE114" s="23">
        <v>53.738004828322175</v>
      </c>
      <c r="BF114" s="23">
        <v>63.04158054300305</v>
      </c>
      <c r="BG114" s="23">
        <v>1.4388775677962593E-3</v>
      </c>
      <c r="BH114" s="23">
        <v>-2.009695726256539E-5</v>
      </c>
      <c r="BI114" s="23">
        <v>-5.2520873364642444E-3</v>
      </c>
      <c r="BJ114" s="23">
        <v>-191.94371776233731</v>
      </c>
      <c r="BK114" s="23">
        <v>-229.67434084035631</v>
      </c>
      <c r="BL114" s="92">
        <v>2.25</v>
      </c>
      <c r="BM114" s="91">
        <v>2</v>
      </c>
      <c r="BN114" s="5">
        <f t="shared" si="87"/>
        <v>19.473749999999999</v>
      </c>
      <c r="BO114" s="54">
        <f>_xll.Bimoment(BH114,AY114,AC114,AD114,$O$101)</f>
        <v>1.545589997968255E-4</v>
      </c>
      <c r="BP114" s="5">
        <f t="shared" si="88"/>
        <v>0.45620689655172403</v>
      </c>
      <c r="BQ114" s="5">
        <f t="shared" si="89"/>
        <v>14.900155672537977</v>
      </c>
      <c r="BR114" s="24" t="str">
        <f t="shared" si="90"/>
        <v>Cal</v>
      </c>
      <c r="BS114" s="25">
        <f t="shared" si="91"/>
        <v>1.3353351587456094E-2</v>
      </c>
      <c r="BT114" s="25" t="str">
        <f t="shared" si="92"/>
        <v>CT.105</v>
      </c>
      <c r="BU114" s="25">
        <f t="shared" si="93"/>
        <v>1</v>
      </c>
      <c r="BV114" s="25" cm="1">
        <f t="array" ref="BV114">IF(BT114="CT.104",_xll.TCVN5575AnnexEHeSoCx(1,BP114),1)</f>
        <v>1</v>
      </c>
      <c r="BW114" s="25">
        <f t="shared" si="94"/>
        <v>1</v>
      </c>
      <c r="BX114" s="25">
        <f t="shared" si="95"/>
        <v>1.4056159565743256E-2</v>
      </c>
      <c r="BY114" s="25">
        <f t="shared" si="96"/>
        <v>0.16873347052285373</v>
      </c>
      <c r="BZ114" s="25">
        <f t="shared" si="97"/>
        <v>5.7518632409011654E-5</v>
      </c>
      <c r="CA114" s="25">
        <f t="shared" si="98"/>
        <v>3.6264980850788715E-6</v>
      </c>
      <c r="CB114" s="25">
        <f t="shared" si="99"/>
        <v>0.1828507752190911</v>
      </c>
      <c r="CC114" s="5" t="str">
        <f t="shared" si="100"/>
        <v>OK</v>
      </c>
      <c r="CD114" s="5">
        <f t="shared" si="101"/>
        <v>51.836555160202302</v>
      </c>
      <c r="CE114" s="5">
        <f t="shared" si="102"/>
        <v>33.414125690541383</v>
      </c>
      <c r="CF114" s="5">
        <f t="shared" si="103"/>
        <v>1.7266865002204341</v>
      </c>
      <c r="CG114" s="5">
        <f t="shared" si="104"/>
        <v>1.1130315193248546</v>
      </c>
      <c r="CH114" s="5">
        <f t="shared" si="105"/>
        <v>12.004236984765011</v>
      </c>
      <c r="CI114" s="68">
        <f>_xll.DCETCVN5575PhuLucD2Eta(BP114,CH114,CF114)</f>
        <v>1.2412413793103447</v>
      </c>
      <c r="CJ114" s="5">
        <f t="shared" si="106"/>
        <v>14.900155672537977</v>
      </c>
      <c r="CK114" s="5">
        <f>MIN(noisuy2chieu(CJ114,CF114,Data!$DA$2:$EB$24),1)</f>
        <v>9.1904319822788239E-2</v>
      </c>
      <c r="CL114" s="102" t="str">
        <f t="shared" si="107"/>
        <v>-</v>
      </c>
      <c r="CM114" s="5" t="str">
        <f t="shared" si="108"/>
        <v>OK</v>
      </c>
      <c r="CN114" s="5">
        <f t="shared" si="109"/>
        <v>0.88472625978979058</v>
      </c>
      <c r="CO114" s="5">
        <f t="shared" si="110"/>
        <v>0.5370345235716667</v>
      </c>
      <c r="CP114" s="25">
        <f>_xll.DCETCVNPhuLucFHeSoOnDinh(1, 0.2, AG114, AH114, AI114, AJ114, AI114, AJ114, $D$28)</f>
        <v>1</v>
      </c>
      <c r="CQ114" s="68">
        <f t="shared" si="111"/>
        <v>0.9</v>
      </c>
      <c r="CR114" s="68">
        <f t="shared" si="112"/>
        <v>1</v>
      </c>
      <c r="CS114" s="5">
        <f t="shared" si="113"/>
        <v>0.18181818181818182</v>
      </c>
      <c r="CT114" s="5">
        <f t="shared" si="114"/>
        <v>0.10155106457844131</v>
      </c>
      <c r="CU114" s="26">
        <f t="shared" si="115"/>
        <v>14.363925263660356</v>
      </c>
      <c r="CV114" s="5"/>
      <c r="CW114" s="25"/>
      <c r="CX114" s="72">
        <f>MAX(_xll.Dce_c_925(CU114, CQ114, CR114, CN114, CP114, CS114, CT114),0.3)</f>
        <v>0.3</v>
      </c>
      <c r="CY114" s="102" t="str">
        <f t="shared" si="116"/>
        <v>-</v>
      </c>
      <c r="CZ114" s="5" t="str">
        <f t="shared" si="117"/>
        <v>OK</v>
      </c>
      <c r="DA114" s="47">
        <f t="shared" si="118"/>
        <v>0.34499859601035404</v>
      </c>
      <c r="DB114" s="46">
        <f t="shared" si="119"/>
        <v>1.2486294460831371</v>
      </c>
      <c r="DC114" s="5" t="str">
        <f t="shared" si="120"/>
        <v>OK</v>
      </c>
      <c r="DD114" s="5">
        <f t="shared" si="121"/>
        <v>1.7266865002204341</v>
      </c>
      <c r="DE114" s="5">
        <f t="shared" si="122"/>
        <v>3.0666541867587034</v>
      </c>
      <c r="DF114" s="5">
        <f t="shared" si="123"/>
        <v>3.2</v>
      </c>
      <c r="DG114" s="5" t="str">
        <f t="shared" si="124"/>
        <v>OK</v>
      </c>
      <c r="DH114" s="203">
        <f t="shared" si="125"/>
        <v>51.836555160202302</v>
      </c>
      <c r="DI114" s="203" t="str">
        <f t="shared" si="126"/>
        <v>-</v>
      </c>
      <c r="DJ114" s="46">
        <f t="shared" si="127"/>
        <v>0</v>
      </c>
      <c r="DK114" s="5" t="str">
        <f t="shared" si="128"/>
        <v>OK</v>
      </c>
      <c r="EB114" s="18"/>
      <c r="EC114" s="77"/>
      <c r="ED114" s="77"/>
      <c r="EE114" s="18"/>
      <c r="EF114" s="18"/>
      <c r="EG114" s="18"/>
      <c r="EH114" s="5"/>
      <c r="EI114" s="5"/>
      <c r="EJ114" s="5"/>
      <c r="EK114" s="5"/>
      <c r="EL114" s="5"/>
      <c r="FE114" s="26"/>
      <c r="FF114" s="26"/>
      <c r="FG114" s="26"/>
      <c r="FH114" s="26"/>
      <c r="FI114" s="26"/>
      <c r="FJ114" s="26"/>
      <c r="FK114" s="26"/>
      <c r="FL114" s="26"/>
      <c r="FM114" s="26"/>
      <c r="FN114" s="205"/>
      <c r="FO114" s="205"/>
      <c r="FP114" s="205"/>
      <c r="FQ114" s="205"/>
      <c r="FR114" s="205"/>
      <c r="FS114" s="205"/>
      <c r="FT114" s="205"/>
      <c r="FU114" s="77"/>
      <c r="FV114" s="77"/>
      <c r="FW114" s="77"/>
      <c r="FX114" s="205"/>
      <c r="FY114" s="205"/>
      <c r="FZ114" s="205"/>
      <c r="GA114" s="205"/>
      <c r="GB114" s="205"/>
      <c r="GC114" s="205"/>
      <c r="GD114" s="205"/>
      <c r="GE114" s="205"/>
      <c r="GF114" s="205"/>
      <c r="GG114" s="205"/>
      <c r="GH114" s="205"/>
      <c r="GI114" s="205"/>
      <c r="GJ114" s="205"/>
      <c r="GK114" s="205"/>
      <c r="GL114" s="205"/>
      <c r="GM114" s="205"/>
      <c r="GN114" s="205"/>
      <c r="GO114" s="205"/>
      <c r="GP114" s="205"/>
      <c r="GQ114" s="205"/>
      <c r="GR114" s="205"/>
      <c r="GS114" s="205"/>
      <c r="GT114" s="205"/>
      <c r="GU114" s="205"/>
      <c r="GV114" s="18"/>
      <c r="GW114" s="5"/>
      <c r="GX114" s="5"/>
      <c r="GY114" s="77"/>
      <c r="GZ114" s="18"/>
      <c r="HA114" s="18"/>
      <c r="HB114" s="18"/>
      <c r="HC114" s="18"/>
      <c r="HD114" s="18"/>
      <c r="HE114" s="18"/>
      <c r="HF114" s="18"/>
      <c r="HG114" s="18"/>
      <c r="HH114" s="205"/>
      <c r="HI114" s="26"/>
      <c r="HJ114" s="26"/>
      <c r="HK114" s="5"/>
    </row>
    <row r="115" spans="2:219" ht="15" customHeight="1">
      <c r="B115" s="349" t="s">
        <v>195</v>
      </c>
      <c r="C115" s="349"/>
      <c r="D115" s="349"/>
      <c r="E115" s="349"/>
      <c r="F115" s="349"/>
      <c r="G115" s="349"/>
      <c r="H115" s="2"/>
      <c r="I115" s="349" t="s">
        <v>195</v>
      </c>
      <c r="J115" s="349"/>
      <c r="K115" s="349"/>
      <c r="L115" s="349"/>
      <c r="M115" s="349"/>
      <c r="N115" s="349"/>
      <c r="AA115" s="18" t="s">
        <v>488</v>
      </c>
      <c r="AB115" s="22" t="s">
        <v>490</v>
      </c>
      <c r="AC115" s="59">
        <v>7.2811904761904795</v>
      </c>
      <c r="AD115" s="59">
        <v>8.6549999999999994</v>
      </c>
      <c r="AE115" s="22">
        <v>528</v>
      </c>
      <c r="AF115" s="22">
        <v>1528</v>
      </c>
      <c r="AG115" s="22">
        <v>1369.2698412698419</v>
      </c>
      <c r="AH115" s="6">
        <v>10</v>
      </c>
      <c r="AI115" s="6">
        <v>300</v>
      </c>
      <c r="AJ115" s="6">
        <v>14</v>
      </c>
      <c r="AK115" s="24">
        <v>300</v>
      </c>
      <c r="AL115" s="24">
        <v>14</v>
      </c>
      <c r="AM115" s="5">
        <f t="shared" si="73"/>
        <v>1341.2698412698419</v>
      </c>
      <c r="AN115" s="26">
        <f t="shared" si="74"/>
        <v>218.12698412698418</v>
      </c>
      <c r="AO115" s="26">
        <f t="shared" si="75"/>
        <v>586811.79072745051</v>
      </c>
      <c r="AP115" s="15">
        <f t="shared" si="76"/>
        <v>6311.1772486772488</v>
      </c>
      <c r="AQ115" s="5">
        <f t="shared" si="77"/>
        <v>8571.1635945074104</v>
      </c>
      <c r="AR115" s="26">
        <f t="shared" si="78"/>
        <v>420.74514991181661</v>
      </c>
      <c r="AS115" s="26">
        <f t="shared" si="79"/>
        <v>5094.8226505417015</v>
      </c>
      <c r="AT115" s="26">
        <f t="shared" si="80"/>
        <v>51.867428670398397</v>
      </c>
      <c r="AU115" s="26">
        <f t="shared" si="81"/>
        <v>5.3789869588463937</v>
      </c>
      <c r="AV115" s="95">
        <f t="shared" si="82"/>
        <v>1.0005566137566139E-6</v>
      </c>
      <c r="AW115" s="95">
        <f t="shared" si="83"/>
        <v>28928912.396825422</v>
      </c>
      <c r="AX115" s="95">
        <f t="shared" si="84"/>
        <v>2.8928912396825422E-5</v>
      </c>
      <c r="AY115" s="54">
        <f t="shared" si="85"/>
        <v>0.11516876660535029</v>
      </c>
      <c r="AZ115" s="54" t="str">
        <f>_xll.Dce_Name_SectI(AE115,AF115,AI115,AH115,AJ115,"x","-",$O$11)</f>
        <v>(528-1528)x300x10x14</v>
      </c>
      <c r="BA115" s="15">
        <f t="shared" si="86"/>
        <v>1016.4523809523813</v>
      </c>
      <c r="BB115" s="54"/>
      <c r="BC115" s="54"/>
      <c r="BD115" s="22" t="s">
        <v>498</v>
      </c>
      <c r="BE115" s="23">
        <v>61.616293765380391</v>
      </c>
      <c r="BF115" s="23">
        <v>83.49741620012847</v>
      </c>
      <c r="BG115" s="23">
        <v>1.438877567797515E-3</v>
      </c>
      <c r="BH115" s="23">
        <v>-2.009695726256539E-5</v>
      </c>
      <c r="BI115" s="23">
        <v>-1.0502794613082525E-2</v>
      </c>
      <c r="BJ115" s="23">
        <v>-459.34868168071262</v>
      </c>
      <c r="BK115" s="23">
        <v>-229.67434084035631</v>
      </c>
      <c r="BL115" s="92">
        <v>2.25</v>
      </c>
      <c r="BM115" s="91">
        <v>2</v>
      </c>
      <c r="BN115" s="5">
        <f t="shared" si="87"/>
        <v>19.473749999999999</v>
      </c>
      <c r="BO115" s="54">
        <f>_xll.Bimoment(BH115,AY115,AC115,AD115,$O$101)</f>
        <v>9.1936955811157566E-5</v>
      </c>
      <c r="BP115" s="5">
        <f t="shared" si="88"/>
        <v>0.31313609467455605</v>
      </c>
      <c r="BQ115" s="5">
        <f t="shared" si="89"/>
        <v>23.006143539031015</v>
      </c>
      <c r="BR115" s="24" t="str">
        <f t="shared" si="90"/>
        <v>Cal</v>
      </c>
      <c r="BS115" s="25">
        <f t="shared" si="91"/>
        <v>1.2358456534043783E-2</v>
      </c>
      <c r="BT115" s="25" t="str">
        <f t="shared" si="92"/>
        <v>CT.105</v>
      </c>
      <c r="BU115" s="25">
        <f t="shared" si="93"/>
        <v>1</v>
      </c>
      <c r="BV115" s="25" cm="1">
        <f t="array" ref="BV115">IF(BT115="CT.104",_xll.TCVN5575AnnexEHeSoCx(1,BP115),1)</f>
        <v>1</v>
      </c>
      <c r="BW115" s="25">
        <f t="shared" si="94"/>
        <v>1</v>
      </c>
      <c r="BX115" s="25">
        <f t="shared" si="95"/>
        <v>1.3008901614782931E-2</v>
      </c>
      <c r="BY115" s="25">
        <f t="shared" si="96"/>
        <v>0.24680681182276251</v>
      </c>
      <c r="BZ115" s="25">
        <f t="shared" si="97"/>
        <v>1.1495826653427064E-4</v>
      </c>
      <c r="CA115" s="25">
        <f t="shared" si="98"/>
        <v>1.4876456704438413E-6</v>
      </c>
      <c r="CB115" s="25">
        <f t="shared" si="99"/>
        <v>0.25993215934975017</v>
      </c>
      <c r="CC115" s="5" t="str">
        <f t="shared" si="100"/>
        <v>OK</v>
      </c>
      <c r="CD115" s="5">
        <f t="shared" si="101"/>
        <v>37.545238889226049</v>
      </c>
      <c r="CE115" s="5">
        <f t="shared" si="102"/>
        <v>37.181722419139881</v>
      </c>
      <c r="CF115" s="5">
        <f t="shared" si="103"/>
        <v>1.2506397644909562</v>
      </c>
      <c r="CG115" s="5">
        <f t="shared" si="104"/>
        <v>1.2385309547993069</v>
      </c>
      <c r="CH115" s="5">
        <f t="shared" si="105"/>
        <v>18.972148389707133</v>
      </c>
      <c r="CI115" s="68">
        <f>_xll.DCETCVN5575PhuLucD2Eta(BP115,CH115,CF115)</f>
        <v>1.2126272189349112</v>
      </c>
      <c r="CJ115" s="5">
        <f t="shared" si="106"/>
        <v>23.006143539031015</v>
      </c>
      <c r="CK115" s="5">
        <f>MIN(noisuy2chieu(CJ115,CF115,Data!$DA$2:$EB$24),1)</f>
        <v>7.1994885802268982E-2</v>
      </c>
      <c r="CL115" s="102" t="str">
        <f t="shared" si="107"/>
        <v>-</v>
      </c>
      <c r="CM115" s="5" t="str">
        <f t="shared" si="108"/>
        <v>OK</v>
      </c>
      <c r="CN115" s="5">
        <f t="shared" si="109"/>
        <v>0.86643683692746631</v>
      </c>
      <c r="CO115" s="5">
        <f t="shared" si="110"/>
        <v>0.5370345235716667</v>
      </c>
      <c r="CP115" s="25">
        <f>_xll.DCETCVNPhuLucFHeSoOnDinh(1, 0.2, AG115, AH115, AI115, AJ115, AI115, AJ115, $D$28)</f>
        <v>1</v>
      </c>
      <c r="CQ115" s="68">
        <f t="shared" si="111"/>
        <v>0.9</v>
      </c>
      <c r="CR115" s="68">
        <f t="shared" si="112"/>
        <v>1</v>
      </c>
      <c r="CS115" s="5">
        <f t="shared" si="113"/>
        <v>0.18181818181818182</v>
      </c>
      <c r="CT115" s="5">
        <f t="shared" si="114"/>
        <v>0.10347287704587492</v>
      </c>
      <c r="CU115" s="26">
        <f t="shared" si="115"/>
        <v>9.4860741948535665</v>
      </c>
      <c r="CV115" s="5"/>
      <c r="CW115" s="25"/>
      <c r="CX115" s="72">
        <f>MAX(_xll.Dce_c_925(CU115, CQ115, CR115, CN115, CP115, CS115, CT115),0.3)</f>
        <v>0.3</v>
      </c>
      <c r="CY115" s="102" t="str">
        <f t="shared" si="116"/>
        <v>-</v>
      </c>
      <c r="CZ115" s="5" t="str">
        <f t="shared" si="117"/>
        <v>OK</v>
      </c>
      <c r="DA115" s="47">
        <f t="shared" si="118"/>
        <v>0.34499859601035404</v>
      </c>
      <c r="DB115" s="46">
        <f t="shared" si="119"/>
        <v>1.0323536815612768</v>
      </c>
      <c r="DC115" s="5" t="str">
        <f t="shared" si="120"/>
        <v>OK</v>
      </c>
      <c r="DD115" s="5">
        <f t="shared" si="121"/>
        <v>1.2506397644909562</v>
      </c>
      <c r="DE115" s="5">
        <f t="shared" si="122"/>
        <v>4.4677979100191463</v>
      </c>
      <c r="DF115" s="5">
        <f t="shared" si="123"/>
        <v>3.2</v>
      </c>
      <c r="DG115" s="5" t="str">
        <f t="shared" si="124"/>
        <v>Gia cường</v>
      </c>
      <c r="DH115" s="203">
        <f t="shared" si="125"/>
        <v>37.545238889226049</v>
      </c>
      <c r="DI115" s="203" t="str">
        <f t="shared" si="126"/>
        <v>-</v>
      </c>
      <c r="DJ115" s="46">
        <f t="shared" si="127"/>
        <v>0</v>
      </c>
      <c r="DK115" s="5" t="str">
        <f t="shared" si="128"/>
        <v>OK</v>
      </c>
      <c r="EB115" s="18"/>
      <c r="EC115" s="77"/>
      <c r="ED115" s="77"/>
      <c r="EE115" s="18"/>
      <c r="EF115" s="18"/>
      <c r="EG115" s="18"/>
      <c r="EH115" s="5"/>
      <c r="EI115" s="5"/>
      <c r="EJ115" s="5"/>
      <c r="EK115" s="5"/>
      <c r="EL115" s="5"/>
      <c r="FE115" s="26"/>
      <c r="FF115" s="26"/>
      <c r="FG115" s="26"/>
      <c r="FH115" s="26"/>
      <c r="FI115" s="26"/>
      <c r="FJ115" s="26"/>
      <c r="FK115" s="26"/>
      <c r="FL115" s="26"/>
      <c r="FM115" s="26"/>
      <c r="FN115" s="205"/>
      <c r="FO115" s="205"/>
      <c r="FP115" s="205"/>
      <c r="FQ115" s="205"/>
      <c r="FR115" s="205"/>
      <c r="FS115" s="205"/>
      <c r="FT115" s="205"/>
      <c r="FU115" s="77"/>
      <c r="FV115" s="77"/>
      <c r="FW115" s="77"/>
      <c r="FX115" s="205"/>
      <c r="FY115" s="205"/>
      <c r="FZ115" s="205"/>
      <c r="GA115" s="205"/>
      <c r="GB115" s="205"/>
      <c r="GC115" s="205"/>
      <c r="GD115" s="205"/>
      <c r="GE115" s="205"/>
      <c r="GF115" s="205"/>
      <c r="GG115" s="205"/>
      <c r="GH115" s="205"/>
      <c r="GI115" s="205"/>
      <c r="GJ115" s="205"/>
      <c r="GK115" s="205"/>
      <c r="GL115" s="205"/>
      <c r="GM115" s="205"/>
      <c r="GN115" s="205"/>
      <c r="GO115" s="205"/>
      <c r="GP115" s="205"/>
      <c r="GQ115" s="205"/>
      <c r="GR115" s="205"/>
      <c r="GS115" s="205"/>
      <c r="GT115" s="205"/>
      <c r="GU115" s="205"/>
      <c r="GV115" s="18"/>
      <c r="GW115" s="5"/>
      <c r="GX115" s="5"/>
      <c r="GY115" s="77"/>
      <c r="GZ115" s="18"/>
      <c r="HA115" s="18"/>
      <c r="HB115" s="18"/>
      <c r="HC115" s="18"/>
      <c r="HD115" s="18"/>
      <c r="HE115" s="18"/>
      <c r="HF115" s="18"/>
      <c r="HG115" s="18"/>
      <c r="HH115" s="205"/>
      <c r="HI115" s="26"/>
      <c r="HJ115" s="26"/>
      <c r="HK115" s="5"/>
    </row>
    <row r="116" spans="2:219" ht="15" customHeight="1">
      <c r="B116" s="5"/>
      <c r="C116" s="5" t="s">
        <v>193</v>
      </c>
      <c r="D116" s="5" t="s">
        <v>107</v>
      </c>
      <c r="E116" s="5" t="s">
        <v>196</v>
      </c>
      <c r="F116" s="5" t="s">
        <v>197</v>
      </c>
      <c r="G116" s="5" t="s">
        <v>194</v>
      </c>
      <c r="H116" s="2"/>
      <c r="I116" s="5"/>
      <c r="J116" s="5" t="s">
        <v>193</v>
      </c>
      <c r="K116" s="5" t="s">
        <v>107</v>
      </c>
      <c r="L116" s="5" t="s">
        <v>196</v>
      </c>
      <c r="M116" s="5" t="s">
        <v>197</v>
      </c>
      <c r="N116" s="5" t="s">
        <v>194</v>
      </c>
      <c r="AA116" s="18" t="s">
        <v>488</v>
      </c>
      <c r="AB116" s="22" t="s">
        <v>490</v>
      </c>
      <c r="AC116" s="59">
        <v>0</v>
      </c>
      <c r="AD116" s="59">
        <v>8.6549999999999994</v>
      </c>
      <c r="AE116" s="22">
        <v>528</v>
      </c>
      <c r="AF116" s="22">
        <v>1528</v>
      </c>
      <c r="AG116" s="22">
        <v>528</v>
      </c>
      <c r="AH116" s="6">
        <v>10</v>
      </c>
      <c r="AI116" s="6">
        <v>300</v>
      </c>
      <c r="AJ116" s="6">
        <v>14</v>
      </c>
      <c r="AK116" s="24">
        <v>300</v>
      </c>
      <c r="AL116" s="24">
        <v>14</v>
      </c>
      <c r="AM116" s="5">
        <f t="shared" si="73"/>
        <v>500</v>
      </c>
      <c r="AN116" s="26">
        <f t="shared" si="74"/>
        <v>134</v>
      </c>
      <c r="AO116" s="26">
        <f t="shared" si="75"/>
        <v>65911.546666666676</v>
      </c>
      <c r="AP116" s="15">
        <f t="shared" si="76"/>
        <v>6304.166666666667</v>
      </c>
      <c r="AQ116" s="5">
        <f t="shared" si="77"/>
        <v>2496.6494949494954</v>
      </c>
      <c r="AR116" s="26">
        <f t="shared" si="78"/>
        <v>420.27777777777777</v>
      </c>
      <c r="AS116" s="26">
        <f t="shared" si="79"/>
        <v>1391.9</v>
      </c>
      <c r="AT116" s="26">
        <f t="shared" si="80"/>
        <v>22.178305028345793</v>
      </c>
      <c r="AU116" s="26">
        <f t="shared" si="81"/>
        <v>6.8590101254115021</v>
      </c>
      <c r="AV116" s="95">
        <f t="shared" si="82"/>
        <v>7.201333333333334E-7</v>
      </c>
      <c r="AW116" s="95">
        <f t="shared" si="83"/>
        <v>4161087</v>
      </c>
      <c r="AX116" s="95">
        <f t="shared" si="84"/>
        <v>4.1610870000000001E-6</v>
      </c>
      <c r="AY116" s="54">
        <f t="shared" si="85"/>
        <v>0.25762202780669918</v>
      </c>
      <c r="AZ116" s="54" t="str">
        <f>_xll.Dce_Name_SectI(AE116,AF116,AI116,AH116,AJ116,"x","-",$O$11)</f>
        <v>(528-1528)x300x10x14</v>
      </c>
      <c r="BA116" s="15">
        <f t="shared" si="86"/>
        <v>385.5</v>
      </c>
      <c r="BB116" s="54"/>
      <c r="BC116" s="54"/>
      <c r="BD116" s="22" t="s">
        <v>499</v>
      </c>
      <c r="BE116" s="23">
        <v>-62.729688083578736</v>
      </c>
      <c r="BF116" s="23">
        <v>-51.767792571437255</v>
      </c>
      <c r="BG116" s="23">
        <v>2.9378718208406466E-3</v>
      </c>
      <c r="BH116" s="23">
        <v>-4.1033570713571506E-5</v>
      </c>
      <c r="BI116" s="23">
        <v>-2.8177789640523863E-6</v>
      </c>
      <c r="BJ116" s="23">
        <v>-0.8265006245920179</v>
      </c>
      <c r="BK116" s="23">
        <v>157.10541942461424</v>
      </c>
      <c r="BL116" s="92">
        <v>2.25</v>
      </c>
      <c r="BM116" s="91">
        <v>2</v>
      </c>
      <c r="BN116" s="5">
        <f t="shared" si="87"/>
        <v>19.473749999999999</v>
      </c>
      <c r="BO116" s="54">
        <f>_xll.Bimoment(BH116,AY116,AC116,AD116,$O$101)</f>
        <v>0</v>
      </c>
      <c r="BP116" s="5">
        <f t="shared" si="88"/>
        <v>0.84</v>
      </c>
      <c r="BQ116" s="5">
        <f t="shared" si="89"/>
        <v>0.10726234512776094</v>
      </c>
      <c r="BR116" s="24" t="str">
        <f t="shared" si="90"/>
        <v>Cal</v>
      </c>
      <c r="BS116" s="25">
        <f t="shared" si="91"/>
        <v>2.0480775027287831E-2</v>
      </c>
      <c r="BT116" s="25" t="str">
        <f t="shared" si="92"/>
        <v>CT.105</v>
      </c>
      <c r="BU116" s="25">
        <f t="shared" si="93"/>
        <v>1</v>
      </c>
      <c r="BV116" s="25" cm="1">
        <f t="array" ref="BV116">IF(BT116="CT.104",_xll.TCVN5575AnnexEHeSoCx(1,BP116),1)</f>
        <v>1</v>
      </c>
      <c r="BW116" s="25">
        <f t="shared" si="94"/>
        <v>1</v>
      </c>
      <c r="BX116" s="25">
        <f t="shared" si="95"/>
        <v>2.1558710555039828E-2</v>
      </c>
      <c r="BY116" s="25">
        <f t="shared" si="96"/>
        <v>1.5245443479792926E-3</v>
      </c>
      <c r="BZ116" s="25">
        <f t="shared" si="97"/>
        <v>3.0876278348227699E-8</v>
      </c>
      <c r="CA116" s="25">
        <f t="shared" si="98"/>
        <v>0</v>
      </c>
      <c r="CB116" s="25">
        <f t="shared" si="99"/>
        <v>2.3083285779297469E-2</v>
      </c>
      <c r="CC116" s="5" t="str">
        <f t="shared" si="100"/>
        <v>OK</v>
      </c>
      <c r="CD116" s="5">
        <f t="shared" si="101"/>
        <v>87.805402509844015</v>
      </c>
      <c r="CE116" s="5">
        <f t="shared" si="102"/>
        <v>29.158726455153193</v>
      </c>
      <c r="CF116" s="5">
        <f t="shared" si="103"/>
        <v>2.9248163326364334</v>
      </c>
      <c r="CG116" s="5">
        <f t="shared" si="104"/>
        <v>0.97128328026682387</v>
      </c>
      <c r="CH116" s="5">
        <f t="shared" si="105"/>
        <v>7.0715933779392781E-2</v>
      </c>
      <c r="CI116" s="68">
        <f>_xll.DCETCVN5575PhuLucD2Eta(BP116,CH116,CF116)</f>
        <v>1.5168058935964739</v>
      </c>
      <c r="CJ116" s="5">
        <f t="shared" si="106"/>
        <v>0.10726234512776094</v>
      </c>
      <c r="CK116" s="5">
        <f>MIN(noisuy2chieu(CJ116,CF116,Data!$DA$2:$EB$24),1)</f>
        <v>0.67488843202590942</v>
      </c>
      <c r="CL116" s="102">
        <f t="shared" si="107"/>
        <v>3.1944110362543854E-2</v>
      </c>
      <c r="CM116" s="5" t="str">
        <f t="shared" si="108"/>
        <v>OK</v>
      </c>
      <c r="CN116" s="5">
        <f t="shared" si="109"/>
        <v>0.90492218941026858</v>
      </c>
      <c r="CO116" s="5">
        <f t="shared" si="110"/>
        <v>0.5370345235716667</v>
      </c>
      <c r="CP116" s="25">
        <f>_xll.DCETCVNPhuLucFHeSoOnDinh(1, 0.2, AG116, AH116, AI116, AJ116, AI116, AJ116, $D$28)</f>
        <v>1</v>
      </c>
      <c r="CQ116" s="68">
        <f t="shared" si="111"/>
        <v>0.9</v>
      </c>
      <c r="CR116" s="68">
        <f t="shared" si="112"/>
        <v>1</v>
      </c>
      <c r="CS116" s="5">
        <f t="shared" si="113"/>
        <v>0.18181818181818182</v>
      </c>
      <c r="CT116" s="5">
        <f t="shared" si="114"/>
        <v>9.9510191986788829E-2</v>
      </c>
      <c r="CU116" s="26">
        <f t="shared" si="115"/>
        <v>13.442042396397294</v>
      </c>
      <c r="CV116" s="5"/>
      <c r="CW116" s="25"/>
      <c r="CX116" s="72">
        <f>MAX(_xll.Dce_c_925(CU116, CQ116, CR116, CN116, CP116, CS116, CT116),0.3)</f>
        <v>0.3</v>
      </c>
      <c r="CY116" s="102">
        <f t="shared" si="116"/>
        <v>7.941275985687965E-2</v>
      </c>
      <c r="CZ116" s="5" t="str">
        <f t="shared" si="117"/>
        <v>OK</v>
      </c>
      <c r="DA116" s="47">
        <f t="shared" si="118"/>
        <v>0.34499859601035404</v>
      </c>
      <c r="DB116" s="46">
        <f t="shared" si="119"/>
        <v>0.45712832802668235</v>
      </c>
      <c r="DC116" s="5" t="str">
        <f t="shared" si="120"/>
        <v>OK</v>
      </c>
      <c r="DD116" s="5">
        <f t="shared" si="121"/>
        <v>2.9248163326364334</v>
      </c>
      <c r="DE116" s="5">
        <f t="shared" si="122"/>
        <v>1.6655104634982609</v>
      </c>
      <c r="DF116" s="5" t="str">
        <f t="shared" si="123"/>
        <v>-</v>
      </c>
      <c r="DG116" s="5" t="str">
        <f t="shared" si="124"/>
        <v>-</v>
      </c>
      <c r="DH116" s="203" t="str">
        <f t="shared" si="125"/>
        <v>-</v>
      </c>
      <c r="DI116" s="203">
        <f t="shared" si="126"/>
        <v>180</v>
      </c>
      <c r="DJ116" s="46">
        <f t="shared" si="127"/>
        <v>0</v>
      </c>
      <c r="DK116" s="5" t="str">
        <f t="shared" si="128"/>
        <v>OK</v>
      </c>
      <c r="EB116" s="18"/>
      <c r="EC116" s="77"/>
      <c r="ED116" s="77"/>
      <c r="EE116" s="18"/>
      <c r="EF116" s="18"/>
      <c r="EG116" s="18"/>
      <c r="EH116" s="5"/>
      <c r="EI116" s="5"/>
      <c r="EJ116" s="5"/>
      <c r="EK116" s="5"/>
      <c r="EL116" s="5"/>
      <c r="FE116" s="26"/>
      <c r="FF116" s="26"/>
      <c r="FG116" s="26"/>
      <c r="FH116" s="26"/>
      <c r="FI116" s="26"/>
      <c r="FJ116" s="26"/>
      <c r="FK116" s="26"/>
      <c r="FL116" s="26"/>
      <c r="FM116" s="26"/>
      <c r="FN116" s="205"/>
      <c r="FO116" s="205"/>
      <c r="FP116" s="205"/>
      <c r="FQ116" s="205"/>
      <c r="FR116" s="205"/>
      <c r="FS116" s="205"/>
      <c r="FT116" s="205"/>
      <c r="FU116" s="77"/>
      <c r="FV116" s="77"/>
      <c r="FW116" s="77"/>
      <c r="FX116" s="205"/>
      <c r="FY116" s="205"/>
      <c r="FZ116" s="205"/>
      <c r="GA116" s="205"/>
      <c r="GB116" s="205"/>
      <c r="GC116" s="205"/>
      <c r="GD116" s="205"/>
      <c r="GE116" s="205"/>
      <c r="GF116" s="205"/>
      <c r="GG116" s="205"/>
      <c r="GH116" s="205"/>
      <c r="GI116" s="205"/>
      <c r="GJ116" s="205"/>
      <c r="GK116" s="205"/>
      <c r="GL116" s="205"/>
      <c r="GM116" s="205"/>
      <c r="GN116" s="205"/>
      <c r="GO116" s="205"/>
      <c r="GP116" s="205"/>
      <c r="GQ116" s="205"/>
      <c r="GR116" s="205"/>
      <c r="GS116" s="205"/>
      <c r="GT116" s="205"/>
      <c r="GU116" s="205"/>
      <c r="GV116" s="18"/>
      <c r="GW116" s="5"/>
      <c r="GX116" s="5"/>
      <c r="GY116" s="77"/>
      <c r="GZ116" s="18"/>
      <c r="HA116" s="18"/>
      <c r="HB116" s="18"/>
      <c r="HC116" s="18"/>
      <c r="HD116" s="18"/>
      <c r="HE116" s="18"/>
      <c r="HF116" s="18"/>
      <c r="HG116" s="18"/>
      <c r="HH116" s="205"/>
      <c r="HI116" s="26"/>
      <c r="HJ116" s="26"/>
      <c r="HK116" s="5"/>
    </row>
    <row r="117" spans="2:219" ht="15" customHeight="1">
      <c r="B117" s="105" t="s">
        <v>191</v>
      </c>
      <c r="C117" s="6">
        <v>1528</v>
      </c>
      <c r="D117" s="6">
        <v>300</v>
      </c>
      <c r="E117" s="6">
        <v>10</v>
      </c>
      <c r="F117" s="6">
        <v>14</v>
      </c>
      <c r="G117" s="95">
        <f>E117*(C117-2*F117)^3/12+2*(D117*F117^3/12+D117*F117*(C117/2-F117/2)^2)</f>
        <v>7626248800</v>
      </c>
      <c r="H117" s="2"/>
      <c r="I117" s="108" t="s">
        <v>191</v>
      </c>
      <c r="J117" s="6">
        <v>1528</v>
      </c>
      <c r="K117" s="6">
        <v>300</v>
      </c>
      <c r="L117" s="6">
        <v>10</v>
      </c>
      <c r="M117" s="6">
        <v>14</v>
      </c>
      <c r="N117" s="95">
        <f>L117*(J117-2*M117)^3/12+2*(K117*M117^3/12+K117*M117*(J117/2-M117/2)^2)</f>
        <v>7626248800</v>
      </c>
      <c r="AA117" s="18" t="s">
        <v>488</v>
      </c>
      <c r="AB117" s="22" t="s">
        <v>490</v>
      </c>
      <c r="AC117" s="59">
        <v>3.6405952380952398</v>
      </c>
      <c r="AD117" s="59">
        <v>8.6549999999999994</v>
      </c>
      <c r="AE117" s="22">
        <v>528</v>
      </c>
      <c r="AF117" s="22">
        <v>1528</v>
      </c>
      <c r="AG117" s="22">
        <v>948.63492063492095</v>
      </c>
      <c r="AH117" s="6">
        <v>10</v>
      </c>
      <c r="AI117" s="6">
        <v>300</v>
      </c>
      <c r="AJ117" s="6">
        <v>14</v>
      </c>
      <c r="AK117" s="24">
        <v>300</v>
      </c>
      <c r="AL117" s="24">
        <v>14</v>
      </c>
      <c r="AM117" s="5">
        <f t="shared" si="73"/>
        <v>920.63492063492095</v>
      </c>
      <c r="AN117" s="26">
        <f t="shared" si="74"/>
        <v>176.06349206349208</v>
      </c>
      <c r="AO117" s="26">
        <f t="shared" si="75"/>
        <v>248482.7399356656</v>
      </c>
      <c r="AP117" s="15">
        <f t="shared" si="76"/>
        <v>6307.6719576719579</v>
      </c>
      <c r="AQ117" s="5">
        <f t="shared" si="77"/>
        <v>5238.7432621467533</v>
      </c>
      <c r="AR117" s="26">
        <f t="shared" si="78"/>
        <v>420.51146384479722</v>
      </c>
      <c r="AS117" s="26">
        <f t="shared" si="79"/>
        <v>3022.1941546989178</v>
      </c>
      <c r="AT117" s="26">
        <f t="shared" si="80"/>
        <v>37.567600585756203</v>
      </c>
      <c r="AU117" s="26">
        <f t="shared" si="81"/>
        <v>5.9854925384629922</v>
      </c>
      <c r="AV117" s="95">
        <f t="shared" si="82"/>
        <v>8.6034497354497351E-7</v>
      </c>
      <c r="AW117" s="95">
        <f t="shared" si="83"/>
        <v>13758293.349206358</v>
      </c>
      <c r="AX117" s="95">
        <f t="shared" si="84"/>
        <v>1.3758293349206359E-5</v>
      </c>
      <c r="AY117" s="54">
        <f t="shared" si="85"/>
        <v>0.1548581140202015</v>
      </c>
      <c r="AZ117" s="54" t="str">
        <f>_xll.Dce_Name_SectI(AE117,AF117,AI117,AH117,AJ117,"x","-",$O$11)</f>
        <v>(528-1528)x300x10x14</v>
      </c>
      <c r="BA117" s="15">
        <f t="shared" si="86"/>
        <v>700.97619047619071</v>
      </c>
      <c r="BB117" s="54"/>
      <c r="BC117" s="54"/>
      <c r="BD117" s="22" t="s">
        <v>499</v>
      </c>
      <c r="BE117" s="23">
        <v>-57.212884897012898</v>
      </c>
      <c r="BF117" s="23">
        <v>-43.147986883719824</v>
      </c>
      <c r="BG117" s="23">
        <v>2.9378718208411753E-3</v>
      </c>
      <c r="BH117" s="23">
        <v>-4.1033570713571506E-5</v>
      </c>
      <c r="BI117" s="23">
        <v>-1.0723608270597249E-2</v>
      </c>
      <c r="BJ117" s="23">
        <v>172.32316593187414</v>
      </c>
      <c r="BK117" s="23">
        <v>157.10541942461424</v>
      </c>
      <c r="BL117" s="92">
        <v>2.25</v>
      </c>
      <c r="BM117" s="91">
        <v>2</v>
      </c>
      <c r="BN117" s="5">
        <f t="shared" si="87"/>
        <v>19.473749999999999</v>
      </c>
      <c r="BO117" s="54">
        <f>_xll.Bimoment(BH117,AY117,AC117,AD117,$O$101)</f>
        <v>3.1557551547344779E-4</v>
      </c>
      <c r="BP117" s="5">
        <f t="shared" si="88"/>
        <v>0.45620689655172403</v>
      </c>
      <c r="BQ117" s="5">
        <f t="shared" si="89"/>
        <v>12.564588196703339</v>
      </c>
      <c r="BR117" s="24" t="str">
        <f t="shared" si="90"/>
        <v>Cal</v>
      </c>
      <c r="BS117" s="25">
        <f t="shared" si="91"/>
        <v>1.4216824197384762E-2</v>
      </c>
      <c r="BT117" s="25" t="str">
        <f t="shared" si="92"/>
        <v>CT.105</v>
      </c>
      <c r="BU117" s="25">
        <f t="shared" si="93"/>
        <v>1</v>
      </c>
      <c r="BV117" s="25" cm="1">
        <f t="array" ref="BV117">IF(BT117="CT.104",_xll.TCVN5575AnnexEHeSoCx(1,BP117),1)</f>
        <v>1</v>
      </c>
      <c r="BW117" s="25">
        <f t="shared" si="94"/>
        <v>1</v>
      </c>
      <c r="BX117" s="25">
        <f t="shared" si="95"/>
        <v>1.4965078102510278E-2</v>
      </c>
      <c r="BY117" s="25">
        <f t="shared" si="96"/>
        <v>0.15148547802524678</v>
      </c>
      <c r="BZ117" s="25">
        <f t="shared" si="97"/>
        <v>1.1744040848908671E-4</v>
      </c>
      <c r="CA117" s="25">
        <f t="shared" si="98"/>
        <v>7.4045122190661452E-6</v>
      </c>
      <c r="CB117" s="25">
        <f t="shared" si="99"/>
        <v>0.16657540104846522</v>
      </c>
      <c r="CC117" s="5" t="str">
        <f t="shared" si="100"/>
        <v>OK</v>
      </c>
      <c r="CD117" s="5">
        <f t="shared" si="101"/>
        <v>51.836555160202302</v>
      </c>
      <c r="CE117" s="5">
        <f t="shared" si="102"/>
        <v>33.414125690541383</v>
      </c>
      <c r="CF117" s="5">
        <f t="shared" si="103"/>
        <v>1.7266865002204341</v>
      </c>
      <c r="CG117" s="5">
        <f t="shared" si="104"/>
        <v>1.1130315193248546</v>
      </c>
      <c r="CH117" s="5">
        <f t="shared" si="105"/>
        <v>10.122598558295278</v>
      </c>
      <c r="CI117" s="68">
        <f>_xll.DCETCVN5575PhuLucD2Eta(BP117,CH117,CF117)</f>
        <v>1.2412413793103447</v>
      </c>
      <c r="CJ117" s="5">
        <f t="shared" si="106"/>
        <v>12.564588196703339</v>
      </c>
      <c r="CK117" s="5">
        <f>MIN(noisuy2chieu(CJ117,CF117,Data!$DA$2:$EB$24),1)</f>
        <v>0.10684794187545776</v>
      </c>
      <c r="CL117" s="102">
        <f t="shared" si="107"/>
        <v>0.14005958224215129</v>
      </c>
      <c r="CM117" s="5" t="str">
        <f t="shared" si="108"/>
        <v>OK</v>
      </c>
      <c r="CN117" s="5">
        <f t="shared" si="109"/>
        <v>0.88472625978979058</v>
      </c>
      <c r="CO117" s="5">
        <f t="shared" si="110"/>
        <v>0.5370345235716667</v>
      </c>
      <c r="CP117" s="25">
        <f>_xll.DCETCVNPhuLucFHeSoOnDinh(1, 0.2, AG117, AH117, AI117, AJ117, AI117, AJ117, $D$28)</f>
        <v>1</v>
      </c>
      <c r="CQ117" s="68">
        <f t="shared" si="111"/>
        <v>0.9</v>
      </c>
      <c r="CR117" s="68">
        <f t="shared" si="112"/>
        <v>1</v>
      </c>
      <c r="CS117" s="5">
        <f t="shared" si="113"/>
        <v>0.18181818181818182</v>
      </c>
      <c r="CT117" s="5">
        <f t="shared" si="114"/>
        <v>0.10155106457844131</v>
      </c>
      <c r="CU117" s="26">
        <f t="shared" si="115"/>
        <v>9.2286784749340462</v>
      </c>
      <c r="CV117" s="5"/>
      <c r="CW117" s="25"/>
      <c r="CX117" s="72">
        <f>MAX(_xll.Dce_c_925(CU117, CQ117, CR117, CN117, CP117, CS117, CT117),0.3)</f>
        <v>0.3</v>
      </c>
      <c r="CY117" s="102">
        <f t="shared" si="116"/>
        <v>5.6383082476704732E-2</v>
      </c>
      <c r="CZ117" s="5" t="str">
        <f t="shared" si="117"/>
        <v>OK</v>
      </c>
      <c r="DA117" s="47">
        <f t="shared" si="118"/>
        <v>0.34499859601035404</v>
      </c>
      <c r="DB117" s="46">
        <f t="shared" si="119"/>
        <v>0.47130315193248545</v>
      </c>
      <c r="DC117" s="5" t="str">
        <f t="shared" si="120"/>
        <v>OK</v>
      </c>
      <c r="DD117" s="5">
        <f t="shared" si="121"/>
        <v>1.7266865002204341</v>
      </c>
      <c r="DE117" s="5">
        <f t="shared" si="122"/>
        <v>3.0666541867587034</v>
      </c>
      <c r="DF117" s="5" t="str">
        <f t="shared" si="123"/>
        <v>-</v>
      </c>
      <c r="DG117" s="5" t="str">
        <f t="shared" si="124"/>
        <v>-</v>
      </c>
      <c r="DH117" s="203">
        <f t="shared" si="125"/>
        <v>51.836555160202302</v>
      </c>
      <c r="DI117" s="203">
        <f t="shared" si="126"/>
        <v>180</v>
      </c>
      <c r="DJ117" s="46">
        <f t="shared" si="127"/>
        <v>0.28798086200112388</v>
      </c>
      <c r="DK117" s="5" t="str">
        <f t="shared" si="128"/>
        <v>OK</v>
      </c>
      <c r="EB117" s="18"/>
      <c r="EC117" s="77"/>
      <c r="ED117" s="77"/>
      <c r="EE117" s="18"/>
      <c r="EF117" s="18"/>
      <c r="EG117" s="18"/>
      <c r="EH117" s="5"/>
      <c r="EI117" s="5"/>
      <c r="EJ117" s="5"/>
      <c r="EK117" s="5"/>
      <c r="EL117" s="5"/>
      <c r="FE117" s="26"/>
      <c r="FF117" s="26"/>
      <c r="FG117" s="26"/>
      <c r="FH117" s="26"/>
      <c r="FI117" s="26"/>
      <c r="FJ117" s="26"/>
      <c r="FK117" s="26"/>
      <c r="FL117" s="26"/>
      <c r="FM117" s="26"/>
      <c r="FN117" s="205"/>
      <c r="FO117" s="205"/>
      <c r="FP117" s="205"/>
      <c r="FQ117" s="205"/>
      <c r="FR117" s="205"/>
      <c r="FS117" s="205"/>
      <c r="FT117" s="205"/>
      <c r="FU117" s="77"/>
      <c r="FV117" s="77"/>
      <c r="FW117" s="77"/>
      <c r="FX117" s="205"/>
      <c r="FY117" s="205"/>
      <c r="FZ117" s="205"/>
      <c r="GA117" s="205"/>
      <c r="GB117" s="205"/>
      <c r="GC117" s="205"/>
      <c r="GD117" s="205"/>
      <c r="GE117" s="205"/>
      <c r="GF117" s="205"/>
      <c r="GG117" s="205"/>
      <c r="GH117" s="205"/>
      <c r="GI117" s="205"/>
      <c r="GJ117" s="205"/>
      <c r="GK117" s="205"/>
      <c r="GL117" s="205"/>
      <c r="GM117" s="205"/>
      <c r="GN117" s="205"/>
      <c r="GO117" s="205"/>
      <c r="GP117" s="205"/>
      <c r="GQ117" s="205"/>
      <c r="GR117" s="205"/>
      <c r="GS117" s="205"/>
      <c r="GT117" s="205"/>
      <c r="GU117" s="205"/>
      <c r="GV117" s="18"/>
      <c r="GW117" s="5"/>
      <c r="GX117" s="5"/>
      <c r="GY117" s="77"/>
      <c r="GZ117" s="18"/>
      <c r="HA117" s="18"/>
      <c r="HB117" s="18"/>
      <c r="HC117" s="18"/>
      <c r="HD117" s="18"/>
      <c r="HE117" s="18"/>
      <c r="HF117" s="18"/>
      <c r="HG117" s="18"/>
      <c r="HH117" s="205"/>
      <c r="HI117" s="26"/>
      <c r="HJ117" s="26"/>
      <c r="HK117" s="5"/>
    </row>
    <row r="118" spans="2:219" ht="15" customHeight="1">
      <c r="B118" s="105" t="s">
        <v>192</v>
      </c>
      <c r="C118" s="6">
        <v>1528</v>
      </c>
      <c r="D118" s="6">
        <v>300</v>
      </c>
      <c r="E118" s="6">
        <v>10</v>
      </c>
      <c r="F118" s="6">
        <v>14</v>
      </c>
      <c r="G118" s="95">
        <f>E118*(C118-2*F118)^3/12+2*(D118*F118^3/12+D118*F118*(C118/2-F118/2)^2)</f>
        <v>7626248800</v>
      </c>
      <c r="H118" s="2"/>
      <c r="I118" s="108" t="s">
        <v>211</v>
      </c>
      <c r="J118" s="6">
        <v>1528</v>
      </c>
      <c r="K118" s="6">
        <v>300</v>
      </c>
      <c r="L118" s="6">
        <v>10</v>
      </c>
      <c r="M118" s="6">
        <v>14</v>
      </c>
      <c r="N118" s="95">
        <f>L118*(J118-2*M118)^3/12+2*(K118*M118^3/12+K118*M118*(J118/2-M118/2)^2)</f>
        <v>7626248800</v>
      </c>
      <c r="AA118" s="18" t="s">
        <v>488</v>
      </c>
      <c r="AB118" s="22" t="s">
        <v>490</v>
      </c>
      <c r="AC118" s="59">
        <v>7.2811904761904795</v>
      </c>
      <c r="AD118" s="59">
        <v>8.6549999999999994</v>
      </c>
      <c r="AE118" s="22">
        <v>528</v>
      </c>
      <c r="AF118" s="22">
        <v>1528</v>
      </c>
      <c r="AG118" s="22">
        <v>1369.2698412698419</v>
      </c>
      <c r="AH118" s="6">
        <v>10</v>
      </c>
      <c r="AI118" s="6">
        <v>300</v>
      </c>
      <c r="AJ118" s="6">
        <v>14</v>
      </c>
      <c r="AK118" s="24">
        <v>300</v>
      </c>
      <c r="AL118" s="24">
        <v>14</v>
      </c>
      <c r="AM118" s="5">
        <f t="shared" si="73"/>
        <v>1341.2698412698419</v>
      </c>
      <c r="AN118" s="26">
        <f t="shared" si="74"/>
        <v>218.12698412698418</v>
      </c>
      <c r="AO118" s="26">
        <f t="shared" si="75"/>
        <v>586811.79072745051</v>
      </c>
      <c r="AP118" s="15">
        <f t="shared" si="76"/>
        <v>6311.1772486772488</v>
      </c>
      <c r="AQ118" s="5">
        <f t="shared" si="77"/>
        <v>8571.1635945074104</v>
      </c>
      <c r="AR118" s="26">
        <f t="shared" si="78"/>
        <v>420.74514991181661</v>
      </c>
      <c r="AS118" s="26">
        <f t="shared" si="79"/>
        <v>5094.8226505417015</v>
      </c>
      <c r="AT118" s="26">
        <f t="shared" si="80"/>
        <v>51.867428670398397</v>
      </c>
      <c r="AU118" s="26">
        <f t="shared" si="81"/>
        <v>5.3789869588463937</v>
      </c>
      <c r="AV118" s="95">
        <f t="shared" si="82"/>
        <v>1.0005566137566139E-6</v>
      </c>
      <c r="AW118" s="95">
        <f t="shared" si="83"/>
        <v>28928912.396825422</v>
      </c>
      <c r="AX118" s="95">
        <f t="shared" si="84"/>
        <v>2.8928912396825422E-5</v>
      </c>
      <c r="AY118" s="54">
        <f t="shared" si="85"/>
        <v>0.11516876660535029</v>
      </c>
      <c r="AZ118" s="54" t="str">
        <f>_xll.Dce_Name_SectI(AE118,AF118,AI118,AH118,AJ118,"x","-",$O$11)</f>
        <v>(528-1528)x300x10x14</v>
      </c>
      <c r="BA118" s="15">
        <f t="shared" si="86"/>
        <v>1016.4523809523813</v>
      </c>
      <c r="BB118" s="54"/>
      <c r="BC118" s="54"/>
      <c r="BD118" s="22" t="s">
        <v>499</v>
      </c>
      <c r="BE118" s="23">
        <v>-50.154645959954664</v>
      </c>
      <c r="BF118" s="23">
        <v>-34.634031726594401</v>
      </c>
      <c r="BG118" s="23">
        <v>2.9378718208416979E-3</v>
      </c>
      <c r="BH118" s="23">
        <v>-4.1033570713571506E-5</v>
      </c>
      <c r="BI118" s="23">
        <v>-2.1444398762232364E-2</v>
      </c>
      <c r="BJ118" s="23">
        <v>314.21083884922848</v>
      </c>
      <c r="BK118" s="23">
        <v>157.10541942461424</v>
      </c>
      <c r="BL118" s="92">
        <v>2.25</v>
      </c>
      <c r="BM118" s="91">
        <v>2</v>
      </c>
      <c r="BN118" s="5">
        <f t="shared" si="87"/>
        <v>19.473749999999999</v>
      </c>
      <c r="BO118" s="54">
        <f>_xll.Bimoment(BH118,AY118,AC118,AD118,$O$101)</f>
        <v>1.8771506194595301E-4</v>
      </c>
      <c r="BP118" s="5">
        <f t="shared" si="88"/>
        <v>0.31313609467455605</v>
      </c>
      <c r="BQ118" s="5">
        <f t="shared" si="89"/>
        <v>19.333341207041904</v>
      </c>
      <c r="BR118" s="24" t="str">
        <f t="shared" si="90"/>
        <v>Cal</v>
      </c>
      <c r="BS118" s="25">
        <f t="shared" si="91"/>
        <v>1.0059579604651798E-2</v>
      </c>
      <c r="BT118" s="25" t="str">
        <f t="shared" si="92"/>
        <v>CT.105</v>
      </c>
      <c r="BU118" s="25">
        <f t="shared" si="93"/>
        <v>1</v>
      </c>
      <c r="BV118" s="25" cm="1">
        <f t="array" ref="BV118">IF(BT118="CT.104",_xll.TCVN5575AnnexEHeSoCx(1,BP118),1)</f>
        <v>1</v>
      </c>
      <c r="BW118" s="25">
        <f t="shared" si="94"/>
        <v>1</v>
      </c>
      <c r="BX118" s="25">
        <f t="shared" si="95"/>
        <v>1.0589031162791369E-2</v>
      </c>
      <c r="BY118" s="25">
        <f t="shared" si="96"/>
        <v>0.16882463903627237</v>
      </c>
      <c r="BZ118" s="25">
        <f t="shared" si="97"/>
        <v>2.3471951984143033E-4</v>
      </c>
      <c r="CA118" s="25">
        <f t="shared" si="98"/>
        <v>3.037445570360118E-6</v>
      </c>
      <c r="CB118" s="25">
        <f t="shared" si="99"/>
        <v>0.17965142716447555</v>
      </c>
      <c r="CC118" s="5" t="str">
        <f t="shared" si="100"/>
        <v>OK</v>
      </c>
      <c r="CD118" s="5">
        <f t="shared" si="101"/>
        <v>37.545238889226049</v>
      </c>
      <c r="CE118" s="5">
        <f t="shared" si="102"/>
        <v>37.181722419139881</v>
      </c>
      <c r="CF118" s="5">
        <f t="shared" si="103"/>
        <v>1.2506397644909562</v>
      </c>
      <c r="CG118" s="5">
        <f t="shared" si="104"/>
        <v>1.2385309547993069</v>
      </c>
      <c r="CH118" s="5">
        <f t="shared" si="105"/>
        <v>15.943350854373028</v>
      </c>
      <c r="CI118" s="68">
        <f>_xll.DCETCVN5575PhuLucD2Eta(BP118,CH118,CF118)</f>
        <v>1.2126272189349112</v>
      </c>
      <c r="CJ118" s="5">
        <f t="shared" si="106"/>
        <v>19.333341207041904</v>
      </c>
      <c r="CK118" s="5">
        <f>MIN(noisuy2chieu(CJ118,CF118,Data!$DA$2:$EB$24),1)</f>
        <v>7.4661523103713989E-2</v>
      </c>
      <c r="CL118" s="102">
        <f t="shared" si="107"/>
        <v>0.14182715169206911</v>
      </c>
      <c r="CM118" s="5" t="str">
        <f t="shared" si="108"/>
        <v>OK</v>
      </c>
      <c r="CN118" s="5">
        <f t="shared" si="109"/>
        <v>0.86643683692746631</v>
      </c>
      <c r="CO118" s="5">
        <f t="shared" si="110"/>
        <v>0.5370345235716667</v>
      </c>
      <c r="CP118" s="25">
        <f>_xll.DCETCVNPhuLucFHeSoOnDinh(1, 0.2, AG118, AH118, AI118, AJ118, AI118, AJ118, $D$28)</f>
        <v>1</v>
      </c>
      <c r="CQ118" s="68">
        <f t="shared" si="111"/>
        <v>0.9</v>
      </c>
      <c r="CR118" s="68">
        <f t="shared" si="112"/>
        <v>1</v>
      </c>
      <c r="CS118" s="5">
        <f t="shared" si="113"/>
        <v>0.18181818181818182</v>
      </c>
      <c r="CT118" s="5">
        <f t="shared" si="114"/>
        <v>0.10347287704587492</v>
      </c>
      <c r="CU118" s="26">
        <f t="shared" si="115"/>
        <v>7.971675427186514</v>
      </c>
      <c r="CV118" s="5"/>
      <c r="CW118" s="25"/>
      <c r="CX118" s="72">
        <f>MAX(_xll.Dce_c_925(CU118, CQ118, CR118, CN118, CP118, CS118, CT118),0.3)</f>
        <v>0.3</v>
      </c>
      <c r="CY118" s="102">
        <f t="shared" si="116"/>
        <v>4.0737846128295167E-2</v>
      </c>
      <c r="CZ118" s="5" t="str">
        <f t="shared" si="117"/>
        <v>OK</v>
      </c>
      <c r="DA118" s="47">
        <f t="shared" si="118"/>
        <v>0.34499859601035404</v>
      </c>
      <c r="DB118" s="46">
        <f t="shared" si="119"/>
        <v>0.48385309547993066</v>
      </c>
      <c r="DC118" s="5" t="str">
        <f t="shared" si="120"/>
        <v>OK</v>
      </c>
      <c r="DD118" s="5">
        <f t="shared" si="121"/>
        <v>1.2506397644909562</v>
      </c>
      <c r="DE118" s="5">
        <f t="shared" si="122"/>
        <v>4.4677979100191463</v>
      </c>
      <c r="DF118" s="5" t="str">
        <f t="shared" si="123"/>
        <v>-</v>
      </c>
      <c r="DG118" s="5" t="str">
        <f t="shared" si="124"/>
        <v>-</v>
      </c>
      <c r="DH118" s="203">
        <f t="shared" si="125"/>
        <v>37.545238889226049</v>
      </c>
      <c r="DI118" s="203">
        <f t="shared" si="126"/>
        <v>180</v>
      </c>
      <c r="DJ118" s="46">
        <f t="shared" si="127"/>
        <v>0.20858466049570026</v>
      </c>
      <c r="DK118" s="5" t="str">
        <f t="shared" si="128"/>
        <v>OK</v>
      </c>
      <c r="EB118" s="18"/>
      <c r="EC118" s="77"/>
      <c r="ED118" s="77"/>
      <c r="EE118" s="18"/>
      <c r="EF118" s="18"/>
      <c r="EG118" s="18"/>
      <c r="EH118" s="5"/>
      <c r="EI118" s="5"/>
      <c r="EJ118" s="5"/>
      <c r="EK118" s="5"/>
      <c r="EL118" s="5"/>
      <c r="FE118" s="26"/>
      <c r="FF118" s="26"/>
      <c r="FG118" s="26"/>
      <c r="FH118" s="26"/>
      <c r="FI118" s="26"/>
      <c r="FJ118" s="26"/>
      <c r="FK118" s="26"/>
      <c r="FL118" s="26"/>
      <c r="FM118" s="26"/>
      <c r="FN118" s="205"/>
      <c r="FO118" s="205"/>
      <c r="FP118" s="205"/>
      <c r="FQ118" s="205"/>
      <c r="FR118" s="205"/>
      <c r="FS118" s="205"/>
      <c r="FT118" s="205"/>
      <c r="FU118" s="77"/>
      <c r="FV118" s="77"/>
      <c r="FW118" s="77"/>
      <c r="FX118" s="205"/>
      <c r="FY118" s="205"/>
      <c r="FZ118" s="205"/>
      <c r="GA118" s="205"/>
      <c r="GB118" s="205"/>
      <c r="GC118" s="205"/>
      <c r="GD118" s="205"/>
      <c r="GE118" s="205"/>
      <c r="GF118" s="205"/>
      <c r="GG118" s="205"/>
      <c r="GH118" s="205"/>
      <c r="GI118" s="205"/>
      <c r="GJ118" s="205"/>
      <c r="GK118" s="205"/>
      <c r="GL118" s="205"/>
      <c r="GM118" s="205"/>
      <c r="GN118" s="205"/>
      <c r="GO118" s="205"/>
      <c r="GP118" s="205"/>
      <c r="GQ118" s="205"/>
      <c r="GR118" s="205"/>
      <c r="GS118" s="205"/>
      <c r="GT118" s="205"/>
      <c r="GU118" s="205"/>
      <c r="GV118" s="18"/>
      <c r="GW118" s="5"/>
      <c r="GX118" s="5"/>
      <c r="GY118" s="77"/>
      <c r="GZ118" s="18"/>
      <c r="HA118" s="18"/>
      <c r="HB118" s="18"/>
      <c r="HC118" s="18"/>
      <c r="HD118" s="18"/>
      <c r="HE118" s="18"/>
      <c r="HF118" s="18"/>
      <c r="HG118" s="18"/>
      <c r="HH118" s="205"/>
      <c r="HI118" s="26"/>
      <c r="HJ118" s="26"/>
      <c r="HK118" s="5"/>
    </row>
    <row r="119" spans="2:219" ht="15">
      <c r="B119" s="350" t="s">
        <v>198</v>
      </c>
      <c r="C119" s="423"/>
      <c r="D119" s="6">
        <v>8.6549999999999994</v>
      </c>
      <c r="E119" s="350" t="s">
        <v>201</v>
      </c>
      <c r="F119" s="351"/>
      <c r="G119" s="106">
        <f>G118</f>
        <v>7626248800</v>
      </c>
      <c r="H119" s="2"/>
      <c r="I119" s="108" t="s">
        <v>212</v>
      </c>
      <c r="J119" s="6">
        <v>1528</v>
      </c>
      <c r="K119" s="6">
        <v>300</v>
      </c>
      <c r="L119" s="6">
        <v>10</v>
      </c>
      <c r="M119" s="6">
        <v>14</v>
      </c>
      <c r="N119" s="95">
        <f>L119*(J119-2*M119)^3/12+2*(K119*M119^3/12+K119*M119*(J119/2-M119/2)^2)</f>
        <v>7626248800</v>
      </c>
      <c r="AA119" s="18" t="s">
        <v>488</v>
      </c>
      <c r="AB119" s="22" t="s">
        <v>490</v>
      </c>
      <c r="AC119" s="59">
        <v>0</v>
      </c>
      <c r="AD119" s="59">
        <v>8.6549999999999994</v>
      </c>
      <c r="AE119" s="22">
        <v>528</v>
      </c>
      <c r="AF119" s="22">
        <v>1528</v>
      </c>
      <c r="AG119" s="22">
        <v>528</v>
      </c>
      <c r="AH119" s="6">
        <v>10</v>
      </c>
      <c r="AI119" s="6">
        <v>300</v>
      </c>
      <c r="AJ119" s="6">
        <v>14</v>
      </c>
      <c r="AK119" s="24">
        <v>300</v>
      </c>
      <c r="AL119" s="24">
        <v>14</v>
      </c>
      <c r="AM119" s="5">
        <f t="shared" si="73"/>
        <v>500</v>
      </c>
      <c r="AN119" s="26">
        <f t="shared" si="74"/>
        <v>134</v>
      </c>
      <c r="AO119" s="26">
        <f t="shared" si="75"/>
        <v>65911.546666666676</v>
      </c>
      <c r="AP119" s="15">
        <f t="shared" si="76"/>
        <v>6304.166666666667</v>
      </c>
      <c r="AQ119" s="5">
        <f t="shared" si="77"/>
        <v>2496.6494949494954</v>
      </c>
      <c r="AR119" s="26">
        <f t="shared" si="78"/>
        <v>420.27777777777777</v>
      </c>
      <c r="AS119" s="26">
        <f t="shared" si="79"/>
        <v>1391.9</v>
      </c>
      <c r="AT119" s="26">
        <f t="shared" si="80"/>
        <v>22.178305028345793</v>
      </c>
      <c r="AU119" s="26">
        <f t="shared" si="81"/>
        <v>6.8590101254115021</v>
      </c>
      <c r="AV119" s="95">
        <f t="shared" si="82"/>
        <v>7.201333333333334E-7</v>
      </c>
      <c r="AW119" s="95">
        <f t="shared" si="83"/>
        <v>4161087</v>
      </c>
      <c r="AX119" s="95">
        <f t="shared" si="84"/>
        <v>4.1610870000000001E-6</v>
      </c>
      <c r="AY119" s="54">
        <f t="shared" si="85"/>
        <v>0.25762202780669918</v>
      </c>
      <c r="AZ119" s="54" t="str">
        <f>_xll.Dce_Name_SectI(AE119,AF119,AI119,AH119,AJ119,"x","-",$O$11)</f>
        <v>(528-1528)x300x10x14</v>
      </c>
      <c r="BA119" s="15">
        <f t="shared" si="86"/>
        <v>385.5</v>
      </c>
      <c r="BB119" s="54"/>
      <c r="BC119" s="54"/>
      <c r="BD119" s="22" t="s">
        <v>500</v>
      </c>
      <c r="BE119" s="23">
        <v>49.436433285766782</v>
      </c>
      <c r="BF119" s="23">
        <v>101.35761493639657</v>
      </c>
      <c r="BG119" s="23">
        <v>-1.9939515783960809E-3</v>
      </c>
      <c r="BH119" s="23">
        <v>2.7849735482374334E-5</v>
      </c>
      <c r="BI119" s="23">
        <v>1.9124438220455285E-6</v>
      </c>
      <c r="BJ119" s="23">
        <v>0.59326959518206168</v>
      </c>
      <c r="BK119" s="23">
        <v>-313.87903998469426</v>
      </c>
      <c r="BL119" s="92">
        <v>2.25</v>
      </c>
      <c r="BM119" s="91">
        <v>2</v>
      </c>
      <c r="BN119" s="5">
        <f t="shared" si="87"/>
        <v>19.473749999999999</v>
      </c>
      <c r="BO119" s="54">
        <f>_xll.Bimoment(BH119,AY119,AC119,AD119,$O$101)</f>
        <v>0</v>
      </c>
      <c r="BP119" s="5">
        <f t="shared" si="88"/>
        <v>0.84</v>
      </c>
      <c r="BQ119" s="5">
        <f t="shared" si="89"/>
        <v>9.7714074480496835E-2</v>
      </c>
      <c r="BR119" s="24" t="str">
        <f t="shared" si="90"/>
        <v>Cal</v>
      </c>
      <c r="BS119" s="25">
        <f t="shared" si="91"/>
        <v>1.6140626539196245E-2</v>
      </c>
      <c r="BT119" s="25" t="str">
        <f t="shared" si="92"/>
        <v>CT.105</v>
      </c>
      <c r="BU119" s="25">
        <f t="shared" si="93"/>
        <v>1</v>
      </c>
      <c r="BV119" s="25" cm="1">
        <f t="array" ref="BV119">IF(BT119="CT.104",_xll.TCVN5575AnnexEHeSoCx(1,BP119),1)</f>
        <v>1</v>
      </c>
      <c r="BW119" s="25">
        <f t="shared" si="94"/>
        <v>1</v>
      </c>
      <c r="BX119" s="25">
        <f t="shared" si="95"/>
        <v>1.6990133199153941E-2</v>
      </c>
      <c r="BY119" s="25">
        <f t="shared" si="96"/>
        <v>1.0943316692703562E-3</v>
      </c>
      <c r="BZ119" s="25">
        <f t="shared" si="97"/>
        <v>2.0955919015700474E-8</v>
      </c>
      <c r="CA119" s="25">
        <f t="shared" si="98"/>
        <v>0</v>
      </c>
      <c r="CB119" s="25">
        <f t="shared" si="99"/>
        <v>1.8084485824343313E-2</v>
      </c>
      <c r="CC119" s="5" t="str">
        <f t="shared" si="100"/>
        <v>OK</v>
      </c>
      <c r="CD119" s="5">
        <f t="shared" si="101"/>
        <v>87.805402509844015</v>
      </c>
      <c r="CE119" s="5">
        <f t="shared" si="102"/>
        <v>29.158726455153193</v>
      </c>
      <c r="CF119" s="5">
        <f t="shared" si="103"/>
        <v>2.9248163326364334</v>
      </c>
      <c r="CG119" s="5">
        <f t="shared" si="104"/>
        <v>0.97128328026682387</v>
      </c>
      <c r="CH119" s="5">
        <f t="shared" si="105"/>
        <v>6.4409834604760532E-2</v>
      </c>
      <c r="CI119" s="68">
        <f>_xll.DCETCVN5575PhuLucD2Eta(BP119,CH119,CF119)</f>
        <v>1.5170676198767135</v>
      </c>
      <c r="CJ119" s="5">
        <f t="shared" si="106"/>
        <v>9.7714074480496835E-2</v>
      </c>
      <c r="CK119" s="5">
        <f>MIN(noisuy2chieu(CJ119,CF119,Data!$DA$2:$EB$24),1)</f>
        <v>0.72963172197341919</v>
      </c>
      <c r="CL119" s="102" t="str">
        <f t="shared" si="107"/>
        <v>-</v>
      </c>
      <c r="CM119" s="5" t="str">
        <f t="shared" si="108"/>
        <v>OK</v>
      </c>
      <c r="CN119" s="5">
        <f t="shared" si="109"/>
        <v>0.90492218941026858</v>
      </c>
      <c r="CO119" s="5">
        <f t="shared" si="110"/>
        <v>0.5370345235716667</v>
      </c>
      <c r="CP119" s="25">
        <f>_xll.DCETCVNPhuLucFHeSoOnDinh(1, 0.2, AG119, AH119, AI119, AJ119, AI119, AJ119, $D$28)</f>
        <v>1</v>
      </c>
      <c r="CQ119" s="68">
        <f t="shared" si="111"/>
        <v>0.9</v>
      </c>
      <c r="CR119" s="68">
        <f t="shared" si="112"/>
        <v>1</v>
      </c>
      <c r="CS119" s="5">
        <f t="shared" si="113"/>
        <v>0.18181818181818182</v>
      </c>
      <c r="CT119" s="5">
        <f t="shared" si="114"/>
        <v>9.9510191986788829E-2</v>
      </c>
      <c r="CU119" s="26">
        <f t="shared" si="115"/>
        <v>34.077082688033329</v>
      </c>
      <c r="CV119" s="5"/>
      <c r="CW119" s="25"/>
      <c r="CX119" s="72">
        <f>MAX(_xll.Dce_c_925(CU119, CQ119, CR119, CN119, CP119, CS119, CT119),0.3)</f>
        <v>0.3</v>
      </c>
      <c r="CY119" s="102" t="str">
        <f t="shared" si="116"/>
        <v>-</v>
      </c>
      <c r="CZ119" s="5" t="str">
        <f t="shared" si="117"/>
        <v>OK</v>
      </c>
      <c r="DA119" s="47">
        <f t="shared" si="118"/>
        <v>0.34499859601035404</v>
      </c>
      <c r="DB119" s="46">
        <f t="shared" si="119"/>
        <v>15.507063299110028</v>
      </c>
      <c r="DC119" s="5" t="str">
        <f t="shared" si="120"/>
        <v>OK</v>
      </c>
      <c r="DD119" s="5">
        <f t="shared" si="121"/>
        <v>2.9248163326364334</v>
      </c>
      <c r="DE119" s="5">
        <f t="shared" si="122"/>
        <v>1.6655104634982609</v>
      </c>
      <c r="DF119" s="5">
        <f t="shared" si="123"/>
        <v>3.2</v>
      </c>
      <c r="DG119" s="5" t="str">
        <f t="shared" si="124"/>
        <v>OK</v>
      </c>
      <c r="DH119" s="203" t="str">
        <f t="shared" si="125"/>
        <v>-</v>
      </c>
      <c r="DI119" s="203" t="str">
        <f t="shared" si="126"/>
        <v>-</v>
      </c>
      <c r="DJ119" s="46">
        <f t="shared" si="127"/>
        <v>0</v>
      </c>
      <c r="DK119" s="5" t="str">
        <f t="shared" si="128"/>
        <v>OK</v>
      </c>
      <c r="EB119" s="18"/>
      <c r="EC119" s="77"/>
      <c r="ED119" s="77"/>
      <c r="EE119" s="18"/>
      <c r="EF119" s="18"/>
      <c r="EG119" s="18"/>
      <c r="EH119" s="5"/>
      <c r="EI119" s="5"/>
      <c r="EJ119" s="5"/>
      <c r="EK119" s="5"/>
      <c r="EL119" s="5"/>
      <c r="FE119" s="26"/>
      <c r="FF119" s="26"/>
      <c r="FG119" s="26"/>
      <c r="FH119" s="26"/>
      <c r="FI119" s="26"/>
      <c r="FJ119" s="26"/>
      <c r="FK119" s="26"/>
      <c r="FL119" s="26"/>
      <c r="FM119" s="26"/>
      <c r="FN119" s="205"/>
      <c r="FO119" s="205"/>
      <c r="FP119" s="205"/>
      <c r="FQ119" s="205"/>
      <c r="FR119" s="205"/>
      <c r="FS119" s="205"/>
      <c r="FT119" s="205"/>
      <c r="FU119" s="77"/>
      <c r="FV119" s="77"/>
      <c r="FW119" s="77"/>
      <c r="FX119" s="205"/>
      <c r="FY119" s="205"/>
      <c r="FZ119" s="205"/>
      <c r="GA119" s="205"/>
      <c r="GB119" s="205"/>
      <c r="GC119" s="205"/>
      <c r="GD119" s="205"/>
      <c r="GE119" s="205"/>
      <c r="GF119" s="205"/>
      <c r="GG119" s="205"/>
      <c r="GH119" s="205"/>
      <c r="GI119" s="205"/>
      <c r="GJ119" s="205"/>
      <c r="GK119" s="205"/>
      <c r="GL119" s="205"/>
      <c r="GM119" s="205"/>
      <c r="GN119" s="205"/>
      <c r="GO119" s="205"/>
      <c r="GP119" s="205"/>
      <c r="GQ119" s="205"/>
      <c r="GR119" s="205"/>
      <c r="GS119" s="205"/>
      <c r="GT119" s="205"/>
      <c r="GU119" s="205"/>
      <c r="GV119" s="18"/>
      <c r="GW119" s="5"/>
      <c r="GX119" s="5"/>
      <c r="GY119" s="77"/>
      <c r="GZ119" s="18"/>
      <c r="HA119" s="18"/>
      <c r="HB119" s="18"/>
      <c r="HC119" s="18"/>
      <c r="HD119" s="18"/>
      <c r="HE119" s="18"/>
      <c r="HF119" s="18"/>
      <c r="HG119" s="18"/>
      <c r="HH119" s="205"/>
      <c r="HI119" s="26"/>
      <c r="HJ119" s="26"/>
      <c r="HK119" s="5"/>
    </row>
    <row r="120" spans="2:219" ht="15">
      <c r="B120" s="355" t="s">
        <v>199</v>
      </c>
      <c r="C120" s="356"/>
      <c r="D120" s="6">
        <v>8</v>
      </c>
      <c r="E120" s="350" t="s">
        <v>200</v>
      </c>
      <c r="F120" s="351"/>
      <c r="G120" s="106">
        <f>G117</f>
        <v>7626248800</v>
      </c>
      <c r="H120" s="2"/>
      <c r="I120" s="105" t="s">
        <v>205</v>
      </c>
      <c r="J120" s="109"/>
      <c r="K120" s="6">
        <v>8.6549999999999994</v>
      </c>
      <c r="L120" s="439"/>
      <c r="M120" s="440"/>
      <c r="N120" s="440"/>
      <c r="AA120" s="18" t="s">
        <v>488</v>
      </c>
      <c r="AB120" s="22" t="s">
        <v>490</v>
      </c>
      <c r="AC120" s="59">
        <v>3.6405952380952398</v>
      </c>
      <c r="AD120" s="59">
        <v>8.6549999999999994</v>
      </c>
      <c r="AE120" s="22">
        <v>528</v>
      </c>
      <c r="AF120" s="22">
        <v>1528</v>
      </c>
      <c r="AG120" s="22">
        <v>948.63492063492095</v>
      </c>
      <c r="AH120" s="6">
        <v>10</v>
      </c>
      <c r="AI120" s="6">
        <v>300</v>
      </c>
      <c r="AJ120" s="6">
        <v>14</v>
      </c>
      <c r="AK120" s="24">
        <v>300</v>
      </c>
      <c r="AL120" s="24">
        <v>14</v>
      </c>
      <c r="AM120" s="5">
        <f t="shared" si="73"/>
        <v>920.63492063492095</v>
      </c>
      <c r="AN120" s="26">
        <f t="shared" si="74"/>
        <v>176.06349206349208</v>
      </c>
      <c r="AO120" s="26">
        <f t="shared" si="75"/>
        <v>248482.7399356656</v>
      </c>
      <c r="AP120" s="15">
        <f t="shared" si="76"/>
        <v>6307.6719576719579</v>
      </c>
      <c r="AQ120" s="5">
        <f t="shared" si="77"/>
        <v>5238.7432621467533</v>
      </c>
      <c r="AR120" s="26">
        <f t="shared" si="78"/>
        <v>420.51146384479722</v>
      </c>
      <c r="AS120" s="26">
        <f t="shared" si="79"/>
        <v>3022.1941546989178</v>
      </c>
      <c r="AT120" s="26">
        <f t="shared" si="80"/>
        <v>37.567600585756203</v>
      </c>
      <c r="AU120" s="26">
        <f t="shared" si="81"/>
        <v>5.9854925384629922</v>
      </c>
      <c r="AV120" s="95">
        <f t="shared" si="82"/>
        <v>8.6034497354497351E-7</v>
      </c>
      <c r="AW120" s="95">
        <f t="shared" si="83"/>
        <v>13758293.349206358</v>
      </c>
      <c r="AX120" s="95">
        <f t="shared" si="84"/>
        <v>1.3758293349206359E-5</v>
      </c>
      <c r="AY120" s="54">
        <f t="shared" si="85"/>
        <v>0.1548581140202015</v>
      </c>
      <c r="AZ120" s="54" t="str">
        <f>_xll.Dce_Name_SectI(AE120,AF120,AI120,AH120,AJ120,"x","-",$O$11)</f>
        <v>(528-1528)x300x10x14</v>
      </c>
      <c r="BA120" s="15">
        <f t="shared" si="86"/>
        <v>700.97619047619071</v>
      </c>
      <c r="BB120" s="54"/>
      <c r="BC120" s="54"/>
      <c r="BD120" s="22" t="s">
        <v>500</v>
      </c>
      <c r="BE120" s="23">
        <v>53.314448972332627</v>
      </c>
      <c r="BF120" s="23">
        <v>86.112772749114015</v>
      </c>
      <c r="BG120" s="23">
        <v>-1.9939515783970168E-3</v>
      </c>
      <c r="BH120" s="23">
        <v>2.7849735482374334E-5</v>
      </c>
      <c r="BI120" s="23">
        <v>7.2781785391658584E-3</v>
      </c>
      <c r="BJ120" s="23">
        <v>-341.49447382900132</v>
      </c>
      <c r="BK120" s="23">
        <v>-313.87903998469426</v>
      </c>
      <c r="BL120" s="92">
        <v>2.25</v>
      </c>
      <c r="BM120" s="91">
        <v>2</v>
      </c>
      <c r="BN120" s="5">
        <f t="shared" si="87"/>
        <v>19.473749999999999</v>
      </c>
      <c r="BO120" s="54">
        <f>_xll.Bimoment(BH120,AY120,AC120,AD120,$O$101)</f>
        <v>-2.1418303300966844E-4</v>
      </c>
      <c r="BP120" s="5">
        <f t="shared" si="88"/>
        <v>0.45620689655172403</v>
      </c>
      <c r="BQ120" s="5">
        <f t="shared" si="89"/>
        <v>26.720045704578531</v>
      </c>
      <c r="BR120" s="24" t="str">
        <f t="shared" si="90"/>
        <v>Cal</v>
      </c>
      <c r="BS120" s="25">
        <f t="shared" si="91"/>
        <v>1.3248102234041813E-2</v>
      </c>
      <c r="BT120" s="25" t="str">
        <f t="shared" si="92"/>
        <v>CT.105</v>
      </c>
      <c r="BU120" s="25">
        <f t="shared" si="93"/>
        <v>1</v>
      </c>
      <c r="BV120" s="25" cm="1">
        <f t="array" ref="BV120">IF(BT120="CT.104",_xll.TCVN5575AnnexEHeSoCx(1,BP120),1)</f>
        <v>1</v>
      </c>
      <c r="BW120" s="25">
        <f t="shared" si="94"/>
        <v>1</v>
      </c>
      <c r="BX120" s="25">
        <f t="shared" si="95"/>
        <v>1.3945370772675592E-2</v>
      </c>
      <c r="BY120" s="25">
        <f t="shared" si="96"/>
        <v>0.30020022746922947</v>
      </c>
      <c r="BZ120" s="25">
        <f t="shared" si="97"/>
        <v>7.9707523729653898E-5</v>
      </c>
      <c r="CA120" s="25">
        <f t="shared" si="98"/>
        <v>5.0254877431077999E-6</v>
      </c>
      <c r="CB120" s="25">
        <f t="shared" si="99"/>
        <v>0.31423033125337785</v>
      </c>
      <c r="CC120" s="5" t="str">
        <f t="shared" si="100"/>
        <v>OK</v>
      </c>
      <c r="CD120" s="5">
        <f t="shared" si="101"/>
        <v>51.836555160202302</v>
      </c>
      <c r="CE120" s="5">
        <f t="shared" si="102"/>
        <v>33.414125690541383</v>
      </c>
      <c r="CF120" s="5">
        <f t="shared" si="103"/>
        <v>1.7266865002204341</v>
      </c>
      <c r="CG120" s="5">
        <f t="shared" si="104"/>
        <v>1.1130315193248546</v>
      </c>
      <c r="CH120" s="5">
        <f t="shared" si="105"/>
        <v>21.526873136814576</v>
      </c>
      <c r="CI120" s="68">
        <f>_xll.DCETCVN5575PhuLucD2Eta(BP120,CH120,CF120)</f>
        <v>1.2412413793103447</v>
      </c>
      <c r="CJ120" s="5">
        <f t="shared" si="106"/>
        <v>26.720045704578531</v>
      </c>
      <c r="CK120" s="5">
        <f>MIN(noisuy2chieu(CJ120,CF120,Data!$DA$2:$EB$24),1)</f>
        <v>6.8639881908893585E-2</v>
      </c>
      <c r="CL120" s="102" t="str">
        <f t="shared" si="107"/>
        <v>-</v>
      </c>
      <c r="CM120" s="5" t="str">
        <f t="shared" si="108"/>
        <v>OK</v>
      </c>
      <c r="CN120" s="5">
        <f t="shared" si="109"/>
        <v>0.88472625978979058</v>
      </c>
      <c r="CO120" s="5">
        <f t="shared" si="110"/>
        <v>0.5370345235716667</v>
      </c>
      <c r="CP120" s="25">
        <f>_xll.DCETCVNPhuLucFHeSoOnDinh(1, 0.2, AG120, AH120, AI120, AJ120, AI120, AJ120, $D$28)</f>
        <v>1</v>
      </c>
      <c r="CQ120" s="68">
        <f t="shared" si="111"/>
        <v>0.9</v>
      </c>
      <c r="CR120" s="68">
        <f t="shared" si="112"/>
        <v>1</v>
      </c>
      <c r="CS120" s="5">
        <f t="shared" si="113"/>
        <v>0.18181818181818182</v>
      </c>
      <c r="CT120" s="5">
        <f t="shared" si="114"/>
        <v>0.10155106457844131</v>
      </c>
      <c r="CU120" s="26">
        <f t="shared" si="115"/>
        <v>19.786072079863455</v>
      </c>
      <c r="CV120" s="5"/>
      <c r="CW120" s="25"/>
      <c r="CX120" s="72">
        <f>MAX(_xll.Dce_c_925(CU120, CQ120, CR120, CN120, CP120, CS120, CT120),0.3)</f>
        <v>0.3</v>
      </c>
      <c r="CY120" s="102" t="str">
        <f t="shared" si="116"/>
        <v>-</v>
      </c>
      <c r="CZ120" s="5" t="str">
        <f t="shared" si="117"/>
        <v>OK</v>
      </c>
      <c r="DA120" s="47">
        <f t="shared" si="118"/>
        <v>0.34499859601035404</v>
      </c>
      <c r="DB120" s="46">
        <f t="shared" si="119"/>
        <v>0.9361491452491244</v>
      </c>
      <c r="DC120" s="5" t="str">
        <f t="shared" si="120"/>
        <v>OK</v>
      </c>
      <c r="DD120" s="5">
        <f t="shared" si="121"/>
        <v>1.7266865002204341</v>
      </c>
      <c r="DE120" s="5">
        <f t="shared" si="122"/>
        <v>3.0666541867587034</v>
      </c>
      <c r="DF120" s="5">
        <f t="shared" si="123"/>
        <v>3.2</v>
      </c>
      <c r="DG120" s="5" t="str">
        <f t="shared" si="124"/>
        <v>OK</v>
      </c>
      <c r="DH120" s="203">
        <f t="shared" si="125"/>
        <v>51.836555160202302</v>
      </c>
      <c r="DI120" s="203" t="str">
        <f t="shared" si="126"/>
        <v>-</v>
      </c>
      <c r="DJ120" s="46">
        <f t="shared" si="127"/>
        <v>0</v>
      </c>
      <c r="DK120" s="5" t="str">
        <f t="shared" si="128"/>
        <v>OK</v>
      </c>
      <c r="EB120" s="18"/>
      <c r="EC120" s="77"/>
      <c r="ED120" s="77"/>
      <c r="EE120" s="18"/>
      <c r="EF120" s="18"/>
      <c r="EG120" s="18"/>
      <c r="EH120" s="5"/>
      <c r="EI120" s="5"/>
      <c r="EJ120" s="5"/>
      <c r="EK120" s="5"/>
      <c r="EL120" s="5"/>
      <c r="FE120" s="26"/>
      <c r="FF120" s="26"/>
      <c r="FG120" s="26"/>
      <c r="FH120" s="26"/>
      <c r="FI120" s="26"/>
      <c r="FJ120" s="26"/>
      <c r="FK120" s="26"/>
      <c r="FL120" s="26"/>
      <c r="FM120" s="26"/>
      <c r="FN120" s="205"/>
      <c r="FO120" s="205"/>
      <c r="FP120" s="205"/>
      <c r="FQ120" s="205"/>
      <c r="FR120" s="205"/>
      <c r="FS120" s="205"/>
      <c r="FT120" s="205"/>
      <c r="FU120" s="77"/>
      <c r="FV120" s="77"/>
      <c r="FW120" s="77"/>
      <c r="FX120" s="205"/>
      <c r="FY120" s="205"/>
      <c r="FZ120" s="205"/>
      <c r="GA120" s="205"/>
      <c r="GB120" s="205"/>
      <c r="GC120" s="205"/>
      <c r="GD120" s="205"/>
      <c r="GE120" s="205"/>
      <c r="GF120" s="205"/>
      <c r="GG120" s="205"/>
      <c r="GH120" s="205"/>
      <c r="GI120" s="205"/>
      <c r="GJ120" s="205"/>
      <c r="GK120" s="205"/>
      <c r="GL120" s="205"/>
      <c r="GM120" s="205"/>
      <c r="GN120" s="205"/>
      <c r="GO120" s="205"/>
      <c r="GP120" s="205"/>
      <c r="GQ120" s="205"/>
      <c r="GR120" s="205"/>
      <c r="GS120" s="205"/>
      <c r="GT120" s="205"/>
      <c r="GU120" s="205"/>
      <c r="GV120" s="18"/>
      <c r="GW120" s="5"/>
      <c r="GX120" s="5"/>
      <c r="GY120" s="77"/>
      <c r="GZ120" s="18"/>
      <c r="HA120" s="18"/>
      <c r="HB120" s="18"/>
      <c r="HC120" s="18"/>
      <c r="HD120" s="18"/>
      <c r="HE120" s="18"/>
      <c r="HF120" s="18"/>
      <c r="HG120" s="18"/>
      <c r="HH120" s="205"/>
      <c r="HI120" s="26"/>
      <c r="HJ120" s="26"/>
      <c r="HK120" s="5"/>
    </row>
    <row r="121" spans="2:219" ht="15">
      <c r="B121" s="346" t="s">
        <v>202</v>
      </c>
      <c r="C121" s="346"/>
      <c r="D121" s="346"/>
      <c r="E121" s="346"/>
      <c r="F121" s="346"/>
      <c r="G121" s="77">
        <f>(G119*D119)/(G120*D120)</f>
        <v>1.0818749999999999</v>
      </c>
      <c r="H121" s="2"/>
      <c r="I121" s="105" t="s">
        <v>208</v>
      </c>
      <c r="J121" s="109"/>
      <c r="K121" s="6">
        <v>8</v>
      </c>
      <c r="L121" s="346" t="s">
        <v>206</v>
      </c>
      <c r="M121" s="346"/>
      <c r="N121" s="54">
        <f>(N118*K120)/(N117*K121)</f>
        <v>1.0818749999999999</v>
      </c>
      <c r="AA121" s="18" t="s">
        <v>488</v>
      </c>
      <c r="AB121" s="22" t="s">
        <v>490</v>
      </c>
      <c r="AC121" s="59">
        <v>7.2811904761904795</v>
      </c>
      <c r="AD121" s="59">
        <v>8.6549999999999994</v>
      </c>
      <c r="AE121" s="22">
        <v>528</v>
      </c>
      <c r="AF121" s="22">
        <v>1528</v>
      </c>
      <c r="AG121" s="22">
        <v>1369.2698412698419</v>
      </c>
      <c r="AH121" s="6">
        <v>10</v>
      </c>
      <c r="AI121" s="6">
        <v>300</v>
      </c>
      <c r="AJ121" s="6">
        <v>14</v>
      </c>
      <c r="AK121" s="24">
        <v>300</v>
      </c>
      <c r="AL121" s="24">
        <v>14</v>
      </c>
      <c r="AM121" s="5">
        <f t="shared" si="73"/>
        <v>1341.2698412698419</v>
      </c>
      <c r="AN121" s="26">
        <f t="shared" si="74"/>
        <v>218.12698412698418</v>
      </c>
      <c r="AO121" s="26">
        <f t="shared" si="75"/>
        <v>586811.79072745051</v>
      </c>
      <c r="AP121" s="15">
        <f t="shared" si="76"/>
        <v>6311.1772486772488</v>
      </c>
      <c r="AQ121" s="5">
        <f t="shared" si="77"/>
        <v>8571.1635945074104</v>
      </c>
      <c r="AR121" s="26">
        <f t="shared" si="78"/>
        <v>420.74514991181661</v>
      </c>
      <c r="AS121" s="26">
        <f t="shared" si="79"/>
        <v>5094.8226505417015</v>
      </c>
      <c r="AT121" s="26">
        <f t="shared" si="80"/>
        <v>51.867428670398397</v>
      </c>
      <c r="AU121" s="26">
        <f t="shared" si="81"/>
        <v>5.3789869588463937</v>
      </c>
      <c r="AV121" s="95">
        <f t="shared" si="82"/>
        <v>1.0005566137566139E-6</v>
      </c>
      <c r="AW121" s="95">
        <f t="shared" si="83"/>
        <v>28928912.396825422</v>
      </c>
      <c r="AX121" s="95">
        <f t="shared" si="84"/>
        <v>2.8928912396825422E-5</v>
      </c>
      <c r="AY121" s="54">
        <f t="shared" si="85"/>
        <v>0.11516876660535029</v>
      </c>
      <c r="AZ121" s="54" t="str">
        <f>_xll.Dce_Name_SectI(AE121,AF121,AI121,AH121,AJ121,"x","-",$O$11)</f>
        <v>(528-1528)x300x10x14</v>
      </c>
      <c r="BA121" s="15">
        <f t="shared" si="86"/>
        <v>1016.4523809523813</v>
      </c>
      <c r="BB121" s="54"/>
      <c r="BC121" s="54"/>
      <c r="BD121" s="22" t="s">
        <v>500</v>
      </c>
      <c r="BE121" s="23">
        <v>58.733900409390856</v>
      </c>
      <c r="BF121" s="23">
        <v>70.762080031239407</v>
      </c>
      <c r="BG121" s="23">
        <v>-1.9939515783979588E-3</v>
      </c>
      <c r="BH121" s="23">
        <v>2.7849735482374334E-5</v>
      </c>
      <c r="BI121" s="23">
        <v>1.4554444634513098E-2</v>
      </c>
      <c r="BJ121" s="23">
        <v>-627.75807996938852</v>
      </c>
      <c r="BK121" s="23">
        <v>-313.87903998469426</v>
      </c>
      <c r="BL121" s="92">
        <v>2.25</v>
      </c>
      <c r="BM121" s="91">
        <v>2</v>
      </c>
      <c r="BN121" s="5">
        <f t="shared" si="87"/>
        <v>19.473749999999999</v>
      </c>
      <c r="BO121" s="54">
        <f>_xll.Bimoment(BH121,AY121,AC121,AD121,$O$101)</f>
        <v>-1.2740336096374007E-4</v>
      </c>
      <c r="BP121" s="5">
        <f t="shared" si="88"/>
        <v>0.31313609467455605</v>
      </c>
      <c r="BQ121" s="5">
        <f t="shared" si="89"/>
        <v>32.983777445555049</v>
      </c>
      <c r="BR121" s="24" t="str">
        <f t="shared" si="90"/>
        <v>Cal</v>
      </c>
      <c r="BS121" s="25">
        <f t="shared" si="91"/>
        <v>1.1780331320286969E-2</v>
      </c>
      <c r="BT121" s="25" t="str">
        <f t="shared" si="92"/>
        <v>CT.105</v>
      </c>
      <c r="BU121" s="25">
        <f t="shared" si="93"/>
        <v>1</v>
      </c>
      <c r="BV121" s="25" cm="1">
        <f t="array" ref="BV121">IF(BT121="CT.104",_xll.TCVN5575AnnexEHeSoCx(1,BP121),1)</f>
        <v>1</v>
      </c>
      <c r="BW121" s="25">
        <f t="shared" si="94"/>
        <v>1</v>
      </c>
      <c r="BX121" s="25">
        <f t="shared" si="95"/>
        <v>1.2400348758196809E-2</v>
      </c>
      <c r="BY121" s="25">
        <f t="shared" si="96"/>
        <v>0.33729272879663313</v>
      </c>
      <c r="BZ121" s="25">
        <f t="shared" si="97"/>
        <v>1.5930557410582158E-4</v>
      </c>
      <c r="CA121" s="25">
        <f t="shared" si="98"/>
        <v>2.0615328913762026E-6</v>
      </c>
      <c r="CB121" s="25">
        <f t="shared" si="99"/>
        <v>0.34985444466182714</v>
      </c>
      <c r="CC121" s="5" t="str">
        <f t="shared" si="100"/>
        <v>OK</v>
      </c>
      <c r="CD121" s="5">
        <f t="shared" si="101"/>
        <v>37.545238889226049</v>
      </c>
      <c r="CE121" s="5">
        <f t="shared" si="102"/>
        <v>37.181722419139881</v>
      </c>
      <c r="CF121" s="5">
        <f t="shared" si="103"/>
        <v>1.2506397644909562</v>
      </c>
      <c r="CG121" s="5">
        <f t="shared" si="104"/>
        <v>1.2385309547993069</v>
      </c>
      <c r="CH121" s="5">
        <f t="shared" si="105"/>
        <v>27.20026149052282</v>
      </c>
      <c r="CI121" s="68">
        <f>_xll.DCETCVN5575PhuLucD2Eta(BP121,CH121,CF121)</f>
        <v>1.2126272189349112</v>
      </c>
      <c r="CJ121" s="5">
        <f t="shared" si="106"/>
        <v>32.983777445555049</v>
      </c>
      <c r="CK121" s="5">
        <f>MIN(noisuy2chieu(CJ121,CF121,Data!$DA$2:$EB$24),1)</f>
        <v>7.1994885802268982E-2</v>
      </c>
      <c r="CL121" s="102" t="str">
        <f t="shared" si="107"/>
        <v>-</v>
      </c>
      <c r="CM121" s="5" t="str">
        <f t="shared" si="108"/>
        <v>OK</v>
      </c>
      <c r="CN121" s="5">
        <f t="shared" si="109"/>
        <v>0.86643683692746631</v>
      </c>
      <c r="CO121" s="5">
        <f t="shared" si="110"/>
        <v>0.5370345235716667</v>
      </c>
      <c r="CP121" s="25">
        <f>_xll.DCETCVNPhuLucFHeSoOnDinh(1, 0.2, AG121, AH121, AI121, AJ121, AI121, AJ121, $D$28)</f>
        <v>1</v>
      </c>
      <c r="CQ121" s="68">
        <f t="shared" si="111"/>
        <v>0.9</v>
      </c>
      <c r="CR121" s="68">
        <f t="shared" si="112"/>
        <v>1</v>
      </c>
      <c r="CS121" s="5">
        <f t="shared" si="113"/>
        <v>0.18181818181818182</v>
      </c>
      <c r="CT121" s="5">
        <f t="shared" si="114"/>
        <v>0.10347287704587492</v>
      </c>
      <c r="CU121" s="26">
        <f t="shared" si="115"/>
        <v>13.60013074526141</v>
      </c>
      <c r="CV121" s="5"/>
      <c r="CW121" s="25"/>
      <c r="CX121" s="72">
        <f>MAX(_xll.Dce_c_925(CU121, CQ121, CR121, CN121, CP121, CS121, CT121),0.3)</f>
        <v>0.3</v>
      </c>
      <c r="CY121" s="102" t="str">
        <f t="shared" si="116"/>
        <v>-</v>
      </c>
      <c r="CZ121" s="5" t="str">
        <f t="shared" si="117"/>
        <v>OK</v>
      </c>
      <c r="DA121" s="47">
        <f t="shared" si="118"/>
        <v>0.34499859601035404</v>
      </c>
      <c r="DB121" s="46">
        <f t="shared" si="119"/>
        <v>0.88308432574774032</v>
      </c>
      <c r="DC121" s="5" t="str">
        <f t="shared" si="120"/>
        <v>OK</v>
      </c>
      <c r="DD121" s="5">
        <f t="shared" si="121"/>
        <v>1.2506397644909562</v>
      </c>
      <c r="DE121" s="5">
        <f t="shared" si="122"/>
        <v>4.4677979100191463</v>
      </c>
      <c r="DF121" s="5">
        <f t="shared" si="123"/>
        <v>3.2</v>
      </c>
      <c r="DG121" s="5" t="str">
        <f t="shared" si="124"/>
        <v>Gia cường</v>
      </c>
      <c r="DH121" s="203">
        <f t="shared" si="125"/>
        <v>37.545238889226049</v>
      </c>
      <c r="DI121" s="203" t="str">
        <f t="shared" si="126"/>
        <v>-</v>
      </c>
      <c r="DJ121" s="46">
        <f t="shared" si="127"/>
        <v>0</v>
      </c>
      <c r="DK121" s="5" t="str">
        <f t="shared" si="128"/>
        <v>OK</v>
      </c>
      <c r="EB121" s="18"/>
      <c r="EC121" s="77"/>
      <c r="ED121" s="77"/>
      <c r="EE121" s="18"/>
      <c r="EF121" s="18"/>
      <c r="EG121" s="18"/>
      <c r="EH121" s="5"/>
      <c r="EI121" s="5"/>
      <c r="EJ121" s="5"/>
      <c r="EK121" s="5"/>
      <c r="EL121" s="5"/>
      <c r="FE121" s="26"/>
      <c r="FF121" s="26"/>
      <c r="FG121" s="26"/>
      <c r="FH121" s="26"/>
      <c r="FI121" s="26"/>
      <c r="FJ121" s="26"/>
      <c r="FK121" s="26"/>
      <c r="FL121" s="26"/>
      <c r="FM121" s="26"/>
      <c r="FN121" s="205"/>
      <c r="FO121" s="205"/>
      <c r="FP121" s="205"/>
      <c r="FQ121" s="205"/>
      <c r="FR121" s="205"/>
      <c r="FS121" s="205"/>
      <c r="FT121" s="205"/>
      <c r="FU121" s="77"/>
      <c r="FV121" s="77"/>
      <c r="FW121" s="77"/>
      <c r="FX121" s="205"/>
      <c r="FY121" s="205"/>
      <c r="FZ121" s="205"/>
      <c r="GA121" s="205"/>
      <c r="GB121" s="205"/>
      <c r="GC121" s="205"/>
      <c r="GD121" s="205"/>
      <c r="GE121" s="205"/>
      <c r="GF121" s="205"/>
      <c r="GG121" s="205"/>
      <c r="GH121" s="205"/>
      <c r="GI121" s="205"/>
      <c r="GJ121" s="205"/>
      <c r="GK121" s="205"/>
      <c r="GL121" s="205"/>
      <c r="GM121" s="205"/>
      <c r="GN121" s="205"/>
      <c r="GO121" s="205"/>
      <c r="GP121" s="205"/>
      <c r="GQ121" s="205"/>
      <c r="GR121" s="205"/>
      <c r="GS121" s="205"/>
      <c r="GT121" s="205"/>
      <c r="GU121" s="205"/>
      <c r="GV121" s="18"/>
      <c r="GW121" s="5"/>
      <c r="GX121" s="5"/>
      <c r="GY121" s="77"/>
      <c r="GZ121" s="18"/>
      <c r="HA121" s="18"/>
      <c r="HB121" s="18"/>
      <c r="HC121" s="18"/>
      <c r="HD121" s="18"/>
      <c r="HE121" s="18"/>
      <c r="HF121" s="18"/>
      <c r="HG121" s="18"/>
      <c r="HH121" s="205"/>
      <c r="HI121" s="26"/>
      <c r="HJ121" s="26"/>
      <c r="HK121" s="5"/>
    </row>
    <row r="122" spans="2:219" ht="15">
      <c r="B122" s="346" t="s">
        <v>203</v>
      </c>
      <c r="C122" s="346"/>
      <c r="D122" s="346"/>
      <c r="E122" s="346"/>
      <c r="F122" s="346"/>
      <c r="G122" s="107">
        <f>2*SQRT(1+0.38/G121)</f>
        <v>2.3248587540878036</v>
      </c>
      <c r="H122" s="2"/>
      <c r="I122" s="105" t="s">
        <v>209</v>
      </c>
      <c r="J122" s="109"/>
      <c r="K122" s="6">
        <v>8</v>
      </c>
      <c r="L122" s="346" t="s">
        <v>207</v>
      </c>
      <c r="M122" s="346"/>
      <c r="N122" s="54">
        <f>(N119*K120)/(N117*K122)</f>
        <v>1.0818749999999999</v>
      </c>
      <c r="AA122" s="18" t="s">
        <v>488</v>
      </c>
      <c r="AB122" s="22" t="s">
        <v>490</v>
      </c>
      <c r="AC122" s="59">
        <v>0</v>
      </c>
      <c r="AD122" s="59">
        <v>8.6549999999999994</v>
      </c>
      <c r="AE122" s="22">
        <v>528</v>
      </c>
      <c r="AF122" s="22">
        <v>1528</v>
      </c>
      <c r="AG122" s="22">
        <v>528</v>
      </c>
      <c r="AH122" s="6">
        <v>10</v>
      </c>
      <c r="AI122" s="6">
        <v>300</v>
      </c>
      <c r="AJ122" s="6">
        <v>14</v>
      </c>
      <c r="AK122" s="24">
        <v>300</v>
      </c>
      <c r="AL122" s="24">
        <v>14</v>
      </c>
      <c r="AM122" s="5">
        <f t="shared" si="73"/>
        <v>500</v>
      </c>
      <c r="AN122" s="26">
        <f t="shared" si="74"/>
        <v>134</v>
      </c>
      <c r="AO122" s="26">
        <f t="shared" si="75"/>
        <v>65911.546666666676</v>
      </c>
      <c r="AP122" s="15">
        <f t="shared" si="76"/>
        <v>6304.166666666667</v>
      </c>
      <c r="AQ122" s="5">
        <f t="shared" si="77"/>
        <v>2496.6494949494954</v>
      </c>
      <c r="AR122" s="26">
        <f t="shared" si="78"/>
        <v>420.27777777777777</v>
      </c>
      <c r="AS122" s="26">
        <f t="shared" si="79"/>
        <v>1391.9</v>
      </c>
      <c r="AT122" s="26">
        <f t="shared" si="80"/>
        <v>22.178305028345793</v>
      </c>
      <c r="AU122" s="26">
        <f t="shared" si="81"/>
        <v>6.8590101254115021</v>
      </c>
      <c r="AV122" s="95">
        <f t="shared" si="82"/>
        <v>7.201333333333334E-7</v>
      </c>
      <c r="AW122" s="95">
        <f t="shared" si="83"/>
        <v>4161087</v>
      </c>
      <c r="AX122" s="95">
        <f t="shared" si="84"/>
        <v>4.1610870000000001E-6</v>
      </c>
      <c r="AY122" s="54">
        <f t="shared" si="85"/>
        <v>0.25762202780669918</v>
      </c>
      <c r="AZ122" s="54" t="str">
        <f>_xll.Dce_Name_SectI(AE122,AF122,AI122,AH122,AJ122,"x","-",$O$11)</f>
        <v>(528-1528)x300x10x14</v>
      </c>
      <c r="BA122" s="15">
        <f t="shared" si="86"/>
        <v>385.5</v>
      </c>
      <c r="BB122" s="54"/>
      <c r="BC122" s="54"/>
      <c r="BD122" s="22" t="s">
        <v>501</v>
      </c>
      <c r="BE122" s="23">
        <v>-203.13249722153967</v>
      </c>
      <c r="BF122" s="23">
        <v>-118.14583052641991</v>
      </c>
      <c r="BG122" s="23">
        <v>4.1218688804645163E-4</v>
      </c>
      <c r="BH122" s="23">
        <v>-5.7570584590806287E-6</v>
      </c>
      <c r="BI122" s="23">
        <v>-3.9533771850480683E-7</v>
      </c>
      <c r="BJ122" s="23">
        <v>-2.7238570438142236</v>
      </c>
      <c r="BK122" s="23">
        <v>528.98968548607354</v>
      </c>
      <c r="BL122" s="92">
        <v>2.25</v>
      </c>
      <c r="BM122" s="91">
        <v>2</v>
      </c>
      <c r="BN122" s="5">
        <f t="shared" si="87"/>
        <v>19.473749999999999</v>
      </c>
      <c r="BO122" s="54">
        <f>_xll.Bimoment(BH122,AY122,AC122,AD122,$O$101)</f>
        <v>0</v>
      </c>
      <c r="BP122" s="5">
        <f t="shared" si="88"/>
        <v>0.84</v>
      </c>
      <c r="BQ122" s="5">
        <f t="shared" si="89"/>
        <v>0.10916093050352622</v>
      </c>
      <c r="BR122" s="24" t="str">
        <f t="shared" si="90"/>
        <v>Cal</v>
      </c>
      <c r="BS122" s="25">
        <f t="shared" si="91"/>
        <v>6.6321244428674334E-2</v>
      </c>
      <c r="BT122" s="25" t="str">
        <f t="shared" si="92"/>
        <v>CT.105</v>
      </c>
      <c r="BU122" s="25">
        <f t="shared" si="93"/>
        <v>1</v>
      </c>
      <c r="BV122" s="25" cm="1">
        <f t="array" ref="BV122">IF(BT122="CT.104",_xll.TCVN5575AnnexEHeSoCx(1,BP122),1)</f>
        <v>1</v>
      </c>
      <c r="BW122" s="25">
        <f t="shared" si="94"/>
        <v>1</v>
      </c>
      <c r="BX122" s="25">
        <f t="shared" si="95"/>
        <v>6.9811836240709829E-2</v>
      </c>
      <c r="BY122" s="25">
        <f t="shared" si="96"/>
        <v>5.024365060704473E-3</v>
      </c>
      <c r="BZ122" s="25">
        <f t="shared" si="97"/>
        <v>4.3319783396185393E-9</v>
      </c>
      <c r="CA122" s="25">
        <f t="shared" si="98"/>
        <v>0</v>
      </c>
      <c r="CB122" s="25">
        <f t="shared" si="99"/>
        <v>7.4836205633392647E-2</v>
      </c>
      <c r="CC122" s="5" t="str">
        <f t="shared" si="100"/>
        <v>OK</v>
      </c>
      <c r="CD122" s="5">
        <f t="shared" si="101"/>
        <v>87.805402509844015</v>
      </c>
      <c r="CE122" s="5">
        <f t="shared" si="102"/>
        <v>29.158726455153193</v>
      </c>
      <c r="CF122" s="5">
        <f t="shared" si="103"/>
        <v>2.9248163326364334</v>
      </c>
      <c r="CG122" s="5">
        <f t="shared" si="104"/>
        <v>0.97128328026682387</v>
      </c>
      <c r="CH122" s="5">
        <f t="shared" si="105"/>
        <v>7.1970103226916451E-2</v>
      </c>
      <c r="CI122" s="68">
        <f>_xll.DCETCVN5575PhuLucD2Eta(BP122,CH122,CF122)</f>
        <v>1.5167538409574017</v>
      </c>
      <c r="CJ122" s="5">
        <f t="shared" si="106"/>
        <v>0.10916093050352622</v>
      </c>
      <c r="CK122" s="5">
        <f>MIN(noisuy2chieu(CJ122,CF122,Data!$DA$2:$EB$24),1)</f>
        <v>0.67400246858596802</v>
      </c>
      <c r="CL122" s="102">
        <f t="shared" si="107"/>
        <v>0.10357801268469009</v>
      </c>
      <c r="CM122" s="5" t="str">
        <f t="shared" si="108"/>
        <v>OK</v>
      </c>
      <c r="CN122" s="5">
        <f t="shared" si="109"/>
        <v>0.90492218941026858</v>
      </c>
      <c r="CO122" s="5">
        <f t="shared" si="110"/>
        <v>0.5370345235716667</v>
      </c>
      <c r="CP122" s="25">
        <f>_xll.DCETCVNPhuLucFHeSoOnDinh(1, 0.2, AG122, AH122, AI122, AJ122, AI122, AJ122, $D$28)</f>
        <v>1</v>
      </c>
      <c r="CQ122" s="68">
        <f t="shared" si="111"/>
        <v>0.9</v>
      </c>
      <c r="CR122" s="68">
        <f t="shared" si="112"/>
        <v>1</v>
      </c>
      <c r="CS122" s="5">
        <f t="shared" si="113"/>
        <v>0.18181818181818182</v>
      </c>
      <c r="CT122" s="5">
        <f t="shared" si="114"/>
        <v>9.9510191986788829E-2</v>
      </c>
      <c r="CU122" s="26">
        <f t="shared" si="115"/>
        <v>13.977033911109833</v>
      </c>
      <c r="CV122" s="5"/>
      <c r="CW122" s="25"/>
      <c r="CX122" s="72">
        <f>MAX(_xll.Dce_c_925(CU122, CQ122, CR122, CN122, CP122, CS122, CT122),0.3)</f>
        <v>0.3</v>
      </c>
      <c r="CY122" s="102">
        <f t="shared" si="116"/>
        <v>0.25715594503657718</v>
      </c>
      <c r="CZ122" s="5" t="str">
        <f t="shared" si="117"/>
        <v>OK</v>
      </c>
      <c r="DA122" s="47">
        <f t="shared" si="118"/>
        <v>0.34499859601035404</v>
      </c>
      <c r="DB122" s="46">
        <f t="shared" si="119"/>
        <v>0.45712832802668235</v>
      </c>
      <c r="DC122" s="5" t="str">
        <f t="shared" si="120"/>
        <v>OK</v>
      </c>
      <c r="DD122" s="5">
        <f t="shared" si="121"/>
        <v>2.9248163326364334</v>
      </c>
      <c r="DE122" s="5">
        <f t="shared" si="122"/>
        <v>1.6655104634982609</v>
      </c>
      <c r="DF122" s="5" t="str">
        <f t="shared" si="123"/>
        <v>-</v>
      </c>
      <c r="DG122" s="5" t="str">
        <f t="shared" si="124"/>
        <v>-</v>
      </c>
      <c r="DH122" s="203" t="str">
        <f t="shared" si="125"/>
        <v>-</v>
      </c>
      <c r="DI122" s="203">
        <f t="shared" si="126"/>
        <v>180</v>
      </c>
      <c r="DJ122" s="46">
        <f t="shared" si="127"/>
        <v>0</v>
      </c>
      <c r="DK122" s="5" t="str">
        <f t="shared" si="128"/>
        <v>OK</v>
      </c>
      <c r="EB122" s="18"/>
      <c r="EC122" s="77"/>
      <c r="ED122" s="77"/>
      <c r="EE122" s="18"/>
      <c r="EF122" s="18"/>
      <c r="EG122" s="18"/>
      <c r="EH122" s="5"/>
      <c r="EI122" s="5"/>
      <c r="EJ122" s="5"/>
      <c r="EK122" s="5"/>
      <c r="EL122" s="5"/>
      <c r="FE122" s="26"/>
      <c r="FF122" s="26"/>
      <c r="FG122" s="26"/>
      <c r="FH122" s="26"/>
      <c r="FI122" s="26"/>
      <c r="FJ122" s="26"/>
      <c r="FK122" s="26"/>
      <c r="FL122" s="26"/>
      <c r="FM122" s="26"/>
      <c r="FN122" s="205"/>
      <c r="FO122" s="205"/>
      <c r="FP122" s="205"/>
      <c r="FQ122" s="205"/>
      <c r="FR122" s="205"/>
      <c r="FS122" s="205"/>
      <c r="FT122" s="205"/>
      <c r="FU122" s="77"/>
      <c r="FV122" s="77"/>
      <c r="FW122" s="77"/>
      <c r="FX122" s="205"/>
      <c r="FY122" s="205"/>
      <c r="FZ122" s="205"/>
      <c r="GA122" s="205"/>
      <c r="GB122" s="205"/>
      <c r="GC122" s="205"/>
      <c r="GD122" s="205"/>
      <c r="GE122" s="205"/>
      <c r="GF122" s="205"/>
      <c r="GG122" s="205"/>
      <c r="GH122" s="205"/>
      <c r="GI122" s="205"/>
      <c r="GJ122" s="205"/>
      <c r="GK122" s="205"/>
      <c r="GL122" s="205"/>
      <c r="GM122" s="205"/>
      <c r="GN122" s="205"/>
      <c r="GO122" s="205"/>
      <c r="GP122" s="205"/>
      <c r="GQ122" s="205"/>
      <c r="GR122" s="205"/>
      <c r="GS122" s="205"/>
      <c r="GT122" s="205"/>
      <c r="GU122" s="205"/>
      <c r="GV122" s="18"/>
      <c r="GW122" s="5"/>
      <c r="GX122" s="5"/>
      <c r="GY122" s="77"/>
      <c r="GZ122" s="18"/>
      <c r="HA122" s="18"/>
      <c r="HB122" s="18"/>
      <c r="HC122" s="18"/>
      <c r="HD122" s="18"/>
      <c r="HE122" s="18"/>
      <c r="HF122" s="18"/>
      <c r="HG122" s="18"/>
      <c r="HH122" s="205"/>
      <c r="HI122" s="26"/>
      <c r="HJ122" s="26"/>
      <c r="HK122" s="5"/>
    </row>
    <row r="123" spans="2:219" ht="14.4">
      <c r="B123" s="346" t="s">
        <v>204</v>
      </c>
      <c r="C123" s="346"/>
      <c r="D123" s="346"/>
      <c r="E123" s="346"/>
      <c r="F123" s="346"/>
      <c r="G123" s="107">
        <f>SQRT((G121+0.56)/(G121+0.14))</f>
        <v>1.1591954172378653</v>
      </c>
      <c r="H123" s="2"/>
      <c r="I123" s="110" t="s">
        <v>210</v>
      </c>
      <c r="J123" s="111"/>
      <c r="K123" s="6">
        <v>2</v>
      </c>
      <c r="L123" s="355" t="s">
        <v>202</v>
      </c>
      <c r="M123" s="356"/>
      <c r="N123" s="54">
        <f>K123*(N121+N122)/(K123+1)</f>
        <v>1.4424999999999999</v>
      </c>
      <c r="AA123" s="18" t="s">
        <v>488</v>
      </c>
      <c r="AB123" s="22" t="s">
        <v>490</v>
      </c>
      <c r="AC123" s="59">
        <v>3.6405952380952398</v>
      </c>
      <c r="AD123" s="59">
        <v>8.6549999999999994</v>
      </c>
      <c r="AE123" s="22">
        <v>528</v>
      </c>
      <c r="AF123" s="22">
        <v>1528</v>
      </c>
      <c r="AG123" s="22">
        <v>948.63492063492095</v>
      </c>
      <c r="AH123" s="6">
        <v>10</v>
      </c>
      <c r="AI123" s="6">
        <v>300</v>
      </c>
      <c r="AJ123" s="6">
        <v>14</v>
      </c>
      <c r="AK123" s="24">
        <v>300</v>
      </c>
      <c r="AL123" s="24">
        <v>14</v>
      </c>
      <c r="AM123" s="5">
        <f t="shared" si="73"/>
        <v>920.63492063492095</v>
      </c>
      <c r="AN123" s="26">
        <f t="shared" si="74"/>
        <v>176.06349206349208</v>
      </c>
      <c r="AO123" s="26">
        <f t="shared" si="75"/>
        <v>248482.7399356656</v>
      </c>
      <c r="AP123" s="15">
        <f t="shared" si="76"/>
        <v>6307.6719576719579</v>
      </c>
      <c r="AQ123" s="5">
        <f t="shared" si="77"/>
        <v>5238.7432621467533</v>
      </c>
      <c r="AR123" s="26">
        <f t="shared" si="78"/>
        <v>420.51146384479722</v>
      </c>
      <c r="AS123" s="26">
        <f t="shared" si="79"/>
        <v>3022.1941546989178</v>
      </c>
      <c r="AT123" s="26">
        <f t="shared" si="80"/>
        <v>37.567600585756203</v>
      </c>
      <c r="AU123" s="26">
        <f t="shared" si="81"/>
        <v>5.9854925384629922</v>
      </c>
      <c r="AV123" s="95">
        <f t="shared" si="82"/>
        <v>8.6034497354497351E-7</v>
      </c>
      <c r="AW123" s="95">
        <f t="shared" si="83"/>
        <v>13758293.349206358</v>
      </c>
      <c r="AX123" s="95">
        <f t="shared" si="84"/>
        <v>1.3758293349206359E-5</v>
      </c>
      <c r="AY123" s="54">
        <f t="shared" si="85"/>
        <v>0.1548581140202015</v>
      </c>
      <c r="AZ123" s="54" t="str">
        <f>_xll.Dce_Name_SectI(AE123,AF123,AI123,AH123,AJ123,"x","-",$O$11)</f>
        <v>(528-1528)x300x10x14</v>
      </c>
      <c r="BA123" s="15">
        <f t="shared" si="86"/>
        <v>700.97619047619071</v>
      </c>
      <c r="BB123" s="54"/>
      <c r="BC123" s="54"/>
      <c r="BD123" s="22" t="s">
        <v>501</v>
      </c>
      <c r="BE123" s="23">
        <v>-200.07348153497384</v>
      </c>
      <c r="BF123" s="23">
        <v>-145.31726271370249</v>
      </c>
      <c r="BG123" s="23">
        <v>4.1218688804478369E-4</v>
      </c>
      <c r="BH123" s="23">
        <v>-5.7570584590806287E-6</v>
      </c>
      <c r="BI123" s="23">
        <v>-1.5045349120824032E-3</v>
      </c>
      <c r="BJ123" s="23">
        <v>477.95461764475147</v>
      </c>
      <c r="BK123" s="23">
        <v>528.98968548607354</v>
      </c>
      <c r="BL123" s="92">
        <v>2.25</v>
      </c>
      <c r="BM123" s="91">
        <v>2</v>
      </c>
      <c r="BN123" s="5">
        <f t="shared" si="87"/>
        <v>19.473749999999999</v>
      </c>
      <c r="BO123" s="54">
        <f>_xll.Bimoment(BH123,AY123,AC123,AD123,$O$101)</f>
        <v>4.4275617725713922E-5</v>
      </c>
      <c r="BP123" s="5">
        <f t="shared" si="88"/>
        <v>0.45620689655172403</v>
      </c>
      <c r="BQ123" s="5">
        <f t="shared" si="89"/>
        <v>9.9654192348144637</v>
      </c>
      <c r="BR123" s="24" t="str">
        <f t="shared" si="90"/>
        <v>Cal</v>
      </c>
      <c r="BS123" s="25">
        <f t="shared" si="91"/>
        <v>4.9716239945976522E-2</v>
      </c>
      <c r="BT123" s="25" t="str">
        <f t="shared" si="92"/>
        <v>CT.105</v>
      </c>
      <c r="BU123" s="25">
        <f t="shared" si="93"/>
        <v>1</v>
      </c>
      <c r="BV123" s="25" cm="1">
        <f t="array" ref="BV123">IF(BT123="CT.104",_xll.TCVN5575AnnexEHeSoCx(1,BP123),1)</f>
        <v>1</v>
      </c>
      <c r="BW123" s="25">
        <f t="shared" si="94"/>
        <v>1</v>
      </c>
      <c r="BX123" s="25">
        <f t="shared" si="95"/>
        <v>5.2332884153659498E-2</v>
      </c>
      <c r="BY123" s="25">
        <f t="shared" si="96"/>
        <v>0.42015931715711946</v>
      </c>
      <c r="BZ123" s="25">
        <f t="shared" si="97"/>
        <v>1.6477028086294383E-5</v>
      </c>
      <c r="CA123" s="25">
        <f t="shared" si="98"/>
        <v>1.0388618139937236E-6</v>
      </c>
      <c r="CB123" s="25">
        <f t="shared" si="99"/>
        <v>0.47250971720067925</v>
      </c>
      <c r="CC123" s="5" t="str">
        <f t="shared" si="100"/>
        <v>OK</v>
      </c>
      <c r="CD123" s="5">
        <f t="shared" si="101"/>
        <v>51.836555160202302</v>
      </c>
      <c r="CE123" s="5">
        <f t="shared" si="102"/>
        <v>33.414125690541383</v>
      </c>
      <c r="CF123" s="5">
        <f t="shared" si="103"/>
        <v>1.7266865002204341</v>
      </c>
      <c r="CG123" s="5">
        <f t="shared" si="104"/>
        <v>1.1130315193248546</v>
      </c>
      <c r="CH123" s="5">
        <f t="shared" si="105"/>
        <v>8.0285908936998407</v>
      </c>
      <c r="CI123" s="68">
        <f>_xll.DCETCVN5575PhuLucD2Eta(BP123,CH123,CF123)</f>
        <v>1.2412413793103447</v>
      </c>
      <c r="CJ123" s="5">
        <f t="shared" si="106"/>
        <v>9.9654192348144637</v>
      </c>
      <c r="CK123" s="5">
        <f>MIN(noisuy2chieu(CJ123,CF123,Data!$DA$2:$EB$24),1)</f>
        <v>0.13038811087608337</v>
      </c>
      <c r="CL123" s="102">
        <f t="shared" si="107"/>
        <v>0.40136239264479395</v>
      </c>
      <c r="CM123" s="5" t="str">
        <f t="shared" si="108"/>
        <v>OK</v>
      </c>
      <c r="CN123" s="5">
        <f t="shared" si="109"/>
        <v>0.88472625978979058</v>
      </c>
      <c r="CO123" s="5">
        <f t="shared" si="110"/>
        <v>0.5370345235716667</v>
      </c>
      <c r="CP123" s="25">
        <f>_xll.DCETCVNPhuLucFHeSoOnDinh(1, 0.2, AG123, AH123, AI123, AJ123, AI123, AJ123, $D$28)</f>
        <v>1</v>
      </c>
      <c r="CQ123" s="68">
        <f t="shared" si="111"/>
        <v>0.9</v>
      </c>
      <c r="CR123" s="68">
        <f t="shared" si="112"/>
        <v>1</v>
      </c>
      <c r="CS123" s="5">
        <f t="shared" si="113"/>
        <v>0.18181818181818182</v>
      </c>
      <c r="CT123" s="5">
        <f t="shared" si="114"/>
        <v>0.10155106457844131</v>
      </c>
      <c r="CU123" s="26">
        <f t="shared" si="115"/>
        <v>8.8858682706803016</v>
      </c>
      <c r="CV123" s="5"/>
      <c r="CW123" s="25"/>
      <c r="CX123" s="72">
        <f>MAX(_xll.Dce_c_925(CU123, CQ123, CR123, CN123, CP123, CS123, CT123),0.3)</f>
        <v>0.3</v>
      </c>
      <c r="CY123" s="102">
        <f t="shared" si="116"/>
        <v>0.19717166213684259</v>
      </c>
      <c r="CZ123" s="5" t="str">
        <f t="shared" si="117"/>
        <v>OK</v>
      </c>
      <c r="DA123" s="47">
        <f t="shared" si="118"/>
        <v>0.34499859601035404</v>
      </c>
      <c r="DB123" s="46">
        <f t="shared" si="119"/>
        <v>0.47130315193248545</v>
      </c>
      <c r="DC123" s="5" t="str">
        <f t="shared" si="120"/>
        <v>OK</v>
      </c>
      <c r="DD123" s="5">
        <f t="shared" si="121"/>
        <v>1.7266865002204341</v>
      </c>
      <c r="DE123" s="5">
        <f t="shared" si="122"/>
        <v>3.0666541867587034</v>
      </c>
      <c r="DF123" s="5">
        <f t="shared" si="123"/>
        <v>1.7472169405065237</v>
      </c>
      <c r="DG123" s="5" t="str">
        <f t="shared" si="124"/>
        <v>Gia cường</v>
      </c>
      <c r="DH123" s="203">
        <f t="shared" si="125"/>
        <v>51.836555160202302</v>
      </c>
      <c r="DI123" s="203">
        <f t="shared" si="126"/>
        <v>180</v>
      </c>
      <c r="DJ123" s="46">
        <f t="shared" si="127"/>
        <v>0.28798086200112388</v>
      </c>
      <c r="DK123" s="5" t="str">
        <f t="shared" si="128"/>
        <v>OK</v>
      </c>
      <c r="EB123" s="18"/>
      <c r="EC123" s="77"/>
      <c r="ED123" s="77"/>
      <c r="EE123" s="18"/>
      <c r="EF123" s="18"/>
      <c r="EG123" s="18"/>
      <c r="EH123" s="5"/>
      <c r="EI123" s="5"/>
      <c r="EJ123" s="5"/>
      <c r="EK123" s="5"/>
      <c r="EL123" s="5"/>
      <c r="FE123" s="26"/>
      <c r="FF123" s="26"/>
      <c r="FG123" s="26"/>
      <c r="FH123" s="26"/>
      <c r="FI123" s="26"/>
      <c r="FJ123" s="26"/>
      <c r="FK123" s="26"/>
      <c r="FL123" s="26"/>
      <c r="FM123" s="26"/>
      <c r="FN123" s="205"/>
      <c r="FO123" s="205"/>
      <c r="FP123" s="205"/>
      <c r="FQ123" s="205"/>
      <c r="FR123" s="205"/>
      <c r="FS123" s="205"/>
      <c r="FT123" s="205"/>
      <c r="FU123" s="77"/>
      <c r="FV123" s="77"/>
      <c r="FW123" s="77"/>
      <c r="FX123" s="205"/>
      <c r="FY123" s="205"/>
      <c r="FZ123" s="205"/>
      <c r="GA123" s="205"/>
      <c r="GB123" s="205"/>
      <c r="GC123" s="205"/>
      <c r="GD123" s="205"/>
      <c r="GE123" s="205"/>
      <c r="GF123" s="205"/>
      <c r="GG123" s="205"/>
      <c r="GH123" s="205"/>
      <c r="GI123" s="205"/>
      <c r="GJ123" s="205"/>
      <c r="GK123" s="205"/>
      <c r="GL123" s="205"/>
      <c r="GM123" s="205"/>
      <c r="GN123" s="205"/>
      <c r="GO123" s="205"/>
      <c r="GP123" s="205"/>
      <c r="GQ123" s="205"/>
      <c r="GR123" s="205"/>
      <c r="GS123" s="205"/>
      <c r="GT123" s="205"/>
      <c r="GU123" s="205"/>
      <c r="GV123" s="18"/>
      <c r="GW123" s="5"/>
      <c r="GX123" s="5"/>
      <c r="GY123" s="77"/>
      <c r="GZ123" s="18"/>
      <c r="HA123" s="18"/>
      <c r="HB123" s="18"/>
      <c r="HC123" s="18"/>
      <c r="HD123" s="18"/>
      <c r="HE123" s="18"/>
      <c r="HF123" s="18"/>
      <c r="HG123" s="18"/>
      <c r="HH123" s="205"/>
      <c r="HI123" s="26"/>
      <c r="HJ123" s="26"/>
      <c r="HK123" s="5"/>
    </row>
    <row r="124" spans="2:219" ht="14.4">
      <c r="B124" s="2"/>
      <c r="C124" s="2"/>
      <c r="D124" s="2"/>
      <c r="E124" s="2"/>
      <c r="F124" s="2"/>
      <c r="G124" s="2"/>
      <c r="H124" s="2"/>
      <c r="I124" s="346" t="s">
        <v>203</v>
      </c>
      <c r="J124" s="346"/>
      <c r="K124" s="346"/>
      <c r="L124" s="346"/>
      <c r="M124" s="346"/>
      <c r="N124" s="112">
        <f>2*SQRT(1+0.38/N123)</f>
        <v>2.2480494144577921</v>
      </c>
      <c r="AA124" s="18" t="s">
        <v>488</v>
      </c>
      <c r="AB124" s="22" t="s">
        <v>490</v>
      </c>
      <c r="AC124" s="59">
        <v>7.2811904761904795</v>
      </c>
      <c r="AD124" s="59">
        <v>8.6549999999999994</v>
      </c>
      <c r="AE124" s="22">
        <v>528</v>
      </c>
      <c r="AF124" s="22">
        <v>1528</v>
      </c>
      <c r="AG124" s="22">
        <v>1369.2698412698419</v>
      </c>
      <c r="AH124" s="6">
        <v>10</v>
      </c>
      <c r="AI124" s="6">
        <v>300</v>
      </c>
      <c r="AJ124" s="6">
        <v>14</v>
      </c>
      <c r="AK124" s="24">
        <v>300</v>
      </c>
      <c r="AL124" s="24">
        <v>14</v>
      </c>
      <c r="AM124" s="5">
        <f t="shared" si="73"/>
        <v>1341.2698412698419</v>
      </c>
      <c r="AN124" s="26">
        <f t="shared" si="74"/>
        <v>218.12698412698418</v>
      </c>
      <c r="AO124" s="26">
        <f t="shared" si="75"/>
        <v>586811.79072745051</v>
      </c>
      <c r="AP124" s="15">
        <f t="shared" si="76"/>
        <v>6311.1772486772488</v>
      </c>
      <c r="AQ124" s="5">
        <f t="shared" si="77"/>
        <v>8571.1635945074104</v>
      </c>
      <c r="AR124" s="26">
        <f t="shared" si="78"/>
        <v>420.74514991181661</v>
      </c>
      <c r="AS124" s="26">
        <f t="shared" si="79"/>
        <v>5094.8226505417015</v>
      </c>
      <c r="AT124" s="26">
        <f t="shared" si="80"/>
        <v>51.867428670398397</v>
      </c>
      <c r="AU124" s="26">
        <f t="shared" si="81"/>
        <v>5.3789869588463937</v>
      </c>
      <c r="AV124" s="95">
        <f t="shared" si="82"/>
        <v>1.0005566137566139E-6</v>
      </c>
      <c r="AW124" s="95">
        <f t="shared" si="83"/>
        <v>28928912.396825422</v>
      </c>
      <c r="AX124" s="95">
        <f t="shared" si="84"/>
        <v>2.8928912396825422E-5</v>
      </c>
      <c r="AY124" s="54">
        <f t="shared" si="85"/>
        <v>0.11516876660535029</v>
      </c>
      <c r="AZ124" s="54" t="str">
        <f>_xll.Dce_Name_SectI(AE124,AF124,AI124,AH124,AJ124,"x","-",$O$11)</f>
        <v>(528-1528)x300x10x14</v>
      </c>
      <c r="BA124" s="15">
        <f t="shared" si="86"/>
        <v>1016.4523809523813</v>
      </c>
      <c r="BB124" s="54"/>
      <c r="BC124" s="54"/>
      <c r="BD124" s="22" t="s">
        <v>501</v>
      </c>
      <c r="BE124" s="23">
        <v>-195.47303009791563</v>
      </c>
      <c r="BF124" s="23">
        <v>-172.5945454315771</v>
      </c>
      <c r="BG124" s="23">
        <v>4.1218688804310958E-4</v>
      </c>
      <c r="BH124" s="23">
        <v>-5.7570584590806287E-6</v>
      </c>
      <c r="BI124" s="23">
        <v>-3.0086744864402026E-3</v>
      </c>
      <c r="BJ124" s="23">
        <v>1057.9793709721471</v>
      </c>
      <c r="BK124" s="23">
        <v>528.98968548607354</v>
      </c>
      <c r="BL124" s="92">
        <v>2.25</v>
      </c>
      <c r="BM124" s="91">
        <v>2</v>
      </c>
      <c r="BN124" s="5">
        <f t="shared" si="87"/>
        <v>19.473749999999999</v>
      </c>
      <c r="BO124" s="54">
        <f>_xll.Bimoment(BH124,AY124,AC124,AD124,$O$101)</f>
        <v>2.6336645007483229E-5</v>
      </c>
      <c r="BP124" s="5">
        <f t="shared" si="88"/>
        <v>0.31313609467455605</v>
      </c>
      <c r="BQ124" s="5">
        <f t="shared" si="89"/>
        <v>16.702722937741001</v>
      </c>
      <c r="BR124" s="24" t="str">
        <f t="shared" si="90"/>
        <v>Cal</v>
      </c>
      <c r="BS124" s="25">
        <f t="shared" si="91"/>
        <v>3.9206268316648224E-2</v>
      </c>
      <c r="BT124" s="25" t="str">
        <f t="shared" si="92"/>
        <v>CT.105</v>
      </c>
      <c r="BU124" s="25">
        <f t="shared" si="93"/>
        <v>1</v>
      </c>
      <c r="BV124" s="25" cm="1">
        <f t="array" ref="BV124">IF(BT124="CT.104",_xll.TCVN5575AnnexEHeSoCx(1,BP124),1)</f>
        <v>1</v>
      </c>
      <c r="BW124" s="25">
        <f t="shared" si="94"/>
        <v>1</v>
      </c>
      <c r="BX124" s="25">
        <f t="shared" si="95"/>
        <v>4.1269756122787604E-2</v>
      </c>
      <c r="BY124" s="25">
        <f t="shared" si="96"/>
        <v>0.56844947190985096</v>
      </c>
      <c r="BZ124" s="25">
        <f t="shared" si="97"/>
        <v>3.2931425993632825E-5</v>
      </c>
      <c r="CA124" s="25">
        <f t="shared" si="98"/>
        <v>4.2615720276702874E-7</v>
      </c>
      <c r="CB124" s="25">
        <f t="shared" si="99"/>
        <v>0.6097525856158349</v>
      </c>
      <c r="CC124" s="5" t="str">
        <f t="shared" si="100"/>
        <v>OK</v>
      </c>
      <c r="CD124" s="5">
        <f t="shared" si="101"/>
        <v>37.545238889226049</v>
      </c>
      <c r="CE124" s="5">
        <f t="shared" si="102"/>
        <v>37.181722419139881</v>
      </c>
      <c r="CF124" s="5">
        <f t="shared" si="103"/>
        <v>1.2506397644909562</v>
      </c>
      <c r="CG124" s="5">
        <f t="shared" si="104"/>
        <v>1.2385309547993069</v>
      </c>
      <c r="CH124" s="5">
        <f t="shared" si="105"/>
        <v>13.77399639141494</v>
      </c>
      <c r="CI124" s="68">
        <f>_xll.DCETCVN5575PhuLucD2Eta(BP124,CH124,CF124)</f>
        <v>1.2126272189349112</v>
      </c>
      <c r="CJ124" s="5">
        <f t="shared" si="106"/>
        <v>16.702722937741001</v>
      </c>
      <c r="CK124" s="5">
        <f>MIN(noisuy2chieu(CJ124,CF124,Data!$DA$2:$EB$24),1)</f>
        <v>8.567945659160614E-2</v>
      </c>
      <c r="CL124" s="102">
        <f t="shared" si="107"/>
        <v>0.48167621229790486</v>
      </c>
      <c r="CM124" s="5" t="str">
        <f t="shared" si="108"/>
        <v>OK</v>
      </c>
      <c r="CN124" s="5">
        <f t="shared" si="109"/>
        <v>0.86643683692746631</v>
      </c>
      <c r="CO124" s="5">
        <f t="shared" si="110"/>
        <v>0.5370345235716667</v>
      </c>
      <c r="CP124" s="25">
        <f>_xll.DCETCVNPhuLucFHeSoOnDinh(1, 0.2, AG124, AH124, AI124, AJ124, AI124, AJ124, $D$28)</f>
        <v>1</v>
      </c>
      <c r="CQ124" s="68">
        <f t="shared" si="111"/>
        <v>0.9</v>
      </c>
      <c r="CR124" s="68">
        <f t="shared" si="112"/>
        <v>1</v>
      </c>
      <c r="CS124" s="5">
        <f t="shared" si="113"/>
        <v>0.18181818181818182</v>
      </c>
      <c r="CT124" s="5">
        <f t="shared" si="114"/>
        <v>0.10347287704587492</v>
      </c>
      <c r="CU124" s="26">
        <f t="shared" si="115"/>
        <v>6.88699819570747</v>
      </c>
      <c r="CV124" s="5"/>
      <c r="CW124" s="25"/>
      <c r="CX124" s="72">
        <f>MAX(_xll.Dce_c_925(CU124, CQ124, CR124, CN124, CP124, CS124, CT124),0.3)</f>
        <v>0.3</v>
      </c>
      <c r="CY124" s="102">
        <f t="shared" si="116"/>
        <v>0.15877193567907094</v>
      </c>
      <c r="CZ124" s="5" t="str">
        <f t="shared" si="117"/>
        <v>OK</v>
      </c>
      <c r="DA124" s="47">
        <f t="shared" si="118"/>
        <v>0.34499859601035404</v>
      </c>
      <c r="DB124" s="46">
        <f t="shared" si="119"/>
        <v>0.48385309547993066</v>
      </c>
      <c r="DC124" s="5" t="str">
        <f t="shared" si="120"/>
        <v>OK</v>
      </c>
      <c r="DD124" s="5">
        <f t="shared" si="121"/>
        <v>1.2506397644909562</v>
      </c>
      <c r="DE124" s="5">
        <f t="shared" si="122"/>
        <v>4.4677979100191463</v>
      </c>
      <c r="DF124" s="5" t="str">
        <f t="shared" si="123"/>
        <v>-</v>
      </c>
      <c r="DG124" s="5" t="str">
        <f t="shared" si="124"/>
        <v>-</v>
      </c>
      <c r="DH124" s="203">
        <f t="shared" si="125"/>
        <v>37.545238889226049</v>
      </c>
      <c r="DI124" s="203">
        <f t="shared" si="126"/>
        <v>180</v>
      </c>
      <c r="DJ124" s="46">
        <f t="shared" si="127"/>
        <v>0.20858466049570026</v>
      </c>
      <c r="DK124" s="5" t="str">
        <f t="shared" si="128"/>
        <v>OK</v>
      </c>
      <c r="EB124" s="18"/>
      <c r="EC124" s="77"/>
      <c r="ED124" s="77"/>
      <c r="EE124" s="18"/>
      <c r="EF124" s="18"/>
      <c r="EG124" s="18"/>
      <c r="EH124" s="5"/>
      <c r="EI124" s="5"/>
      <c r="EJ124" s="5"/>
      <c r="EK124" s="5"/>
      <c r="EL124" s="5"/>
      <c r="FE124" s="26"/>
      <c r="FF124" s="26"/>
      <c r="FG124" s="26"/>
      <c r="FH124" s="26"/>
      <c r="FI124" s="26"/>
      <c r="FJ124" s="26"/>
      <c r="FK124" s="26"/>
      <c r="FL124" s="26"/>
      <c r="FM124" s="26"/>
      <c r="FN124" s="205"/>
      <c r="FO124" s="205"/>
      <c r="FP124" s="205"/>
      <c r="FQ124" s="205"/>
      <c r="FR124" s="205"/>
      <c r="FS124" s="205"/>
      <c r="FT124" s="205"/>
      <c r="FU124" s="77"/>
      <c r="FV124" s="77"/>
      <c r="FW124" s="77"/>
      <c r="FX124" s="205"/>
      <c r="FY124" s="205"/>
      <c r="FZ124" s="205"/>
      <c r="GA124" s="205"/>
      <c r="GB124" s="205"/>
      <c r="GC124" s="205"/>
      <c r="GD124" s="205"/>
      <c r="GE124" s="205"/>
      <c r="GF124" s="205"/>
      <c r="GG124" s="205"/>
      <c r="GH124" s="205"/>
      <c r="GI124" s="205"/>
      <c r="GJ124" s="205"/>
      <c r="GK124" s="205"/>
      <c r="GL124" s="205"/>
      <c r="GM124" s="205"/>
      <c r="GN124" s="205"/>
      <c r="GO124" s="205"/>
      <c r="GP124" s="205"/>
      <c r="GQ124" s="205"/>
      <c r="GR124" s="205"/>
      <c r="GS124" s="205"/>
      <c r="GT124" s="205"/>
      <c r="GU124" s="205"/>
      <c r="GV124" s="18"/>
      <c r="GW124" s="5"/>
      <c r="GX124" s="5"/>
      <c r="GY124" s="77"/>
      <c r="GZ124" s="18"/>
      <c r="HA124" s="18"/>
      <c r="HB124" s="18"/>
      <c r="HC124" s="18"/>
      <c r="HD124" s="18"/>
      <c r="HE124" s="18"/>
      <c r="HF124" s="18"/>
      <c r="HG124" s="18"/>
      <c r="HH124" s="205"/>
      <c r="HI124" s="26"/>
      <c r="HJ124" s="26"/>
      <c r="HK124" s="5"/>
    </row>
    <row r="125" spans="2:219" ht="14.4">
      <c r="B125" s="2"/>
      <c r="C125" s="2"/>
      <c r="D125" s="2"/>
      <c r="E125" s="2"/>
      <c r="F125" s="2"/>
      <c r="G125" s="2"/>
      <c r="H125" s="2"/>
      <c r="I125" s="346" t="s">
        <v>204</v>
      </c>
      <c r="J125" s="346"/>
      <c r="K125" s="346"/>
      <c r="L125" s="346"/>
      <c r="M125" s="346"/>
      <c r="N125" s="112">
        <f>SQRT((N123+0.56)/(N123+0.14))</f>
        <v>1.12490125948987</v>
      </c>
      <c r="AA125" s="18" t="s">
        <v>488</v>
      </c>
      <c r="AB125" s="22" t="s">
        <v>490</v>
      </c>
      <c r="AC125" s="59">
        <v>0</v>
      </c>
      <c r="AD125" s="59">
        <v>8.6549999999999994</v>
      </c>
      <c r="AE125" s="22">
        <v>528</v>
      </c>
      <c r="AF125" s="22">
        <v>1528</v>
      </c>
      <c r="AG125" s="22">
        <v>528</v>
      </c>
      <c r="AH125" s="6">
        <v>10</v>
      </c>
      <c r="AI125" s="6">
        <v>300</v>
      </c>
      <c r="AJ125" s="6">
        <v>14</v>
      </c>
      <c r="AK125" s="24">
        <v>300</v>
      </c>
      <c r="AL125" s="24">
        <v>14</v>
      </c>
      <c r="AM125" s="5">
        <f t="shared" si="73"/>
        <v>500</v>
      </c>
      <c r="AN125" s="26">
        <f t="shared" si="74"/>
        <v>134</v>
      </c>
      <c r="AO125" s="26">
        <f t="shared" si="75"/>
        <v>65911.546666666676</v>
      </c>
      <c r="AP125" s="15">
        <f t="shared" si="76"/>
        <v>6304.166666666667</v>
      </c>
      <c r="AQ125" s="5">
        <f t="shared" si="77"/>
        <v>2496.6494949494954</v>
      </c>
      <c r="AR125" s="26">
        <f t="shared" si="78"/>
        <v>420.27777777777777</v>
      </c>
      <c r="AS125" s="26">
        <f t="shared" si="79"/>
        <v>1391.9</v>
      </c>
      <c r="AT125" s="26">
        <f t="shared" si="80"/>
        <v>22.178305028345793</v>
      </c>
      <c r="AU125" s="26">
        <f t="shared" si="81"/>
        <v>6.8590101254115021</v>
      </c>
      <c r="AV125" s="95">
        <f t="shared" si="82"/>
        <v>7.201333333333334E-7</v>
      </c>
      <c r="AW125" s="95">
        <f t="shared" si="83"/>
        <v>4161087</v>
      </c>
      <c r="AX125" s="95">
        <f t="shared" si="84"/>
        <v>4.1610870000000001E-6</v>
      </c>
      <c r="AY125" s="54">
        <f t="shared" si="85"/>
        <v>0.25762202780669918</v>
      </c>
      <c r="AZ125" s="54" t="str">
        <f>_xll.Dce_Name_SectI(AE125,AF125,AI125,AH125,AJ125,"x","-",$O$11)</f>
        <v>(528-1528)x300x10x14</v>
      </c>
      <c r="BA125" s="15">
        <f t="shared" si="86"/>
        <v>385.5</v>
      </c>
      <c r="BB125" s="54"/>
      <c r="BC125" s="54"/>
      <c r="BD125" s="22" t="s">
        <v>502</v>
      </c>
      <c r="BE125" s="23">
        <v>33.234921990214673</v>
      </c>
      <c r="BF125" s="23">
        <v>24.515160990665692</v>
      </c>
      <c r="BG125" s="23">
        <v>-1.7865961239731261E-3</v>
      </c>
      <c r="BH125" s="23">
        <v>2.4953579618272042E-5</v>
      </c>
      <c r="BI125" s="23">
        <v>1.7135645401025747E-6</v>
      </c>
      <c r="BJ125" s="23">
        <v>0.44068267632458724</v>
      </c>
      <c r="BK125" s="23">
        <v>-142.34959340988632</v>
      </c>
      <c r="BL125" s="92">
        <v>2.25</v>
      </c>
      <c r="BM125" s="91">
        <v>2</v>
      </c>
      <c r="BN125" s="5">
        <f t="shared" si="87"/>
        <v>19.473749999999999</v>
      </c>
      <c r="BO125" s="54">
        <f>_xll.Bimoment(BH125,AY125,AC125,AD125,$O$101)</f>
        <v>0</v>
      </c>
      <c r="BP125" s="5">
        <f t="shared" si="88"/>
        <v>0.84</v>
      </c>
      <c r="BQ125" s="5">
        <f t="shared" si="89"/>
        <v>0.10794516249895117</v>
      </c>
      <c r="BR125" s="24" t="str">
        <f t="shared" si="90"/>
        <v>Cal</v>
      </c>
      <c r="BS125" s="25">
        <f t="shared" si="91"/>
        <v>1.0850954007999195E-2</v>
      </c>
      <c r="BT125" s="25" t="str">
        <f t="shared" si="92"/>
        <v>CT.105</v>
      </c>
      <c r="BU125" s="25">
        <f t="shared" si="93"/>
        <v>1</v>
      </c>
      <c r="BV125" s="25" cm="1">
        <f t="array" ref="BV125">IF(BT125="CT.104",_xll.TCVN5575AnnexEHeSoCx(1,BP125),1)</f>
        <v>1</v>
      </c>
      <c r="BW125" s="25">
        <f t="shared" si="94"/>
        <v>1</v>
      </c>
      <c r="BX125" s="25">
        <f t="shared" si="95"/>
        <v>1.1422056850525466E-2</v>
      </c>
      <c r="BY125" s="25">
        <f t="shared" si="96"/>
        <v>8.1287329186795871E-4</v>
      </c>
      <c r="BZ125" s="25">
        <f t="shared" si="97"/>
        <v>1.8776666439361015E-8</v>
      </c>
      <c r="CA125" s="25">
        <f t="shared" si="98"/>
        <v>0</v>
      </c>
      <c r="CB125" s="25">
        <f t="shared" si="99"/>
        <v>1.2234948919059864E-2</v>
      </c>
      <c r="CC125" s="5" t="str">
        <f t="shared" si="100"/>
        <v>OK</v>
      </c>
      <c r="CD125" s="5">
        <f t="shared" si="101"/>
        <v>87.805402509844015</v>
      </c>
      <c r="CE125" s="5">
        <f t="shared" si="102"/>
        <v>29.158726455153193</v>
      </c>
      <c r="CF125" s="5">
        <f t="shared" si="103"/>
        <v>2.9248163326364334</v>
      </c>
      <c r="CG125" s="5">
        <f t="shared" si="104"/>
        <v>0.97128328026682387</v>
      </c>
      <c r="CH125" s="5">
        <f t="shared" si="105"/>
        <v>7.1166980037449451E-2</v>
      </c>
      <c r="CI125" s="68">
        <f>_xll.DCETCVN5575PhuLucD2Eta(BP125,CH125,CF125)</f>
        <v>1.516787173519915</v>
      </c>
      <c r="CJ125" s="5">
        <f t="shared" si="106"/>
        <v>0.10794516249895117</v>
      </c>
      <c r="CK125" s="5">
        <f>MIN(noisuy2chieu(CJ125,CF125,Data!$DA$2:$EB$24),1)</f>
        <v>0.67456978559494019</v>
      </c>
      <c r="CL125" s="102" t="str">
        <f t="shared" si="107"/>
        <v>-</v>
      </c>
      <c r="CM125" s="5" t="str">
        <f t="shared" si="108"/>
        <v>OK</v>
      </c>
      <c r="CN125" s="5">
        <f t="shared" si="109"/>
        <v>0.90492218941026858</v>
      </c>
      <c r="CO125" s="5">
        <f t="shared" si="110"/>
        <v>0.5370345235716667</v>
      </c>
      <c r="CP125" s="25">
        <f>_xll.DCETCVNPhuLucFHeSoOnDinh(1, 0.2, AG125, AH125, AI125, AJ125, AI125, AJ125, $D$28)</f>
        <v>1</v>
      </c>
      <c r="CQ125" s="68">
        <f t="shared" si="111"/>
        <v>0.9</v>
      </c>
      <c r="CR125" s="68">
        <f t="shared" si="112"/>
        <v>1</v>
      </c>
      <c r="CS125" s="5">
        <f t="shared" si="113"/>
        <v>0.18181818181818182</v>
      </c>
      <c r="CT125" s="5">
        <f t="shared" si="114"/>
        <v>9.9510191986788829E-2</v>
      </c>
      <c r="CU125" s="26">
        <f t="shared" si="115"/>
        <v>22.988402351170901</v>
      </c>
      <c r="CV125" s="5"/>
      <c r="CW125" s="25"/>
      <c r="CX125" s="72">
        <f>MAX(_xll.Dce_c_925(CU125, CQ125, CR125, CN125, CP125, CS125, CT125),0.3)</f>
        <v>0.3</v>
      </c>
      <c r="CY125" s="102" t="str">
        <f t="shared" si="116"/>
        <v>-</v>
      </c>
      <c r="CZ125" s="5" t="str">
        <f t="shared" si="117"/>
        <v>OK</v>
      </c>
      <c r="DA125" s="47">
        <f t="shared" si="118"/>
        <v>0.34499859601035404</v>
      </c>
      <c r="DB125" s="46">
        <f t="shared" si="119"/>
        <v>17.992510244282293</v>
      </c>
      <c r="DC125" s="5" t="str">
        <f t="shared" si="120"/>
        <v>OK</v>
      </c>
      <c r="DD125" s="5">
        <f t="shared" si="121"/>
        <v>2.9248163326364334</v>
      </c>
      <c r="DE125" s="5">
        <f t="shared" si="122"/>
        <v>1.6655104634982609</v>
      </c>
      <c r="DF125" s="5">
        <f t="shared" si="123"/>
        <v>3.2</v>
      </c>
      <c r="DG125" s="5" t="str">
        <f t="shared" si="124"/>
        <v>OK</v>
      </c>
      <c r="DH125" s="203" t="str">
        <f t="shared" si="125"/>
        <v>-</v>
      </c>
      <c r="DI125" s="203" t="str">
        <f t="shared" si="126"/>
        <v>-</v>
      </c>
      <c r="DJ125" s="46">
        <f t="shared" si="127"/>
        <v>0</v>
      </c>
      <c r="DK125" s="5" t="str">
        <f t="shared" si="128"/>
        <v>OK</v>
      </c>
      <c r="EB125" s="18"/>
      <c r="EC125" s="77"/>
      <c r="ED125" s="77"/>
      <c r="EE125" s="18"/>
      <c r="EF125" s="18"/>
      <c r="EG125" s="18"/>
      <c r="EH125" s="5"/>
      <c r="EI125" s="5"/>
      <c r="EJ125" s="5"/>
      <c r="EK125" s="5"/>
      <c r="EL125" s="5"/>
      <c r="FE125" s="26"/>
      <c r="FF125" s="26"/>
      <c r="FG125" s="26"/>
      <c r="FH125" s="26"/>
      <c r="FI125" s="26"/>
      <c r="FJ125" s="26"/>
      <c r="FK125" s="26"/>
      <c r="FL125" s="26"/>
      <c r="FM125" s="26"/>
      <c r="FN125" s="205"/>
      <c r="FO125" s="205"/>
      <c r="FP125" s="205"/>
      <c r="FQ125" s="205"/>
      <c r="FR125" s="205"/>
      <c r="FS125" s="205"/>
      <c r="FT125" s="205"/>
      <c r="FU125" s="77"/>
      <c r="FV125" s="77"/>
      <c r="FW125" s="77"/>
      <c r="FX125" s="205"/>
      <c r="FY125" s="205"/>
      <c r="FZ125" s="205"/>
      <c r="GA125" s="205"/>
      <c r="GB125" s="205"/>
      <c r="GC125" s="205"/>
      <c r="GD125" s="205"/>
      <c r="GE125" s="205"/>
      <c r="GF125" s="205"/>
      <c r="GG125" s="205"/>
      <c r="GH125" s="205"/>
      <c r="GI125" s="205"/>
      <c r="GJ125" s="205"/>
      <c r="GK125" s="205"/>
      <c r="GL125" s="205"/>
      <c r="GM125" s="205"/>
      <c r="GN125" s="205"/>
      <c r="GO125" s="205"/>
      <c r="GP125" s="205"/>
      <c r="GQ125" s="205"/>
      <c r="GR125" s="205"/>
      <c r="GS125" s="205"/>
      <c r="GT125" s="205"/>
      <c r="GU125" s="205"/>
      <c r="GV125" s="18"/>
      <c r="GW125" s="5"/>
      <c r="GX125" s="5"/>
      <c r="GY125" s="77"/>
      <c r="GZ125" s="18"/>
      <c r="HA125" s="18"/>
      <c r="HB125" s="18"/>
      <c r="HC125" s="18"/>
      <c r="HD125" s="18"/>
      <c r="HE125" s="18"/>
      <c r="HF125" s="18"/>
      <c r="HG125" s="18"/>
      <c r="HH125" s="205"/>
      <c r="HI125" s="26"/>
      <c r="HJ125" s="26"/>
      <c r="HK125" s="5"/>
    </row>
    <row r="126" spans="2:219">
      <c r="B126" s="326" t="s">
        <v>473</v>
      </c>
      <c r="C126" s="327"/>
      <c r="D126" s="326" t="s">
        <v>474</v>
      </c>
      <c r="E126" s="327"/>
      <c r="AA126" s="18" t="s">
        <v>488</v>
      </c>
      <c r="AB126" s="22" t="s">
        <v>490</v>
      </c>
      <c r="AC126" s="59">
        <v>3.6405952380952398</v>
      </c>
      <c r="AD126" s="59">
        <v>8.6549999999999994</v>
      </c>
      <c r="AE126" s="22">
        <v>528</v>
      </c>
      <c r="AF126" s="22">
        <v>1528</v>
      </c>
      <c r="AG126" s="22">
        <v>948.63492063492095</v>
      </c>
      <c r="AH126" s="6">
        <v>10</v>
      </c>
      <c r="AI126" s="6">
        <v>300</v>
      </c>
      <c r="AJ126" s="6">
        <v>14</v>
      </c>
      <c r="AK126" s="24">
        <v>300</v>
      </c>
      <c r="AL126" s="24">
        <v>14</v>
      </c>
      <c r="AM126" s="5">
        <f t="shared" si="73"/>
        <v>920.63492063492095</v>
      </c>
      <c r="AN126" s="26">
        <f t="shared" si="74"/>
        <v>176.06349206349208</v>
      </c>
      <c r="AO126" s="26">
        <f t="shared" si="75"/>
        <v>248482.7399356656</v>
      </c>
      <c r="AP126" s="15">
        <f t="shared" si="76"/>
        <v>6307.6719576719579</v>
      </c>
      <c r="AQ126" s="5">
        <f t="shared" si="77"/>
        <v>5238.7432621467533</v>
      </c>
      <c r="AR126" s="26">
        <f t="shared" si="78"/>
        <v>420.51146384479722</v>
      </c>
      <c r="AS126" s="26">
        <f t="shared" si="79"/>
        <v>3022.1941546989178</v>
      </c>
      <c r="AT126" s="26">
        <f t="shared" si="80"/>
        <v>37.567600585756203</v>
      </c>
      <c r="AU126" s="26">
        <f t="shared" si="81"/>
        <v>5.9854925384629922</v>
      </c>
      <c r="AV126" s="95">
        <f t="shared" si="82"/>
        <v>8.6034497354497351E-7</v>
      </c>
      <c r="AW126" s="95">
        <f t="shared" si="83"/>
        <v>13758293.349206358</v>
      </c>
      <c r="AX126" s="95">
        <f t="shared" si="84"/>
        <v>1.3758293349206359E-5</v>
      </c>
      <c r="AY126" s="54">
        <f t="shared" si="85"/>
        <v>0.1548581140202015</v>
      </c>
      <c r="AZ126" s="54" t="str">
        <f>_xll.Dce_Name_SectI(AE126,AF126,AI126,AH126,AJ126,"x","-",$O$11)</f>
        <v>(528-1528)x300x10x14</v>
      </c>
      <c r="BA126" s="15">
        <f t="shared" si="86"/>
        <v>700.97619047619071</v>
      </c>
      <c r="BB126" s="54"/>
      <c r="BC126" s="54"/>
      <c r="BD126" s="22" t="s">
        <v>502</v>
      </c>
      <c r="BE126" s="23">
        <v>39.160437676780475</v>
      </c>
      <c r="BF126" s="23">
        <v>39.086793803383102</v>
      </c>
      <c r="BG126" s="23">
        <v>-1.7865961239722323E-3</v>
      </c>
      <c r="BH126" s="23">
        <v>2.4953579618272042E-5</v>
      </c>
      <c r="BI126" s="23">
        <v>6.5213045835902849E-3</v>
      </c>
      <c r="BJ126" s="23">
        <v>-115.63864401983039</v>
      </c>
      <c r="BK126" s="23">
        <v>-142.34959340988632</v>
      </c>
      <c r="BL126" s="92">
        <v>2.25</v>
      </c>
      <c r="BM126" s="91">
        <v>2</v>
      </c>
      <c r="BN126" s="5">
        <f t="shared" si="87"/>
        <v>19.473749999999999</v>
      </c>
      <c r="BO126" s="54">
        <f>_xll.Bimoment(BH126,AY126,AC126,AD126,$O$101)</f>
        <v>-1.919096635755225E-4</v>
      </c>
      <c r="BP126" s="5">
        <f t="shared" si="88"/>
        <v>0.45620689655172403</v>
      </c>
      <c r="BQ126" s="5">
        <f t="shared" si="89"/>
        <v>12.318388443744643</v>
      </c>
      <c r="BR126" s="24" t="str">
        <f t="shared" si="90"/>
        <v>Cal</v>
      </c>
      <c r="BS126" s="25">
        <f t="shared" si="91"/>
        <v>9.7309733453503581E-3</v>
      </c>
      <c r="BT126" s="25" t="str">
        <f t="shared" si="92"/>
        <v>CT.105</v>
      </c>
      <c r="BU126" s="25">
        <f t="shared" si="93"/>
        <v>1</v>
      </c>
      <c r="BV126" s="25" cm="1">
        <f t="array" ref="BV126">IF(BT126="CT.104",_xll.TCVN5575AnnexEHeSoCx(1,BP126),1)</f>
        <v>1</v>
      </c>
      <c r="BW126" s="25">
        <f t="shared" si="94"/>
        <v>1</v>
      </c>
      <c r="BX126" s="25">
        <f t="shared" si="95"/>
        <v>1.0243129837210903E-2</v>
      </c>
      <c r="BY126" s="25">
        <f t="shared" si="96"/>
        <v>0.10165537043615315</v>
      </c>
      <c r="BZ126" s="25">
        <f t="shared" si="97"/>
        <v>7.1418561257827635E-5</v>
      </c>
      <c r="CA126" s="25">
        <f t="shared" si="98"/>
        <v>4.5028761080210952E-6</v>
      </c>
      <c r="CB126" s="25">
        <f t="shared" si="99"/>
        <v>0.1119744217107299</v>
      </c>
      <c r="CC126" s="5" t="str">
        <f t="shared" si="100"/>
        <v>OK</v>
      </c>
      <c r="CD126" s="5">
        <f t="shared" si="101"/>
        <v>51.836555160202302</v>
      </c>
      <c r="CE126" s="5">
        <f t="shared" si="102"/>
        <v>33.414125690541383</v>
      </c>
      <c r="CF126" s="5">
        <f t="shared" si="103"/>
        <v>1.7266865002204341</v>
      </c>
      <c r="CG126" s="5">
        <f t="shared" si="104"/>
        <v>1.1130315193248546</v>
      </c>
      <c r="CH126" s="5">
        <f t="shared" si="105"/>
        <v>9.9242489406765948</v>
      </c>
      <c r="CI126" s="68">
        <f>_xll.DCETCVN5575PhuLucD2Eta(BP126,CH126,CF126)</f>
        <v>1.2412413793103447</v>
      </c>
      <c r="CJ126" s="5">
        <f t="shared" si="106"/>
        <v>12.318388443744643</v>
      </c>
      <c r="CK126" s="5">
        <f>MIN(noisuy2chieu(CJ126,CF126,Data!$DA$2:$EB$24),1)</f>
        <v>0.10858282446861267</v>
      </c>
      <c r="CL126" s="102" t="str">
        <f t="shared" si="107"/>
        <v>-</v>
      </c>
      <c r="CM126" s="5" t="str">
        <f t="shared" si="108"/>
        <v>OK</v>
      </c>
      <c r="CN126" s="5">
        <f t="shared" si="109"/>
        <v>0.88472625978979058</v>
      </c>
      <c r="CO126" s="5">
        <f t="shared" si="110"/>
        <v>0.5370345235716667</v>
      </c>
      <c r="CP126" s="25">
        <f>_xll.DCETCVNPhuLucFHeSoOnDinh(1, 0.2, AG126, AH126, AI126, AJ126, AI126, AJ126, $D$28)</f>
        <v>1</v>
      </c>
      <c r="CQ126" s="68">
        <f t="shared" si="111"/>
        <v>0.9</v>
      </c>
      <c r="CR126" s="68">
        <f t="shared" si="112"/>
        <v>1</v>
      </c>
      <c r="CS126" s="5">
        <f t="shared" si="113"/>
        <v>0.18181818181818182</v>
      </c>
      <c r="CT126" s="5">
        <f t="shared" si="114"/>
        <v>0.10155106457844131</v>
      </c>
      <c r="CU126" s="26">
        <f t="shared" si="115"/>
        <v>12.21661507343123</v>
      </c>
      <c r="CV126" s="5"/>
      <c r="CW126" s="25"/>
      <c r="CX126" s="72">
        <f>MAX(_xll.Dce_c_925(CU126, CQ126, CR126, CN126, CP126, CS126, CT126),0.3)</f>
        <v>0.3</v>
      </c>
      <c r="CY126" s="102" t="str">
        <f t="shared" si="116"/>
        <v>-</v>
      </c>
      <c r="CZ126" s="5" t="str">
        <f t="shared" si="117"/>
        <v>OK</v>
      </c>
      <c r="DA126" s="47">
        <f t="shared" si="118"/>
        <v>0.34499859601035404</v>
      </c>
      <c r="DB126" s="46">
        <f t="shared" si="119"/>
        <v>1.6083869236240815</v>
      </c>
      <c r="DC126" s="5" t="str">
        <f t="shared" si="120"/>
        <v>OK</v>
      </c>
      <c r="DD126" s="5">
        <f t="shared" si="121"/>
        <v>1.7266865002204341</v>
      </c>
      <c r="DE126" s="5">
        <f t="shared" si="122"/>
        <v>3.0666541867587034</v>
      </c>
      <c r="DF126" s="5">
        <f t="shared" si="123"/>
        <v>3.2</v>
      </c>
      <c r="DG126" s="5" t="str">
        <f t="shared" si="124"/>
        <v>OK</v>
      </c>
      <c r="DH126" s="203">
        <f t="shared" si="125"/>
        <v>51.836555160202302</v>
      </c>
      <c r="DI126" s="203" t="str">
        <f t="shared" si="126"/>
        <v>-</v>
      </c>
      <c r="DJ126" s="46">
        <f t="shared" si="127"/>
        <v>0</v>
      </c>
      <c r="DK126" s="5" t="str">
        <f t="shared" si="128"/>
        <v>OK</v>
      </c>
      <c r="EB126" s="18"/>
      <c r="EC126" s="77"/>
      <c r="ED126" s="77"/>
      <c r="EE126" s="18"/>
      <c r="EF126" s="18"/>
      <c r="EG126" s="18"/>
      <c r="EH126" s="5"/>
      <c r="EI126" s="5"/>
      <c r="EJ126" s="5"/>
      <c r="EK126" s="5"/>
      <c r="EL126" s="5"/>
      <c r="FE126" s="26"/>
      <c r="FF126" s="26"/>
      <c r="FG126" s="26"/>
      <c r="FH126" s="26"/>
      <c r="FI126" s="26"/>
      <c r="FJ126" s="26"/>
      <c r="FK126" s="26"/>
      <c r="FL126" s="26"/>
      <c r="FM126" s="26"/>
      <c r="FN126" s="205"/>
      <c r="FO126" s="205"/>
      <c r="FP126" s="205"/>
      <c r="FQ126" s="205"/>
      <c r="FR126" s="205"/>
      <c r="FS126" s="205"/>
      <c r="FT126" s="205"/>
      <c r="FU126" s="77"/>
      <c r="FV126" s="77"/>
      <c r="FW126" s="77"/>
      <c r="FX126" s="205"/>
      <c r="FY126" s="205"/>
      <c r="FZ126" s="205"/>
      <c r="GA126" s="205"/>
      <c r="GB126" s="205"/>
      <c r="GC126" s="205"/>
      <c r="GD126" s="205"/>
      <c r="GE126" s="205"/>
      <c r="GF126" s="205"/>
      <c r="GG126" s="205"/>
      <c r="GH126" s="205"/>
      <c r="GI126" s="205"/>
      <c r="GJ126" s="205"/>
      <c r="GK126" s="205"/>
      <c r="GL126" s="205"/>
      <c r="GM126" s="205"/>
      <c r="GN126" s="205"/>
      <c r="GO126" s="205"/>
      <c r="GP126" s="205"/>
      <c r="GQ126" s="205"/>
      <c r="GR126" s="205"/>
      <c r="GS126" s="205"/>
      <c r="GT126" s="205"/>
      <c r="GU126" s="205"/>
      <c r="GV126" s="18"/>
      <c r="GW126" s="5"/>
      <c r="GX126" s="5"/>
      <c r="GY126" s="77"/>
      <c r="GZ126" s="18"/>
      <c r="HA126" s="18"/>
      <c r="HB126" s="18"/>
      <c r="HC126" s="18"/>
      <c r="HD126" s="18"/>
      <c r="HE126" s="18"/>
      <c r="HF126" s="18"/>
      <c r="HG126" s="18"/>
      <c r="HH126" s="205"/>
      <c r="HI126" s="26"/>
      <c r="HJ126" s="26"/>
      <c r="HK126" s="5"/>
    </row>
    <row r="127" spans="2:219">
      <c r="B127" s="168">
        <v>0</v>
      </c>
      <c r="C127" s="169">
        <f>IF(M99&lt;=2,1.3+0.15*M99^2,MIN(1.2+0.35*M99,2.3))</f>
        <v>1.5346149730788992</v>
      </c>
      <c r="AA127" s="18" t="s">
        <v>488</v>
      </c>
      <c r="AB127" s="22" t="s">
        <v>490</v>
      </c>
      <c r="AC127" s="59">
        <v>7.2811904761904795</v>
      </c>
      <c r="AD127" s="59">
        <v>8.6549999999999994</v>
      </c>
      <c r="AE127" s="22">
        <v>528</v>
      </c>
      <c r="AF127" s="22">
        <v>1528</v>
      </c>
      <c r="AG127" s="22">
        <v>1369.2698412698419</v>
      </c>
      <c r="AH127" s="6">
        <v>10</v>
      </c>
      <c r="AI127" s="6">
        <v>300</v>
      </c>
      <c r="AJ127" s="6">
        <v>14</v>
      </c>
      <c r="AK127" s="24">
        <v>300</v>
      </c>
      <c r="AL127" s="24">
        <v>14</v>
      </c>
      <c r="AM127" s="5">
        <f t="shared" si="73"/>
        <v>1341.2698412698419</v>
      </c>
      <c r="AN127" s="26">
        <f t="shared" si="74"/>
        <v>218.12698412698418</v>
      </c>
      <c r="AO127" s="26">
        <f t="shared" si="75"/>
        <v>586811.79072745051</v>
      </c>
      <c r="AP127" s="15">
        <f t="shared" si="76"/>
        <v>6311.1772486772488</v>
      </c>
      <c r="AQ127" s="5">
        <f t="shared" si="77"/>
        <v>8571.1635945074104</v>
      </c>
      <c r="AR127" s="26">
        <f t="shared" si="78"/>
        <v>420.74514991181661</v>
      </c>
      <c r="AS127" s="26">
        <f t="shared" si="79"/>
        <v>5094.8226505417015</v>
      </c>
      <c r="AT127" s="26">
        <f t="shared" si="80"/>
        <v>51.867428670398397</v>
      </c>
      <c r="AU127" s="26">
        <f t="shared" si="81"/>
        <v>5.3789869588463937</v>
      </c>
      <c r="AV127" s="95">
        <f t="shared" si="82"/>
        <v>1.0005566137566139E-6</v>
      </c>
      <c r="AW127" s="95">
        <f t="shared" si="83"/>
        <v>28928912.396825422</v>
      </c>
      <c r="AX127" s="95">
        <f t="shared" si="84"/>
        <v>2.8928912396825422E-5</v>
      </c>
      <c r="AY127" s="54">
        <f t="shared" si="85"/>
        <v>0.11516876660535029</v>
      </c>
      <c r="AZ127" s="54" t="str">
        <f>_xll.Dce_Name_SectI(AE127,AF127,AI127,AH127,AJ127,"x","-",$O$11)</f>
        <v>(528-1528)x300x10x14</v>
      </c>
      <c r="BA127" s="15">
        <f t="shared" si="86"/>
        <v>1016.4523809523813</v>
      </c>
      <c r="BB127" s="54"/>
      <c r="BC127" s="54"/>
      <c r="BD127" s="22" t="s">
        <v>502</v>
      </c>
      <c r="BE127" s="23">
        <v>46.627389113838717</v>
      </c>
      <c r="BF127" s="23">
        <v>53.55257608550852</v>
      </c>
      <c r="BG127" s="23">
        <v>-1.7865961239713444E-3</v>
      </c>
      <c r="BH127" s="23">
        <v>2.4953579618272042E-5</v>
      </c>
      <c r="BI127" s="23">
        <v>1.3040895602637218E-2</v>
      </c>
      <c r="BJ127" s="23">
        <v>-284.69918681977265</v>
      </c>
      <c r="BK127" s="23">
        <v>-142.34959340988632</v>
      </c>
      <c r="BL127" s="92">
        <v>2.25</v>
      </c>
      <c r="BM127" s="91">
        <v>2</v>
      </c>
      <c r="BN127" s="5">
        <f t="shared" si="87"/>
        <v>19.473749999999999</v>
      </c>
      <c r="BO127" s="54">
        <f>_xll.Bimoment(BH127,AY127,AC127,AD127,$O$101)</f>
        <v>-1.1415440241636002E-4</v>
      </c>
      <c r="BP127" s="5">
        <f t="shared" si="88"/>
        <v>0.31313609467455605</v>
      </c>
      <c r="BQ127" s="5">
        <f t="shared" si="89"/>
        <v>18.84265304363154</v>
      </c>
      <c r="BR127" s="24" t="str">
        <f t="shared" si="90"/>
        <v>Cal</v>
      </c>
      <c r="BS127" s="25">
        <f t="shared" si="91"/>
        <v>9.3521133201148274E-3</v>
      </c>
      <c r="BT127" s="25" t="str">
        <f t="shared" si="92"/>
        <v>CT.105</v>
      </c>
      <c r="BU127" s="25">
        <f t="shared" si="93"/>
        <v>1</v>
      </c>
      <c r="BV127" s="25" cm="1">
        <f t="array" ref="BV127">IF(BT127="CT.104",_xll.TCVN5575AnnexEHeSoCx(1,BP127),1)</f>
        <v>1</v>
      </c>
      <c r="BW127" s="25">
        <f t="shared" si="94"/>
        <v>1</v>
      </c>
      <c r="BX127" s="25">
        <f t="shared" si="95"/>
        <v>9.8443298106471854E-3</v>
      </c>
      <c r="BY127" s="25">
        <f t="shared" si="96"/>
        <v>0.15296810773555658</v>
      </c>
      <c r="BZ127" s="25">
        <f t="shared" si="97"/>
        <v>1.4273903353933821E-4</v>
      </c>
      <c r="CA127" s="25">
        <f t="shared" si="98"/>
        <v>1.8471495060769922E-6</v>
      </c>
      <c r="CB127" s="25">
        <f t="shared" si="99"/>
        <v>0.16295702372924917</v>
      </c>
      <c r="CC127" s="5" t="str">
        <f t="shared" si="100"/>
        <v>OK</v>
      </c>
      <c r="CD127" s="5">
        <f t="shared" si="101"/>
        <v>37.545238889226049</v>
      </c>
      <c r="CE127" s="5">
        <f t="shared" si="102"/>
        <v>37.181722419139881</v>
      </c>
      <c r="CF127" s="5">
        <f t="shared" si="103"/>
        <v>1.2506397644909562</v>
      </c>
      <c r="CG127" s="5">
        <f t="shared" si="104"/>
        <v>1.2385309547993069</v>
      </c>
      <c r="CH127" s="5">
        <f t="shared" si="105"/>
        <v>15.538702042480653</v>
      </c>
      <c r="CI127" s="68">
        <f>_xll.DCETCVN5575PhuLucD2Eta(BP127,CH127,CF127)</f>
        <v>1.2126272189349112</v>
      </c>
      <c r="CJ127" s="5">
        <f t="shared" si="106"/>
        <v>18.84265304363154</v>
      </c>
      <c r="CK127" s="5">
        <f>MIN(noisuy2chieu(CJ127,CF127,Data!$DA$2:$EB$24),1)</f>
        <v>7.6624274253845215E-2</v>
      </c>
      <c r="CL127" s="102" t="str">
        <f t="shared" si="107"/>
        <v>-</v>
      </c>
      <c r="CM127" s="5" t="str">
        <f t="shared" si="108"/>
        <v>OK</v>
      </c>
      <c r="CN127" s="5">
        <f t="shared" si="109"/>
        <v>0.86643683692746631</v>
      </c>
      <c r="CO127" s="5">
        <f t="shared" si="110"/>
        <v>0.5370345235716667</v>
      </c>
      <c r="CP127" s="25">
        <f>_xll.DCETCVNPhuLucFHeSoOnDinh(1, 0.2, AG127, AH127, AI127, AJ127, AI127, AJ127, $D$28)</f>
        <v>1</v>
      </c>
      <c r="CQ127" s="68">
        <f t="shared" si="111"/>
        <v>0.9</v>
      </c>
      <c r="CR127" s="68">
        <f t="shared" si="112"/>
        <v>1</v>
      </c>
      <c r="CS127" s="5">
        <f t="shared" si="113"/>
        <v>0.18181818181818182</v>
      </c>
      <c r="CT127" s="5">
        <f t="shared" si="114"/>
        <v>0.10347287704587492</v>
      </c>
      <c r="CU127" s="26">
        <f t="shared" si="115"/>
        <v>7.7693510212403263</v>
      </c>
      <c r="CV127" s="5"/>
      <c r="CW127" s="25"/>
      <c r="CX127" s="72">
        <f>MAX(_xll.Dce_c_925(CU127, CQ127, CR127, CN127, CP127, CS127, CT127),0.3)</f>
        <v>0.3</v>
      </c>
      <c r="CY127" s="102" t="str">
        <f t="shared" si="116"/>
        <v>-</v>
      </c>
      <c r="CZ127" s="5" t="str">
        <f t="shared" si="117"/>
        <v>OK</v>
      </c>
      <c r="DA127" s="47">
        <f t="shared" si="118"/>
        <v>0.34499859601035404</v>
      </c>
      <c r="DB127" s="46">
        <f t="shared" si="119"/>
        <v>1.311007639824008</v>
      </c>
      <c r="DC127" s="5" t="str">
        <f t="shared" si="120"/>
        <v>OK</v>
      </c>
      <c r="DD127" s="5">
        <f t="shared" si="121"/>
        <v>1.2506397644909562</v>
      </c>
      <c r="DE127" s="5">
        <f t="shared" si="122"/>
        <v>4.4677979100191463</v>
      </c>
      <c r="DF127" s="5">
        <f t="shared" si="123"/>
        <v>3.2</v>
      </c>
      <c r="DG127" s="5" t="str">
        <f t="shared" si="124"/>
        <v>Gia cường</v>
      </c>
      <c r="DH127" s="203">
        <f t="shared" si="125"/>
        <v>37.545238889226049</v>
      </c>
      <c r="DI127" s="203" t="str">
        <f t="shared" si="126"/>
        <v>-</v>
      </c>
      <c r="DJ127" s="46">
        <f t="shared" si="127"/>
        <v>0</v>
      </c>
      <c r="DK127" s="5" t="str">
        <f t="shared" si="128"/>
        <v>OK</v>
      </c>
      <c r="EB127" s="18"/>
      <c r="EC127" s="77"/>
      <c r="ED127" s="77"/>
      <c r="EE127" s="18"/>
      <c r="EF127" s="18"/>
      <c r="EG127" s="18"/>
      <c r="EH127" s="5"/>
      <c r="EI127" s="5"/>
      <c r="EJ127" s="5"/>
      <c r="EK127" s="5"/>
      <c r="EL127" s="5"/>
      <c r="FE127" s="26"/>
      <c r="FF127" s="26"/>
      <c r="FG127" s="26"/>
      <c r="FH127" s="26"/>
      <c r="FI127" s="26"/>
      <c r="FJ127" s="26"/>
      <c r="FK127" s="26"/>
      <c r="FL127" s="26"/>
      <c r="FM127" s="26"/>
      <c r="FN127" s="205"/>
      <c r="FO127" s="205"/>
      <c r="FP127" s="205"/>
      <c r="FQ127" s="205"/>
      <c r="FR127" s="205"/>
      <c r="FS127" s="205"/>
      <c r="FT127" s="205"/>
      <c r="FU127" s="77"/>
      <c r="FV127" s="77"/>
      <c r="FW127" s="77"/>
      <c r="FX127" s="205"/>
      <c r="FY127" s="205"/>
      <c r="FZ127" s="205"/>
      <c r="GA127" s="205"/>
      <c r="GB127" s="205"/>
      <c r="GC127" s="205"/>
      <c r="GD127" s="205"/>
      <c r="GE127" s="205"/>
      <c r="GF127" s="205"/>
      <c r="GG127" s="205"/>
      <c r="GH127" s="205"/>
      <c r="GI127" s="205"/>
      <c r="GJ127" s="205"/>
      <c r="GK127" s="205"/>
      <c r="GL127" s="205"/>
      <c r="GM127" s="205"/>
      <c r="GN127" s="205"/>
      <c r="GO127" s="205"/>
      <c r="GP127" s="205"/>
      <c r="GQ127" s="205"/>
      <c r="GR127" s="205"/>
      <c r="GS127" s="205"/>
      <c r="GT127" s="205"/>
      <c r="GU127" s="205"/>
      <c r="GV127" s="18"/>
      <c r="GW127" s="5"/>
      <c r="GX127" s="5"/>
      <c r="GY127" s="77"/>
      <c r="GZ127" s="18"/>
      <c r="HA127" s="18"/>
      <c r="HB127" s="18"/>
      <c r="HC127" s="18"/>
      <c r="HD127" s="18"/>
      <c r="HE127" s="18"/>
      <c r="HF127" s="18"/>
      <c r="HG127" s="18"/>
      <c r="HH127" s="205"/>
      <c r="HI127" s="26"/>
      <c r="HJ127" s="26"/>
      <c r="HK127" s="5"/>
    </row>
    <row r="128" spans="2:219">
      <c r="B128" s="168">
        <v>1</v>
      </c>
      <c r="C128" s="169">
        <f>IF(M99&lt;2,1.3+0.15*M99^2,MIN(1.2+0.35*M99,3.1))</f>
        <v>1.5346149730788992</v>
      </c>
      <c r="AA128" s="18" t="s">
        <v>488</v>
      </c>
      <c r="AB128" s="22" t="s">
        <v>490</v>
      </c>
      <c r="AC128" s="59">
        <v>0</v>
      </c>
      <c r="AD128" s="59">
        <v>8.6549999999999994</v>
      </c>
      <c r="AE128" s="22">
        <v>528</v>
      </c>
      <c r="AF128" s="22">
        <v>1528</v>
      </c>
      <c r="AG128" s="22">
        <v>528</v>
      </c>
      <c r="AH128" s="6">
        <v>10</v>
      </c>
      <c r="AI128" s="6">
        <v>300</v>
      </c>
      <c r="AJ128" s="6">
        <v>14</v>
      </c>
      <c r="AK128" s="24">
        <v>300</v>
      </c>
      <c r="AL128" s="24">
        <v>14</v>
      </c>
      <c r="AM128" s="5">
        <f t="shared" si="73"/>
        <v>500</v>
      </c>
      <c r="AN128" s="26">
        <f t="shared" si="74"/>
        <v>134</v>
      </c>
      <c r="AO128" s="26">
        <f t="shared" si="75"/>
        <v>65911.546666666676</v>
      </c>
      <c r="AP128" s="15">
        <f t="shared" si="76"/>
        <v>6304.166666666667</v>
      </c>
      <c r="AQ128" s="5">
        <f t="shared" si="77"/>
        <v>2496.6494949494954</v>
      </c>
      <c r="AR128" s="26">
        <f t="shared" si="78"/>
        <v>420.27777777777777</v>
      </c>
      <c r="AS128" s="26">
        <f t="shared" si="79"/>
        <v>1391.9</v>
      </c>
      <c r="AT128" s="26">
        <f t="shared" si="80"/>
        <v>22.178305028345793</v>
      </c>
      <c r="AU128" s="26">
        <f t="shared" si="81"/>
        <v>6.8590101254115021</v>
      </c>
      <c r="AV128" s="95">
        <f t="shared" si="82"/>
        <v>7.201333333333334E-7</v>
      </c>
      <c r="AW128" s="95">
        <f t="shared" si="83"/>
        <v>4161087</v>
      </c>
      <c r="AX128" s="95">
        <f t="shared" si="84"/>
        <v>4.1610870000000001E-6</v>
      </c>
      <c r="AY128" s="54">
        <f t="shared" si="85"/>
        <v>0.25762202780669918</v>
      </c>
      <c r="AZ128" s="54" t="str">
        <f>_xll.Dce_Name_SectI(AE128,AF128,AI128,AH128,AJ128,"x","-",$O$11)</f>
        <v>(528-1528)x300x10x14</v>
      </c>
      <c r="BA128" s="15">
        <f t="shared" si="86"/>
        <v>385.5</v>
      </c>
      <c r="BB128" s="54"/>
      <c r="BC128" s="54"/>
      <c r="BD128" s="22" t="s">
        <v>503</v>
      </c>
      <c r="BE128" s="23">
        <v>-195.81083957705141</v>
      </c>
      <c r="BF128" s="23">
        <v>-204.04272063847503</v>
      </c>
      <c r="BG128" s="23">
        <v>7.593877001655766E-4</v>
      </c>
      <c r="BH128" s="23">
        <v>-1.0606449428022572E-5</v>
      </c>
      <c r="BI128" s="23">
        <v>-7.2834582909991896E-7</v>
      </c>
      <c r="BJ128" s="23">
        <v>-2.539209026538737</v>
      </c>
      <c r="BK128" s="23">
        <v>733.72891642752393</v>
      </c>
      <c r="BL128" s="92">
        <v>2.25</v>
      </c>
      <c r="BM128" s="91">
        <v>2</v>
      </c>
      <c r="BN128" s="5">
        <f t="shared" si="87"/>
        <v>19.473749999999999</v>
      </c>
      <c r="BO128" s="54">
        <f>_xll.Bimoment(BH128,AY128,AC128,AD128,$O$101)</f>
        <v>0</v>
      </c>
      <c r="BP128" s="5">
        <f t="shared" si="88"/>
        <v>0.84</v>
      </c>
      <c r="BQ128" s="5">
        <f t="shared" si="89"/>
        <v>0.1055728425386276</v>
      </c>
      <c r="BR128" s="24" t="str">
        <f t="shared" si="90"/>
        <v>Cal</v>
      </c>
      <c r="BS128" s="25">
        <f t="shared" si="91"/>
        <v>6.3930777846985073E-2</v>
      </c>
      <c r="BT128" s="25" t="str">
        <f t="shared" si="92"/>
        <v>CT.105</v>
      </c>
      <c r="BU128" s="25">
        <f t="shared" si="93"/>
        <v>1</v>
      </c>
      <c r="BV128" s="25" cm="1">
        <f t="array" ref="BV128">IF(BT128="CT.104",_xll.TCVN5575AnnexEHeSoCx(1,BP128),1)</f>
        <v>1</v>
      </c>
      <c r="BW128" s="25">
        <f t="shared" si="94"/>
        <v>1</v>
      </c>
      <c r="BX128" s="25">
        <f t="shared" si="95"/>
        <v>6.7295555628405335E-2</v>
      </c>
      <c r="BY128" s="25">
        <f t="shared" si="96"/>
        <v>4.6837675067197028E-3</v>
      </c>
      <c r="BZ128" s="25">
        <f t="shared" si="97"/>
        <v>7.9809697069772311E-9</v>
      </c>
      <c r="CA128" s="25">
        <f t="shared" si="98"/>
        <v>0</v>
      </c>
      <c r="CB128" s="25">
        <f t="shared" si="99"/>
        <v>7.1979331116094739E-2</v>
      </c>
      <c r="CC128" s="5" t="str">
        <f t="shared" si="100"/>
        <v>OK</v>
      </c>
      <c r="CD128" s="5">
        <f t="shared" si="101"/>
        <v>87.805402509844015</v>
      </c>
      <c r="CE128" s="5">
        <f t="shared" si="102"/>
        <v>29.158726455153193</v>
      </c>
      <c r="CF128" s="5">
        <f t="shared" si="103"/>
        <v>2.9248163326364334</v>
      </c>
      <c r="CG128" s="5">
        <f t="shared" si="104"/>
        <v>0.97128328026682387</v>
      </c>
      <c r="CH128" s="5">
        <f t="shared" si="105"/>
        <v>6.959995296840514E-2</v>
      </c>
      <c r="CI128" s="68">
        <f>_xll.DCETCVN5575PhuLucD2Eta(BP128,CH128,CF128)</f>
        <v>1.5168522108995151</v>
      </c>
      <c r="CJ128" s="5">
        <f t="shared" si="106"/>
        <v>0.1055728425386276</v>
      </c>
      <c r="CK128" s="5">
        <f>MIN(noisuy2chieu(CJ128,CF128,Data!$DA$2:$EB$24),1)</f>
        <v>0.67567688226699829</v>
      </c>
      <c r="CL128" s="102">
        <f t="shared" si="107"/>
        <v>9.9597244473746932E-2</v>
      </c>
      <c r="CM128" s="5" t="str">
        <f t="shared" si="108"/>
        <v>OK</v>
      </c>
      <c r="CN128" s="5">
        <f t="shared" si="109"/>
        <v>0.90492218941026858</v>
      </c>
      <c r="CO128" s="5">
        <f t="shared" si="110"/>
        <v>0.5370345235716667</v>
      </c>
      <c r="CP128" s="25">
        <f>_xll.DCETCVNPhuLucFHeSoOnDinh(1, 0.2, AG128, AH128, AI128, AJ128, AI128, AJ128, $D$28)</f>
        <v>1</v>
      </c>
      <c r="CQ128" s="68">
        <f t="shared" si="111"/>
        <v>0.9</v>
      </c>
      <c r="CR128" s="68">
        <f t="shared" si="112"/>
        <v>1</v>
      </c>
      <c r="CS128" s="5">
        <f t="shared" si="113"/>
        <v>0.18181818181818182</v>
      </c>
      <c r="CT128" s="5">
        <f t="shared" si="114"/>
        <v>9.9510191986788829E-2</v>
      </c>
      <c r="CU128" s="26">
        <f t="shared" si="115"/>
        <v>20.111577086084161</v>
      </c>
      <c r="CV128" s="5"/>
      <c r="CW128" s="25"/>
      <c r="CX128" s="72">
        <f>MAX(_xll.Dce_c_925(CU128, CQ128, CR128, CN128, CP128, CS128, CT128),0.3)</f>
        <v>0.3</v>
      </c>
      <c r="CY128" s="102">
        <f t="shared" si="116"/>
        <v>0.24788707955933531</v>
      </c>
      <c r="CZ128" s="5" t="str">
        <f t="shared" si="117"/>
        <v>OK</v>
      </c>
      <c r="DA128" s="47">
        <f t="shared" si="118"/>
        <v>0.34499859601035404</v>
      </c>
      <c r="DB128" s="46">
        <f t="shared" si="119"/>
        <v>0.45712832802668235</v>
      </c>
      <c r="DC128" s="5" t="str">
        <f t="shared" si="120"/>
        <v>OK</v>
      </c>
      <c r="DD128" s="5">
        <f t="shared" si="121"/>
        <v>2.9248163326364334</v>
      </c>
      <c r="DE128" s="5">
        <f t="shared" si="122"/>
        <v>1.6655104634982609</v>
      </c>
      <c r="DF128" s="5" t="str">
        <f t="shared" si="123"/>
        <v>-</v>
      </c>
      <c r="DG128" s="5" t="str">
        <f t="shared" si="124"/>
        <v>-</v>
      </c>
      <c r="DH128" s="203" t="str">
        <f t="shared" si="125"/>
        <v>-</v>
      </c>
      <c r="DI128" s="203">
        <f t="shared" si="126"/>
        <v>180</v>
      </c>
      <c r="DJ128" s="46">
        <f t="shared" si="127"/>
        <v>0</v>
      </c>
      <c r="DK128" s="5" t="str">
        <f t="shared" si="128"/>
        <v>OK</v>
      </c>
      <c r="EB128" s="18"/>
      <c r="EC128" s="77"/>
      <c r="ED128" s="77"/>
      <c r="EE128" s="18"/>
      <c r="EF128" s="18"/>
      <c r="EG128" s="18"/>
      <c r="EH128" s="5"/>
      <c r="EI128" s="5"/>
      <c r="EJ128" s="5"/>
      <c r="EK128" s="5"/>
      <c r="EL128" s="5"/>
      <c r="FE128" s="26"/>
      <c r="FF128" s="26"/>
      <c r="FG128" s="26"/>
      <c r="FH128" s="26"/>
      <c r="FI128" s="26"/>
      <c r="FJ128" s="26"/>
      <c r="FK128" s="26"/>
      <c r="FL128" s="26"/>
      <c r="FM128" s="26"/>
      <c r="FN128" s="205"/>
      <c r="FO128" s="205"/>
      <c r="FP128" s="205"/>
      <c r="FQ128" s="205"/>
      <c r="FR128" s="205"/>
      <c r="FS128" s="205"/>
      <c r="FT128" s="205"/>
      <c r="FU128" s="77"/>
      <c r="FV128" s="77"/>
      <c r="FW128" s="77"/>
      <c r="FX128" s="205"/>
      <c r="FY128" s="205"/>
      <c r="FZ128" s="205"/>
      <c r="GA128" s="205"/>
      <c r="GB128" s="205"/>
      <c r="GC128" s="205"/>
      <c r="GD128" s="205"/>
      <c r="GE128" s="205"/>
      <c r="GF128" s="205"/>
      <c r="GG128" s="205"/>
      <c r="GH128" s="205"/>
      <c r="GI128" s="205"/>
      <c r="GJ128" s="205"/>
      <c r="GK128" s="205"/>
      <c r="GL128" s="205"/>
      <c r="GM128" s="205"/>
      <c r="GN128" s="205"/>
      <c r="GO128" s="205"/>
      <c r="GP128" s="205"/>
      <c r="GQ128" s="205"/>
      <c r="GR128" s="205"/>
      <c r="GS128" s="205"/>
      <c r="GT128" s="205"/>
      <c r="GU128" s="205"/>
      <c r="GV128" s="18"/>
      <c r="GW128" s="5"/>
      <c r="GX128" s="5"/>
      <c r="GY128" s="77"/>
      <c r="GZ128" s="18"/>
      <c r="HA128" s="18"/>
      <c r="HB128" s="18"/>
      <c r="HC128" s="18"/>
      <c r="HD128" s="18"/>
      <c r="HE128" s="18"/>
      <c r="HF128" s="18"/>
      <c r="HG128" s="18"/>
      <c r="HH128" s="205"/>
      <c r="HI128" s="26"/>
      <c r="HJ128" s="26"/>
      <c r="HK128" s="5"/>
    </row>
    <row r="129" spans="2:219">
      <c r="B129" s="168">
        <v>10</v>
      </c>
      <c r="C129" s="169">
        <f>IF(M99&lt;2,1.3+0.15*M99^2,MIN(1.2+0.35*M99,3.1))</f>
        <v>1.5346149730788992</v>
      </c>
      <c r="AA129" s="18" t="s">
        <v>488</v>
      </c>
      <c r="AB129" s="22" t="s">
        <v>490</v>
      </c>
      <c r="AC129" s="59">
        <v>3.6405952380952398</v>
      </c>
      <c r="AD129" s="59">
        <v>8.6549999999999994</v>
      </c>
      <c r="AE129" s="22">
        <v>528</v>
      </c>
      <c r="AF129" s="22">
        <v>1528</v>
      </c>
      <c r="AG129" s="22">
        <v>948.63492063492095</v>
      </c>
      <c r="AH129" s="6">
        <v>10</v>
      </c>
      <c r="AI129" s="6">
        <v>300</v>
      </c>
      <c r="AJ129" s="6">
        <v>14</v>
      </c>
      <c r="AK129" s="24">
        <v>300</v>
      </c>
      <c r="AL129" s="24">
        <v>14</v>
      </c>
      <c r="AM129" s="5">
        <f t="shared" si="73"/>
        <v>920.63492063492095</v>
      </c>
      <c r="AN129" s="26">
        <f t="shared" si="74"/>
        <v>176.06349206349208</v>
      </c>
      <c r="AO129" s="26">
        <f t="shared" si="75"/>
        <v>248482.7399356656</v>
      </c>
      <c r="AP129" s="15">
        <f t="shared" si="76"/>
        <v>6307.6719576719579</v>
      </c>
      <c r="AQ129" s="5">
        <f t="shared" si="77"/>
        <v>5238.7432621467533</v>
      </c>
      <c r="AR129" s="26">
        <f t="shared" si="78"/>
        <v>420.51146384479722</v>
      </c>
      <c r="AS129" s="26">
        <f t="shared" si="79"/>
        <v>3022.1941546989178</v>
      </c>
      <c r="AT129" s="26">
        <f t="shared" si="80"/>
        <v>37.567600585756203</v>
      </c>
      <c r="AU129" s="26">
        <f t="shared" si="81"/>
        <v>5.9854925384629922</v>
      </c>
      <c r="AV129" s="95">
        <f t="shared" si="82"/>
        <v>8.6034497354497351E-7</v>
      </c>
      <c r="AW129" s="95">
        <f t="shared" si="83"/>
        <v>13758293.349206358</v>
      </c>
      <c r="AX129" s="95">
        <f t="shared" si="84"/>
        <v>1.3758293349206359E-5</v>
      </c>
      <c r="AY129" s="54">
        <f t="shared" si="85"/>
        <v>0.1548581140202015</v>
      </c>
      <c r="AZ129" s="54" t="str">
        <f>_xll.Dce_Name_SectI(AE129,AF129,AI129,AH129,AJ129,"x","-",$O$11)</f>
        <v>(528-1528)x300x10x14</v>
      </c>
      <c r="BA129" s="15">
        <f t="shared" si="86"/>
        <v>700.97619047619071</v>
      </c>
      <c r="BB129" s="54"/>
      <c r="BC129" s="54"/>
      <c r="BD129" s="22" t="s">
        <v>503</v>
      </c>
      <c r="BE129" s="23">
        <v>-190.70432389048557</v>
      </c>
      <c r="BF129" s="23">
        <v>-201.39767782575763</v>
      </c>
      <c r="BG129" s="23">
        <v>7.5938770016573879E-4</v>
      </c>
      <c r="BH129" s="23">
        <v>-1.0606449428022572E-5</v>
      </c>
      <c r="BI129" s="23">
        <v>-2.7718623271165846E-3</v>
      </c>
      <c r="BJ129" s="23">
        <v>737.18884928863145</v>
      </c>
      <c r="BK129" s="23">
        <v>733.72891642752393</v>
      </c>
      <c r="BL129" s="92">
        <v>2.25</v>
      </c>
      <c r="BM129" s="91">
        <v>2</v>
      </c>
      <c r="BN129" s="5">
        <f t="shared" si="87"/>
        <v>19.473749999999999</v>
      </c>
      <c r="BO129" s="54">
        <f>_xll.Bimoment(BH129,AY129,AC129,AD129,$O$101)</f>
        <v>8.1570667319094453E-5</v>
      </c>
      <c r="BP129" s="5">
        <f t="shared" si="88"/>
        <v>0.45620689655172403</v>
      </c>
      <c r="BQ129" s="5">
        <f t="shared" si="89"/>
        <v>16.125628815358041</v>
      </c>
      <c r="BR129" s="24" t="str">
        <f t="shared" si="90"/>
        <v>Cal</v>
      </c>
      <c r="BS129" s="25">
        <f t="shared" si="91"/>
        <v>4.7388098875148832E-2</v>
      </c>
      <c r="BT129" s="25" t="str">
        <f t="shared" si="92"/>
        <v>CT.105</v>
      </c>
      <c r="BU129" s="25">
        <f t="shared" si="93"/>
        <v>1</v>
      </c>
      <c r="BV129" s="25" cm="1">
        <f t="array" ref="BV129">IF(BT129="CT.104",_xll.TCVN5575AnnexEHeSoCx(1,BP129),1)</f>
        <v>1</v>
      </c>
      <c r="BW129" s="25">
        <f t="shared" si="94"/>
        <v>1</v>
      </c>
      <c r="BX129" s="25">
        <f t="shared" si="95"/>
        <v>4.9882209342261924E-2</v>
      </c>
      <c r="BY129" s="25">
        <f t="shared" si="96"/>
        <v>0.64804638787520108</v>
      </c>
      <c r="BZ129" s="25">
        <f t="shared" si="97"/>
        <v>3.0356260295766283E-5</v>
      </c>
      <c r="CA129" s="25">
        <f t="shared" si="98"/>
        <v>1.9139349324216933E-6</v>
      </c>
      <c r="CB129" s="25">
        <f t="shared" si="99"/>
        <v>0.69796086741269125</v>
      </c>
      <c r="CC129" s="5" t="str">
        <f t="shared" si="100"/>
        <v>OK</v>
      </c>
      <c r="CD129" s="5">
        <f t="shared" si="101"/>
        <v>51.836555160202302</v>
      </c>
      <c r="CE129" s="5">
        <f t="shared" si="102"/>
        <v>33.414125690541383</v>
      </c>
      <c r="CF129" s="5">
        <f t="shared" si="103"/>
        <v>1.7266865002204341</v>
      </c>
      <c r="CG129" s="5">
        <f t="shared" si="104"/>
        <v>1.1130315193248546</v>
      </c>
      <c r="CH129" s="5">
        <f t="shared" si="105"/>
        <v>12.991533382747617</v>
      </c>
      <c r="CI129" s="68">
        <f>_xll.DCETCVN5575PhuLucD2Eta(BP129,CH129,CF129)</f>
        <v>1.2412413793103447</v>
      </c>
      <c r="CJ129" s="5">
        <f t="shared" si="106"/>
        <v>16.125628815358041</v>
      </c>
      <c r="CK129" s="5">
        <f>MIN(noisuy2chieu(CJ129,CF129,Data!$DA$2:$EB$24),1)</f>
        <v>8.5330367088317871E-2</v>
      </c>
      <c r="CL129" s="102">
        <f t="shared" si="107"/>
        <v>0.58457746104189723</v>
      </c>
      <c r="CM129" s="5" t="str">
        <f t="shared" si="108"/>
        <v>OK</v>
      </c>
      <c r="CN129" s="5">
        <f t="shared" si="109"/>
        <v>0.88472625978979058</v>
      </c>
      <c r="CO129" s="5">
        <f t="shared" si="110"/>
        <v>0.5370345235716667</v>
      </c>
      <c r="CP129" s="25">
        <f>_xll.DCETCVNPhuLucFHeSoOnDinh(1, 0.2, AG129, AH129, AI129, AJ129, AI129, AJ129, $D$28)</f>
        <v>1</v>
      </c>
      <c r="CQ129" s="68">
        <f t="shared" si="111"/>
        <v>0.9</v>
      </c>
      <c r="CR129" s="68">
        <f t="shared" si="112"/>
        <v>1</v>
      </c>
      <c r="CS129" s="5">
        <f t="shared" si="113"/>
        <v>0.18181818181818182</v>
      </c>
      <c r="CT129" s="5">
        <f t="shared" si="114"/>
        <v>0.10155106457844131</v>
      </c>
      <c r="CU129" s="26">
        <f t="shared" si="115"/>
        <v>12.930558731122709</v>
      </c>
      <c r="CV129" s="5"/>
      <c r="CW129" s="25"/>
      <c r="CX129" s="72">
        <f>MAX(_xll.Dce_c_925(CU129, CQ129, CR129, CN129, CP129, CS129, CT129),0.3)</f>
        <v>0.3</v>
      </c>
      <c r="CY129" s="102">
        <f t="shared" si="116"/>
        <v>0.18793839258301154</v>
      </c>
      <c r="CZ129" s="5" t="str">
        <f t="shared" si="117"/>
        <v>OK</v>
      </c>
      <c r="DA129" s="47">
        <f t="shared" si="118"/>
        <v>0.34499859601035404</v>
      </c>
      <c r="DB129" s="46">
        <f t="shared" si="119"/>
        <v>0.47130315193248545</v>
      </c>
      <c r="DC129" s="5" t="str">
        <f t="shared" si="120"/>
        <v>OK</v>
      </c>
      <c r="DD129" s="5">
        <f t="shared" si="121"/>
        <v>1.7266865002204341</v>
      </c>
      <c r="DE129" s="5">
        <f t="shared" si="122"/>
        <v>3.0666541867587034</v>
      </c>
      <c r="DF129" s="5" t="str">
        <f t="shared" si="123"/>
        <v>-</v>
      </c>
      <c r="DG129" s="5" t="str">
        <f t="shared" si="124"/>
        <v>-</v>
      </c>
      <c r="DH129" s="203">
        <f t="shared" si="125"/>
        <v>51.836555160202302</v>
      </c>
      <c r="DI129" s="203">
        <f t="shared" si="126"/>
        <v>174.92535233748617</v>
      </c>
      <c r="DJ129" s="46">
        <f t="shared" si="127"/>
        <v>0.29633529083990773</v>
      </c>
      <c r="DK129" s="5" t="str">
        <f t="shared" si="128"/>
        <v>OK</v>
      </c>
      <c r="EB129" s="18"/>
      <c r="EC129" s="77"/>
      <c r="ED129" s="77"/>
      <c r="EE129" s="18"/>
      <c r="EF129" s="18"/>
      <c r="EG129" s="18"/>
      <c r="EH129" s="5"/>
      <c r="EI129" s="5"/>
      <c r="EJ129" s="5"/>
      <c r="EK129" s="5"/>
      <c r="EL129" s="5"/>
      <c r="FE129" s="26"/>
      <c r="FF129" s="26"/>
      <c r="FG129" s="26"/>
      <c r="FH129" s="26"/>
      <c r="FI129" s="26"/>
      <c r="FJ129" s="26"/>
      <c r="FK129" s="26"/>
      <c r="FL129" s="26"/>
      <c r="FM129" s="26"/>
      <c r="FN129" s="205"/>
      <c r="FO129" s="205"/>
      <c r="FP129" s="205"/>
      <c r="FQ129" s="205"/>
      <c r="FR129" s="205"/>
      <c r="FS129" s="205"/>
      <c r="FT129" s="205"/>
      <c r="FU129" s="77"/>
      <c r="FV129" s="77"/>
      <c r="FW129" s="77"/>
      <c r="FX129" s="205"/>
      <c r="FY129" s="205"/>
      <c r="FZ129" s="205"/>
      <c r="GA129" s="205"/>
      <c r="GB129" s="205"/>
      <c r="GC129" s="205"/>
      <c r="GD129" s="205"/>
      <c r="GE129" s="205"/>
      <c r="GF129" s="205"/>
      <c r="GG129" s="205"/>
      <c r="GH129" s="205"/>
      <c r="GI129" s="205"/>
      <c r="GJ129" s="205"/>
      <c r="GK129" s="205"/>
      <c r="GL129" s="205"/>
      <c r="GM129" s="205"/>
      <c r="GN129" s="205"/>
      <c r="GO129" s="205"/>
      <c r="GP129" s="205"/>
      <c r="GQ129" s="205"/>
      <c r="GR129" s="205"/>
      <c r="GS129" s="205"/>
      <c r="GT129" s="205"/>
      <c r="GU129" s="205"/>
      <c r="GV129" s="18"/>
      <c r="GW129" s="5"/>
      <c r="GX129" s="5"/>
      <c r="GY129" s="77"/>
      <c r="GZ129" s="18"/>
      <c r="HA129" s="18"/>
      <c r="HB129" s="18"/>
      <c r="HC129" s="18"/>
      <c r="HD129" s="18"/>
      <c r="HE129" s="18"/>
      <c r="HF129" s="18"/>
      <c r="HG129" s="18"/>
      <c r="HH129" s="205"/>
      <c r="HI129" s="26"/>
      <c r="HJ129" s="26"/>
      <c r="HK129" s="5"/>
    </row>
    <row r="130" spans="2:219">
      <c r="B130" s="168">
        <v>20</v>
      </c>
      <c r="C130" s="60">
        <f>MAX(C129,3.5)</f>
        <v>3.5</v>
      </c>
      <c r="AA130" s="18" t="s">
        <v>488</v>
      </c>
      <c r="AB130" s="22" t="s">
        <v>490</v>
      </c>
      <c r="AC130" s="59">
        <v>7.2811904761904795</v>
      </c>
      <c r="AD130" s="59">
        <v>8.6549999999999994</v>
      </c>
      <c r="AE130" s="22">
        <v>528</v>
      </c>
      <c r="AF130" s="22">
        <v>1528</v>
      </c>
      <c r="AG130" s="22">
        <v>1369.2698412698419</v>
      </c>
      <c r="AH130" s="6">
        <v>10</v>
      </c>
      <c r="AI130" s="6">
        <v>300</v>
      </c>
      <c r="AJ130" s="6">
        <v>14</v>
      </c>
      <c r="AK130" s="24">
        <v>300</v>
      </c>
      <c r="AL130" s="24">
        <v>14</v>
      </c>
      <c r="AM130" s="5">
        <f t="shared" si="73"/>
        <v>1341.2698412698419</v>
      </c>
      <c r="AN130" s="26">
        <f t="shared" si="74"/>
        <v>218.12698412698418</v>
      </c>
      <c r="AO130" s="26">
        <f t="shared" si="75"/>
        <v>586811.79072745051</v>
      </c>
      <c r="AP130" s="15">
        <f t="shared" si="76"/>
        <v>6311.1772486772488</v>
      </c>
      <c r="AQ130" s="5">
        <f t="shared" si="77"/>
        <v>8571.1635945074104</v>
      </c>
      <c r="AR130" s="26">
        <f t="shared" si="78"/>
        <v>420.74514991181661</v>
      </c>
      <c r="AS130" s="26">
        <f t="shared" si="79"/>
        <v>5094.8226505417015</v>
      </c>
      <c r="AT130" s="26">
        <f t="shared" si="80"/>
        <v>51.867428670398397</v>
      </c>
      <c r="AU130" s="26">
        <f t="shared" si="81"/>
        <v>5.3789869588463937</v>
      </c>
      <c r="AV130" s="95">
        <f t="shared" si="82"/>
        <v>1.0005566137566139E-6</v>
      </c>
      <c r="AW130" s="95">
        <f t="shared" si="83"/>
        <v>28928912.396825422</v>
      </c>
      <c r="AX130" s="95">
        <f t="shared" si="84"/>
        <v>2.8928912396825422E-5</v>
      </c>
      <c r="AY130" s="54">
        <f t="shared" si="85"/>
        <v>0.11516876660535029</v>
      </c>
      <c r="AZ130" s="54" t="str">
        <f>_xll.Dce_Name_SectI(AE130,AF130,AI130,AH130,AJ130,"x","-",$O$11)</f>
        <v>(528-1528)x300x10x14</v>
      </c>
      <c r="BA130" s="15">
        <f t="shared" si="86"/>
        <v>1016.4523809523813</v>
      </c>
      <c r="BB130" s="54"/>
      <c r="BC130" s="54"/>
      <c r="BD130" s="22" t="s">
        <v>503</v>
      </c>
      <c r="BE130" s="23">
        <v>-184.05637245342734</v>
      </c>
      <c r="BF130" s="23">
        <v>-198.85848554363221</v>
      </c>
      <c r="BG130" s="23">
        <v>7.593877001658947E-4</v>
      </c>
      <c r="BH130" s="23">
        <v>-1.0606449428022572E-5</v>
      </c>
      <c r="BI130" s="23">
        <v>-5.5429963084046505E-3</v>
      </c>
      <c r="BJ130" s="23">
        <v>1467.4578328550479</v>
      </c>
      <c r="BK130" s="23">
        <v>733.72891642752393</v>
      </c>
      <c r="BL130" s="92">
        <v>2.25</v>
      </c>
      <c r="BM130" s="91">
        <v>2</v>
      </c>
      <c r="BN130" s="5">
        <f t="shared" si="87"/>
        <v>19.473749999999999</v>
      </c>
      <c r="BO130" s="54">
        <f>_xll.Bimoment(BH130,AY130,AC130,AD130,$O$101)</f>
        <v>4.8521010401597144E-5</v>
      </c>
      <c r="BP130" s="5">
        <f t="shared" si="88"/>
        <v>0.31313609467455605</v>
      </c>
      <c r="BQ130" s="5">
        <f t="shared" si="89"/>
        <v>24.604338599532337</v>
      </c>
      <c r="BR130" s="24" t="str">
        <f t="shared" si="90"/>
        <v>Cal</v>
      </c>
      <c r="BS130" s="25">
        <f t="shared" si="91"/>
        <v>3.6916415119688475E-2</v>
      </c>
      <c r="BT130" s="25" t="str">
        <f t="shared" si="92"/>
        <v>CT.105</v>
      </c>
      <c r="BU130" s="25">
        <f t="shared" si="93"/>
        <v>1</v>
      </c>
      <c r="BV130" s="25" cm="1">
        <f t="array" ref="BV130">IF(BT130="CT.104",_xll.TCVN5575AnnexEHeSoCx(1,BP130),1)</f>
        <v>1</v>
      </c>
      <c r="BW130" s="25">
        <f t="shared" si="94"/>
        <v>1</v>
      </c>
      <c r="BX130" s="25">
        <f t="shared" si="95"/>
        <v>3.8859384336514181E-2</v>
      </c>
      <c r="BY130" s="25">
        <f t="shared" si="96"/>
        <v>0.78846114869888839</v>
      </c>
      <c r="BZ130" s="25">
        <f t="shared" si="97"/>
        <v>6.0670828145713938E-5</v>
      </c>
      <c r="CA130" s="25">
        <f t="shared" si="98"/>
        <v>7.851257463621228E-7</v>
      </c>
      <c r="CB130" s="25">
        <f t="shared" si="99"/>
        <v>0.82738198898929471</v>
      </c>
      <c r="CC130" s="5" t="str">
        <f t="shared" si="100"/>
        <v>OK</v>
      </c>
      <c r="CD130" s="5">
        <f t="shared" si="101"/>
        <v>37.545238889226049</v>
      </c>
      <c r="CE130" s="5">
        <f t="shared" si="102"/>
        <v>37.181722419139881</v>
      </c>
      <c r="CF130" s="5">
        <f t="shared" si="103"/>
        <v>1.2506397644909562</v>
      </c>
      <c r="CG130" s="5">
        <f t="shared" si="104"/>
        <v>1.2385309547993069</v>
      </c>
      <c r="CH130" s="5">
        <f t="shared" si="105"/>
        <v>20.290109124503328</v>
      </c>
      <c r="CI130" s="68">
        <f>_xll.DCETCVN5575PhuLucD2Eta(BP130,CH130,CF130)</f>
        <v>1.2126272189349112</v>
      </c>
      <c r="CJ130" s="5">
        <f t="shared" si="106"/>
        <v>24.604338599532337</v>
      </c>
      <c r="CK130" s="5">
        <f>MIN(noisuy2chieu(CJ130,CF130,Data!$DA$2:$EB$24),1)</f>
        <v>7.1994885802268982E-2</v>
      </c>
      <c r="CL130" s="102">
        <f t="shared" si="107"/>
        <v>0.53975201020861263</v>
      </c>
      <c r="CM130" s="5" t="str">
        <f t="shared" si="108"/>
        <v>OK</v>
      </c>
      <c r="CN130" s="5">
        <f t="shared" si="109"/>
        <v>0.86643683692746631</v>
      </c>
      <c r="CO130" s="5">
        <f t="shared" si="110"/>
        <v>0.5370345235716667</v>
      </c>
      <c r="CP130" s="25">
        <f>_xll.DCETCVNPhuLucFHeSoOnDinh(1, 0.2, AG130, AH130, AI130, AJ130, AI130, AJ130, $D$28)</f>
        <v>1</v>
      </c>
      <c r="CQ130" s="68">
        <f t="shared" si="111"/>
        <v>0.9</v>
      </c>
      <c r="CR130" s="68">
        <f t="shared" si="112"/>
        <v>1</v>
      </c>
      <c r="CS130" s="5">
        <f t="shared" si="113"/>
        <v>0.18181818181818182</v>
      </c>
      <c r="CT130" s="5">
        <f t="shared" si="114"/>
        <v>0.10347287704587492</v>
      </c>
      <c r="CU130" s="26">
        <f t="shared" si="115"/>
        <v>10.145054562251664</v>
      </c>
      <c r="CV130" s="5"/>
      <c r="CW130" s="25"/>
      <c r="CX130" s="72">
        <f>MAX(_xll.Dce_c_925(CU130, CQ130, CR130, CN130, CP130, CS130, CT130),0.3)</f>
        <v>0.3</v>
      </c>
      <c r="CY130" s="102">
        <f t="shared" si="116"/>
        <v>0.14949881584104172</v>
      </c>
      <c r="CZ130" s="5" t="str">
        <f t="shared" si="117"/>
        <v>OK</v>
      </c>
      <c r="DA130" s="47">
        <f t="shared" si="118"/>
        <v>0.34499859601035404</v>
      </c>
      <c r="DB130" s="46">
        <f t="shared" si="119"/>
        <v>0.48385309547993066</v>
      </c>
      <c r="DC130" s="5" t="str">
        <f t="shared" si="120"/>
        <v>OK</v>
      </c>
      <c r="DD130" s="5">
        <f t="shared" si="121"/>
        <v>1.2506397644909562</v>
      </c>
      <c r="DE130" s="5">
        <f t="shared" si="122"/>
        <v>4.4677979100191463</v>
      </c>
      <c r="DF130" s="5" t="str">
        <f t="shared" si="123"/>
        <v>-</v>
      </c>
      <c r="DG130" s="5" t="str">
        <f t="shared" si="124"/>
        <v>-</v>
      </c>
      <c r="DH130" s="203">
        <f t="shared" si="125"/>
        <v>37.545238889226049</v>
      </c>
      <c r="DI130" s="203">
        <f t="shared" si="126"/>
        <v>177.61487938748326</v>
      </c>
      <c r="DJ130" s="46">
        <f t="shared" si="127"/>
        <v>0.21138566216244556</v>
      </c>
      <c r="DK130" s="5" t="str">
        <f t="shared" si="128"/>
        <v>OK</v>
      </c>
      <c r="EB130" s="18"/>
      <c r="EC130" s="77"/>
      <c r="ED130" s="77"/>
      <c r="EE130" s="18"/>
      <c r="EF130" s="18"/>
      <c r="EG130" s="18"/>
      <c r="EH130" s="5"/>
      <c r="EI130" s="5"/>
      <c r="EJ130" s="5"/>
      <c r="EK130" s="5"/>
      <c r="EL130" s="5"/>
      <c r="FE130" s="26"/>
      <c r="FF130" s="26"/>
      <c r="FG130" s="26"/>
      <c r="FH130" s="26"/>
      <c r="FI130" s="26"/>
      <c r="FJ130" s="26"/>
      <c r="FK130" s="26"/>
      <c r="FL130" s="26"/>
      <c r="FM130" s="26"/>
      <c r="FN130" s="205"/>
      <c r="FO130" s="205"/>
      <c r="FP130" s="205"/>
      <c r="FQ130" s="205"/>
      <c r="FR130" s="205"/>
      <c r="FS130" s="205"/>
      <c r="FT130" s="205"/>
      <c r="FU130" s="77"/>
      <c r="FV130" s="77"/>
      <c r="FW130" s="77"/>
      <c r="FX130" s="205"/>
      <c r="FY130" s="205"/>
      <c r="FZ130" s="205"/>
      <c r="GA130" s="205"/>
      <c r="GB130" s="205"/>
      <c r="GC130" s="205"/>
      <c r="GD130" s="205"/>
      <c r="GE130" s="205"/>
      <c r="GF130" s="205"/>
      <c r="GG130" s="205"/>
      <c r="GH130" s="205"/>
      <c r="GI130" s="205"/>
      <c r="GJ130" s="205"/>
      <c r="GK130" s="205"/>
      <c r="GL130" s="205"/>
      <c r="GM130" s="205"/>
      <c r="GN130" s="205"/>
      <c r="GO130" s="205"/>
      <c r="GP130" s="205"/>
      <c r="GQ130" s="205"/>
      <c r="GR130" s="205"/>
      <c r="GS130" s="205"/>
      <c r="GT130" s="205"/>
      <c r="GU130" s="205"/>
      <c r="GV130" s="18"/>
      <c r="GW130" s="5"/>
      <c r="GX130" s="5"/>
      <c r="GY130" s="77"/>
      <c r="GZ130" s="18"/>
      <c r="HA130" s="18"/>
      <c r="HB130" s="18"/>
      <c r="HC130" s="18"/>
      <c r="HD130" s="18"/>
      <c r="HE130" s="18"/>
      <c r="HF130" s="18"/>
      <c r="HG130" s="18"/>
      <c r="HH130" s="205"/>
      <c r="HI130" s="26"/>
      <c r="HJ130" s="26"/>
      <c r="HK130" s="5"/>
    </row>
    <row r="131" spans="2:219">
      <c r="B131" s="230">
        <f>L99</f>
        <v>19.48764348492994</v>
      </c>
      <c r="C131" s="168" cm="1">
        <f t="array" ref="C131">noisuy1chieu(L99,$B$127:$B$130,$C$127:$C$130)</f>
        <v>3.3993022441864014</v>
      </c>
      <c r="AA131" s="18" t="s">
        <v>488</v>
      </c>
      <c r="AB131" s="22" t="s">
        <v>490</v>
      </c>
      <c r="AC131" s="59">
        <v>0</v>
      </c>
      <c r="AD131" s="59">
        <v>8.6549999999999994</v>
      </c>
      <c r="AE131" s="22">
        <v>528</v>
      </c>
      <c r="AF131" s="22">
        <v>1528</v>
      </c>
      <c r="AG131" s="22">
        <v>528</v>
      </c>
      <c r="AH131" s="6">
        <v>10</v>
      </c>
      <c r="AI131" s="6">
        <v>300</v>
      </c>
      <c r="AJ131" s="6">
        <v>14</v>
      </c>
      <c r="AK131" s="24">
        <v>300</v>
      </c>
      <c r="AL131" s="24">
        <v>14</v>
      </c>
      <c r="AM131" s="5">
        <f t="shared" si="73"/>
        <v>500</v>
      </c>
      <c r="AN131" s="26">
        <f t="shared" si="74"/>
        <v>134</v>
      </c>
      <c r="AO131" s="26">
        <f t="shared" si="75"/>
        <v>65911.546666666676</v>
      </c>
      <c r="AP131" s="15">
        <f t="shared" si="76"/>
        <v>6304.166666666667</v>
      </c>
      <c r="AQ131" s="5">
        <f t="shared" si="77"/>
        <v>2496.6494949494954</v>
      </c>
      <c r="AR131" s="26">
        <f t="shared" si="78"/>
        <v>420.27777777777777</v>
      </c>
      <c r="AS131" s="26">
        <f t="shared" si="79"/>
        <v>1391.9</v>
      </c>
      <c r="AT131" s="26">
        <f t="shared" si="80"/>
        <v>22.178305028345793</v>
      </c>
      <c r="AU131" s="26">
        <f t="shared" si="81"/>
        <v>6.8590101254115021</v>
      </c>
      <c r="AV131" s="95">
        <f t="shared" si="82"/>
        <v>7.201333333333334E-7</v>
      </c>
      <c r="AW131" s="95">
        <f t="shared" si="83"/>
        <v>4161087</v>
      </c>
      <c r="AX131" s="95">
        <f t="shared" si="84"/>
        <v>4.1610870000000001E-6</v>
      </c>
      <c r="AY131" s="54">
        <f t="shared" si="85"/>
        <v>0.25762202780669918</v>
      </c>
      <c r="AZ131" s="54" t="str">
        <f>_xll.Dce_Name_SectI(AE131,AF131,AI131,AH131,AJ131,"x","-",$O$11)</f>
        <v>(528-1528)x300x10x14</v>
      </c>
      <c r="BA131" s="15">
        <f t="shared" si="86"/>
        <v>385.5</v>
      </c>
      <c r="BB131" s="54"/>
      <c r="BC131" s="54"/>
      <c r="BD131" s="22" t="s">
        <v>504</v>
      </c>
      <c r="BE131" s="23">
        <v>-77.735425213923747</v>
      </c>
      <c r="BF131" s="23">
        <v>-79.958341457645872</v>
      </c>
      <c r="BG131" s="23">
        <v>-1.2813800751771819E-3</v>
      </c>
      <c r="BH131" s="23">
        <v>1.7897172896644126E-5</v>
      </c>
      <c r="BI131" s="23">
        <v>1.2290004598147776E-6</v>
      </c>
      <c r="BJ131" s="23">
        <v>-1.0090491742620222</v>
      </c>
      <c r="BK131" s="23">
        <v>223.93441987119331</v>
      </c>
      <c r="BL131" s="92">
        <v>2.25</v>
      </c>
      <c r="BM131" s="91">
        <v>2</v>
      </c>
      <c r="BN131" s="5">
        <f t="shared" si="87"/>
        <v>19.473749999999999</v>
      </c>
      <c r="BO131" s="54">
        <f>_xll.Bimoment(BH131,AY131,AC131,AD131,$O$101)</f>
        <v>0</v>
      </c>
      <c r="BP131" s="5">
        <f t="shared" si="88"/>
        <v>0.84</v>
      </c>
      <c r="BQ131" s="5">
        <f t="shared" si="89"/>
        <v>0.10567761949802641</v>
      </c>
      <c r="BR131" s="24" t="str">
        <f t="shared" si="90"/>
        <v>Cal</v>
      </c>
      <c r="BS131" s="25">
        <f t="shared" si="91"/>
        <v>2.5380036217232567E-2</v>
      </c>
      <c r="BT131" s="25" t="str">
        <f t="shared" si="92"/>
        <v>CT.105</v>
      </c>
      <c r="BU131" s="25">
        <f t="shared" si="93"/>
        <v>1</v>
      </c>
      <c r="BV131" s="25" cm="1">
        <f t="array" ref="BV131">IF(BT131="CT.104",_xll.TCVN5575AnnexEHeSoCx(1,BP131),1)</f>
        <v>1</v>
      </c>
      <c r="BW131" s="25">
        <f t="shared" si="94"/>
        <v>1</v>
      </c>
      <c r="BX131" s="25">
        <f t="shared" si="95"/>
        <v>2.6715827597086912E-2</v>
      </c>
      <c r="BY131" s="25">
        <f t="shared" si="96"/>
        <v>1.8612692715310442E-3</v>
      </c>
      <c r="BZ131" s="25">
        <f t="shared" si="97"/>
        <v>1.3466975504979824E-8</v>
      </c>
      <c r="CA131" s="25">
        <f t="shared" si="98"/>
        <v>0</v>
      </c>
      <c r="CB131" s="25">
        <f t="shared" si="99"/>
        <v>2.8577110335593459E-2</v>
      </c>
      <c r="CC131" s="5" t="str">
        <f t="shared" si="100"/>
        <v>OK</v>
      </c>
      <c r="CD131" s="5">
        <f t="shared" si="101"/>
        <v>87.805402509844015</v>
      </c>
      <c r="CE131" s="5">
        <f t="shared" si="102"/>
        <v>29.158726455153193</v>
      </c>
      <c r="CF131" s="5">
        <f t="shared" si="103"/>
        <v>2.9248163326364334</v>
      </c>
      <c r="CG131" s="5">
        <f t="shared" si="104"/>
        <v>0.97128328026682387</v>
      </c>
      <c r="CH131" s="5">
        <f t="shared" si="105"/>
        <v>6.96691601548588E-2</v>
      </c>
      <c r="CI131" s="68">
        <f>_xll.DCETCVN5575PhuLucD2Eta(BP131,CH131,CF131)</f>
        <v>1.5168493385470549</v>
      </c>
      <c r="CJ131" s="5">
        <f t="shared" si="106"/>
        <v>0.10567761949802641</v>
      </c>
      <c r="CK131" s="5">
        <f>MIN(noisuy2chieu(CJ131,CF131,Data!$DA$2:$EB$24),1)</f>
        <v>0.67562800645828247</v>
      </c>
      <c r="CL131" s="102">
        <f t="shared" si="107"/>
        <v>3.9542214564393607E-2</v>
      </c>
      <c r="CM131" s="5" t="str">
        <f t="shared" si="108"/>
        <v>OK</v>
      </c>
      <c r="CN131" s="5">
        <f t="shared" si="109"/>
        <v>0.90492218941026858</v>
      </c>
      <c r="CO131" s="5">
        <f t="shared" si="110"/>
        <v>0.5370345235716667</v>
      </c>
      <c r="CP131" s="25">
        <f>_xll.DCETCVNPhuLucFHeSoOnDinh(1, 0.2, AG131, AH131, AI131, AJ131, AI131, AJ131, $D$28)</f>
        <v>1</v>
      </c>
      <c r="CQ131" s="68">
        <f t="shared" si="111"/>
        <v>0.9</v>
      </c>
      <c r="CR131" s="68">
        <f t="shared" si="112"/>
        <v>1</v>
      </c>
      <c r="CS131" s="5">
        <f t="shared" si="113"/>
        <v>0.18181818181818182</v>
      </c>
      <c r="CT131" s="5">
        <f t="shared" si="114"/>
        <v>9.9510191986788829E-2</v>
      </c>
      <c r="CU131" s="26">
        <f t="shared" si="115"/>
        <v>15.461409969045102</v>
      </c>
      <c r="CV131" s="5"/>
      <c r="CW131" s="25"/>
      <c r="CX131" s="72">
        <f>MAX(_xll.Dce_c_925(CU131, CQ131, CR131, CN131, CP131, CS131, CT131),0.3)</f>
        <v>0.3</v>
      </c>
      <c r="CY131" s="102">
        <f t="shared" si="116"/>
        <v>9.8409299384062454E-2</v>
      </c>
      <c r="CZ131" s="5" t="str">
        <f t="shared" si="117"/>
        <v>OK</v>
      </c>
      <c r="DA131" s="47">
        <f t="shared" si="118"/>
        <v>0.34499859601035404</v>
      </c>
      <c r="DB131" s="46">
        <f t="shared" si="119"/>
        <v>0.45712832802668235</v>
      </c>
      <c r="DC131" s="5" t="str">
        <f t="shared" si="120"/>
        <v>OK</v>
      </c>
      <c r="DD131" s="5">
        <f t="shared" si="121"/>
        <v>2.9248163326364334</v>
      </c>
      <c r="DE131" s="5">
        <f t="shared" si="122"/>
        <v>1.6655104634982609</v>
      </c>
      <c r="DF131" s="5" t="str">
        <f t="shared" si="123"/>
        <v>-</v>
      </c>
      <c r="DG131" s="5" t="str">
        <f t="shared" si="124"/>
        <v>-</v>
      </c>
      <c r="DH131" s="203" t="str">
        <f t="shared" si="125"/>
        <v>-</v>
      </c>
      <c r="DI131" s="203">
        <f t="shared" si="126"/>
        <v>180</v>
      </c>
      <c r="DJ131" s="46">
        <f t="shared" si="127"/>
        <v>0</v>
      </c>
      <c r="DK131" s="5" t="str">
        <f t="shared" si="128"/>
        <v>OK</v>
      </c>
      <c r="EB131" s="18"/>
      <c r="EC131" s="77"/>
      <c r="ED131" s="77"/>
      <c r="EE131" s="18"/>
      <c r="EF131" s="18"/>
      <c r="EG131" s="18"/>
      <c r="EH131" s="5"/>
      <c r="EI131" s="5"/>
      <c r="EJ131" s="5"/>
      <c r="EK131" s="5"/>
      <c r="EL131" s="5"/>
      <c r="FE131" s="26"/>
      <c r="FF131" s="26"/>
      <c r="FG131" s="26"/>
      <c r="FH131" s="26"/>
      <c r="FI131" s="26"/>
      <c r="FJ131" s="26"/>
      <c r="FK131" s="26"/>
      <c r="FL131" s="26"/>
      <c r="FM131" s="26"/>
      <c r="FN131" s="205"/>
      <c r="FO131" s="205"/>
      <c r="FP131" s="205"/>
      <c r="FQ131" s="205"/>
      <c r="FR131" s="205"/>
      <c r="FS131" s="205"/>
      <c r="FT131" s="205"/>
      <c r="FU131" s="77"/>
      <c r="FV131" s="77"/>
      <c r="FW131" s="77"/>
      <c r="FX131" s="205"/>
      <c r="FY131" s="205"/>
      <c r="FZ131" s="205"/>
      <c r="GA131" s="205"/>
      <c r="GB131" s="205"/>
      <c r="GC131" s="205"/>
      <c r="GD131" s="205"/>
      <c r="GE131" s="205"/>
      <c r="GF131" s="205"/>
      <c r="GG131" s="205"/>
      <c r="GH131" s="205"/>
      <c r="GI131" s="205"/>
      <c r="GJ131" s="205"/>
      <c r="GK131" s="205"/>
      <c r="GL131" s="205"/>
      <c r="GM131" s="205"/>
      <c r="GN131" s="205"/>
      <c r="GO131" s="205"/>
      <c r="GP131" s="205"/>
      <c r="GQ131" s="205"/>
      <c r="GR131" s="205"/>
      <c r="GS131" s="205"/>
      <c r="GT131" s="205"/>
      <c r="GU131" s="205"/>
      <c r="GV131" s="18"/>
      <c r="GW131" s="5"/>
      <c r="GX131" s="5"/>
      <c r="GY131" s="77"/>
      <c r="GZ131" s="18"/>
      <c r="HA131" s="18"/>
      <c r="HB131" s="18"/>
      <c r="HC131" s="18"/>
      <c r="HD131" s="18"/>
      <c r="HE131" s="18"/>
      <c r="HF131" s="18"/>
      <c r="HG131" s="18"/>
      <c r="HH131" s="205"/>
      <c r="HI131" s="26"/>
      <c r="HJ131" s="26"/>
      <c r="HK131" s="5"/>
    </row>
    <row r="132" spans="2:219">
      <c r="AA132" s="18" t="s">
        <v>488</v>
      </c>
      <c r="AB132" s="22" t="s">
        <v>490</v>
      </c>
      <c r="AC132" s="59">
        <v>3.6405952380952398</v>
      </c>
      <c r="AD132" s="59">
        <v>8.6549999999999994</v>
      </c>
      <c r="AE132" s="22">
        <v>528</v>
      </c>
      <c r="AF132" s="22">
        <v>1528</v>
      </c>
      <c r="AG132" s="22">
        <v>948.63492063492095</v>
      </c>
      <c r="AH132" s="6">
        <v>10</v>
      </c>
      <c r="AI132" s="6">
        <v>300</v>
      </c>
      <c r="AJ132" s="6">
        <v>14</v>
      </c>
      <c r="AK132" s="24">
        <v>300</v>
      </c>
      <c r="AL132" s="24">
        <v>14</v>
      </c>
      <c r="AM132" s="5">
        <f t="shared" si="73"/>
        <v>920.63492063492095</v>
      </c>
      <c r="AN132" s="26">
        <f t="shared" si="74"/>
        <v>176.06349206349208</v>
      </c>
      <c r="AO132" s="26">
        <f t="shared" si="75"/>
        <v>248482.7399356656</v>
      </c>
      <c r="AP132" s="15">
        <f t="shared" si="76"/>
        <v>6307.6719576719579</v>
      </c>
      <c r="AQ132" s="5">
        <f t="shared" si="77"/>
        <v>5238.7432621467533</v>
      </c>
      <c r="AR132" s="26">
        <f t="shared" si="78"/>
        <v>420.51146384479722</v>
      </c>
      <c r="AS132" s="26">
        <f t="shared" si="79"/>
        <v>3022.1941546989178</v>
      </c>
      <c r="AT132" s="26">
        <f t="shared" si="80"/>
        <v>37.567600585756203</v>
      </c>
      <c r="AU132" s="26">
        <f t="shared" si="81"/>
        <v>5.9854925384629922</v>
      </c>
      <c r="AV132" s="95">
        <f t="shared" si="82"/>
        <v>8.6034497354497351E-7</v>
      </c>
      <c r="AW132" s="95">
        <f t="shared" si="83"/>
        <v>13758293.349206358</v>
      </c>
      <c r="AX132" s="95">
        <f t="shared" si="84"/>
        <v>1.3758293349206359E-5</v>
      </c>
      <c r="AY132" s="54">
        <f t="shared" si="85"/>
        <v>0.1548581140202015</v>
      </c>
      <c r="AZ132" s="54" t="str">
        <f>_xll.Dce_Name_SectI(AE132,AF132,AI132,AH132,AJ132,"x","-",$O$11)</f>
        <v>(528-1528)x300x10x14</v>
      </c>
      <c r="BA132" s="15">
        <f t="shared" si="86"/>
        <v>700.97619047619071</v>
      </c>
      <c r="BB132" s="54"/>
      <c r="BC132" s="54"/>
      <c r="BD132" s="22" t="s">
        <v>504</v>
      </c>
      <c r="BE132" s="23">
        <v>-71.542080777357967</v>
      </c>
      <c r="BF132" s="23">
        <v>-61.486484357428481</v>
      </c>
      <c r="BG132" s="23">
        <v>-1.2813800751760483E-3</v>
      </c>
      <c r="BH132" s="23">
        <v>1.7897172896644126E-5</v>
      </c>
      <c r="BI132" s="23">
        <v>4.6772013245994035E-3</v>
      </c>
      <c r="BJ132" s="23">
        <v>257.03679192963216</v>
      </c>
      <c r="BK132" s="23">
        <v>223.93441987119331</v>
      </c>
      <c r="BL132" s="92">
        <v>2.25</v>
      </c>
      <c r="BM132" s="91">
        <v>2</v>
      </c>
      <c r="BN132" s="5">
        <f t="shared" si="87"/>
        <v>19.473749999999999</v>
      </c>
      <c r="BO132" s="54">
        <f>_xll.Bimoment(BH132,AY132,AC132,AD132,$O$101)</f>
        <v>-1.3764119144785736E-4</v>
      </c>
      <c r="BP132" s="5">
        <f t="shared" si="88"/>
        <v>0.45620689655172403</v>
      </c>
      <c r="BQ132" s="5">
        <f t="shared" si="89"/>
        <v>14.987602500952656</v>
      </c>
      <c r="BR132" s="24" t="str">
        <f t="shared" si="90"/>
        <v>Cal</v>
      </c>
      <c r="BS132" s="25">
        <f t="shared" si="91"/>
        <v>1.7777484686494129E-2</v>
      </c>
      <c r="BT132" s="25" t="str">
        <f t="shared" si="92"/>
        <v>CT.105</v>
      </c>
      <c r="BU132" s="25">
        <f t="shared" si="93"/>
        <v>1</v>
      </c>
      <c r="BV132" s="25" cm="1">
        <f t="array" ref="BV132">IF(BT132="CT.104",_xll.TCVN5575AnnexEHeSoCx(1,BP132),1)</f>
        <v>1</v>
      </c>
      <c r="BW132" s="25">
        <f t="shared" si="94"/>
        <v>1</v>
      </c>
      <c r="BX132" s="25">
        <f t="shared" si="95"/>
        <v>1.8713141775256979E-2</v>
      </c>
      <c r="BY132" s="25">
        <f t="shared" si="96"/>
        <v>0.22595535014096493</v>
      </c>
      <c r="BZ132" s="25">
        <f t="shared" si="97"/>
        <v>5.1222724691719718E-5</v>
      </c>
      <c r="CA132" s="25">
        <f t="shared" si="98"/>
        <v>3.2295467612354547E-6</v>
      </c>
      <c r="CB132" s="25">
        <f t="shared" si="99"/>
        <v>0.24472294418767487</v>
      </c>
      <c r="CC132" s="5" t="str">
        <f t="shared" si="100"/>
        <v>OK</v>
      </c>
      <c r="CD132" s="5">
        <f t="shared" si="101"/>
        <v>51.836555160202302</v>
      </c>
      <c r="CE132" s="5">
        <f t="shared" si="102"/>
        <v>33.414125690541383</v>
      </c>
      <c r="CF132" s="5">
        <f t="shared" si="103"/>
        <v>1.7266865002204341</v>
      </c>
      <c r="CG132" s="5">
        <f t="shared" si="104"/>
        <v>1.1130315193248546</v>
      </c>
      <c r="CH132" s="5">
        <f t="shared" si="105"/>
        <v>12.074688091110875</v>
      </c>
      <c r="CI132" s="68">
        <f>_xll.DCETCVN5575PhuLucD2Eta(BP132,CH132,CF132)</f>
        <v>1.2412413793103447</v>
      </c>
      <c r="CJ132" s="5">
        <f t="shared" si="106"/>
        <v>14.987602500952656</v>
      </c>
      <c r="CK132" s="5">
        <f>MIN(noisuy2chieu(CJ132,CF132,Data!$DA$2:$EB$24),1)</f>
        <v>9.1435223817825317E-2</v>
      </c>
      <c r="CL132" s="102">
        <f t="shared" si="107"/>
        <v>0.20466009699435819</v>
      </c>
      <c r="CM132" s="5" t="str">
        <f t="shared" si="108"/>
        <v>OK</v>
      </c>
      <c r="CN132" s="5">
        <f t="shared" si="109"/>
        <v>0.88472625978979058</v>
      </c>
      <c r="CO132" s="5">
        <f t="shared" si="110"/>
        <v>0.5370345235716667</v>
      </c>
      <c r="CP132" s="25">
        <f>_xll.DCETCVNPhuLucFHeSoOnDinh(1, 0.2, AG132, AH132, AI132, AJ132, AI132, AJ132, $D$28)</f>
        <v>1</v>
      </c>
      <c r="CQ132" s="68">
        <f t="shared" si="111"/>
        <v>0.9</v>
      </c>
      <c r="CR132" s="68">
        <f t="shared" si="112"/>
        <v>1</v>
      </c>
      <c r="CS132" s="5">
        <f t="shared" si="113"/>
        <v>0.18181818181818182</v>
      </c>
      <c r="CT132" s="5">
        <f t="shared" si="114"/>
        <v>0.10155106457844131</v>
      </c>
      <c r="CU132" s="26">
        <f t="shared" si="115"/>
        <v>10.519654608624148</v>
      </c>
      <c r="CV132" s="5"/>
      <c r="CW132" s="25"/>
      <c r="CX132" s="72">
        <f>MAX(_xll.Dce_c_925(CU132, CQ132, CR132, CN132, CP132, CS132, CT132),0.3)</f>
        <v>0.3</v>
      </c>
      <c r="CY132" s="102">
        <f t="shared" si="116"/>
        <v>7.0504451021581857E-2</v>
      </c>
      <c r="CZ132" s="5" t="str">
        <f t="shared" si="117"/>
        <v>OK</v>
      </c>
      <c r="DA132" s="47">
        <f t="shared" si="118"/>
        <v>0.34499859601035404</v>
      </c>
      <c r="DB132" s="46">
        <f t="shared" si="119"/>
        <v>0.47130315193248545</v>
      </c>
      <c r="DC132" s="5" t="str">
        <f t="shared" si="120"/>
        <v>OK</v>
      </c>
      <c r="DD132" s="5">
        <f t="shared" si="121"/>
        <v>1.7266865002204341</v>
      </c>
      <c r="DE132" s="5">
        <f t="shared" si="122"/>
        <v>3.0666541867587034</v>
      </c>
      <c r="DF132" s="5" t="str">
        <f t="shared" si="123"/>
        <v>-</v>
      </c>
      <c r="DG132" s="5" t="str">
        <f t="shared" si="124"/>
        <v>-</v>
      </c>
      <c r="DH132" s="203">
        <f t="shared" si="125"/>
        <v>51.836555160202302</v>
      </c>
      <c r="DI132" s="203">
        <f t="shared" si="126"/>
        <v>180</v>
      </c>
      <c r="DJ132" s="46">
        <f t="shared" si="127"/>
        <v>0.28798086200112388</v>
      </c>
      <c r="DK132" s="5" t="str">
        <f t="shared" si="128"/>
        <v>OK</v>
      </c>
      <c r="EB132" s="18"/>
      <c r="EC132" s="77"/>
      <c r="ED132" s="77"/>
      <c r="EE132" s="18"/>
      <c r="EF132" s="18"/>
      <c r="EG132" s="18"/>
      <c r="EH132" s="5"/>
      <c r="EI132" s="5"/>
      <c r="EJ132" s="5"/>
      <c r="EK132" s="5"/>
      <c r="EL132" s="5"/>
      <c r="FE132" s="26"/>
      <c r="FF132" s="26"/>
      <c r="FG132" s="26"/>
      <c r="FH132" s="26"/>
      <c r="FI132" s="26"/>
      <c r="FJ132" s="26"/>
      <c r="FK132" s="26"/>
      <c r="FL132" s="26"/>
      <c r="FM132" s="26"/>
      <c r="FN132" s="205"/>
      <c r="FO132" s="205"/>
      <c r="FP132" s="205"/>
      <c r="FQ132" s="205"/>
      <c r="FR132" s="205"/>
      <c r="FS132" s="205"/>
      <c r="FT132" s="205"/>
      <c r="FU132" s="77"/>
      <c r="FV132" s="77"/>
      <c r="FW132" s="77"/>
      <c r="FX132" s="205"/>
      <c r="FY132" s="205"/>
      <c r="FZ132" s="205"/>
      <c r="GA132" s="205"/>
      <c r="GB132" s="205"/>
      <c r="GC132" s="205"/>
      <c r="GD132" s="205"/>
      <c r="GE132" s="205"/>
      <c r="GF132" s="205"/>
      <c r="GG132" s="205"/>
      <c r="GH132" s="205"/>
      <c r="GI132" s="205"/>
      <c r="GJ132" s="205"/>
      <c r="GK132" s="205"/>
      <c r="GL132" s="205"/>
      <c r="GM132" s="205"/>
      <c r="GN132" s="205"/>
      <c r="GO132" s="205"/>
      <c r="GP132" s="205"/>
      <c r="GQ132" s="205"/>
      <c r="GR132" s="205"/>
      <c r="GS132" s="205"/>
      <c r="GT132" s="205"/>
      <c r="GU132" s="205"/>
      <c r="GV132" s="18"/>
      <c r="GW132" s="5"/>
      <c r="GX132" s="5"/>
      <c r="GY132" s="77"/>
      <c r="GZ132" s="18"/>
      <c r="HA132" s="18"/>
      <c r="HB132" s="18"/>
      <c r="HC132" s="18"/>
      <c r="HD132" s="18"/>
      <c r="HE132" s="18"/>
      <c r="HF132" s="18"/>
      <c r="HG132" s="18"/>
      <c r="HH132" s="205"/>
      <c r="HI132" s="26"/>
      <c r="HJ132" s="26"/>
      <c r="HK132" s="5"/>
    </row>
    <row r="133" spans="2:219">
      <c r="AA133" s="18" t="s">
        <v>488</v>
      </c>
      <c r="AB133" s="22" t="s">
        <v>490</v>
      </c>
      <c r="AC133" s="59">
        <v>7.2811904761904795</v>
      </c>
      <c r="AD133" s="59">
        <v>8.6549999999999994</v>
      </c>
      <c r="AE133" s="22">
        <v>528</v>
      </c>
      <c r="AF133" s="22">
        <v>1528</v>
      </c>
      <c r="AG133" s="22">
        <v>1369.2698412698419</v>
      </c>
      <c r="AH133" s="6">
        <v>10</v>
      </c>
      <c r="AI133" s="6">
        <v>300</v>
      </c>
      <c r="AJ133" s="6">
        <v>14</v>
      </c>
      <c r="AK133" s="24">
        <v>300</v>
      </c>
      <c r="AL133" s="24">
        <v>14</v>
      </c>
      <c r="AM133" s="5">
        <f t="shared" si="73"/>
        <v>1341.2698412698419</v>
      </c>
      <c r="AN133" s="26">
        <f t="shared" si="74"/>
        <v>218.12698412698418</v>
      </c>
      <c r="AO133" s="26">
        <f t="shared" si="75"/>
        <v>586811.79072745051</v>
      </c>
      <c r="AP133" s="15">
        <f t="shared" si="76"/>
        <v>6311.1772486772488</v>
      </c>
      <c r="AQ133" s="5">
        <f t="shared" si="77"/>
        <v>8571.1635945074104</v>
      </c>
      <c r="AR133" s="26">
        <f t="shared" si="78"/>
        <v>420.74514991181661</v>
      </c>
      <c r="AS133" s="26">
        <f t="shared" si="79"/>
        <v>5094.8226505417015</v>
      </c>
      <c r="AT133" s="26">
        <f t="shared" si="80"/>
        <v>51.867428670398397</v>
      </c>
      <c r="AU133" s="26">
        <f t="shared" si="81"/>
        <v>5.3789869588463937</v>
      </c>
      <c r="AV133" s="95">
        <f t="shared" si="82"/>
        <v>1.0005566137566139E-6</v>
      </c>
      <c r="AW133" s="95">
        <f t="shared" si="83"/>
        <v>28928912.396825422</v>
      </c>
      <c r="AX133" s="95">
        <f t="shared" si="84"/>
        <v>2.8928912396825422E-5</v>
      </c>
      <c r="AY133" s="54">
        <f t="shared" si="85"/>
        <v>0.11516876660535029</v>
      </c>
      <c r="AZ133" s="54" t="str">
        <f>_xll.Dce_Name_SectI(AE133,AF133,AI133,AH133,AJ133,"x","-",$O$11)</f>
        <v>(528-1528)x300x10x14</v>
      </c>
      <c r="BA133" s="15">
        <f t="shared" si="86"/>
        <v>1016.4523809523813</v>
      </c>
      <c r="BB133" s="54"/>
      <c r="BC133" s="54"/>
      <c r="BD133" s="22" t="s">
        <v>504</v>
      </c>
      <c r="BE133" s="23">
        <v>-63.807300590299747</v>
      </c>
      <c r="BF133" s="23">
        <v>-43.120477787803054</v>
      </c>
      <c r="BG133" s="23">
        <v>-1.2813800751749209E-3</v>
      </c>
      <c r="BH133" s="23">
        <v>1.7897172896644126E-5</v>
      </c>
      <c r="BI133" s="23">
        <v>9.3531736487348673E-3</v>
      </c>
      <c r="BJ133" s="23">
        <v>447.86883974238663</v>
      </c>
      <c r="BK133" s="23">
        <v>223.93441987119331</v>
      </c>
      <c r="BL133" s="92">
        <v>2.25</v>
      </c>
      <c r="BM133" s="91">
        <v>2</v>
      </c>
      <c r="BN133" s="5">
        <f t="shared" si="87"/>
        <v>19.473749999999999</v>
      </c>
      <c r="BO133" s="54">
        <f>_xll.Bimoment(BH133,AY133,AC133,AD133,$O$101)</f>
        <v>-8.1873667354029087E-5</v>
      </c>
      <c r="BP133" s="5">
        <f t="shared" si="88"/>
        <v>0.31313609467455605</v>
      </c>
      <c r="BQ133" s="5">
        <f t="shared" si="89"/>
        <v>21.660944939729639</v>
      </c>
      <c r="BR133" s="24" t="str">
        <f t="shared" si="90"/>
        <v>Cal</v>
      </c>
      <c r="BS133" s="25">
        <f t="shared" si="91"/>
        <v>1.2797909492942343E-2</v>
      </c>
      <c r="BT133" s="25" t="str">
        <f t="shared" si="92"/>
        <v>CT.105</v>
      </c>
      <c r="BU133" s="25">
        <f t="shared" si="93"/>
        <v>1</v>
      </c>
      <c r="BV133" s="25" cm="1">
        <f t="array" ref="BV133">IF(BT133="CT.104",_xll.TCVN5575AnnexEHeSoCx(1,BP133),1)</f>
        <v>1</v>
      </c>
      <c r="BW133" s="25">
        <f t="shared" si="94"/>
        <v>1</v>
      </c>
      <c r="BX133" s="25">
        <f t="shared" si="95"/>
        <v>1.3471483676781412E-2</v>
      </c>
      <c r="BY133" s="25">
        <f t="shared" si="96"/>
        <v>0.24063872360998981</v>
      </c>
      <c r="BZ133" s="25">
        <f t="shared" si="97"/>
        <v>1.0237509813942803E-4</v>
      </c>
      <c r="CA133" s="25">
        <f t="shared" si="98"/>
        <v>1.3248100906534368E-6</v>
      </c>
      <c r="CB133" s="25">
        <f t="shared" si="99"/>
        <v>0.25421390719500125</v>
      </c>
      <c r="CC133" s="5" t="str">
        <f t="shared" si="100"/>
        <v>OK</v>
      </c>
      <c r="CD133" s="5">
        <f t="shared" si="101"/>
        <v>37.545238889226049</v>
      </c>
      <c r="CE133" s="5">
        <f t="shared" si="102"/>
        <v>37.181722419139881</v>
      </c>
      <c r="CF133" s="5">
        <f t="shared" si="103"/>
        <v>1.2506397644909562</v>
      </c>
      <c r="CG133" s="5">
        <f t="shared" si="104"/>
        <v>1.2385309547993069</v>
      </c>
      <c r="CH133" s="5">
        <f t="shared" si="105"/>
        <v>17.862822639553755</v>
      </c>
      <c r="CI133" s="68">
        <f>_xll.DCETCVN5575PhuLucD2Eta(BP133,CH133,CF133)</f>
        <v>1.2126272189349112</v>
      </c>
      <c r="CJ133" s="5">
        <f t="shared" si="106"/>
        <v>21.660944939729639</v>
      </c>
      <c r="CK133" s="5">
        <f>MIN(noisuy2chieu(CJ133,CF133,Data!$DA$2:$EB$24),1)</f>
        <v>7.1994885802268982E-2</v>
      </c>
      <c r="CL133" s="102">
        <f t="shared" si="107"/>
        <v>0.18711723099027189</v>
      </c>
      <c r="CM133" s="5" t="str">
        <f t="shared" si="108"/>
        <v>OK</v>
      </c>
      <c r="CN133" s="5">
        <f t="shared" si="109"/>
        <v>0.86643683692746631</v>
      </c>
      <c r="CO133" s="5">
        <f t="shared" si="110"/>
        <v>0.5370345235716667</v>
      </c>
      <c r="CP133" s="25">
        <f>_xll.DCETCVNPhuLucFHeSoOnDinh(1, 0.2, AG133, AH133, AI133, AJ133, AI133, AJ133, $D$28)</f>
        <v>1</v>
      </c>
      <c r="CQ133" s="68">
        <f t="shared" si="111"/>
        <v>0.9</v>
      </c>
      <c r="CR133" s="68">
        <f t="shared" si="112"/>
        <v>1</v>
      </c>
      <c r="CS133" s="5">
        <f t="shared" si="113"/>
        <v>0.18181818181818182</v>
      </c>
      <c r="CT133" s="5">
        <f t="shared" si="114"/>
        <v>0.10347287704587492</v>
      </c>
      <c r="CU133" s="26">
        <f t="shared" si="115"/>
        <v>8.9314113197768776</v>
      </c>
      <c r="CV133" s="5"/>
      <c r="CW133" s="25"/>
      <c r="CX133" s="72">
        <f>MAX(_xll.Dce_c_925(CU133, CQ133, CR133, CN133, CP133, CS133, CT133),0.3)</f>
        <v>0.3</v>
      </c>
      <c r="CY133" s="102">
        <f t="shared" si="116"/>
        <v>5.182714270149457E-2</v>
      </c>
      <c r="CZ133" s="5" t="str">
        <f t="shared" si="117"/>
        <v>OK</v>
      </c>
      <c r="DA133" s="47">
        <f t="shared" si="118"/>
        <v>0.34499859601035404</v>
      </c>
      <c r="DB133" s="46">
        <f t="shared" si="119"/>
        <v>0.48385309547993066</v>
      </c>
      <c r="DC133" s="5" t="str">
        <f t="shared" si="120"/>
        <v>OK</v>
      </c>
      <c r="DD133" s="5">
        <f t="shared" si="121"/>
        <v>1.2506397644909562</v>
      </c>
      <c r="DE133" s="5">
        <f t="shared" si="122"/>
        <v>4.4677979100191463</v>
      </c>
      <c r="DF133" s="5" t="str">
        <f t="shared" si="123"/>
        <v>-</v>
      </c>
      <c r="DG133" s="5" t="str">
        <f t="shared" si="124"/>
        <v>-</v>
      </c>
      <c r="DH133" s="203">
        <f t="shared" si="125"/>
        <v>37.545238889226049</v>
      </c>
      <c r="DI133" s="203">
        <f t="shared" si="126"/>
        <v>180</v>
      </c>
      <c r="DJ133" s="46">
        <f t="shared" si="127"/>
        <v>0.20858466049570026</v>
      </c>
      <c r="DK133" s="5" t="str">
        <f t="shared" si="128"/>
        <v>OK</v>
      </c>
      <c r="EB133" s="18"/>
      <c r="EC133" s="77"/>
      <c r="ED133" s="77"/>
      <c r="EE133" s="18"/>
      <c r="EF133" s="18"/>
      <c r="EG133" s="18"/>
      <c r="EH133" s="5"/>
      <c r="EI133" s="5"/>
      <c r="EJ133" s="5"/>
      <c r="EK133" s="5"/>
      <c r="EL133" s="5"/>
      <c r="FE133" s="26"/>
      <c r="FF133" s="26"/>
      <c r="FG133" s="26"/>
      <c r="FH133" s="26"/>
      <c r="FI133" s="26"/>
      <c r="FJ133" s="26"/>
      <c r="FK133" s="26"/>
      <c r="FL133" s="26"/>
      <c r="FM133" s="26"/>
      <c r="FN133" s="205"/>
      <c r="FO133" s="205"/>
      <c r="FP133" s="205"/>
      <c r="FQ133" s="205"/>
      <c r="FR133" s="205"/>
      <c r="FS133" s="205"/>
      <c r="FT133" s="205"/>
      <c r="FU133" s="77"/>
      <c r="FV133" s="77"/>
      <c r="FW133" s="77"/>
      <c r="FX133" s="205"/>
      <c r="FY133" s="205"/>
      <c r="FZ133" s="205"/>
      <c r="GA133" s="205"/>
      <c r="GB133" s="205"/>
      <c r="GC133" s="205"/>
      <c r="GD133" s="205"/>
      <c r="GE133" s="205"/>
      <c r="GF133" s="205"/>
      <c r="GG133" s="205"/>
      <c r="GH133" s="205"/>
      <c r="GI133" s="205"/>
      <c r="GJ133" s="205"/>
      <c r="GK133" s="205"/>
      <c r="GL133" s="205"/>
      <c r="GM133" s="205"/>
      <c r="GN133" s="205"/>
      <c r="GO133" s="205"/>
      <c r="GP133" s="205"/>
      <c r="GQ133" s="205"/>
      <c r="GR133" s="205"/>
      <c r="GS133" s="205"/>
      <c r="GT133" s="205"/>
      <c r="GU133" s="205"/>
      <c r="GV133" s="18"/>
      <c r="GW133" s="5"/>
      <c r="GX133" s="5"/>
      <c r="GY133" s="77"/>
      <c r="GZ133" s="18"/>
      <c r="HA133" s="18"/>
      <c r="HB133" s="18"/>
      <c r="HC133" s="18"/>
      <c r="HD133" s="18"/>
      <c r="HE133" s="18"/>
      <c r="HF133" s="18"/>
      <c r="HG133" s="18"/>
      <c r="HH133" s="205"/>
      <c r="HI133" s="26"/>
      <c r="HJ133" s="26"/>
      <c r="HK133" s="5"/>
    </row>
    <row r="134" spans="2:219">
      <c r="AA134" s="18" t="s">
        <v>488</v>
      </c>
      <c r="AB134" s="22" t="s">
        <v>490</v>
      </c>
      <c r="AC134" s="59">
        <v>0</v>
      </c>
      <c r="AD134" s="59">
        <v>8.6549999999999994</v>
      </c>
      <c r="AE134" s="22">
        <v>528</v>
      </c>
      <c r="AF134" s="22">
        <v>1528</v>
      </c>
      <c r="AG134" s="22">
        <v>528</v>
      </c>
      <c r="AH134" s="6">
        <v>10</v>
      </c>
      <c r="AI134" s="6">
        <v>300</v>
      </c>
      <c r="AJ134" s="6">
        <v>14</v>
      </c>
      <c r="AK134" s="24">
        <v>300</v>
      </c>
      <c r="AL134" s="24">
        <v>14</v>
      </c>
      <c r="AM134" s="5">
        <f t="shared" si="73"/>
        <v>500</v>
      </c>
      <c r="AN134" s="26">
        <f t="shared" si="74"/>
        <v>134</v>
      </c>
      <c r="AO134" s="26">
        <f t="shared" si="75"/>
        <v>65911.546666666676</v>
      </c>
      <c r="AP134" s="15">
        <f t="shared" si="76"/>
        <v>6304.166666666667</v>
      </c>
      <c r="AQ134" s="5">
        <f t="shared" si="77"/>
        <v>2496.6494949494954</v>
      </c>
      <c r="AR134" s="26">
        <f t="shared" si="78"/>
        <v>420.27777777777777</v>
      </c>
      <c r="AS134" s="26">
        <f t="shared" si="79"/>
        <v>1391.9</v>
      </c>
      <c r="AT134" s="26">
        <f t="shared" si="80"/>
        <v>22.178305028345793</v>
      </c>
      <c r="AU134" s="26">
        <f t="shared" si="81"/>
        <v>6.8590101254115021</v>
      </c>
      <c r="AV134" s="95">
        <f t="shared" si="82"/>
        <v>7.201333333333334E-7</v>
      </c>
      <c r="AW134" s="95">
        <f t="shared" si="83"/>
        <v>4161087</v>
      </c>
      <c r="AX134" s="95">
        <f t="shared" si="84"/>
        <v>4.1610870000000001E-6</v>
      </c>
      <c r="AY134" s="54">
        <f t="shared" si="85"/>
        <v>0.25762202780669918</v>
      </c>
      <c r="AZ134" s="54" t="str">
        <f>_xll.Dce_Name_SectI(AE134,AF134,AI134,AH134,AJ134,"x","-",$O$11)</f>
        <v>(528-1528)x300x10x14</v>
      </c>
      <c r="BA134" s="15">
        <f t="shared" si="86"/>
        <v>385.5</v>
      </c>
      <c r="BB134" s="54"/>
      <c r="BC134" s="54"/>
      <c r="BD134" s="22" t="s">
        <v>505</v>
      </c>
      <c r="BE134" s="23">
        <v>-176.85299168100892</v>
      </c>
      <c r="BF134" s="23">
        <v>-164.78104533222591</v>
      </c>
      <c r="BG134" s="23">
        <v>5.8252820086713989E-5</v>
      </c>
      <c r="BH134" s="23">
        <v>-8.1362338387293092E-7</v>
      </c>
      <c r="BI134" s="23">
        <v>-5.5871592419265468E-8</v>
      </c>
      <c r="BJ134" s="23">
        <v>-2.3120794885117757</v>
      </c>
      <c r="BK134" s="23">
        <v>572.03542309484101</v>
      </c>
      <c r="BL134" s="92">
        <v>2.25</v>
      </c>
      <c r="BM134" s="91">
        <v>2</v>
      </c>
      <c r="BN134" s="5">
        <f t="shared" si="87"/>
        <v>19.473749999999999</v>
      </c>
      <c r="BO134" s="54">
        <f>_xll.Bimoment(BH134,AY134,AC134,AD134,$O$101)</f>
        <v>0</v>
      </c>
      <c r="BP134" s="5">
        <f t="shared" si="88"/>
        <v>0.84</v>
      </c>
      <c r="BQ134" s="5">
        <f t="shared" si="89"/>
        <v>0.10643245851087627</v>
      </c>
      <c r="BR134" s="24" t="str">
        <f t="shared" si="90"/>
        <v>Cal</v>
      </c>
      <c r="BS134" s="25">
        <f t="shared" si="91"/>
        <v>5.7741181985404025E-2</v>
      </c>
      <c r="BT134" s="25" t="str">
        <f t="shared" si="92"/>
        <v>CT.105</v>
      </c>
      <c r="BU134" s="25">
        <f t="shared" si="93"/>
        <v>1</v>
      </c>
      <c r="BV134" s="25" cm="1">
        <f t="array" ref="BV134">IF(BT134="CT.104",_xll.TCVN5575AnnexEHeSoCx(1,BP134),1)</f>
        <v>1</v>
      </c>
      <c r="BW134" s="25">
        <f t="shared" si="94"/>
        <v>1</v>
      </c>
      <c r="BX134" s="25">
        <f t="shared" si="95"/>
        <v>6.0780191563583191E-2</v>
      </c>
      <c r="BY134" s="25">
        <f t="shared" si="96"/>
        <v>4.2648095009358853E-3</v>
      </c>
      <c r="BZ134" s="25">
        <f t="shared" si="97"/>
        <v>6.1222220099727362E-10</v>
      </c>
      <c r="CA134" s="25">
        <f t="shared" si="98"/>
        <v>0</v>
      </c>
      <c r="CB134" s="25">
        <f t="shared" si="99"/>
        <v>6.5045001676741279E-2</v>
      </c>
      <c r="CC134" s="5" t="str">
        <f t="shared" si="100"/>
        <v>OK</v>
      </c>
      <c r="CD134" s="5">
        <f t="shared" si="101"/>
        <v>87.805402509844015</v>
      </c>
      <c r="CE134" s="5">
        <f t="shared" si="102"/>
        <v>29.158726455153193</v>
      </c>
      <c r="CF134" s="5">
        <f t="shared" si="103"/>
        <v>2.9248163326364334</v>
      </c>
      <c r="CG134" s="5">
        <f t="shared" si="104"/>
        <v>0.97128328026682387</v>
      </c>
      <c r="CH134" s="5">
        <f t="shared" si="105"/>
        <v>7.0167753526646851E-2</v>
      </c>
      <c r="CI134" s="68">
        <f>_xll.DCETCVN5575PhuLucD2Eta(BP134,CH134,CF134)</f>
        <v>1.5168286450906192</v>
      </c>
      <c r="CJ134" s="5">
        <f t="shared" si="106"/>
        <v>0.10643245851087627</v>
      </c>
      <c r="CK134" s="5">
        <f>MIN(noisuy2chieu(CJ134,CF134,Data!$DA$2:$EB$24),1)</f>
        <v>0.67527574300765991</v>
      </c>
      <c r="CL134" s="102">
        <f t="shared" si="107"/>
        <v>9.0007959256569584E-2</v>
      </c>
      <c r="CM134" s="5" t="str">
        <f t="shared" si="108"/>
        <v>OK</v>
      </c>
      <c r="CN134" s="5">
        <f t="shared" si="109"/>
        <v>0.90492218941026858</v>
      </c>
      <c r="CO134" s="5">
        <f t="shared" si="110"/>
        <v>0.5370345235716667</v>
      </c>
      <c r="CP134" s="25">
        <f>_xll.DCETCVNPhuLucFHeSoOnDinh(1, 0.2, AG134, AH134, AI134, AJ134, AI134, AJ134, $D$28)</f>
        <v>1</v>
      </c>
      <c r="CQ134" s="68">
        <f t="shared" si="111"/>
        <v>0.9</v>
      </c>
      <c r="CR134" s="68">
        <f t="shared" si="112"/>
        <v>1</v>
      </c>
      <c r="CS134" s="5">
        <f t="shared" si="113"/>
        <v>0.18181818181818182</v>
      </c>
      <c r="CT134" s="5">
        <f t="shared" si="114"/>
        <v>9.9510191986788829E-2</v>
      </c>
      <c r="CU134" s="26">
        <f t="shared" si="115"/>
        <v>17.360320341782884</v>
      </c>
      <c r="CV134" s="5"/>
      <c r="CW134" s="25"/>
      <c r="CX134" s="72">
        <f>MAX(_xll.Dce_c_925(CU134, CQ134, CR134, CN134, CP134, CS134, CT134),0.3)</f>
        <v>0.3</v>
      </c>
      <c r="CY134" s="102">
        <f t="shared" si="116"/>
        <v>0.22388735840073798</v>
      </c>
      <c r="CZ134" s="5" t="str">
        <f t="shared" si="117"/>
        <v>OK</v>
      </c>
      <c r="DA134" s="47">
        <f t="shared" si="118"/>
        <v>0.34499859601035404</v>
      </c>
      <c r="DB134" s="46">
        <f t="shared" si="119"/>
        <v>0.45712832802668235</v>
      </c>
      <c r="DC134" s="5" t="str">
        <f t="shared" si="120"/>
        <v>OK</v>
      </c>
      <c r="DD134" s="5">
        <f t="shared" si="121"/>
        <v>2.9248163326364334</v>
      </c>
      <c r="DE134" s="5">
        <f t="shared" si="122"/>
        <v>1.6655104634982609</v>
      </c>
      <c r="DF134" s="5" t="str">
        <f t="shared" si="123"/>
        <v>-</v>
      </c>
      <c r="DG134" s="5" t="str">
        <f t="shared" si="124"/>
        <v>-</v>
      </c>
      <c r="DH134" s="203" t="str">
        <f t="shared" si="125"/>
        <v>-</v>
      </c>
      <c r="DI134" s="203">
        <f t="shared" si="126"/>
        <v>180</v>
      </c>
      <c r="DJ134" s="46">
        <f t="shared" si="127"/>
        <v>0</v>
      </c>
      <c r="DK134" s="5" t="str">
        <f t="shared" si="128"/>
        <v>OK</v>
      </c>
      <c r="EB134" s="18"/>
      <c r="EC134" s="77"/>
      <c r="ED134" s="77"/>
      <c r="EE134" s="18"/>
      <c r="EF134" s="18"/>
      <c r="EG134" s="18"/>
      <c r="EH134" s="5"/>
      <c r="EI134" s="5"/>
      <c r="EJ134" s="5"/>
      <c r="EK134" s="5"/>
      <c r="EL134" s="5"/>
      <c r="FE134" s="26"/>
      <c r="FF134" s="26"/>
      <c r="FG134" s="26"/>
      <c r="FH134" s="26"/>
      <c r="FI134" s="26"/>
      <c r="FJ134" s="26"/>
      <c r="FK134" s="26"/>
      <c r="FL134" s="26"/>
      <c r="FM134" s="26"/>
      <c r="FN134" s="205"/>
      <c r="FO134" s="205"/>
      <c r="FP134" s="205"/>
      <c r="FQ134" s="205"/>
      <c r="FR134" s="205"/>
      <c r="FS134" s="205"/>
      <c r="FT134" s="205"/>
      <c r="FU134" s="77"/>
      <c r="FV134" s="77"/>
      <c r="FW134" s="77"/>
      <c r="FX134" s="205"/>
      <c r="FY134" s="205"/>
      <c r="FZ134" s="205"/>
      <c r="GA134" s="205"/>
      <c r="GB134" s="205"/>
      <c r="GC134" s="205"/>
      <c r="GD134" s="205"/>
      <c r="GE134" s="205"/>
      <c r="GF134" s="205"/>
      <c r="GG134" s="205"/>
      <c r="GH134" s="205"/>
      <c r="GI134" s="205"/>
      <c r="GJ134" s="205"/>
      <c r="GK134" s="205"/>
      <c r="GL134" s="205"/>
      <c r="GM134" s="205"/>
      <c r="GN134" s="205"/>
      <c r="GO134" s="205"/>
      <c r="GP134" s="205"/>
      <c r="GQ134" s="205"/>
      <c r="GR134" s="205"/>
      <c r="GS134" s="205"/>
      <c r="GT134" s="205"/>
      <c r="GU134" s="205"/>
      <c r="GV134" s="18"/>
      <c r="GW134" s="5"/>
      <c r="GX134" s="5"/>
      <c r="GY134" s="77"/>
      <c r="GZ134" s="18"/>
      <c r="HA134" s="18"/>
      <c r="HB134" s="18"/>
      <c r="HC134" s="18"/>
      <c r="HD134" s="18"/>
      <c r="HE134" s="18"/>
      <c r="HF134" s="18"/>
      <c r="HG134" s="18"/>
      <c r="HH134" s="205"/>
      <c r="HI134" s="26"/>
      <c r="HJ134" s="26"/>
      <c r="HK134" s="5"/>
    </row>
    <row r="135" spans="2:219">
      <c r="AA135" s="18" t="s">
        <v>488</v>
      </c>
      <c r="AB135" s="22" t="s">
        <v>490</v>
      </c>
      <c r="AC135" s="59">
        <v>3.6405952380952398</v>
      </c>
      <c r="AD135" s="59">
        <v>8.6549999999999994</v>
      </c>
      <c r="AE135" s="22">
        <v>528</v>
      </c>
      <c r="AF135" s="22">
        <v>1528</v>
      </c>
      <c r="AG135" s="22">
        <v>948.63492063492095</v>
      </c>
      <c r="AH135" s="6">
        <v>10</v>
      </c>
      <c r="AI135" s="6">
        <v>300</v>
      </c>
      <c r="AJ135" s="6">
        <v>14</v>
      </c>
      <c r="AK135" s="24">
        <v>300</v>
      </c>
      <c r="AL135" s="24">
        <v>14</v>
      </c>
      <c r="AM135" s="5">
        <f t="shared" si="73"/>
        <v>920.63492063492095</v>
      </c>
      <c r="AN135" s="26">
        <f t="shared" si="74"/>
        <v>176.06349206349208</v>
      </c>
      <c r="AO135" s="26">
        <f t="shared" si="75"/>
        <v>248482.7399356656</v>
      </c>
      <c r="AP135" s="15">
        <f t="shared" si="76"/>
        <v>6307.6719576719579</v>
      </c>
      <c r="AQ135" s="5">
        <f t="shared" si="77"/>
        <v>5238.7432621467533</v>
      </c>
      <c r="AR135" s="26">
        <f t="shared" si="78"/>
        <v>420.51146384479722</v>
      </c>
      <c r="AS135" s="26">
        <f t="shared" si="79"/>
        <v>3022.1941546989178</v>
      </c>
      <c r="AT135" s="26">
        <f t="shared" si="80"/>
        <v>37.567600585756203</v>
      </c>
      <c r="AU135" s="26">
        <f t="shared" si="81"/>
        <v>5.9854925384629922</v>
      </c>
      <c r="AV135" s="95">
        <f t="shared" si="82"/>
        <v>8.6034497354497351E-7</v>
      </c>
      <c r="AW135" s="95">
        <f t="shared" si="83"/>
        <v>13758293.349206358</v>
      </c>
      <c r="AX135" s="95">
        <f t="shared" si="84"/>
        <v>1.3758293349206359E-5</v>
      </c>
      <c r="AY135" s="54">
        <f t="shared" si="85"/>
        <v>0.1548581140202015</v>
      </c>
      <c r="AZ135" s="54" t="str">
        <f>_xll.Dce_Name_SectI(AE135,AF135,AI135,AH135,AJ135,"x","-",$O$11)</f>
        <v>(528-1528)x300x10x14</v>
      </c>
      <c r="BA135" s="15">
        <f t="shared" si="86"/>
        <v>700.97619047619071</v>
      </c>
      <c r="BB135" s="54"/>
      <c r="BC135" s="54"/>
      <c r="BD135" s="22" t="s">
        <v>505</v>
      </c>
      <c r="BE135" s="23">
        <v>-171.39769224444311</v>
      </c>
      <c r="BF135" s="23">
        <v>-157.05688068200851</v>
      </c>
      <c r="BG135" s="23">
        <v>5.8252820087187785E-5</v>
      </c>
      <c r="BH135" s="23">
        <v>-8.1362338387293092E-7</v>
      </c>
      <c r="BI135" s="23">
        <v>-2.1263025120583923E-4</v>
      </c>
      <c r="BJ135" s="23">
        <v>584.87620745868514</v>
      </c>
      <c r="BK135" s="23">
        <v>572.03542309484101</v>
      </c>
      <c r="BL135" s="92">
        <v>2.25</v>
      </c>
      <c r="BM135" s="91">
        <v>2</v>
      </c>
      <c r="BN135" s="5">
        <f t="shared" si="87"/>
        <v>19.473749999999999</v>
      </c>
      <c r="BO135" s="54">
        <f>_xll.Bimoment(BH135,AY135,AC135,AD135,$O$101)</f>
        <v>6.2573062568505643E-6</v>
      </c>
      <c r="BP135" s="5">
        <f t="shared" si="88"/>
        <v>0.45620689655172403</v>
      </c>
      <c r="BQ135" s="5">
        <f t="shared" si="89"/>
        <v>14.234998511608248</v>
      </c>
      <c r="BR135" s="24" t="str">
        <f t="shared" si="90"/>
        <v>Cal</v>
      </c>
      <c r="BS135" s="25">
        <f t="shared" si="91"/>
        <v>4.2590595857261652E-2</v>
      </c>
      <c r="BT135" s="25" t="str">
        <f t="shared" si="92"/>
        <v>CT.105</v>
      </c>
      <c r="BU135" s="25">
        <f t="shared" si="93"/>
        <v>1</v>
      </c>
      <c r="BV135" s="25" cm="1">
        <f t="array" ref="BV135">IF(BT135="CT.104",_xll.TCVN5575AnnexEHeSoCx(1,BP135),1)</f>
        <v>1</v>
      </c>
      <c r="BW135" s="25">
        <f t="shared" si="94"/>
        <v>1</v>
      </c>
      <c r="BX135" s="25">
        <f t="shared" si="95"/>
        <v>4.4832206165538589E-2</v>
      </c>
      <c r="BY135" s="25">
        <f t="shared" si="96"/>
        <v>0.51415171833309603</v>
      </c>
      <c r="BZ135" s="25">
        <f t="shared" si="97"/>
        <v>2.3286363067941597E-6</v>
      </c>
      <c r="CA135" s="25">
        <f t="shared" si="98"/>
        <v>1.4681842654294073E-7</v>
      </c>
      <c r="CB135" s="25">
        <f t="shared" si="99"/>
        <v>0.55898639995336796</v>
      </c>
      <c r="CC135" s="5" t="str">
        <f t="shared" si="100"/>
        <v>OK</v>
      </c>
      <c r="CD135" s="5">
        <f t="shared" si="101"/>
        <v>51.836555160202302</v>
      </c>
      <c r="CE135" s="5">
        <f t="shared" si="102"/>
        <v>33.414125690541383</v>
      </c>
      <c r="CF135" s="5">
        <f t="shared" si="103"/>
        <v>1.7266865002204341</v>
      </c>
      <c r="CG135" s="5">
        <f t="shared" si="104"/>
        <v>1.1130315193248546</v>
      </c>
      <c r="CH135" s="5">
        <f t="shared" si="105"/>
        <v>11.468356396172886</v>
      </c>
      <c r="CI135" s="68">
        <f>_xll.DCETCVN5575PhuLucD2Eta(BP135,CH135,CF135)</f>
        <v>1.2412413793103447</v>
      </c>
      <c r="CJ135" s="5">
        <f t="shared" si="106"/>
        <v>14.234998511608248</v>
      </c>
      <c r="CK135" s="5">
        <f>MIN(noisuy2chieu(CJ135,CF135,Data!$DA$2:$EB$24),1)</f>
        <v>9.547249972820282E-2</v>
      </c>
      <c r="CL135" s="102">
        <f t="shared" si="107"/>
        <v>0.46958240638057824</v>
      </c>
      <c r="CM135" s="5" t="str">
        <f t="shared" si="108"/>
        <v>OK</v>
      </c>
      <c r="CN135" s="5">
        <f t="shared" si="109"/>
        <v>0.88472625978979058</v>
      </c>
      <c r="CO135" s="5">
        <f t="shared" si="110"/>
        <v>0.5370345235716667</v>
      </c>
      <c r="CP135" s="25">
        <f>_xll.DCETCVNPhuLucFHeSoOnDinh(1, 0.2, AG135, AH135, AI135, AJ135, AI135, AJ135, $D$28)</f>
        <v>1</v>
      </c>
      <c r="CQ135" s="68">
        <f t="shared" si="111"/>
        <v>0.9</v>
      </c>
      <c r="CR135" s="68">
        <f t="shared" si="112"/>
        <v>1</v>
      </c>
      <c r="CS135" s="5">
        <f t="shared" si="113"/>
        <v>0.18181818181818182</v>
      </c>
      <c r="CT135" s="5">
        <f t="shared" si="114"/>
        <v>0.10155106457844131</v>
      </c>
      <c r="CU135" s="26">
        <f t="shared" si="115"/>
        <v>11.216572019217578</v>
      </c>
      <c r="CV135" s="5"/>
      <c r="CW135" s="25"/>
      <c r="CX135" s="72">
        <f>MAX(_xll.Dce_c_925(CU135, CQ135, CR135, CN135, CP135, CS135, CT135),0.3)</f>
        <v>0.3</v>
      </c>
      <c r="CY135" s="102">
        <f t="shared" si="116"/>
        <v>0.16891177984698771</v>
      </c>
      <c r="CZ135" s="5" t="str">
        <f t="shared" si="117"/>
        <v>OK</v>
      </c>
      <c r="DA135" s="47">
        <f t="shared" si="118"/>
        <v>0.34499859601035404</v>
      </c>
      <c r="DB135" s="46">
        <f t="shared" si="119"/>
        <v>0.47130315193248545</v>
      </c>
      <c r="DC135" s="5" t="str">
        <f t="shared" si="120"/>
        <v>OK</v>
      </c>
      <c r="DD135" s="5">
        <f t="shared" si="121"/>
        <v>1.7266865002204341</v>
      </c>
      <c r="DE135" s="5">
        <f t="shared" si="122"/>
        <v>3.0666541867587034</v>
      </c>
      <c r="DF135" s="5" t="str">
        <f t="shared" si="123"/>
        <v>-</v>
      </c>
      <c r="DG135" s="5" t="str">
        <f t="shared" si="124"/>
        <v>-</v>
      </c>
      <c r="DH135" s="203">
        <f t="shared" si="125"/>
        <v>51.836555160202302</v>
      </c>
      <c r="DI135" s="203">
        <f t="shared" si="126"/>
        <v>180</v>
      </c>
      <c r="DJ135" s="46">
        <f t="shared" si="127"/>
        <v>0.28798086200112388</v>
      </c>
      <c r="DK135" s="5" t="str">
        <f t="shared" si="128"/>
        <v>OK</v>
      </c>
      <c r="EB135" s="18"/>
      <c r="EC135" s="77"/>
      <c r="ED135" s="77"/>
      <c r="EE135" s="18"/>
      <c r="EF135" s="18"/>
      <c r="EG135" s="18"/>
      <c r="EH135" s="5"/>
      <c r="EI135" s="5"/>
      <c r="EJ135" s="5"/>
      <c r="EK135" s="5"/>
      <c r="EL135" s="5"/>
      <c r="FE135" s="26"/>
      <c r="FF135" s="26"/>
      <c r="FG135" s="26"/>
      <c r="FH135" s="26"/>
      <c r="FI135" s="26"/>
      <c r="FJ135" s="26"/>
      <c r="FK135" s="26"/>
      <c r="FL135" s="26"/>
      <c r="FM135" s="26"/>
      <c r="FN135" s="205"/>
      <c r="FO135" s="205"/>
      <c r="FP135" s="205"/>
      <c r="FQ135" s="205"/>
      <c r="FR135" s="205"/>
      <c r="FS135" s="205"/>
      <c r="FT135" s="205"/>
      <c r="FU135" s="77"/>
      <c r="FV135" s="77"/>
      <c r="FW135" s="77"/>
      <c r="FX135" s="205"/>
      <c r="FY135" s="205"/>
      <c r="FZ135" s="205"/>
      <c r="GA135" s="205"/>
      <c r="GB135" s="205"/>
      <c r="GC135" s="205"/>
      <c r="GD135" s="205"/>
      <c r="GE135" s="205"/>
      <c r="GF135" s="205"/>
      <c r="GG135" s="205"/>
      <c r="GH135" s="205"/>
      <c r="GI135" s="205"/>
      <c r="GJ135" s="205"/>
      <c r="GK135" s="205"/>
      <c r="GL135" s="205"/>
      <c r="GM135" s="205"/>
      <c r="GN135" s="205"/>
      <c r="GO135" s="205"/>
      <c r="GP135" s="205"/>
      <c r="GQ135" s="205"/>
      <c r="GR135" s="205"/>
      <c r="GS135" s="205"/>
      <c r="GT135" s="205"/>
      <c r="GU135" s="205"/>
      <c r="GV135" s="18"/>
      <c r="GW135" s="5"/>
      <c r="GX135" s="5"/>
      <c r="GY135" s="77"/>
      <c r="GZ135" s="18"/>
      <c r="HA135" s="18"/>
      <c r="HB135" s="18"/>
      <c r="HC135" s="18"/>
      <c r="HD135" s="18"/>
      <c r="HE135" s="18"/>
      <c r="HF135" s="18"/>
      <c r="HG135" s="18"/>
      <c r="HH135" s="205"/>
      <c r="HI135" s="26"/>
      <c r="HJ135" s="26"/>
      <c r="HK135" s="5"/>
    </row>
    <row r="136" spans="2:219">
      <c r="AA136" s="18" t="s">
        <v>488</v>
      </c>
      <c r="AB136" s="22" t="s">
        <v>490</v>
      </c>
      <c r="AC136" s="59">
        <v>7.2811904761904795</v>
      </c>
      <c r="AD136" s="59">
        <v>8.6549999999999994</v>
      </c>
      <c r="AE136" s="22">
        <v>528</v>
      </c>
      <c r="AF136" s="22">
        <v>1528</v>
      </c>
      <c r="AG136" s="22">
        <v>1369.2698412698419</v>
      </c>
      <c r="AH136" s="6">
        <v>10</v>
      </c>
      <c r="AI136" s="6">
        <v>300</v>
      </c>
      <c r="AJ136" s="6">
        <v>14</v>
      </c>
      <c r="AK136" s="24">
        <v>300</v>
      </c>
      <c r="AL136" s="24">
        <v>14</v>
      </c>
      <c r="AM136" s="5">
        <f t="shared" si="73"/>
        <v>1341.2698412698419</v>
      </c>
      <c r="AN136" s="26">
        <f t="shared" si="74"/>
        <v>218.12698412698418</v>
      </c>
      <c r="AO136" s="26">
        <f t="shared" si="75"/>
        <v>586811.79072745051</v>
      </c>
      <c r="AP136" s="15">
        <f t="shared" si="76"/>
        <v>6311.1772486772488</v>
      </c>
      <c r="AQ136" s="5">
        <f t="shared" si="77"/>
        <v>8571.1635945074104</v>
      </c>
      <c r="AR136" s="26">
        <f t="shared" si="78"/>
        <v>420.74514991181661</v>
      </c>
      <c r="AS136" s="26">
        <f t="shared" si="79"/>
        <v>5094.8226505417015</v>
      </c>
      <c r="AT136" s="26">
        <f t="shared" si="80"/>
        <v>51.867428670398397</v>
      </c>
      <c r="AU136" s="26">
        <f t="shared" si="81"/>
        <v>5.3789869588463937</v>
      </c>
      <c r="AV136" s="95">
        <f t="shared" si="82"/>
        <v>1.0005566137566139E-6</v>
      </c>
      <c r="AW136" s="95">
        <f t="shared" si="83"/>
        <v>28928912.396825422</v>
      </c>
      <c r="AX136" s="95">
        <f t="shared" si="84"/>
        <v>2.8928912396825422E-5</v>
      </c>
      <c r="AY136" s="54">
        <f t="shared" si="85"/>
        <v>0.11516876660535029</v>
      </c>
      <c r="AZ136" s="54" t="str">
        <f>_xll.Dce_Name_SectI(AE136,AF136,AI136,AH136,AJ136,"x","-",$O$11)</f>
        <v>(528-1528)x300x10x14</v>
      </c>
      <c r="BA136" s="15">
        <f t="shared" si="86"/>
        <v>1016.4523809523813</v>
      </c>
      <c r="BB136" s="54"/>
      <c r="BC136" s="54"/>
      <c r="BD136" s="22" t="s">
        <v>505</v>
      </c>
      <c r="BE136" s="23">
        <v>-164.40095705738486</v>
      </c>
      <c r="BF136" s="23">
        <v>-149.43856656238307</v>
      </c>
      <c r="BG136" s="23">
        <v>5.8252820087655293E-5</v>
      </c>
      <c r="BH136" s="23">
        <v>-8.1362338387293092E-7</v>
      </c>
      <c r="BI136" s="23">
        <v>-4.2520463082097726E-4</v>
      </c>
      <c r="BJ136" s="23">
        <v>1144.070846189682</v>
      </c>
      <c r="BK136" s="23">
        <v>572.03542309484101</v>
      </c>
      <c r="BL136" s="92">
        <v>2.25</v>
      </c>
      <c r="BM136" s="91">
        <v>2</v>
      </c>
      <c r="BN136" s="5">
        <f t="shared" si="87"/>
        <v>19.473749999999999</v>
      </c>
      <c r="BO136" s="54">
        <f>_xll.Bimoment(BH136,AY136,AC136,AD136,$O$101)</f>
        <v>3.722058822774329E-6</v>
      </c>
      <c r="BP136" s="5">
        <f t="shared" si="88"/>
        <v>0.31313609467455605</v>
      </c>
      <c r="BQ136" s="5">
        <f t="shared" si="89"/>
        <v>21.475609580099594</v>
      </c>
      <c r="BR136" s="24" t="str">
        <f t="shared" si="90"/>
        <v>Cal</v>
      </c>
      <c r="BS136" s="25">
        <f t="shared" si="91"/>
        <v>3.2974104052497233E-2</v>
      </c>
      <c r="BT136" s="25" t="str">
        <f t="shared" si="92"/>
        <v>CT.105</v>
      </c>
      <c r="BU136" s="25">
        <f t="shared" si="93"/>
        <v>1</v>
      </c>
      <c r="BV136" s="25" cm="1">
        <f t="array" ref="BV136">IF(BT136="CT.104",_xll.TCVN5575AnnexEHeSoCx(1,BP136),1)</f>
        <v>1</v>
      </c>
      <c r="BW136" s="25">
        <f t="shared" si="94"/>
        <v>1</v>
      </c>
      <c r="BX136" s="25">
        <f t="shared" si="95"/>
        <v>3.4709583213154982E-2</v>
      </c>
      <c r="BY136" s="25">
        <f t="shared" si="96"/>
        <v>0.61470619010878857</v>
      </c>
      <c r="BZ136" s="25">
        <f t="shared" si="97"/>
        <v>4.6540743756558855E-6</v>
      </c>
      <c r="CA136" s="25">
        <f t="shared" si="98"/>
        <v>6.0227192035931464E-8</v>
      </c>
      <c r="CB136" s="25">
        <f t="shared" si="99"/>
        <v>0.64942048762351123</v>
      </c>
      <c r="CC136" s="5" t="str">
        <f t="shared" si="100"/>
        <v>OK</v>
      </c>
      <c r="CD136" s="5">
        <f t="shared" si="101"/>
        <v>37.545238889226049</v>
      </c>
      <c r="CE136" s="5">
        <f t="shared" si="102"/>
        <v>37.181722419139881</v>
      </c>
      <c r="CF136" s="5">
        <f t="shared" si="103"/>
        <v>1.2506397644909562</v>
      </c>
      <c r="CG136" s="5">
        <f t="shared" si="104"/>
        <v>1.2385309547993069</v>
      </c>
      <c r="CH136" s="5">
        <f t="shared" si="105"/>
        <v>17.70998477088639</v>
      </c>
      <c r="CI136" s="68">
        <f>_xll.DCETCVN5575PhuLucD2Eta(BP136,CH136,CF136)</f>
        <v>1.2126272189349112</v>
      </c>
      <c r="CJ136" s="5">
        <f t="shared" si="106"/>
        <v>21.475609580099594</v>
      </c>
      <c r="CK136" s="5">
        <f>MIN(noisuy2chieu(CJ136,CF136,Data!$DA$2:$EB$24),1)</f>
        <v>7.1994885802268982E-2</v>
      </c>
      <c r="CL136" s="102">
        <f t="shared" si="107"/>
        <v>0.48211178928019188</v>
      </c>
      <c r="CM136" s="5" t="str">
        <f t="shared" si="108"/>
        <v>OK</v>
      </c>
      <c r="CN136" s="5">
        <f t="shared" si="109"/>
        <v>0.86643683692746631</v>
      </c>
      <c r="CO136" s="5">
        <f t="shared" si="110"/>
        <v>0.5370345235716667</v>
      </c>
      <c r="CP136" s="25">
        <f>_xll.DCETCVNPhuLucFHeSoOnDinh(1, 0.2, AG136, AH136, AI136, AJ136, AI136, AJ136, $D$28)</f>
        <v>1</v>
      </c>
      <c r="CQ136" s="68">
        <f t="shared" si="111"/>
        <v>0.9</v>
      </c>
      <c r="CR136" s="68">
        <f t="shared" si="112"/>
        <v>1</v>
      </c>
      <c r="CS136" s="5">
        <f t="shared" si="113"/>
        <v>0.18181818181818182</v>
      </c>
      <c r="CT136" s="5">
        <f t="shared" si="114"/>
        <v>0.10347287704587492</v>
      </c>
      <c r="CU136" s="26">
        <f t="shared" si="115"/>
        <v>8.8549923854431949</v>
      </c>
      <c r="CV136" s="5"/>
      <c r="CW136" s="25"/>
      <c r="CX136" s="72">
        <f>MAX(_xll.Dce_c_925(CU136, CQ136, CR136, CN136, CP136, CS136, CT136),0.3)</f>
        <v>0.3</v>
      </c>
      <c r="CY136" s="102">
        <f t="shared" si="116"/>
        <v>0.13353380855874475</v>
      </c>
      <c r="CZ136" s="5" t="str">
        <f t="shared" si="117"/>
        <v>OK</v>
      </c>
      <c r="DA136" s="47">
        <f t="shared" si="118"/>
        <v>0.34499859601035404</v>
      </c>
      <c r="DB136" s="46">
        <f t="shared" si="119"/>
        <v>0.48385309547993066</v>
      </c>
      <c r="DC136" s="5" t="str">
        <f t="shared" si="120"/>
        <v>OK</v>
      </c>
      <c r="DD136" s="5">
        <f t="shared" si="121"/>
        <v>1.2506397644909562</v>
      </c>
      <c r="DE136" s="5">
        <f t="shared" si="122"/>
        <v>4.4677979100191463</v>
      </c>
      <c r="DF136" s="5" t="str">
        <f t="shared" si="123"/>
        <v>-</v>
      </c>
      <c r="DG136" s="5" t="str">
        <f t="shared" si="124"/>
        <v>-</v>
      </c>
      <c r="DH136" s="203">
        <f t="shared" si="125"/>
        <v>37.545238889226049</v>
      </c>
      <c r="DI136" s="203">
        <f t="shared" si="126"/>
        <v>180</v>
      </c>
      <c r="DJ136" s="46">
        <f t="shared" si="127"/>
        <v>0.20858466049570026</v>
      </c>
      <c r="DK136" s="5" t="str">
        <f t="shared" si="128"/>
        <v>OK</v>
      </c>
      <c r="EB136" s="18"/>
      <c r="EC136" s="77"/>
      <c r="ED136" s="77"/>
      <c r="EE136" s="18"/>
      <c r="EF136" s="18"/>
      <c r="EG136" s="18"/>
      <c r="EH136" s="5"/>
      <c r="EI136" s="5"/>
      <c r="EJ136" s="5"/>
      <c r="EK136" s="5"/>
      <c r="EL136" s="5"/>
      <c r="FE136" s="26"/>
      <c r="FF136" s="26"/>
      <c r="FG136" s="26"/>
      <c r="FH136" s="26"/>
      <c r="FI136" s="26"/>
      <c r="FJ136" s="26"/>
      <c r="FK136" s="26"/>
      <c r="FL136" s="26"/>
      <c r="FM136" s="26"/>
      <c r="FN136" s="205"/>
      <c r="FO136" s="205"/>
      <c r="FP136" s="205"/>
      <c r="FQ136" s="205"/>
      <c r="FR136" s="205"/>
      <c r="FS136" s="205"/>
      <c r="FT136" s="205"/>
      <c r="FU136" s="77"/>
      <c r="FV136" s="77"/>
      <c r="FW136" s="77"/>
      <c r="FX136" s="205"/>
      <c r="FY136" s="205"/>
      <c r="FZ136" s="205"/>
      <c r="GA136" s="205"/>
      <c r="GB136" s="205"/>
      <c r="GC136" s="205"/>
      <c r="GD136" s="205"/>
      <c r="GE136" s="205"/>
      <c r="GF136" s="205"/>
      <c r="GG136" s="205"/>
      <c r="GH136" s="205"/>
      <c r="GI136" s="205"/>
      <c r="GJ136" s="205"/>
      <c r="GK136" s="205"/>
      <c r="GL136" s="205"/>
      <c r="GM136" s="205"/>
      <c r="GN136" s="205"/>
      <c r="GO136" s="205"/>
      <c r="GP136" s="205"/>
      <c r="GQ136" s="205"/>
      <c r="GR136" s="205"/>
      <c r="GS136" s="205"/>
      <c r="GT136" s="205"/>
      <c r="GU136" s="205"/>
      <c r="GV136" s="18"/>
      <c r="GW136" s="5"/>
      <c r="GX136" s="5"/>
      <c r="GY136" s="77"/>
      <c r="GZ136" s="18"/>
      <c r="HA136" s="18"/>
      <c r="HB136" s="18"/>
      <c r="HC136" s="18"/>
      <c r="HD136" s="18"/>
      <c r="HE136" s="18"/>
      <c r="HF136" s="18"/>
      <c r="HG136" s="18"/>
      <c r="HH136" s="205"/>
      <c r="HI136" s="26"/>
      <c r="HJ136" s="26"/>
      <c r="HK136" s="5"/>
    </row>
    <row r="137" spans="2:219">
      <c r="AA137" s="18" t="s">
        <v>488</v>
      </c>
      <c r="AB137" s="22" t="s">
        <v>490</v>
      </c>
      <c r="AC137" s="59">
        <v>0</v>
      </c>
      <c r="AD137" s="59">
        <v>8.6549999999999994</v>
      </c>
      <c r="AE137" s="22">
        <v>528</v>
      </c>
      <c r="AF137" s="22">
        <v>1528</v>
      </c>
      <c r="AG137" s="22">
        <v>528</v>
      </c>
      <c r="AH137" s="6">
        <v>10</v>
      </c>
      <c r="AI137" s="6">
        <v>300</v>
      </c>
      <c r="AJ137" s="6">
        <v>14</v>
      </c>
      <c r="AK137" s="24">
        <v>300</v>
      </c>
      <c r="AL137" s="24">
        <v>14</v>
      </c>
      <c r="AM137" s="5">
        <f t="shared" si="73"/>
        <v>500</v>
      </c>
      <c r="AN137" s="26">
        <f t="shared" si="74"/>
        <v>134</v>
      </c>
      <c r="AO137" s="26">
        <f t="shared" si="75"/>
        <v>65911.546666666676</v>
      </c>
      <c r="AP137" s="15">
        <f t="shared" si="76"/>
        <v>6304.166666666667</v>
      </c>
      <c r="AQ137" s="5">
        <f t="shared" si="77"/>
        <v>2496.6494949494954</v>
      </c>
      <c r="AR137" s="26">
        <f t="shared" si="78"/>
        <v>420.27777777777777</v>
      </c>
      <c r="AS137" s="26">
        <f t="shared" si="79"/>
        <v>1391.9</v>
      </c>
      <c r="AT137" s="26">
        <f t="shared" si="80"/>
        <v>22.178305028345793</v>
      </c>
      <c r="AU137" s="26">
        <f t="shared" si="81"/>
        <v>6.8590101254115021</v>
      </c>
      <c r="AV137" s="95">
        <f t="shared" si="82"/>
        <v>7.201333333333334E-7</v>
      </c>
      <c r="AW137" s="95">
        <f t="shared" si="83"/>
        <v>4161087</v>
      </c>
      <c r="AX137" s="95">
        <f t="shared" si="84"/>
        <v>4.1610870000000001E-6</v>
      </c>
      <c r="AY137" s="54">
        <f t="shared" si="85"/>
        <v>0.25762202780669918</v>
      </c>
      <c r="AZ137" s="54" t="str">
        <f>_xll.Dce_Name_SectI(AE137,AF137,AI137,AH137,AJ137,"x","-",$O$11)</f>
        <v>(528-1528)x300x10x14</v>
      </c>
      <c r="BA137" s="15">
        <f t="shared" si="86"/>
        <v>385.5</v>
      </c>
      <c r="BB137" s="54"/>
      <c r="BC137" s="54"/>
      <c r="BD137" s="22" t="s">
        <v>506</v>
      </c>
      <c r="BE137" s="23">
        <v>-78.22685270742835</v>
      </c>
      <c r="BF137" s="23">
        <v>-80.524841625170296</v>
      </c>
      <c r="BG137" s="23">
        <v>2.1968585248004768E-3</v>
      </c>
      <c r="BH137" s="23">
        <v>-3.068375855804015E-5</v>
      </c>
      <c r="BI137" s="23">
        <v>-2.1070564404324087E-6</v>
      </c>
      <c r="BJ137" s="23">
        <v>-1.0153696516968505</v>
      </c>
      <c r="BK137" s="23">
        <v>225.99851442773991</v>
      </c>
      <c r="BL137" s="92">
        <v>2.25</v>
      </c>
      <c r="BM137" s="91">
        <v>2</v>
      </c>
      <c r="BN137" s="5">
        <f t="shared" si="87"/>
        <v>19.473749999999999</v>
      </c>
      <c r="BO137" s="54">
        <f>_xll.Bimoment(BH137,AY137,AC137,AD137,$O$101)</f>
        <v>0</v>
      </c>
      <c r="BP137" s="5">
        <f t="shared" si="88"/>
        <v>0.84</v>
      </c>
      <c r="BQ137" s="5">
        <f t="shared" si="89"/>
        <v>0.10567154024234411</v>
      </c>
      <c r="BR137" s="24" t="str">
        <f t="shared" si="90"/>
        <v>Cal</v>
      </c>
      <c r="BS137" s="25">
        <f t="shared" si="91"/>
        <v>2.5540483626492468E-2</v>
      </c>
      <c r="BT137" s="25" t="str">
        <f t="shared" si="92"/>
        <v>CT.105</v>
      </c>
      <c r="BU137" s="25">
        <f t="shared" si="93"/>
        <v>1</v>
      </c>
      <c r="BV137" s="25" cm="1">
        <f t="array" ref="BV137">IF(BT137="CT.104",_xll.TCVN5575AnnexEHeSoCx(1,BP137),1)</f>
        <v>1</v>
      </c>
      <c r="BW137" s="25">
        <f t="shared" si="94"/>
        <v>1</v>
      </c>
      <c r="BX137" s="25">
        <f t="shared" si="95"/>
        <v>2.6884719606834175E-2</v>
      </c>
      <c r="BY137" s="25">
        <f t="shared" si="96"/>
        <v>1.872927881171605E-3</v>
      </c>
      <c r="BZ137" s="25">
        <f t="shared" si="97"/>
        <v>2.3088418921494719E-8</v>
      </c>
      <c r="CA137" s="25">
        <f t="shared" si="98"/>
        <v>0</v>
      </c>
      <c r="CB137" s="25">
        <f t="shared" si="99"/>
        <v>2.8757670576424699E-2</v>
      </c>
      <c r="CC137" s="5" t="str">
        <f t="shared" si="100"/>
        <v>OK</v>
      </c>
      <c r="CD137" s="5">
        <f t="shared" si="101"/>
        <v>87.805402509844015</v>
      </c>
      <c r="CE137" s="5">
        <f t="shared" si="102"/>
        <v>29.158726455153193</v>
      </c>
      <c r="CF137" s="5">
        <f t="shared" si="103"/>
        <v>2.9248163326364334</v>
      </c>
      <c r="CG137" s="5">
        <f t="shared" si="104"/>
        <v>0.97128328026682387</v>
      </c>
      <c r="CH137" s="5">
        <f t="shared" si="105"/>
        <v>6.9665144682985694E-2</v>
      </c>
      <c r="CI137" s="68">
        <f>_xll.DCETCVN5575PhuLucD2Eta(BP137,CH137,CF137)</f>
        <v>1.5168495052038879</v>
      </c>
      <c r="CJ137" s="5">
        <f t="shared" si="106"/>
        <v>0.10567154024234411</v>
      </c>
      <c r="CK137" s="5">
        <f>MIN(noisuy2chieu(CJ137,CF137,Data!$DA$2:$EB$24),1)</f>
        <v>0.67563080787658691</v>
      </c>
      <c r="CL137" s="102">
        <f t="shared" si="107"/>
        <v>3.9792027381535616E-2</v>
      </c>
      <c r="CM137" s="5" t="str">
        <f t="shared" si="108"/>
        <v>OK</v>
      </c>
      <c r="CN137" s="5">
        <f t="shared" si="109"/>
        <v>0.90492218941026858</v>
      </c>
      <c r="CO137" s="5">
        <f t="shared" si="110"/>
        <v>0.5370345235716667</v>
      </c>
      <c r="CP137" s="25">
        <f>_xll.DCETCVNPhuLucFHeSoOnDinh(1, 0.2, AG137, AH137, AI137, AJ137, AI137, AJ137, $D$28)</f>
        <v>1</v>
      </c>
      <c r="CQ137" s="68">
        <f t="shared" si="111"/>
        <v>0.9</v>
      </c>
      <c r="CR137" s="68">
        <f t="shared" si="112"/>
        <v>1</v>
      </c>
      <c r="CS137" s="5">
        <f t="shared" si="113"/>
        <v>0.18181818181818182</v>
      </c>
      <c r="CT137" s="5">
        <f t="shared" si="114"/>
        <v>9.9510191986788829E-2</v>
      </c>
      <c r="CU137" s="26">
        <f t="shared" si="115"/>
        <v>15.50589893979709</v>
      </c>
      <c r="CV137" s="5"/>
      <c r="CW137" s="25"/>
      <c r="CX137" s="72">
        <f>MAX(_xll.Dce_c_925(CU137, CQ137, CR137, CN137, CP137, CS137, CT137),0.3)</f>
        <v>0.3</v>
      </c>
      <c r="CY137" s="102">
        <f t="shared" si="116"/>
        <v>9.9031422890826143E-2</v>
      </c>
      <c r="CZ137" s="5" t="str">
        <f t="shared" si="117"/>
        <v>OK</v>
      </c>
      <c r="DA137" s="47">
        <f t="shared" si="118"/>
        <v>0.34499859601035404</v>
      </c>
      <c r="DB137" s="46">
        <f t="shared" si="119"/>
        <v>0.45712832802668235</v>
      </c>
      <c r="DC137" s="5" t="str">
        <f t="shared" si="120"/>
        <v>OK</v>
      </c>
      <c r="DD137" s="5">
        <f t="shared" si="121"/>
        <v>2.9248163326364334</v>
      </c>
      <c r="DE137" s="5">
        <f t="shared" si="122"/>
        <v>1.6655104634982609</v>
      </c>
      <c r="DF137" s="5" t="str">
        <f t="shared" si="123"/>
        <v>-</v>
      </c>
      <c r="DG137" s="5" t="str">
        <f t="shared" si="124"/>
        <v>-</v>
      </c>
      <c r="DH137" s="203" t="str">
        <f t="shared" si="125"/>
        <v>-</v>
      </c>
      <c r="DI137" s="203">
        <f t="shared" si="126"/>
        <v>180</v>
      </c>
      <c r="DJ137" s="46">
        <f t="shared" si="127"/>
        <v>0</v>
      </c>
      <c r="DK137" s="5" t="str">
        <f t="shared" si="128"/>
        <v>OK</v>
      </c>
      <c r="EB137" s="18"/>
      <c r="EC137" s="77"/>
      <c r="ED137" s="77"/>
      <c r="EE137" s="18"/>
      <c r="EF137" s="18"/>
      <c r="EG137" s="18"/>
      <c r="EH137" s="5"/>
      <c r="EI137" s="5"/>
      <c r="EJ137" s="5"/>
      <c r="EK137" s="5"/>
      <c r="EL137" s="5"/>
      <c r="FE137" s="26"/>
      <c r="FF137" s="26"/>
      <c r="FG137" s="26"/>
      <c r="FH137" s="26"/>
      <c r="FI137" s="26"/>
      <c r="FJ137" s="26"/>
      <c r="FK137" s="26"/>
      <c r="FL137" s="26"/>
      <c r="FM137" s="26"/>
      <c r="FN137" s="205"/>
      <c r="FO137" s="205"/>
      <c r="FP137" s="205"/>
      <c r="FQ137" s="205"/>
      <c r="FR137" s="205"/>
      <c r="FS137" s="205"/>
      <c r="FT137" s="205"/>
      <c r="FU137" s="77"/>
      <c r="FV137" s="77"/>
      <c r="FW137" s="77"/>
      <c r="FX137" s="205"/>
      <c r="FY137" s="205"/>
      <c r="FZ137" s="205"/>
      <c r="GA137" s="205"/>
      <c r="GB137" s="205"/>
      <c r="GC137" s="205"/>
      <c r="GD137" s="205"/>
      <c r="GE137" s="205"/>
      <c r="GF137" s="205"/>
      <c r="GG137" s="205"/>
      <c r="GH137" s="205"/>
      <c r="GI137" s="205"/>
      <c r="GJ137" s="205"/>
      <c r="GK137" s="205"/>
      <c r="GL137" s="205"/>
      <c r="GM137" s="205"/>
      <c r="GN137" s="205"/>
      <c r="GO137" s="205"/>
      <c r="GP137" s="205"/>
      <c r="GQ137" s="205"/>
      <c r="GR137" s="205"/>
      <c r="GS137" s="205"/>
      <c r="GT137" s="205"/>
      <c r="GU137" s="205"/>
      <c r="GV137" s="18"/>
      <c r="GW137" s="5"/>
      <c r="GX137" s="5"/>
      <c r="GY137" s="77"/>
      <c r="GZ137" s="18"/>
      <c r="HA137" s="18"/>
      <c r="HB137" s="18"/>
      <c r="HC137" s="18"/>
      <c r="HD137" s="18"/>
      <c r="HE137" s="18"/>
      <c r="HF137" s="18"/>
      <c r="HG137" s="18"/>
      <c r="HH137" s="205"/>
      <c r="HI137" s="26"/>
      <c r="HJ137" s="26"/>
      <c r="HK137" s="5"/>
    </row>
    <row r="138" spans="2:219">
      <c r="AA138" s="18" t="s">
        <v>488</v>
      </c>
      <c r="AB138" s="22" t="s">
        <v>490</v>
      </c>
      <c r="AC138" s="59">
        <v>3.6405952380952398</v>
      </c>
      <c r="AD138" s="59">
        <v>8.6549999999999994</v>
      </c>
      <c r="AE138" s="22">
        <v>528</v>
      </c>
      <c r="AF138" s="22">
        <v>1528</v>
      </c>
      <c r="AG138" s="22">
        <v>948.63492063492095</v>
      </c>
      <c r="AH138" s="6">
        <v>10</v>
      </c>
      <c r="AI138" s="6">
        <v>300</v>
      </c>
      <c r="AJ138" s="6">
        <v>14</v>
      </c>
      <c r="AK138" s="24">
        <v>300</v>
      </c>
      <c r="AL138" s="24">
        <v>14</v>
      </c>
      <c r="AM138" s="5">
        <f t="shared" si="73"/>
        <v>920.63492063492095</v>
      </c>
      <c r="AN138" s="26">
        <f t="shared" si="74"/>
        <v>176.06349206349208</v>
      </c>
      <c r="AO138" s="26">
        <f t="shared" si="75"/>
        <v>248482.7399356656</v>
      </c>
      <c r="AP138" s="15">
        <f t="shared" si="76"/>
        <v>6307.6719576719579</v>
      </c>
      <c r="AQ138" s="5">
        <f t="shared" si="77"/>
        <v>5238.7432621467533</v>
      </c>
      <c r="AR138" s="26">
        <f t="shared" si="78"/>
        <v>420.51146384479722</v>
      </c>
      <c r="AS138" s="26">
        <f t="shared" si="79"/>
        <v>3022.1941546989178</v>
      </c>
      <c r="AT138" s="26">
        <f t="shared" si="80"/>
        <v>37.567600585756203</v>
      </c>
      <c r="AU138" s="26">
        <f t="shared" si="81"/>
        <v>5.9854925384629922</v>
      </c>
      <c r="AV138" s="95">
        <f t="shared" si="82"/>
        <v>8.6034497354497351E-7</v>
      </c>
      <c r="AW138" s="95">
        <f t="shared" si="83"/>
        <v>13758293.349206358</v>
      </c>
      <c r="AX138" s="95">
        <f t="shared" si="84"/>
        <v>1.3758293349206359E-5</v>
      </c>
      <c r="AY138" s="54">
        <f t="shared" si="85"/>
        <v>0.1548581140202015</v>
      </c>
      <c r="AZ138" s="54" t="str">
        <f>_xll.Dce_Name_SectI(AE138,AF138,AI138,AH138,AJ138,"x","-",$O$11)</f>
        <v>(528-1528)x300x10x14</v>
      </c>
      <c r="BA138" s="15">
        <f t="shared" si="86"/>
        <v>700.97619047619071</v>
      </c>
      <c r="BB138" s="54"/>
      <c r="BC138" s="54"/>
      <c r="BD138" s="22" t="s">
        <v>506</v>
      </c>
      <c r="BE138" s="23">
        <v>-72.033508270862569</v>
      </c>
      <c r="BF138" s="23">
        <v>-62.052984524952905</v>
      </c>
      <c r="BG138" s="23">
        <v>2.1968585248016105E-3</v>
      </c>
      <c r="BH138" s="23">
        <v>-3.068375855804015E-5</v>
      </c>
      <c r="BI138" s="23">
        <v>-8.0188148709457712E-3</v>
      </c>
      <c r="BJ138" s="23">
        <v>259.09772624746142</v>
      </c>
      <c r="BK138" s="23">
        <v>225.99851442773991</v>
      </c>
      <c r="BL138" s="92">
        <v>2.25</v>
      </c>
      <c r="BM138" s="91">
        <v>2</v>
      </c>
      <c r="BN138" s="5">
        <f t="shared" si="87"/>
        <v>19.473749999999999</v>
      </c>
      <c r="BO138" s="54">
        <f>_xll.Bimoment(BH138,AY138,AC138,AD138,$O$101)</f>
        <v>2.3597855987740669E-4</v>
      </c>
      <c r="BP138" s="5">
        <f t="shared" si="88"/>
        <v>0.45620689655172403</v>
      </c>
      <c r="BQ138" s="5">
        <f t="shared" si="89"/>
        <v>15.004705516087247</v>
      </c>
      <c r="BR138" s="24" t="str">
        <f t="shared" si="90"/>
        <v>Cal</v>
      </c>
      <c r="BS138" s="25">
        <f t="shared" si="91"/>
        <v>1.7899599456506033E-2</v>
      </c>
      <c r="BT138" s="25" t="str">
        <f t="shared" si="92"/>
        <v>CT.105</v>
      </c>
      <c r="BU138" s="25">
        <f t="shared" si="93"/>
        <v>1</v>
      </c>
      <c r="BV138" s="25" cm="1">
        <f t="array" ref="BV138">IF(BT138="CT.104",_xll.TCVN5575AnnexEHeSoCx(1,BP138),1)</f>
        <v>1</v>
      </c>
      <c r="BW138" s="25">
        <f t="shared" si="94"/>
        <v>1</v>
      </c>
      <c r="BX138" s="25">
        <f t="shared" si="95"/>
        <v>1.8841683638427406E-2</v>
      </c>
      <c r="BY138" s="25">
        <f t="shared" si="96"/>
        <v>0.22776707184783296</v>
      </c>
      <c r="BZ138" s="25">
        <f t="shared" si="97"/>
        <v>8.7818658634178641E-5</v>
      </c>
      <c r="CA138" s="25">
        <f t="shared" si="98"/>
        <v>5.5368875098832146E-6</v>
      </c>
      <c r="CB138" s="25">
        <f t="shared" si="99"/>
        <v>0.24670211103240444</v>
      </c>
      <c r="CC138" s="5" t="str">
        <f t="shared" si="100"/>
        <v>OK</v>
      </c>
      <c r="CD138" s="5">
        <f t="shared" si="101"/>
        <v>51.836555160202302</v>
      </c>
      <c r="CE138" s="5">
        <f t="shared" si="102"/>
        <v>33.414125690541383</v>
      </c>
      <c r="CF138" s="5">
        <f t="shared" si="103"/>
        <v>1.7266865002204341</v>
      </c>
      <c r="CG138" s="5">
        <f t="shared" si="104"/>
        <v>1.1130315193248546</v>
      </c>
      <c r="CH138" s="5">
        <f t="shared" si="105"/>
        <v>12.088467050964836</v>
      </c>
      <c r="CI138" s="68">
        <f>_xll.DCETCVN5575PhuLucD2Eta(BP138,CH138,CF138)</f>
        <v>1.2412413793103447</v>
      </c>
      <c r="CJ138" s="5">
        <f t="shared" si="106"/>
        <v>15.004705516087247</v>
      </c>
      <c r="CK138" s="5">
        <f>MIN(noisuy2chieu(CJ138,CF138,Data!$DA$2:$EB$24),1)</f>
        <v>9.1343477368354797E-2</v>
      </c>
      <c r="CL138" s="102">
        <f t="shared" si="107"/>
        <v>0.20627289633879164</v>
      </c>
      <c r="CM138" s="5" t="str">
        <f t="shared" si="108"/>
        <v>OK</v>
      </c>
      <c r="CN138" s="5">
        <f t="shared" si="109"/>
        <v>0.88472625978979058</v>
      </c>
      <c r="CO138" s="5">
        <f t="shared" si="110"/>
        <v>0.5370345235716667</v>
      </c>
      <c r="CP138" s="25">
        <f>_xll.DCETCVNPhuLucFHeSoOnDinh(1, 0.2, AG138, AH138, AI138, AJ138, AI138, AJ138, $D$28)</f>
        <v>1</v>
      </c>
      <c r="CQ138" s="68">
        <f t="shared" si="111"/>
        <v>0.9</v>
      </c>
      <c r="CR138" s="68">
        <f t="shared" si="112"/>
        <v>1</v>
      </c>
      <c r="CS138" s="5">
        <f t="shared" si="113"/>
        <v>0.18181818181818182</v>
      </c>
      <c r="CT138" s="5">
        <f t="shared" si="114"/>
        <v>0.10155106457844131</v>
      </c>
      <c r="CU138" s="26">
        <f t="shared" si="115"/>
        <v>10.54418977269393</v>
      </c>
      <c r="CV138" s="5"/>
      <c r="CW138" s="25"/>
      <c r="CX138" s="72">
        <f>MAX(_xll.Dce_c_925(CU138, CQ138, CR138, CN138, CP138, CS138, CT138),0.3)</f>
        <v>0.3</v>
      </c>
      <c r="CY138" s="102">
        <f t="shared" si="116"/>
        <v>7.0988750964636069E-2</v>
      </c>
      <c r="CZ138" s="5" t="str">
        <f t="shared" si="117"/>
        <v>OK</v>
      </c>
      <c r="DA138" s="47">
        <f t="shared" si="118"/>
        <v>0.34499859601035404</v>
      </c>
      <c r="DB138" s="46">
        <f t="shared" si="119"/>
        <v>0.47130315193248545</v>
      </c>
      <c r="DC138" s="5" t="str">
        <f t="shared" si="120"/>
        <v>OK</v>
      </c>
      <c r="DD138" s="5">
        <f t="shared" si="121"/>
        <v>1.7266865002204341</v>
      </c>
      <c r="DE138" s="5">
        <f t="shared" si="122"/>
        <v>3.0666541867587034</v>
      </c>
      <c r="DF138" s="5" t="str">
        <f t="shared" si="123"/>
        <v>-</v>
      </c>
      <c r="DG138" s="5" t="str">
        <f t="shared" si="124"/>
        <v>-</v>
      </c>
      <c r="DH138" s="203">
        <f t="shared" si="125"/>
        <v>51.836555160202302</v>
      </c>
      <c r="DI138" s="203">
        <f t="shared" si="126"/>
        <v>180</v>
      </c>
      <c r="DJ138" s="46">
        <f t="shared" si="127"/>
        <v>0.28798086200112388</v>
      </c>
      <c r="DK138" s="5" t="str">
        <f t="shared" si="128"/>
        <v>OK</v>
      </c>
      <c r="EB138" s="18"/>
      <c r="EC138" s="77"/>
      <c r="ED138" s="77"/>
      <c r="EE138" s="18"/>
      <c r="EF138" s="18"/>
      <c r="EG138" s="18"/>
      <c r="EH138" s="5"/>
      <c r="EI138" s="5"/>
      <c r="EJ138" s="5"/>
      <c r="EK138" s="5"/>
      <c r="EL138" s="5"/>
      <c r="FE138" s="26"/>
      <c r="FF138" s="26"/>
      <c r="FG138" s="26"/>
      <c r="FH138" s="26"/>
      <c r="FI138" s="26"/>
      <c r="FJ138" s="26"/>
      <c r="FK138" s="26"/>
      <c r="FL138" s="26"/>
      <c r="FM138" s="26"/>
      <c r="FN138" s="205"/>
      <c r="FO138" s="205"/>
      <c r="FP138" s="205"/>
      <c r="FQ138" s="205"/>
      <c r="FR138" s="205"/>
      <c r="FS138" s="205"/>
      <c r="FT138" s="205"/>
      <c r="FU138" s="77"/>
      <c r="FV138" s="77"/>
      <c r="FW138" s="77"/>
      <c r="FX138" s="205"/>
      <c r="FY138" s="205"/>
      <c r="FZ138" s="205"/>
      <c r="GA138" s="205"/>
      <c r="GB138" s="205"/>
      <c r="GC138" s="205"/>
      <c r="GD138" s="205"/>
      <c r="GE138" s="205"/>
      <c r="GF138" s="205"/>
      <c r="GG138" s="205"/>
      <c r="GH138" s="205"/>
      <c r="GI138" s="205"/>
      <c r="GJ138" s="205"/>
      <c r="GK138" s="205"/>
      <c r="GL138" s="205"/>
      <c r="GM138" s="205"/>
      <c r="GN138" s="205"/>
      <c r="GO138" s="205"/>
      <c r="GP138" s="205"/>
      <c r="GQ138" s="205"/>
      <c r="GR138" s="205"/>
      <c r="GS138" s="205"/>
      <c r="GT138" s="205"/>
      <c r="GU138" s="205"/>
      <c r="GV138" s="18"/>
      <c r="GW138" s="5"/>
      <c r="GX138" s="5"/>
      <c r="GY138" s="77"/>
      <c r="GZ138" s="18"/>
      <c r="HA138" s="18"/>
      <c r="HB138" s="18"/>
      <c r="HC138" s="18"/>
      <c r="HD138" s="18"/>
      <c r="HE138" s="18"/>
      <c r="HF138" s="18"/>
      <c r="HG138" s="18"/>
      <c r="HH138" s="205"/>
      <c r="HI138" s="26"/>
      <c r="HJ138" s="26"/>
      <c r="HK138" s="5"/>
    </row>
    <row r="139" spans="2:219">
      <c r="AA139" s="18" t="s">
        <v>488</v>
      </c>
      <c r="AB139" s="22" t="s">
        <v>490</v>
      </c>
      <c r="AC139" s="59">
        <v>7.2811904761904795</v>
      </c>
      <c r="AD139" s="59">
        <v>8.6549999999999994</v>
      </c>
      <c r="AE139" s="22">
        <v>528</v>
      </c>
      <c r="AF139" s="22">
        <v>1528</v>
      </c>
      <c r="AG139" s="22">
        <v>1369.2698412698419</v>
      </c>
      <c r="AH139" s="6">
        <v>10</v>
      </c>
      <c r="AI139" s="6">
        <v>300</v>
      </c>
      <c r="AJ139" s="6">
        <v>14</v>
      </c>
      <c r="AK139" s="24">
        <v>300</v>
      </c>
      <c r="AL139" s="24">
        <v>14</v>
      </c>
      <c r="AM139" s="5">
        <f t="shared" si="73"/>
        <v>1341.2698412698419</v>
      </c>
      <c r="AN139" s="26">
        <f t="shared" si="74"/>
        <v>218.12698412698418</v>
      </c>
      <c r="AO139" s="26">
        <f t="shared" si="75"/>
        <v>586811.79072745051</v>
      </c>
      <c r="AP139" s="15">
        <f t="shared" si="76"/>
        <v>6311.1772486772488</v>
      </c>
      <c r="AQ139" s="5">
        <f t="shared" si="77"/>
        <v>8571.1635945074104</v>
      </c>
      <c r="AR139" s="26">
        <f t="shared" si="78"/>
        <v>420.74514991181661</v>
      </c>
      <c r="AS139" s="26">
        <f t="shared" si="79"/>
        <v>5094.8226505417015</v>
      </c>
      <c r="AT139" s="26">
        <f t="shared" si="80"/>
        <v>51.867428670398397</v>
      </c>
      <c r="AU139" s="26">
        <f t="shared" si="81"/>
        <v>5.3789869588463937</v>
      </c>
      <c r="AV139" s="95">
        <f t="shared" si="82"/>
        <v>1.0005566137566139E-6</v>
      </c>
      <c r="AW139" s="95">
        <f t="shared" si="83"/>
        <v>28928912.396825422</v>
      </c>
      <c r="AX139" s="95">
        <f t="shared" si="84"/>
        <v>2.8928912396825422E-5</v>
      </c>
      <c r="AY139" s="54">
        <f t="shared" si="85"/>
        <v>0.11516876660535029</v>
      </c>
      <c r="AZ139" s="54" t="str">
        <f>_xll.Dce_Name_SectI(AE139,AF139,AI139,AH139,AJ139,"x","-",$O$11)</f>
        <v>(528-1528)x300x10x14</v>
      </c>
      <c r="BA139" s="15">
        <f t="shared" si="86"/>
        <v>1016.4523809523813</v>
      </c>
      <c r="BB139" s="54"/>
      <c r="BC139" s="54"/>
      <c r="BD139" s="22" t="s">
        <v>506</v>
      </c>
      <c r="BE139" s="23">
        <v>-64.298728083804349</v>
      </c>
      <c r="BF139" s="23">
        <v>-43.686977955327478</v>
      </c>
      <c r="BG139" s="23">
        <v>2.196858524802738E-3</v>
      </c>
      <c r="BH139" s="23">
        <v>-3.068375855804015E-5</v>
      </c>
      <c r="BI139" s="23">
        <v>-1.6035522685455234E-2</v>
      </c>
      <c r="BJ139" s="23">
        <v>451.99702885547981</v>
      </c>
      <c r="BK139" s="23">
        <v>225.99851442773991</v>
      </c>
      <c r="BL139" s="92">
        <v>2.25</v>
      </c>
      <c r="BM139" s="91">
        <v>2</v>
      </c>
      <c r="BN139" s="5">
        <f t="shared" si="87"/>
        <v>19.473749999999999</v>
      </c>
      <c r="BO139" s="54">
        <f>_xll.Bimoment(BH139,AY139,AC139,AD139,$O$101)</f>
        <v>1.4036808248208741E-4</v>
      </c>
      <c r="BP139" s="5">
        <f t="shared" si="88"/>
        <v>0.31313609467455605</v>
      </c>
      <c r="BQ139" s="5">
        <f t="shared" si="89"/>
        <v>21.693524699047366</v>
      </c>
      <c r="BR139" s="24" t="str">
        <f t="shared" si="90"/>
        <v>Cal</v>
      </c>
      <c r="BS139" s="25">
        <f t="shared" si="91"/>
        <v>1.289647571539701E-2</v>
      </c>
      <c r="BT139" s="25" t="str">
        <f t="shared" si="92"/>
        <v>CT.105</v>
      </c>
      <c r="BU139" s="25">
        <f t="shared" si="93"/>
        <v>1</v>
      </c>
      <c r="BV139" s="25" cm="1">
        <f t="array" ref="BV139">IF(BT139="CT.104",_xll.TCVN5575AnnexEHeSoCx(1,BP139),1)</f>
        <v>1</v>
      </c>
      <c r="BW139" s="25">
        <f t="shared" si="94"/>
        <v>1</v>
      </c>
      <c r="BX139" s="25">
        <f t="shared" si="95"/>
        <v>1.3575237595154749E-2</v>
      </c>
      <c r="BY139" s="25">
        <f t="shared" si="96"/>
        <v>0.24285678852284867</v>
      </c>
      <c r="BZ139" s="25">
        <f t="shared" si="97"/>
        <v>1.7551670377279437E-4</v>
      </c>
      <c r="CA139" s="25">
        <f t="shared" si="98"/>
        <v>2.2713169946795108E-6</v>
      </c>
      <c r="CB139" s="25">
        <f t="shared" si="99"/>
        <v>0.25660981413877093</v>
      </c>
      <c r="CC139" s="5" t="str">
        <f t="shared" si="100"/>
        <v>OK</v>
      </c>
      <c r="CD139" s="5">
        <f t="shared" si="101"/>
        <v>37.545238889226049</v>
      </c>
      <c r="CE139" s="5">
        <f t="shared" si="102"/>
        <v>37.181722419139881</v>
      </c>
      <c r="CF139" s="5">
        <f t="shared" si="103"/>
        <v>1.2506397644909562</v>
      </c>
      <c r="CG139" s="5">
        <f t="shared" si="104"/>
        <v>1.2385309547993069</v>
      </c>
      <c r="CH139" s="5">
        <f t="shared" si="105"/>
        <v>17.889689725174957</v>
      </c>
      <c r="CI139" s="68">
        <f>_xll.DCETCVN5575PhuLucD2Eta(BP139,CH139,CF139)</f>
        <v>1.2126272189349112</v>
      </c>
      <c r="CJ139" s="5">
        <f t="shared" si="106"/>
        <v>21.693524699047366</v>
      </c>
      <c r="CK139" s="5">
        <f>MIN(noisuy2chieu(CJ139,CF139,Data!$DA$2:$EB$24),1)</f>
        <v>7.1994885802268982E-2</v>
      </c>
      <c r="CL139" s="102">
        <f t="shared" si="107"/>
        <v>0.18855835999849468</v>
      </c>
      <c r="CM139" s="5" t="str">
        <f t="shared" si="108"/>
        <v>OK</v>
      </c>
      <c r="CN139" s="5">
        <f t="shared" si="109"/>
        <v>0.86643683692746631</v>
      </c>
      <c r="CO139" s="5">
        <f t="shared" si="110"/>
        <v>0.5370345235716667</v>
      </c>
      <c r="CP139" s="25">
        <f>_xll.DCETCVNPhuLucFHeSoOnDinh(1, 0.2, AG139, AH139, AI139, AJ139, AI139, AJ139, $D$28)</f>
        <v>1</v>
      </c>
      <c r="CQ139" s="68">
        <f t="shared" si="111"/>
        <v>0.9</v>
      </c>
      <c r="CR139" s="68">
        <f t="shared" si="112"/>
        <v>1</v>
      </c>
      <c r="CS139" s="5">
        <f t="shared" si="113"/>
        <v>0.18181818181818182</v>
      </c>
      <c r="CT139" s="5">
        <f t="shared" si="114"/>
        <v>0.10347287704587492</v>
      </c>
      <c r="CU139" s="26">
        <f t="shared" si="115"/>
        <v>8.9448448625874786</v>
      </c>
      <c r="CV139" s="5"/>
      <c r="CW139" s="25"/>
      <c r="CX139" s="72">
        <f>MAX(_xll.Dce_c_925(CU139, CQ139, CR139, CN139, CP139, CS139, CT139),0.3)</f>
        <v>0.3</v>
      </c>
      <c r="CY139" s="102">
        <f t="shared" si="116"/>
        <v>5.2226302086042689E-2</v>
      </c>
      <c r="CZ139" s="5" t="str">
        <f t="shared" si="117"/>
        <v>OK</v>
      </c>
      <c r="DA139" s="47">
        <f t="shared" si="118"/>
        <v>0.34499859601035404</v>
      </c>
      <c r="DB139" s="46">
        <f t="shared" si="119"/>
        <v>0.48385309547993066</v>
      </c>
      <c r="DC139" s="5" t="str">
        <f t="shared" si="120"/>
        <v>OK</v>
      </c>
      <c r="DD139" s="5">
        <f t="shared" si="121"/>
        <v>1.2506397644909562</v>
      </c>
      <c r="DE139" s="5">
        <f t="shared" si="122"/>
        <v>4.4677979100191463</v>
      </c>
      <c r="DF139" s="5" t="str">
        <f t="shared" si="123"/>
        <v>-</v>
      </c>
      <c r="DG139" s="5" t="str">
        <f t="shared" si="124"/>
        <v>-</v>
      </c>
      <c r="DH139" s="203">
        <f t="shared" si="125"/>
        <v>37.545238889226049</v>
      </c>
      <c r="DI139" s="203">
        <f t="shared" si="126"/>
        <v>180</v>
      </c>
      <c r="DJ139" s="46">
        <f t="shared" si="127"/>
        <v>0.20858466049570026</v>
      </c>
      <c r="DK139" s="5" t="str">
        <f t="shared" si="128"/>
        <v>OK</v>
      </c>
      <c r="EB139" s="18"/>
      <c r="EC139" s="77"/>
      <c r="ED139" s="77"/>
      <c r="EE139" s="18"/>
      <c r="EF139" s="18"/>
      <c r="EG139" s="18"/>
      <c r="EH139" s="5"/>
      <c r="EI139" s="5"/>
      <c r="EJ139" s="5"/>
      <c r="EK139" s="5"/>
      <c r="EL139" s="5"/>
      <c r="FE139" s="26"/>
      <c r="FF139" s="26"/>
      <c r="FG139" s="26"/>
      <c r="FH139" s="26"/>
      <c r="FI139" s="26"/>
      <c r="FJ139" s="26"/>
      <c r="FK139" s="26"/>
      <c r="FL139" s="26"/>
      <c r="FM139" s="26"/>
      <c r="FN139" s="205"/>
      <c r="FO139" s="205"/>
      <c r="FP139" s="205"/>
      <c r="FQ139" s="205"/>
      <c r="FR139" s="205"/>
      <c r="FS139" s="205"/>
      <c r="FT139" s="205"/>
      <c r="FU139" s="77"/>
      <c r="FV139" s="77"/>
      <c r="FW139" s="77"/>
      <c r="FX139" s="205"/>
      <c r="FY139" s="205"/>
      <c r="FZ139" s="205"/>
      <c r="GA139" s="205"/>
      <c r="GB139" s="205"/>
      <c r="GC139" s="205"/>
      <c r="GD139" s="205"/>
      <c r="GE139" s="205"/>
      <c r="GF139" s="205"/>
      <c r="GG139" s="205"/>
      <c r="GH139" s="205"/>
      <c r="GI139" s="205"/>
      <c r="GJ139" s="205"/>
      <c r="GK139" s="205"/>
      <c r="GL139" s="205"/>
      <c r="GM139" s="205"/>
      <c r="GN139" s="205"/>
      <c r="GO139" s="205"/>
      <c r="GP139" s="205"/>
      <c r="GQ139" s="205"/>
      <c r="GR139" s="205"/>
      <c r="GS139" s="205"/>
      <c r="GT139" s="205"/>
      <c r="GU139" s="205"/>
      <c r="GV139" s="18"/>
      <c r="GW139" s="5"/>
      <c r="GX139" s="5"/>
      <c r="GY139" s="77"/>
      <c r="GZ139" s="18"/>
      <c r="HA139" s="18"/>
      <c r="HB139" s="18"/>
      <c r="HC139" s="18"/>
      <c r="HD139" s="18"/>
      <c r="HE139" s="18"/>
      <c r="HF139" s="18"/>
      <c r="HG139" s="18"/>
      <c r="HH139" s="205"/>
      <c r="HI139" s="26"/>
      <c r="HJ139" s="26"/>
      <c r="HK139" s="5"/>
    </row>
    <row r="140" spans="2:219">
      <c r="AA140" s="18" t="s">
        <v>488</v>
      </c>
      <c r="AB140" s="22" t="s">
        <v>490</v>
      </c>
      <c r="AC140" s="59">
        <v>0</v>
      </c>
      <c r="AD140" s="59">
        <v>8.6549999999999994</v>
      </c>
      <c r="AE140" s="22">
        <v>528</v>
      </c>
      <c r="AF140" s="22">
        <v>1528</v>
      </c>
      <c r="AG140" s="22">
        <v>528</v>
      </c>
      <c r="AH140" s="6">
        <v>10</v>
      </c>
      <c r="AI140" s="6">
        <v>300</v>
      </c>
      <c r="AJ140" s="6">
        <v>14</v>
      </c>
      <c r="AK140" s="24">
        <v>300</v>
      </c>
      <c r="AL140" s="24">
        <v>14</v>
      </c>
      <c r="AM140" s="5">
        <f t="shared" si="73"/>
        <v>500</v>
      </c>
      <c r="AN140" s="26">
        <f t="shared" si="74"/>
        <v>134</v>
      </c>
      <c r="AO140" s="26">
        <f t="shared" si="75"/>
        <v>65911.546666666676</v>
      </c>
      <c r="AP140" s="15">
        <f t="shared" si="76"/>
        <v>6304.166666666667</v>
      </c>
      <c r="AQ140" s="5">
        <f t="shared" si="77"/>
        <v>2496.6494949494954</v>
      </c>
      <c r="AR140" s="26">
        <f t="shared" si="78"/>
        <v>420.27777777777777</v>
      </c>
      <c r="AS140" s="26">
        <f t="shared" si="79"/>
        <v>1391.9</v>
      </c>
      <c r="AT140" s="26">
        <f t="shared" si="80"/>
        <v>22.178305028345793</v>
      </c>
      <c r="AU140" s="26">
        <f t="shared" si="81"/>
        <v>6.8590101254115021</v>
      </c>
      <c r="AV140" s="95">
        <f t="shared" si="82"/>
        <v>7.201333333333334E-7</v>
      </c>
      <c r="AW140" s="95">
        <f t="shared" si="83"/>
        <v>4161087</v>
      </c>
      <c r="AX140" s="95">
        <f t="shared" si="84"/>
        <v>4.1610870000000001E-6</v>
      </c>
      <c r="AY140" s="54">
        <f t="shared" si="85"/>
        <v>0.25762202780669918</v>
      </c>
      <c r="AZ140" s="54" t="str">
        <f>_xll.Dce_Name_SectI(AE140,AF140,AI140,AH140,AJ140,"x","-",$O$11)</f>
        <v>(528-1528)x300x10x14</v>
      </c>
      <c r="BA140" s="15">
        <f t="shared" si="86"/>
        <v>385.5</v>
      </c>
      <c r="BB140" s="54"/>
      <c r="BC140" s="54"/>
      <c r="BD140" s="22" t="s">
        <v>507</v>
      </c>
      <c r="BE140" s="23">
        <v>-177.34460846022995</v>
      </c>
      <c r="BF140" s="23">
        <v>-165.3477598592209</v>
      </c>
      <c r="BG140" s="23">
        <v>3.5459533525415612E-3</v>
      </c>
      <c r="BH140" s="23">
        <v>-4.952671066394566E-5</v>
      </c>
      <c r="BI140" s="23">
        <v>-3.4010036425780047E-6</v>
      </c>
      <c r="BJ140" s="23">
        <v>-2.3184024041234732</v>
      </c>
      <c r="BK140" s="23">
        <v>574.10029866621335</v>
      </c>
      <c r="BL140" s="92">
        <v>2.25</v>
      </c>
      <c r="BM140" s="91">
        <v>2</v>
      </c>
      <c r="BN140" s="5">
        <f t="shared" si="87"/>
        <v>19.473749999999999</v>
      </c>
      <c r="BO140" s="54">
        <f>_xll.Bimoment(BH140,AY140,AC140,AD140,$O$101)</f>
        <v>0</v>
      </c>
      <c r="BP140" s="5">
        <f t="shared" si="88"/>
        <v>0.84</v>
      </c>
      <c r="BQ140" s="5">
        <f t="shared" si="89"/>
        <v>0.10642768369565442</v>
      </c>
      <c r="BR140" s="24" t="str">
        <f t="shared" si="90"/>
        <v>Cal</v>
      </c>
      <c r="BS140" s="25">
        <f t="shared" si="91"/>
        <v>5.7901691195037762E-2</v>
      </c>
      <c r="BT140" s="25" t="str">
        <f t="shared" si="92"/>
        <v>CT.105</v>
      </c>
      <c r="BU140" s="25">
        <f t="shared" si="93"/>
        <v>1</v>
      </c>
      <c r="BV140" s="25" cm="1">
        <f t="array" ref="BV140">IF(BT140="CT.104",_xll.TCVN5575AnnexEHeSoCx(1,BP140),1)</f>
        <v>1</v>
      </c>
      <c r="BW140" s="25">
        <f t="shared" si="94"/>
        <v>1</v>
      </c>
      <c r="BX140" s="25">
        <f t="shared" si="95"/>
        <v>6.0949148626355545E-2</v>
      </c>
      <c r="BY140" s="25">
        <f t="shared" si="96"/>
        <v>4.2764726079823215E-3</v>
      </c>
      <c r="BZ140" s="25">
        <f t="shared" si="97"/>
        <v>3.7267059081367501E-8</v>
      </c>
      <c r="CA140" s="25">
        <f t="shared" si="98"/>
        <v>0</v>
      </c>
      <c r="CB140" s="25">
        <f t="shared" si="99"/>
        <v>6.5225658501396944E-2</v>
      </c>
      <c r="CC140" s="5" t="str">
        <f t="shared" si="100"/>
        <v>OK</v>
      </c>
      <c r="CD140" s="5">
        <f t="shared" si="101"/>
        <v>87.805402509844015</v>
      </c>
      <c r="CE140" s="5">
        <f t="shared" si="102"/>
        <v>29.158726455153193</v>
      </c>
      <c r="CF140" s="5">
        <f t="shared" si="103"/>
        <v>2.9248163326364334</v>
      </c>
      <c r="CG140" s="5">
        <f t="shared" si="104"/>
        <v>0.97128328026682387</v>
      </c>
      <c r="CH140" s="5">
        <f t="shared" si="105"/>
        <v>7.0164599577902817E-2</v>
      </c>
      <c r="CI140" s="68">
        <f>_xll.DCETCVN5575PhuLucD2Eta(BP140,CH140,CF140)</f>
        <v>1.5168287759910777</v>
      </c>
      <c r="CJ140" s="5">
        <f t="shared" si="106"/>
        <v>0.10642768369565442</v>
      </c>
      <c r="CK140" s="5">
        <f>MIN(noisuy2chieu(CJ140,CF140,Data!$DA$2:$EB$24),1)</f>
        <v>0.6752779483795166</v>
      </c>
      <c r="CL140" s="102">
        <f t="shared" si="107"/>
        <v>9.0257869033953969E-2</v>
      </c>
      <c r="CM140" s="5" t="str">
        <f t="shared" si="108"/>
        <v>OK</v>
      </c>
      <c r="CN140" s="5">
        <f t="shared" si="109"/>
        <v>0.90492218941026858</v>
      </c>
      <c r="CO140" s="5">
        <f t="shared" si="110"/>
        <v>0.5370345235716667</v>
      </c>
      <c r="CP140" s="25">
        <f>_xll.DCETCVNPhuLucFHeSoOnDinh(1, 0.2, AG140, AH140, AI140, AJ140, AI140, AJ140, $D$28)</f>
        <v>1</v>
      </c>
      <c r="CQ140" s="68">
        <f t="shared" si="111"/>
        <v>0.9</v>
      </c>
      <c r="CR140" s="68">
        <f t="shared" si="112"/>
        <v>1</v>
      </c>
      <c r="CS140" s="5">
        <f t="shared" si="113"/>
        <v>0.18181818181818182</v>
      </c>
      <c r="CT140" s="5">
        <f t="shared" si="114"/>
        <v>9.9510191986788829E-2</v>
      </c>
      <c r="CU140" s="26">
        <f t="shared" si="115"/>
        <v>17.374687630510223</v>
      </c>
      <c r="CV140" s="5"/>
      <c r="CW140" s="25"/>
      <c r="CX140" s="72">
        <f>MAX(_xll.Dce_c_925(CU140, CQ140, CR140, CN140, CP140, CS140, CT140),0.3)</f>
        <v>0.3</v>
      </c>
      <c r="CY140" s="102">
        <f t="shared" si="116"/>
        <v>0.22450972153409005</v>
      </c>
      <c r="CZ140" s="5" t="str">
        <f t="shared" si="117"/>
        <v>OK</v>
      </c>
      <c r="DA140" s="47">
        <f t="shared" si="118"/>
        <v>0.34499859601035404</v>
      </c>
      <c r="DB140" s="46">
        <f t="shared" si="119"/>
        <v>0.45712832802668235</v>
      </c>
      <c r="DC140" s="5" t="str">
        <f t="shared" si="120"/>
        <v>OK</v>
      </c>
      <c r="DD140" s="5">
        <f t="shared" si="121"/>
        <v>2.9248163326364334</v>
      </c>
      <c r="DE140" s="5">
        <f t="shared" si="122"/>
        <v>1.6655104634982609</v>
      </c>
      <c r="DF140" s="5" t="str">
        <f t="shared" si="123"/>
        <v>-</v>
      </c>
      <c r="DG140" s="5" t="str">
        <f t="shared" si="124"/>
        <v>-</v>
      </c>
      <c r="DH140" s="203" t="str">
        <f t="shared" si="125"/>
        <v>-</v>
      </c>
      <c r="DI140" s="203">
        <f t="shared" si="126"/>
        <v>180</v>
      </c>
      <c r="DJ140" s="46">
        <f t="shared" si="127"/>
        <v>0</v>
      </c>
      <c r="DK140" s="5" t="str">
        <f t="shared" si="128"/>
        <v>OK</v>
      </c>
      <c r="EB140" s="18"/>
      <c r="EC140" s="77"/>
      <c r="ED140" s="77"/>
      <c r="EE140" s="18"/>
      <c r="EF140" s="18"/>
      <c r="EG140" s="18"/>
      <c r="EH140" s="5"/>
      <c r="EI140" s="5"/>
      <c r="EJ140" s="5"/>
      <c r="EK140" s="5"/>
      <c r="EL140" s="5"/>
      <c r="FE140" s="26"/>
      <c r="FF140" s="26"/>
      <c r="FG140" s="26"/>
      <c r="FH140" s="26"/>
      <c r="FI140" s="26"/>
      <c r="FJ140" s="26"/>
      <c r="FK140" s="26"/>
      <c r="FL140" s="26"/>
      <c r="FM140" s="26"/>
      <c r="FN140" s="205"/>
      <c r="FO140" s="205"/>
      <c r="FP140" s="205"/>
      <c r="FQ140" s="205"/>
      <c r="FR140" s="205"/>
      <c r="FS140" s="205"/>
      <c r="FT140" s="205"/>
      <c r="FU140" s="77"/>
      <c r="FV140" s="77"/>
      <c r="FW140" s="77"/>
      <c r="FX140" s="205"/>
      <c r="FY140" s="205"/>
      <c r="FZ140" s="205"/>
      <c r="GA140" s="205"/>
      <c r="GB140" s="205"/>
      <c r="GC140" s="205"/>
      <c r="GD140" s="205"/>
      <c r="GE140" s="205"/>
      <c r="GF140" s="205"/>
      <c r="GG140" s="205"/>
      <c r="GH140" s="205"/>
      <c r="GI140" s="205"/>
      <c r="GJ140" s="205"/>
      <c r="GK140" s="205"/>
      <c r="GL140" s="205"/>
      <c r="GM140" s="205"/>
      <c r="GN140" s="205"/>
      <c r="GO140" s="205"/>
      <c r="GP140" s="205"/>
      <c r="GQ140" s="205"/>
      <c r="GR140" s="205"/>
      <c r="GS140" s="205"/>
      <c r="GT140" s="205"/>
      <c r="GU140" s="205"/>
      <c r="GV140" s="18"/>
      <c r="GW140" s="5"/>
      <c r="GX140" s="5"/>
      <c r="GY140" s="77"/>
      <c r="GZ140" s="18"/>
      <c r="HA140" s="18"/>
      <c r="HB140" s="18"/>
      <c r="HC140" s="18"/>
      <c r="HD140" s="18"/>
      <c r="HE140" s="18"/>
      <c r="HF140" s="18"/>
      <c r="HG140" s="18"/>
      <c r="HH140" s="205"/>
      <c r="HI140" s="26"/>
      <c r="HJ140" s="26"/>
      <c r="HK140" s="5"/>
    </row>
    <row r="141" spans="2:219">
      <c r="AA141" s="18" t="s">
        <v>488</v>
      </c>
      <c r="AB141" s="22" t="s">
        <v>490</v>
      </c>
      <c r="AC141" s="59">
        <v>3.6405952380952398</v>
      </c>
      <c r="AD141" s="59">
        <v>8.6549999999999994</v>
      </c>
      <c r="AE141" s="22">
        <v>528</v>
      </c>
      <c r="AF141" s="22">
        <v>1528</v>
      </c>
      <c r="AG141" s="22">
        <v>948.63492063492095</v>
      </c>
      <c r="AH141" s="6">
        <v>10</v>
      </c>
      <c r="AI141" s="6">
        <v>300</v>
      </c>
      <c r="AJ141" s="6">
        <v>14</v>
      </c>
      <c r="AK141" s="24">
        <v>300</v>
      </c>
      <c r="AL141" s="24">
        <v>14</v>
      </c>
      <c r="AM141" s="5">
        <f t="shared" si="73"/>
        <v>920.63492063492095</v>
      </c>
      <c r="AN141" s="26">
        <f t="shared" si="74"/>
        <v>176.06349206349208</v>
      </c>
      <c r="AO141" s="26">
        <f t="shared" si="75"/>
        <v>248482.7399356656</v>
      </c>
      <c r="AP141" s="15">
        <f t="shared" si="76"/>
        <v>6307.6719576719579</v>
      </c>
      <c r="AQ141" s="5">
        <f t="shared" si="77"/>
        <v>5238.7432621467533</v>
      </c>
      <c r="AR141" s="26">
        <f t="shared" si="78"/>
        <v>420.51146384479722</v>
      </c>
      <c r="AS141" s="26">
        <f t="shared" si="79"/>
        <v>3022.1941546989178</v>
      </c>
      <c r="AT141" s="26">
        <f t="shared" si="80"/>
        <v>37.567600585756203</v>
      </c>
      <c r="AU141" s="26">
        <f t="shared" si="81"/>
        <v>5.9854925384629922</v>
      </c>
      <c r="AV141" s="95">
        <f t="shared" si="82"/>
        <v>8.6034497354497351E-7</v>
      </c>
      <c r="AW141" s="95">
        <f t="shared" si="83"/>
        <v>13758293.349206358</v>
      </c>
      <c r="AX141" s="95">
        <f t="shared" si="84"/>
        <v>1.3758293349206359E-5</v>
      </c>
      <c r="AY141" s="54">
        <f t="shared" si="85"/>
        <v>0.1548581140202015</v>
      </c>
      <c r="AZ141" s="54" t="str">
        <f>_xll.Dce_Name_SectI(AE141,AF141,AI141,AH141,AJ141,"x","-",$O$11)</f>
        <v>(528-1528)x300x10x14</v>
      </c>
      <c r="BA141" s="15">
        <f t="shared" si="86"/>
        <v>700.97619047619071</v>
      </c>
      <c r="BB141" s="54"/>
      <c r="BC141" s="54"/>
      <c r="BD141" s="22" t="s">
        <v>507</v>
      </c>
      <c r="BE141" s="23">
        <v>-171.88930902366414</v>
      </c>
      <c r="BF141" s="23">
        <v>-157.6235952090035</v>
      </c>
      <c r="BG141" s="23">
        <v>3.5459533525420352E-3</v>
      </c>
      <c r="BH141" s="23">
        <v>-4.952671066394566E-5</v>
      </c>
      <c r="BI141" s="23">
        <v>-1.2943183711665474E-2</v>
      </c>
      <c r="BJ141" s="23">
        <v>586.93792157225175</v>
      </c>
      <c r="BK141" s="23">
        <v>574.10029866621335</v>
      </c>
      <c r="BL141" s="92">
        <v>2.25</v>
      </c>
      <c r="BM141" s="91">
        <v>2</v>
      </c>
      <c r="BN141" s="5">
        <f t="shared" si="87"/>
        <v>19.473749999999999</v>
      </c>
      <c r="BO141" s="54">
        <f>_xll.Bimoment(BH141,AY141,AC141,AD141,$O$101)</f>
        <v>3.8089342398636678E-4</v>
      </c>
      <c r="BP141" s="5">
        <f t="shared" si="88"/>
        <v>0.45620689655172403</v>
      </c>
      <c r="BQ141" s="5">
        <f t="shared" si="89"/>
        <v>14.244320783980847</v>
      </c>
      <c r="BR141" s="24" t="str">
        <f t="shared" si="90"/>
        <v>Cal</v>
      </c>
      <c r="BS141" s="25">
        <f t="shared" si="91"/>
        <v>4.271275766286281E-2</v>
      </c>
      <c r="BT141" s="25" t="str">
        <f t="shared" si="92"/>
        <v>CT.105</v>
      </c>
      <c r="BU141" s="25">
        <f t="shared" si="93"/>
        <v>1</v>
      </c>
      <c r="BV141" s="25" cm="1">
        <f t="array" ref="BV141">IF(BT141="CT.104",_xll.TCVN5575AnnexEHeSoCx(1,BP141),1)</f>
        <v>1</v>
      </c>
      <c r="BW141" s="25">
        <f t="shared" si="94"/>
        <v>1</v>
      </c>
      <c r="BX141" s="25">
        <f t="shared" si="95"/>
        <v>4.4960797539855588E-2</v>
      </c>
      <c r="BY141" s="25">
        <f t="shared" si="96"/>
        <v>0.51596412554112348</v>
      </c>
      <c r="BZ141" s="25">
        <f t="shared" si="97"/>
        <v>1.4174825710624618E-4</v>
      </c>
      <c r="CA141" s="25">
        <f t="shared" si="98"/>
        <v>8.9371002304717623E-6</v>
      </c>
      <c r="CB141" s="25">
        <f t="shared" si="99"/>
        <v>0.56107560843831572</v>
      </c>
      <c r="CC141" s="5" t="str">
        <f t="shared" si="100"/>
        <v>OK</v>
      </c>
      <c r="CD141" s="5">
        <f t="shared" si="101"/>
        <v>51.836555160202302</v>
      </c>
      <c r="CE141" s="5">
        <f t="shared" si="102"/>
        <v>33.414125690541383</v>
      </c>
      <c r="CF141" s="5">
        <f t="shared" si="103"/>
        <v>1.7266865002204341</v>
      </c>
      <c r="CG141" s="5">
        <f t="shared" si="104"/>
        <v>1.1130315193248546</v>
      </c>
      <c r="CH141" s="5">
        <f t="shared" si="105"/>
        <v>11.475866838966679</v>
      </c>
      <c r="CI141" s="68">
        <f>_xll.DCETCVN5575PhuLucD2Eta(BP141,CH141,CF141)</f>
        <v>1.2412413793103447</v>
      </c>
      <c r="CJ141" s="5">
        <f t="shared" si="106"/>
        <v>14.244320783980847</v>
      </c>
      <c r="CK141" s="5">
        <f>MIN(noisuy2chieu(CJ141,CF141,Data!$DA$2:$EB$24),1)</f>
        <v>9.5422498881816864E-2</v>
      </c>
      <c r="CL141" s="102">
        <f t="shared" si="107"/>
        <v>0.47117606504458298</v>
      </c>
      <c r="CM141" s="5" t="str">
        <f t="shared" si="108"/>
        <v>OK</v>
      </c>
      <c r="CN141" s="5">
        <f t="shared" si="109"/>
        <v>0.88472625978979058</v>
      </c>
      <c r="CO141" s="5">
        <f t="shared" si="110"/>
        <v>0.5370345235716667</v>
      </c>
      <c r="CP141" s="25">
        <f>_xll.DCETCVNPhuLucFHeSoOnDinh(1, 0.2, AG141, AH141, AI141, AJ141, AI141, AJ141, $D$28)</f>
        <v>1</v>
      </c>
      <c r="CQ141" s="68">
        <f t="shared" si="111"/>
        <v>0.9</v>
      </c>
      <c r="CR141" s="68">
        <f t="shared" si="112"/>
        <v>1</v>
      </c>
      <c r="CS141" s="5">
        <f t="shared" si="113"/>
        <v>0.18181818181818182</v>
      </c>
      <c r="CT141" s="5">
        <f t="shared" si="114"/>
        <v>0.10155106457844131</v>
      </c>
      <c r="CU141" s="26">
        <f t="shared" si="115"/>
        <v>11.224864398020408</v>
      </c>
      <c r="CV141" s="5"/>
      <c r="CW141" s="25"/>
      <c r="CX141" s="72">
        <f>MAX(_xll.Dce_c_925(CU141, CQ141, CR141, CN141, CP141, CS141, CT141),0.3)</f>
        <v>0.3</v>
      </c>
      <c r="CY141" s="102">
        <f t="shared" si="116"/>
        <v>0.1693962663304022</v>
      </c>
      <c r="CZ141" s="5" t="str">
        <f t="shared" si="117"/>
        <v>OK</v>
      </c>
      <c r="DA141" s="47">
        <f t="shared" si="118"/>
        <v>0.34499859601035404</v>
      </c>
      <c r="DB141" s="46">
        <f t="shared" si="119"/>
        <v>0.47130315193248545</v>
      </c>
      <c r="DC141" s="5" t="str">
        <f t="shared" si="120"/>
        <v>OK</v>
      </c>
      <c r="DD141" s="5">
        <f t="shared" si="121"/>
        <v>1.7266865002204341</v>
      </c>
      <c r="DE141" s="5">
        <f t="shared" si="122"/>
        <v>3.0666541867587034</v>
      </c>
      <c r="DF141" s="5" t="str">
        <f t="shared" si="123"/>
        <v>-</v>
      </c>
      <c r="DG141" s="5" t="str">
        <f t="shared" si="124"/>
        <v>-</v>
      </c>
      <c r="DH141" s="203">
        <f t="shared" si="125"/>
        <v>51.836555160202302</v>
      </c>
      <c r="DI141" s="203">
        <f t="shared" si="126"/>
        <v>180</v>
      </c>
      <c r="DJ141" s="46">
        <f t="shared" si="127"/>
        <v>0.28798086200112388</v>
      </c>
      <c r="DK141" s="5" t="str">
        <f t="shared" si="128"/>
        <v>OK</v>
      </c>
      <c r="EB141" s="18"/>
      <c r="EC141" s="77"/>
      <c r="ED141" s="77"/>
      <c r="EE141" s="18"/>
      <c r="EF141" s="18"/>
      <c r="EG141" s="18"/>
      <c r="EH141" s="5"/>
      <c r="EI141" s="5"/>
      <c r="EJ141" s="5"/>
      <c r="EK141" s="5"/>
      <c r="EL141" s="5"/>
      <c r="FE141" s="26"/>
      <c r="FF141" s="26"/>
      <c r="FG141" s="26"/>
      <c r="FH141" s="26"/>
      <c r="FI141" s="26"/>
      <c r="FJ141" s="26"/>
      <c r="FK141" s="26"/>
      <c r="FL141" s="26"/>
      <c r="FM141" s="26"/>
      <c r="FN141" s="205"/>
      <c r="FO141" s="205"/>
      <c r="FP141" s="205"/>
      <c r="FQ141" s="205"/>
      <c r="FR141" s="205"/>
      <c r="FS141" s="205"/>
      <c r="FT141" s="205"/>
      <c r="FU141" s="77"/>
      <c r="FV141" s="77"/>
      <c r="FW141" s="77"/>
      <c r="FX141" s="205"/>
      <c r="FY141" s="205"/>
      <c r="FZ141" s="205"/>
      <c r="GA141" s="205"/>
      <c r="GB141" s="205"/>
      <c r="GC141" s="205"/>
      <c r="GD141" s="205"/>
      <c r="GE141" s="205"/>
      <c r="GF141" s="205"/>
      <c r="GG141" s="205"/>
      <c r="GH141" s="205"/>
      <c r="GI141" s="205"/>
      <c r="GJ141" s="205"/>
      <c r="GK141" s="205"/>
      <c r="GL141" s="205"/>
      <c r="GM141" s="205"/>
      <c r="GN141" s="205"/>
      <c r="GO141" s="205"/>
      <c r="GP141" s="205"/>
      <c r="GQ141" s="205"/>
      <c r="GR141" s="205"/>
      <c r="GS141" s="205"/>
      <c r="GT141" s="205"/>
      <c r="GU141" s="205"/>
      <c r="GV141" s="18"/>
      <c r="GW141" s="5"/>
      <c r="GX141" s="5"/>
      <c r="GY141" s="77"/>
      <c r="GZ141" s="18"/>
      <c r="HA141" s="18"/>
      <c r="HB141" s="18"/>
      <c r="HC141" s="18"/>
      <c r="HD141" s="18"/>
      <c r="HE141" s="18"/>
      <c r="HF141" s="18"/>
      <c r="HG141" s="18"/>
      <c r="HH141" s="205"/>
      <c r="HI141" s="26"/>
      <c r="HJ141" s="26"/>
      <c r="HK141" s="5"/>
    </row>
    <row r="142" spans="2:219">
      <c r="AA142" s="18" t="s">
        <v>488</v>
      </c>
      <c r="AB142" s="22" t="s">
        <v>490</v>
      </c>
      <c r="AC142" s="59">
        <v>7.2811904761904795</v>
      </c>
      <c r="AD142" s="59">
        <v>8.6549999999999994</v>
      </c>
      <c r="AE142" s="22">
        <v>528</v>
      </c>
      <c r="AF142" s="22">
        <v>1528</v>
      </c>
      <c r="AG142" s="22">
        <v>1369.2698412698419</v>
      </c>
      <c r="AH142" s="6">
        <v>10</v>
      </c>
      <c r="AI142" s="6">
        <v>300</v>
      </c>
      <c r="AJ142" s="6">
        <v>14</v>
      </c>
      <c r="AK142" s="24">
        <v>300</v>
      </c>
      <c r="AL142" s="24">
        <v>14</v>
      </c>
      <c r="AM142" s="5">
        <f t="shared" si="73"/>
        <v>1341.2698412698419</v>
      </c>
      <c r="AN142" s="26">
        <f t="shared" si="74"/>
        <v>218.12698412698418</v>
      </c>
      <c r="AO142" s="26">
        <f t="shared" si="75"/>
        <v>586811.79072745051</v>
      </c>
      <c r="AP142" s="15">
        <f t="shared" si="76"/>
        <v>6311.1772486772488</v>
      </c>
      <c r="AQ142" s="5">
        <f t="shared" si="77"/>
        <v>8571.1635945074104</v>
      </c>
      <c r="AR142" s="26">
        <f t="shared" si="78"/>
        <v>420.74514991181661</v>
      </c>
      <c r="AS142" s="26">
        <f t="shared" si="79"/>
        <v>5094.8226505417015</v>
      </c>
      <c r="AT142" s="26">
        <f t="shared" si="80"/>
        <v>51.867428670398397</v>
      </c>
      <c r="AU142" s="26">
        <f t="shared" si="81"/>
        <v>5.3789869588463937</v>
      </c>
      <c r="AV142" s="95">
        <f t="shared" si="82"/>
        <v>1.0005566137566139E-6</v>
      </c>
      <c r="AW142" s="95">
        <f t="shared" si="83"/>
        <v>28928912.396825422</v>
      </c>
      <c r="AX142" s="95">
        <f t="shared" si="84"/>
        <v>2.8928912396825422E-5</v>
      </c>
      <c r="AY142" s="54">
        <f t="shared" si="85"/>
        <v>0.11516876660535029</v>
      </c>
      <c r="AZ142" s="54" t="str">
        <f>_xll.Dce_Name_SectI(AE142,AF142,AI142,AH142,AJ142,"x","-",$O$11)</f>
        <v>(528-1528)x300x10x14</v>
      </c>
      <c r="BA142" s="15">
        <f t="shared" si="86"/>
        <v>1016.4523809523813</v>
      </c>
      <c r="BB142" s="54"/>
      <c r="BC142" s="54"/>
      <c r="BD142" s="22" t="s">
        <v>507</v>
      </c>
      <c r="BE142" s="23">
        <v>-164.89257383660589</v>
      </c>
      <c r="BF142" s="23">
        <v>-150.00528108937806</v>
      </c>
      <c r="BG142" s="23">
        <v>3.5459533525425027E-3</v>
      </c>
      <c r="BH142" s="23">
        <v>-4.952671066394566E-5</v>
      </c>
      <c r="BI142" s="23">
        <v>-2.5882966419690089E-2</v>
      </c>
      <c r="BJ142" s="23">
        <v>1148.2005973324267</v>
      </c>
      <c r="BK142" s="23">
        <v>574.10029866621335</v>
      </c>
      <c r="BL142" s="92">
        <v>2.25</v>
      </c>
      <c r="BM142" s="91">
        <v>2</v>
      </c>
      <c r="BN142" s="5">
        <f t="shared" si="87"/>
        <v>19.473749999999999</v>
      </c>
      <c r="BO142" s="54">
        <f>_xll.Bimoment(BH142,AY142,AC142,AD142,$O$101)</f>
        <v>2.2656837800340336E-4</v>
      </c>
      <c r="BP142" s="5">
        <f t="shared" si="88"/>
        <v>0.31313609467455605</v>
      </c>
      <c r="BQ142" s="5">
        <f t="shared" si="89"/>
        <v>21.488870767879241</v>
      </c>
      <c r="BR142" s="24" t="str">
        <f t="shared" si="90"/>
        <v>Cal</v>
      </c>
      <c r="BS142" s="25">
        <f t="shared" si="91"/>
        <v>3.3072708240223035E-2</v>
      </c>
      <c r="BT142" s="25" t="str">
        <f t="shared" si="92"/>
        <v>CT.105</v>
      </c>
      <c r="BU142" s="25">
        <f t="shared" si="93"/>
        <v>1</v>
      </c>
      <c r="BV142" s="25" cm="1">
        <f t="array" ref="BV142">IF(BT142="CT.104",_xll.TCVN5575AnnexEHeSoCx(1,BP142),1)</f>
        <v>1</v>
      </c>
      <c r="BW142" s="25">
        <f t="shared" si="94"/>
        <v>1</v>
      </c>
      <c r="BX142" s="25">
        <f t="shared" si="95"/>
        <v>3.4813377094971613E-2</v>
      </c>
      <c r="BY142" s="25">
        <f t="shared" si="96"/>
        <v>0.61692509429598008</v>
      </c>
      <c r="BZ142" s="25">
        <f t="shared" si="97"/>
        <v>2.8330183174923808E-4</v>
      </c>
      <c r="CA142" s="25">
        <f t="shared" si="98"/>
        <v>3.6661369046041606E-6</v>
      </c>
      <c r="CB142" s="25">
        <f t="shared" si="99"/>
        <v>0.65202543935960544</v>
      </c>
      <c r="CC142" s="5" t="str">
        <f t="shared" si="100"/>
        <v>OK</v>
      </c>
      <c r="CD142" s="5">
        <f t="shared" si="101"/>
        <v>37.545238889226049</v>
      </c>
      <c r="CE142" s="5">
        <f t="shared" si="102"/>
        <v>37.181722419139881</v>
      </c>
      <c r="CF142" s="5">
        <f t="shared" si="103"/>
        <v>1.2506397644909562</v>
      </c>
      <c r="CG142" s="5">
        <f t="shared" si="104"/>
        <v>1.2385309547993069</v>
      </c>
      <c r="CH142" s="5">
        <f t="shared" si="105"/>
        <v>17.720920685545551</v>
      </c>
      <c r="CI142" s="68">
        <f>_xll.DCETCVN5575PhuLucD2Eta(BP142,CH142,CF142)</f>
        <v>1.2126272189349112</v>
      </c>
      <c r="CJ142" s="5">
        <f t="shared" si="106"/>
        <v>21.488870767879241</v>
      </c>
      <c r="CK142" s="5">
        <f>MIN(noisuy2chieu(CJ142,CF142,Data!$DA$2:$EB$24),1)</f>
        <v>7.1994885802268982E-2</v>
      </c>
      <c r="CL142" s="102">
        <f t="shared" si="107"/>
        <v>0.48355347337566634</v>
      </c>
      <c r="CM142" s="5" t="str">
        <f t="shared" si="108"/>
        <v>OK</v>
      </c>
      <c r="CN142" s="5">
        <f t="shared" si="109"/>
        <v>0.86643683692746631</v>
      </c>
      <c r="CO142" s="5">
        <f t="shared" si="110"/>
        <v>0.5370345235716667</v>
      </c>
      <c r="CP142" s="25">
        <f>_xll.DCETCVNPhuLucFHeSoOnDinh(1, 0.2, AG142, AH142, AI142, AJ142, AI142, AJ142, $D$28)</f>
        <v>1</v>
      </c>
      <c r="CQ142" s="68">
        <f t="shared" si="111"/>
        <v>0.9</v>
      </c>
      <c r="CR142" s="68">
        <f t="shared" si="112"/>
        <v>1</v>
      </c>
      <c r="CS142" s="5">
        <f t="shared" si="113"/>
        <v>0.18181818181818182</v>
      </c>
      <c r="CT142" s="5">
        <f t="shared" si="114"/>
        <v>0.10347287704587492</v>
      </c>
      <c r="CU142" s="26">
        <f t="shared" si="115"/>
        <v>8.8604603427727753</v>
      </c>
      <c r="CV142" s="5"/>
      <c r="CW142" s="25"/>
      <c r="CX142" s="72">
        <f>MAX(_xll.Dce_c_925(CU142, CQ142, CR142, CN142, CP142, CS142, CT142),0.3)</f>
        <v>0.3</v>
      </c>
      <c r="CY142" s="102">
        <f t="shared" si="116"/>
        <v>0.13393312168961571</v>
      </c>
      <c r="CZ142" s="5" t="str">
        <f t="shared" si="117"/>
        <v>OK</v>
      </c>
      <c r="DA142" s="47">
        <f t="shared" si="118"/>
        <v>0.34499859601035404</v>
      </c>
      <c r="DB142" s="46">
        <f t="shared" si="119"/>
        <v>0.48385309547993066</v>
      </c>
      <c r="DC142" s="5" t="str">
        <f t="shared" si="120"/>
        <v>OK</v>
      </c>
      <c r="DD142" s="5">
        <f t="shared" si="121"/>
        <v>1.2506397644909562</v>
      </c>
      <c r="DE142" s="5">
        <f t="shared" si="122"/>
        <v>4.4677979100191463</v>
      </c>
      <c r="DF142" s="5" t="str">
        <f t="shared" si="123"/>
        <v>-</v>
      </c>
      <c r="DG142" s="5" t="str">
        <f t="shared" si="124"/>
        <v>-</v>
      </c>
      <c r="DH142" s="203">
        <f t="shared" si="125"/>
        <v>37.545238889226049</v>
      </c>
      <c r="DI142" s="203">
        <f t="shared" si="126"/>
        <v>180</v>
      </c>
      <c r="DJ142" s="46">
        <f t="shared" si="127"/>
        <v>0.20858466049570026</v>
      </c>
      <c r="DK142" s="5" t="str">
        <f t="shared" si="128"/>
        <v>OK</v>
      </c>
      <c r="EB142" s="18"/>
      <c r="EC142" s="77"/>
      <c r="ED142" s="77"/>
      <c r="EE142" s="18"/>
      <c r="EF142" s="18"/>
      <c r="EG142" s="18"/>
      <c r="EH142" s="5"/>
      <c r="EI142" s="5"/>
      <c r="EJ142" s="5"/>
      <c r="EK142" s="5"/>
      <c r="EL142" s="5"/>
      <c r="FE142" s="26"/>
      <c r="FF142" s="26"/>
      <c r="FG142" s="26"/>
      <c r="FH142" s="26"/>
      <c r="FI142" s="26"/>
      <c r="FJ142" s="26"/>
      <c r="FK142" s="26"/>
      <c r="FL142" s="26"/>
      <c r="FM142" s="26"/>
      <c r="FN142" s="205"/>
      <c r="FO142" s="205"/>
      <c r="FP142" s="205"/>
      <c r="FQ142" s="205"/>
      <c r="FR142" s="205"/>
      <c r="FS142" s="205"/>
      <c r="FT142" s="205"/>
      <c r="FU142" s="77"/>
      <c r="FV142" s="77"/>
      <c r="FW142" s="77"/>
      <c r="FX142" s="205"/>
      <c r="FY142" s="205"/>
      <c r="FZ142" s="205"/>
      <c r="GA142" s="205"/>
      <c r="GB142" s="205"/>
      <c r="GC142" s="205"/>
      <c r="GD142" s="205"/>
      <c r="GE142" s="205"/>
      <c r="GF142" s="205"/>
      <c r="GG142" s="205"/>
      <c r="GH142" s="205"/>
      <c r="GI142" s="205"/>
      <c r="GJ142" s="205"/>
      <c r="GK142" s="205"/>
      <c r="GL142" s="205"/>
      <c r="GM142" s="205"/>
      <c r="GN142" s="205"/>
      <c r="GO142" s="205"/>
      <c r="GP142" s="205"/>
      <c r="GQ142" s="205"/>
      <c r="GR142" s="205"/>
      <c r="GS142" s="205"/>
      <c r="GT142" s="205"/>
      <c r="GU142" s="205"/>
      <c r="GV142" s="18"/>
      <c r="GW142" s="5"/>
      <c r="GX142" s="5"/>
      <c r="GY142" s="77"/>
      <c r="GZ142" s="18"/>
      <c r="HA142" s="18"/>
      <c r="HB142" s="18"/>
      <c r="HC142" s="18"/>
      <c r="HD142" s="18"/>
      <c r="HE142" s="18"/>
      <c r="HF142" s="18"/>
      <c r="HG142" s="18"/>
      <c r="HH142" s="205"/>
      <c r="HI142" s="26"/>
      <c r="HJ142" s="26"/>
      <c r="HK142" s="5"/>
    </row>
    <row r="143" spans="2:219">
      <c r="AA143" s="18" t="s">
        <v>488</v>
      </c>
      <c r="AB143" s="22" t="s">
        <v>490</v>
      </c>
      <c r="AC143" s="59">
        <v>0</v>
      </c>
      <c r="AD143" s="59">
        <v>8.6549999999999994</v>
      </c>
      <c r="AE143" s="22">
        <v>528</v>
      </c>
      <c r="AF143" s="22">
        <v>1528</v>
      </c>
      <c r="AG143" s="22">
        <v>528</v>
      </c>
      <c r="AH143" s="6">
        <v>10</v>
      </c>
      <c r="AI143" s="6">
        <v>300</v>
      </c>
      <c r="AJ143" s="6">
        <v>14</v>
      </c>
      <c r="AK143" s="24">
        <v>300</v>
      </c>
      <c r="AL143" s="24">
        <v>14</v>
      </c>
      <c r="AM143" s="5">
        <f t="shared" si="73"/>
        <v>500</v>
      </c>
      <c r="AN143" s="26">
        <f t="shared" si="74"/>
        <v>134</v>
      </c>
      <c r="AO143" s="26">
        <f t="shared" si="75"/>
        <v>65911.546666666676</v>
      </c>
      <c r="AP143" s="15">
        <f t="shared" si="76"/>
        <v>6304.166666666667</v>
      </c>
      <c r="AQ143" s="5">
        <f t="shared" si="77"/>
        <v>2496.6494949494954</v>
      </c>
      <c r="AR143" s="26">
        <f t="shared" si="78"/>
        <v>420.27777777777777</v>
      </c>
      <c r="AS143" s="26">
        <f t="shared" si="79"/>
        <v>1391.9</v>
      </c>
      <c r="AT143" s="26">
        <f t="shared" si="80"/>
        <v>22.178305028345793</v>
      </c>
      <c r="AU143" s="26">
        <f t="shared" si="81"/>
        <v>6.8590101254115021</v>
      </c>
      <c r="AV143" s="95">
        <f t="shared" si="82"/>
        <v>7.201333333333334E-7</v>
      </c>
      <c r="AW143" s="95">
        <f t="shared" si="83"/>
        <v>4161087</v>
      </c>
      <c r="AX143" s="95">
        <f t="shared" si="84"/>
        <v>4.1610870000000001E-6</v>
      </c>
      <c r="AY143" s="54">
        <f t="shared" si="85"/>
        <v>0.25762202780669918</v>
      </c>
      <c r="AZ143" s="54" t="str">
        <f>_xll.Dce_Name_SectI(AE143,AF143,AI143,AH143,AJ143,"x","-",$O$11)</f>
        <v>(528-1528)x300x10x14</v>
      </c>
      <c r="BA143" s="15">
        <f t="shared" si="86"/>
        <v>385.5</v>
      </c>
      <c r="BB143" s="54"/>
      <c r="BC143" s="54"/>
      <c r="BD143" s="22" t="s">
        <v>508</v>
      </c>
      <c r="BE143" s="23">
        <v>-76.395099227818974</v>
      </c>
      <c r="BF143" s="23">
        <v>-27.534893102170457</v>
      </c>
      <c r="BG143" s="23">
        <v>-8.9268770677149363E-4</v>
      </c>
      <c r="BH143" s="23">
        <v>1.2468264912405607E-5</v>
      </c>
      <c r="BI143" s="23">
        <v>8.5619686491011955E-7</v>
      </c>
      <c r="BJ143" s="23">
        <v>-1.0406092063268013</v>
      </c>
      <c r="BK143" s="23">
        <v>150.21428519783581</v>
      </c>
      <c r="BL143" s="92">
        <v>2.25</v>
      </c>
      <c r="BM143" s="91">
        <v>2</v>
      </c>
      <c r="BN143" s="5">
        <f t="shared" si="87"/>
        <v>19.473749999999999</v>
      </c>
      <c r="BO143" s="54">
        <f>_xll.Bimoment(BH143,AY143,AC143,AD143,$O$101)</f>
        <v>0</v>
      </c>
      <c r="BP143" s="5">
        <f t="shared" si="88"/>
        <v>0.84</v>
      </c>
      <c r="BQ143" s="5">
        <f t="shared" si="89"/>
        <v>0.11088452963350375</v>
      </c>
      <c r="BR143" s="24" t="str">
        <f t="shared" si="90"/>
        <v>Cal</v>
      </c>
      <c r="BS143" s="25">
        <f t="shared" si="91"/>
        <v>2.4942429785202093E-2</v>
      </c>
      <c r="BT143" s="25" t="str">
        <f t="shared" si="92"/>
        <v>CT.105</v>
      </c>
      <c r="BU143" s="25">
        <f t="shared" si="93"/>
        <v>1</v>
      </c>
      <c r="BV143" s="25" cm="1">
        <f t="array" ref="BV143">IF(BT143="CT.104",_xll.TCVN5575AnnexEHeSoCx(1,BP143),1)</f>
        <v>1</v>
      </c>
      <c r="BW143" s="25">
        <f t="shared" si="94"/>
        <v>1</v>
      </c>
      <c r="BX143" s="25">
        <f t="shared" si="95"/>
        <v>2.6255189247581148E-2</v>
      </c>
      <c r="BY143" s="25">
        <f t="shared" si="96"/>
        <v>1.9194841924576372E-3</v>
      </c>
      <c r="BZ143" s="25">
        <f t="shared" si="97"/>
        <v>9.381918546167868E-9</v>
      </c>
      <c r="CA143" s="25">
        <f t="shared" si="98"/>
        <v>0</v>
      </c>
      <c r="CB143" s="25">
        <f t="shared" si="99"/>
        <v>2.8174682821957332E-2</v>
      </c>
      <c r="CC143" s="5" t="str">
        <f t="shared" si="100"/>
        <v>OK</v>
      </c>
      <c r="CD143" s="5">
        <f t="shared" si="101"/>
        <v>87.805402509844015</v>
      </c>
      <c r="CE143" s="5">
        <f t="shared" si="102"/>
        <v>29.158726455153193</v>
      </c>
      <c r="CF143" s="5">
        <f t="shared" si="103"/>
        <v>2.9248163326364334</v>
      </c>
      <c r="CG143" s="5">
        <f t="shared" si="104"/>
        <v>0.97128328026682387</v>
      </c>
      <c r="CH143" s="5">
        <f t="shared" si="105"/>
        <v>7.3108754782046634E-2</v>
      </c>
      <c r="CI143" s="68">
        <f>_xll.DCETCVN5575PhuLucD2Eta(BP143,CH143,CF143)</f>
        <v>1.5167065827352011</v>
      </c>
      <c r="CJ143" s="5">
        <f t="shared" si="106"/>
        <v>0.11088452963350375</v>
      </c>
      <c r="CK143" s="5">
        <f>MIN(noisuy2chieu(CJ143,CF143,Data!$DA$2:$EB$24),1)</f>
        <v>0.67319810390472412</v>
      </c>
      <c r="CL143" s="102">
        <f t="shared" si="107"/>
        <v>3.9000688051992756E-2</v>
      </c>
      <c r="CM143" s="5" t="str">
        <f t="shared" si="108"/>
        <v>OK</v>
      </c>
      <c r="CN143" s="5">
        <f t="shared" si="109"/>
        <v>0.90492218941026858</v>
      </c>
      <c r="CO143" s="5">
        <f t="shared" si="110"/>
        <v>0.5370345235716667</v>
      </c>
      <c r="CP143" s="25">
        <f>_xll.DCETCVNPhuLucFHeSoOnDinh(1, 0.2, AG143, AH143, AI143, AJ143, AI143, AJ143, $D$28)</f>
        <v>1</v>
      </c>
      <c r="CQ143" s="68">
        <f t="shared" si="111"/>
        <v>0.9</v>
      </c>
      <c r="CR143" s="68">
        <f t="shared" si="112"/>
        <v>1</v>
      </c>
      <c r="CS143" s="5">
        <f t="shared" si="113"/>
        <v>0.18181818181818182</v>
      </c>
      <c r="CT143" s="5">
        <f t="shared" si="114"/>
        <v>9.9510191986788829E-2</v>
      </c>
      <c r="CU143" s="26">
        <f t="shared" si="115"/>
        <v>10.553413591307518</v>
      </c>
      <c r="CV143" s="5"/>
      <c r="CW143" s="25"/>
      <c r="CX143" s="72">
        <f>MAX(_xll.Dce_c_925(CU143, CQ143, CR143, CN143, CP143, CS143, CT143),0.3)</f>
        <v>0.3</v>
      </c>
      <c r="CY143" s="102">
        <f t="shared" si="116"/>
        <v>9.6712511325389841E-2</v>
      </c>
      <c r="CZ143" s="5" t="str">
        <f t="shared" si="117"/>
        <v>OK</v>
      </c>
      <c r="DA143" s="47">
        <f t="shared" si="118"/>
        <v>0.34499859601035404</v>
      </c>
      <c r="DB143" s="46">
        <f t="shared" si="119"/>
        <v>0.45712832802668235</v>
      </c>
      <c r="DC143" s="5" t="str">
        <f t="shared" si="120"/>
        <v>OK</v>
      </c>
      <c r="DD143" s="5">
        <f t="shared" si="121"/>
        <v>2.9248163326364334</v>
      </c>
      <c r="DE143" s="5">
        <f t="shared" si="122"/>
        <v>1.6655104634982609</v>
      </c>
      <c r="DF143" s="5" t="str">
        <f t="shared" si="123"/>
        <v>-</v>
      </c>
      <c r="DG143" s="5" t="str">
        <f t="shared" si="124"/>
        <v>-</v>
      </c>
      <c r="DH143" s="203" t="str">
        <f t="shared" si="125"/>
        <v>-</v>
      </c>
      <c r="DI143" s="203">
        <f t="shared" si="126"/>
        <v>180</v>
      </c>
      <c r="DJ143" s="46">
        <f t="shared" si="127"/>
        <v>0</v>
      </c>
      <c r="DK143" s="5" t="str">
        <f t="shared" si="128"/>
        <v>OK</v>
      </c>
      <c r="EB143" s="18"/>
      <c r="EC143" s="77"/>
      <c r="ED143" s="77"/>
      <c r="EE143" s="18"/>
      <c r="EF143" s="18"/>
      <c r="EG143" s="18"/>
      <c r="EH143" s="5"/>
      <c r="EI143" s="5"/>
      <c r="EJ143" s="5"/>
      <c r="EK143" s="5"/>
      <c r="EL143" s="5"/>
      <c r="FE143" s="26"/>
      <c r="FF143" s="26"/>
      <c r="FG143" s="26"/>
      <c r="FH143" s="26"/>
      <c r="FI143" s="26"/>
      <c r="FJ143" s="26"/>
      <c r="FK143" s="26"/>
      <c r="FL143" s="26"/>
      <c r="FM143" s="26"/>
      <c r="FN143" s="205"/>
      <c r="FO143" s="205"/>
      <c r="FP143" s="205"/>
      <c r="FQ143" s="205"/>
      <c r="FR143" s="205"/>
      <c r="FS143" s="205"/>
      <c r="FT143" s="205"/>
      <c r="FU143" s="77"/>
      <c r="FV143" s="77"/>
      <c r="FW143" s="77"/>
      <c r="FX143" s="205"/>
      <c r="FY143" s="205"/>
      <c r="FZ143" s="205"/>
      <c r="GA143" s="205"/>
      <c r="GB143" s="205"/>
      <c r="GC143" s="205"/>
      <c r="GD143" s="205"/>
      <c r="GE143" s="205"/>
      <c r="GF143" s="205"/>
      <c r="GG143" s="205"/>
      <c r="GH143" s="205"/>
      <c r="GI143" s="205"/>
      <c r="GJ143" s="205"/>
      <c r="GK143" s="205"/>
      <c r="GL143" s="205"/>
      <c r="GM143" s="205"/>
      <c r="GN143" s="205"/>
      <c r="GO143" s="205"/>
      <c r="GP143" s="205"/>
      <c r="GQ143" s="205"/>
      <c r="GR143" s="205"/>
      <c r="GS143" s="205"/>
      <c r="GT143" s="205"/>
      <c r="GU143" s="205"/>
      <c r="GV143" s="18"/>
      <c r="GW143" s="5"/>
      <c r="GX143" s="5"/>
      <c r="GY143" s="77"/>
      <c r="GZ143" s="18"/>
      <c r="HA143" s="18"/>
      <c r="HB143" s="18"/>
      <c r="HC143" s="18"/>
      <c r="HD143" s="18"/>
      <c r="HE143" s="18"/>
      <c r="HF143" s="18"/>
      <c r="HG143" s="18"/>
      <c r="HH143" s="205"/>
      <c r="HI143" s="26"/>
      <c r="HJ143" s="26"/>
      <c r="HK143" s="5"/>
    </row>
    <row r="144" spans="2:219">
      <c r="AA144" s="18" t="s">
        <v>488</v>
      </c>
      <c r="AB144" s="22" t="s">
        <v>490</v>
      </c>
      <c r="AC144" s="59">
        <v>3.6405952380952398</v>
      </c>
      <c r="AD144" s="59">
        <v>8.6549999999999994</v>
      </c>
      <c r="AE144" s="22">
        <v>528</v>
      </c>
      <c r="AF144" s="22">
        <v>1528</v>
      </c>
      <c r="AG144" s="22">
        <v>948.63492063492095</v>
      </c>
      <c r="AH144" s="6">
        <v>10</v>
      </c>
      <c r="AI144" s="6">
        <v>300</v>
      </c>
      <c r="AJ144" s="6">
        <v>14</v>
      </c>
      <c r="AK144" s="24">
        <v>300</v>
      </c>
      <c r="AL144" s="24">
        <v>14</v>
      </c>
      <c r="AM144" s="5">
        <f t="shared" si="73"/>
        <v>920.63492063492095</v>
      </c>
      <c r="AN144" s="26">
        <f t="shared" si="74"/>
        <v>176.06349206349208</v>
      </c>
      <c r="AO144" s="26">
        <f t="shared" si="75"/>
        <v>248482.7399356656</v>
      </c>
      <c r="AP144" s="15">
        <f t="shared" si="76"/>
        <v>6307.6719576719579</v>
      </c>
      <c r="AQ144" s="5">
        <f t="shared" si="77"/>
        <v>5238.7432621467533</v>
      </c>
      <c r="AR144" s="26">
        <f t="shared" si="78"/>
        <v>420.51146384479722</v>
      </c>
      <c r="AS144" s="26">
        <f t="shared" si="79"/>
        <v>3022.1941546989178</v>
      </c>
      <c r="AT144" s="26">
        <f t="shared" si="80"/>
        <v>37.567600585756203</v>
      </c>
      <c r="AU144" s="26">
        <f t="shared" si="81"/>
        <v>5.9854925384629922</v>
      </c>
      <c r="AV144" s="95">
        <f t="shared" si="82"/>
        <v>8.6034497354497351E-7</v>
      </c>
      <c r="AW144" s="95">
        <f t="shared" si="83"/>
        <v>13758293.349206358</v>
      </c>
      <c r="AX144" s="95">
        <f t="shared" si="84"/>
        <v>1.3758293349206359E-5</v>
      </c>
      <c r="AY144" s="54">
        <f t="shared" si="85"/>
        <v>0.1548581140202015</v>
      </c>
      <c r="AZ144" s="54" t="str">
        <f>_xll.Dce_Name_SectI(AE144,AF144,AI144,AH144,AJ144,"x","-",$O$11)</f>
        <v>(528-1528)x300x10x14</v>
      </c>
      <c r="BA144" s="15">
        <f t="shared" si="86"/>
        <v>700.97619047619071</v>
      </c>
      <c r="BB144" s="54"/>
      <c r="BC144" s="54"/>
      <c r="BD144" s="22" t="s">
        <v>508</v>
      </c>
      <c r="BE144" s="23">
        <v>-72.414708541253162</v>
      </c>
      <c r="BF144" s="23">
        <v>-41.288911539453068</v>
      </c>
      <c r="BG144" s="23">
        <v>-8.92687706772338E-4</v>
      </c>
      <c r="BH144" s="23">
        <v>1.2468264912405607E-5</v>
      </c>
      <c r="BI144" s="23">
        <v>3.2584244171213229E-3</v>
      </c>
      <c r="BJ144" s="23">
        <v>124.50204578746377</v>
      </c>
      <c r="BK144" s="23">
        <v>150.21428519783581</v>
      </c>
      <c r="BL144" s="92">
        <v>2.25</v>
      </c>
      <c r="BM144" s="91">
        <v>2</v>
      </c>
      <c r="BN144" s="5">
        <f t="shared" si="87"/>
        <v>19.473749999999999</v>
      </c>
      <c r="BO144" s="54">
        <f>_xll.Bimoment(BH144,AY144,AC144,AD144,$O$101)</f>
        <v>-9.5889269648437886E-5</v>
      </c>
      <c r="BP144" s="5">
        <f t="shared" si="88"/>
        <v>0.45620689655172403</v>
      </c>
      <c r="BQ144" s="5">
        <f t="shared" si="89"/>
        <v>7.1721298221570509</v>
      </c>
      <c r="BR144" s="24" t="str">
        <f t="shared" si="90"/>
        <v>Cal</v>
      </c>
      <c r="BS144" s="25">
        <f t="shared" si="91"/>
        <v>1.7994323874578888E-2</v>
      </c>
      <c r="BT144" s="25" t="str">
        <f t="shared" si="92"/>
        <v>CT.105</v>
      </c>
      <c r="BU144" s="25">
        <f t="shared" si="93"/>
        <v>1</v>
      </c>
      <c r="BV144" s="25" cm="1">
        <f t="array" ref="BV144">IF(BT144="CT.104",_xll.TCVN5575AnnexEHeSoCx(1,BP144),1)</f>
        <v>1</v>
      </c>
      <c r="BW144" s="25">
        <f t="shared" si="94"/>
        <v>1</v>
      </c>
      <c r="BX144" s="25">
        <f t="shared" si="95"/>
        <v>1.8941393552188303E-2</v>
      </c>
      <c r="BY144" s="25">
        <f t="shared" si="96"/>
        <v>0.10944699059609478</v>
      </c>
      <c r="BZ144" s="25">
        <f t="shared" si="97"/>
        <v>3.5684881890620357E-5</v>
      </c>
      <c r="CA144" s="25">
        <f t="shared" si="98"/>
        <v>2.2498997354847911E-6</v>
      </c>
      <c r="CB144" s="25">
        <f t="shared" si="99"/>
        <v>0.12842631892990919</v>
      </c>
      <c r="CC144" s="5" t="str">
        <f t="shared" si="100"/>
        <v>OK</v>
      </c>
      <c r="CD144" s="5">
        <f t="shared" si="101"/>
        <v>51.836555160202302</v>
      </c>
      <c r="CE144" s="5">
        <f t="shared" si="102"/>
        <v>33.414125690541383</v>
      </c>
      <c r="CF144" s="5">
        <f t="shared" si="103"/>
        <v>1.7266865002204341</v>
      </c>
      <c r="CG144" s="5">
        <f t="shared" si="104"/>
        <v>1.1130315193248546</v>
      </c>
      <c r="CH144" s="5">
        <f t="shared" si="105"/>
        <v>5.7781910446314724</v>
      </c>
      <c r="CI144" s="68">
        <f>_xll.DCETCVN5575PhuLucD2Eta(BP144,CH144,CF144)</f>
        <v>1.2412413793103447</v>
      </c>
      <c r="CJ144" s="5">
        <f t="shared" si="106"/>
        <v>7.1721298221570509</v>
      </c>
      <c r="CK144" s="5">
        <f>MIN(noisuy2chieu(CJ144,CF144,Data!$DA$2:$EB$24),1)</f>
        <v>0.17344513535499573</v>
      </c>
      <c r="CL144" s="102">
        <f t="shared" si="107"/>
        <v>0.10920683081379218</v>
      </c>
      <c r="CM144" s="5" t="str">
        <f t="shared" si="108"/>
        <v>OK</v>
      </c>
      <c r="CN144" s="5">
        <f t="shared" si="109"/>
        <v>0.88472625978979058</v>
      </c>
      <c r="CO144" s="5">
        <f t="shared" si="110"/>
        <v>0.5370345235716667</v>
      </c>
      <c r="CP144" s="25">
        <f>_xll.DCETCVNPhuLucFHeSoOnDinh(1, 0.2, AG144, AH144, AI144, AJ144, AI144, AJ144, $D$28)</f>
        <v>1</v>
      </c>
      <c r="CQ144" s="68">
        <f t="shared" si="111"/>
        <v>0.9</v>
      </c>
      <c r="CR144" s="68">
        <f t="shared" si="112"/>
        <v>1</v>
      </c>
      <c r="CS144" s="5">
        <f t="shared" si="113"/>
        <v>0.18181818181818182</v>
      </c>
      <c r="CT144" s="5">
        <f t="shared" si="114"/>
        <v>0.10155106457844131</v>
      </c>
      <c r="CU144" s="26">
        <f t="shared" si="115"/>
        <v>6.9715066287950851</v>
      </c>
      <c r="CV144" s="5"/>
      <c r="CW144" s="25"/>
      <c r="CX144" s="72">
        <f>MAX(_xll.Dce_c_925(CU144, CQ144, CR144, CN144, CP144, CS144, CT144),0.3)</f>
        <v>0.3</v>
      </c>
      <c r="CY144" s="102">
        <f t="shared" si="116"/>
        <v>7.1364422394669086E-2</v>
      </c>
      <c r="CZ144" s="5" t="str">
        <f t="shared" si="117"/>
        <v>OK</v>
      </c>
      <c r="DA144" s="47">
        <f t="shared" si="118"/>
        <v>0.34499859601035404</v>
      </c>
      <c r="DB144" s="46">
        <f t="shared" si="119"/>
        <v>0.47130315193248545</v>
      </c>
      <c r="DC144" s="5" t="str">
        <f t="shared" si="120"/>
        <v>OK</v>
      </c>
      <c r="DD144" s="5">
        <f t="shared" si="121"/>
        <v>1.7266865002204341</v>
      </c>
      <c r="DE144" s="5">
        <f t="shared" si="122"/>
        <v>3.0666541867587034</v>
      </c>
      <c r="DF144" s="5">
        <f t="shared" si="123"/>
        <v>1.7472169405065237</v>
      </c>
      <c r="DG144" s="5" t="str">
        <f t="shared" si="124"/>
        <v>Gia cường</v>
      </c>
      <c r="DH144" s="203">
        <f t="shared" si="125"/>
        <v>51.836555160202302</v>
      </c>
      <c r="DI144" s="203">
        <f t="shared" si="126"/>
        <v>180</v>
      </c>
      <c r="DJ144" s="46">
        <f t="shared" si="127"/>
        <v>0.28798086200112388</v>
      </c>
      <c r="DK144" s="5" t="str">
        <f t="shared" si="128"/>
        <v>OK</v>
      </c>
      <c r="EB144" s="18"/>
      <c r="EC144" s="77"/>
      <c r="ED144" s="77"/>
      <c r="EE144" s="18"/>
      <c r="EF144" s="18"/>
      <c r="EG144" s="18"/>
      <c r="EH144" s="5"/>
      <c r="EI144" s="5"/>
      <c r="EJ144" s="5"/>
      <c r="EK144" s="5"/>
      <c r="EL144" s="5"/>
      <c r="FE144" s="26"/>
      <c r="FF144" s="26"/>
      <c r="FG144" s="26"/>
      <c r="FH144" s="26"/>
      <c r="FI144" s="26"/>
      <c r="FJ144" s="26"/>
      <c r="FK144" s="26"/>
      <c r="FL144" s="26"/>
      <c r="FM144" s="26"/>
      <c r="FN144" s="205"/>
      <c r="FO144" s="205"/>
      <c r="FP144" s="205"/>
      <c r="FQ144" s="205"/>
      <c r="FR144" s="205"/>
      <c r="FS144" s="205"/>
      <c r="FT144" s="205"/>
      <c r="FU144" s="77"/>
      <c r="FV144" s="77"/>
      <c r="FW144" s="77"/>
      <c r="FX144" s="205"/>
      <c r="FY144" s="205"/>
      <c r="FZ144" s="205"/>
      <c r="GA144" s="205"/>
      <c r="GB144" s="205"/>
      <c r="GC144" s="205"/>
      <c r="GD144" s="205"/>
      <c r="GE144" s="205"/>
      <c r="GF144" s="205"/>
      <c r="GG144" s="205"/>
      <c r="GH144" s="205"/>
      <c r="GI144" s="205"/>
      <c r="GJ144" s="205"/>
      <c r="GK144" s="205"/>
      <c r="GL144" s="205"/>
      <c r="GM144" s="205"/>
      <c r="GN144" s="205"/>
      <c r="GO144" s="205"/>
      <c r="GP144" s="205"/>
      <c r="GQ144" s="205"/>
      <c r="GR144" s="205"/>
      <c r="GS144" s="205"/>
      <c r="GT144" s="205"/>
      <c r="GU144" s="205"/>
      <c r="GV144" s="18"/>
      <c r="GW144" s="5"/>
      <c r="GX144" s="5"/>
      <c r="GY144" s="77"/>
      <c r="GZ144" s="18"/>
      <c r="HA144" s="18"/>
      <c r="HB144" s="18"/>
      <c r="HC144" s="18"/>
      <c r="HD144" s="18"/>
      <c r="HE144" s="18"/>
      <c r="HF144" s="18"/>
      <c r="HG144" s="18"/>
      <c r="HH144" s="205"/>
      <c r="HI144" s="26"/>
      <c r="HJ144" s="26"/>
      <c r="HK144" s="5"/>
    </row>
    <row r="145" spans="27:219">
      <c r="AA145" s="18" t="s">
        <v>488</v>
      </c>
      <c r="AB145" s="22" t="s">
        <v>490</v>
      </c>
      <c r="AC145" s="59">
        <v>7.2811904761904795</v>
      </c>
      <c r="AD145" s="59">
        <v>8.6549999999999994</v>
      </c>
      <c r="AE145" s="22">
        <v>528</v>
      </c>
      <c r="AF145" s="22">
        <v>1528</v>
      </c>
      <c r="AG145" s="22">
        <v>1369.2698412698419</v>
      </c>
      <c r="AH145" s="6">
        <v>10</v>
      </c>
      <c r="AI145" s="6">
        <v>300</v>
      </c>
      <c r="AJ145" s="6">
        <v>14</v>
      </c>
      <c r="AK145" s="24">
        <v>300</v>
      </c>
      <c r="AL145" s="24">
        <v>14</v>
      </c>
      <c r="AM145" s="5">
        <f t="shared" si="73"/>
        <v>1341.2698412698419</v>
      </c>
      <c r="AN145" s="26">
        <f t="shared" si="74"/>
        <v>218.12698412698418</v>
      </c>
      <c r="AO145" s="26">
        <f t="shared" si="75"/>
        <v>586811.79072745051</v>
      </c>
      <c r="AP145" s="15">
        <f t="shared" si="76"/>
        <v>6311.1772486772488</v>
      </c>
      <c r="AQ145" s="5">
        <f t="shared" si="77"/>
        <v>8571.1635945074104</v>
      </c>
      <c r="AR145" s="26">
        <f t="shared" si="78"/>
        <v>420.74514991181661</v>
      </c>
      <c r="AS145" s="26">
        <f t="shared" si="79"/>
        <v>5094.8226505417015</v>
      </c>
      <c r="AT145" s="26">
        <f t="shared" si="80"/>
        <v>51.867428670398397</v>
      </c>
      <c r="AU145" s="26">
        <f t="shared" si="81"/>
        <v>5.3789869588463937</v>
      </c>
      <c r="AV145" s="95">
        <f t="shared" si="82"/>
        <v>1.0005566137566139E-6</v>
      </c>
      <c r="AW145" s="95">
        <f t="shared" si="83"/>
        <v>28928912.396825422</v>
      </c>
      <c r="AX145" s="95">
        <f t="shared" si="84"/>
        <v>2.8928912396825422E-5</v>
      </c>
      <c r="AY145" s="54">
        <f t="shared" si="85"/>
        <v>0.11516876660535029</v>
      </c>
      <c r="AZ145" s="54" t="str">
        <f>_xll.Dce_Name_SectI(AE145,AF145,AI145,AH145,AJ145,"x","-",$O$11)</f>
        <v>(528-1528)x300x10x14</v>
      </c>
      <c r="BA145" s="15">
        <f t="shared" si="86"/>
        <v>1016.4523809523813</v>
      </c>
      <c r="BB145" s="54"/>
      <c r="BC145" s="54"/>
      <c r="BD145" s="22" t="s">
        <v>508</v>
      </c>
      <c r="BE145" s="23">
        <v>-66.892882104194911</v>
      </c>
      <c r="BF145" s="23">
        <v>-55.148780507327643</v>
      </c>
      <c r="BG145" s="23">
        <v>-8.9268770677318823E-4</v>
      </c>
      <c r="BH145" s="23">
        <v>1.2468264912405607E-5</v>
      </c>
      <c r="BI145" s="23">
        <v>6.5159926373808269E-3</v>
      </c>
      <c r="BJ145" s="23">
        <v>300.42857039567161</v>
      </c>
      <c r="BK145" s="23">
        <v>150.21428519783581</v>
      </c>
      <c r="BL145" s="92">
        <v>2.25</v>
      </c>
      <c r="BM145" s="91">
        <v>2</v>
      </c>
      <c r="BN145" s="5">
        <f t="shared" si="87"/>
        <v>19.473749999999999</v>
      </c>
      <c r="BO145" s="54">
        <f>_xll.Bimoment(BH145,AY145,AC145,AD145,$O$101)</f>
        <v>-5.7038202615320448E-5</v>
      </c>
      <c r="BP145" s="5">
        <f t="shared" si="88"/>
        <v>0.31313609467455605</v>
      </c>
      <c r="BQ145" s="5">
        <f t="shared" si="89"/>
        <v>13.859840925171172</v>
      </c>
      <c r="BR145" s="24" t="str">
        <f t="shared" si="90"/>
        <v>Cal</v>
      </c>
      <c r="BS145" s="25">
        <f t="shared" si="91"/>
        <v>1.341678840777814E-2</v>
      </c>
      <c r="BT145" s="25" t="str">
        <f t="shared" si="92"/>
        <v>CT.105</v>
      </c>
      <c r="BU145" s="25">
        <f t="shared" si="93"/>
        <v>1</v>
      </c>
      <c r="BV145" s="25" cm="1">
        <f t="array" ref="BV145">IF(BT145="CT.104",_xll.TCVN5575AnnexEHeSoCx(1,BP145),1)</f>
        <v>1</v>
      </c>
      <c r="BW145" s="25">
        <f t="shared" si="94"/>
        <v>1</v>
      </c>
      <c r="BX145" s="25">
        <f t="shared" si="95"/>
        <v>1.4122935166082252E-2</v>
      </c>
      <c r="BY145" s="25">
        <f t="shared" si="96"/>
        <v>0.16141946324636516</v>
      </c>
      <c r="BZ145" s="25">
        <f t="shared" si="97"/>
        <v>7.132075280328862E-5</v>
      </c>
      <c r="CA145" s="25">
        <f t="shared" si="98"/>
        <v>9.22943710958529E-7</v>
      </c>
      <c r="CB145" s="25">
        <f t="shared" si="99"/>
        <v>0.17561464210896166</v>
      </c>
      <c r="CC145" s="5" t="str">
        <f t="shared" si="100"/>
        <v>OK</v>
      </c>
      <c r="CD145" s="5">
        <f t="shared" si="101"/>
        <v>37.545238889226049</v>
      </c>
      <c r="CE145" s="5">
        <f t="shared" si="102"/>
        <v>37.181722419139881</v>
      </c>
      <c r="CF145" s="5">
        <f t="shared" si="103"/>
        <v>1.2506397644909562</v>
      </c>
      <c r="CG145" s="5">
        <f t="shared" si="104"/>
        <v>1.2385309547993069</v>
      </c>
      <c r="CH145" s="5">
        <f t="shared" si="105"/>
        <v>11.429597413576703</v>
      </c>
      <c r="CI145" s="68">
        <f>_xll.DCETCVN5575PhuLucD2Eta(BP145,CH145,CF145)</f>
        <v>1.2126272189349112</v>
      </c>
      <c r="CJ145" s="5">
        <f t="shared" si="106"/>
        <v>13.859840925171172</v>
      </c>
      <c r="CK145" s="5">
        <f>MIN(noisuy2chieu(CJ145,CF145,Data!$DA$2:$EB$24),1)</f>
        <v>0.10215091705322266</v>
      </c>
      <c r="CL145" s="102">
        <f t="shared" si="107"/>
        <v>0.13825558862798973</v>
      </c>
      <c r="CM145" s="5" t="str">
        <f t="shared" si="108"/>
        <v>OK</v>
      </c>
      <c r="CN145" s="5">
        <f t="shared" si="109"/>
        <v>0.86643683692746631</v>
      </c>
      <c r="CO145" s="5">
        <f t="shared" si="110"/>
        <v>0.5370345235716667</v>
      </c>
      <c r="CP145" s="25">
        <f>_xll.DCETCVNPhuLucFHeSoOnDinh(1, 0.2, AG145, AH145, AI145, AJ145, AI145, AJ145, $D$28)</f>
        <v>1</v>
      </c>
      <c r="CQ145" s="68">
        <f t="shared" si="111"/>
        <v>0.9</v>
      </c>
      <c r="CR145" s="68">
        <f t="shared" si="112"/>
        <v>1</v>
      </c>
      <c r="CS145" s="5">
        <f t="shared" si="113"/>
        <v>0.18181818181818182</v>
      </c>
      <c r="CT145" s="5">
        <f t="shared" si="114"/>
        <v>0.10347287704587492</v>
      </c>
      <c r="CU145" s="26">
        <f t="shared" si="115"/>
        <v>5.7147987067883514</v>
      </c>
      <c r="CV145" s="5"/>
      <c r="CW145" s="25"/>
      <c r="CX145" s="72">
        <f>MAX(_xll.Dce_c_925(CU145, CQ145, CR145, CN145, CP145, CS145, CT145),0.3)</f>
        <v>0.3</v>
      </c>
      <c r="CY145" s="102">
        <f t="shared" si="116"/>
        <v>5.4333389979757424E-2</v>
      </c>
      <c r="CZ145" s="5" t="str">
        <f t="shared" si="117"/>
        <v>OK</v>
      </c>
      <c r="DA145" s="47">
        <f t="shared" si="118"/>
        <v>0.34499859601035404</v>
      </c>
      <c r="DB145" s="46">
        <f t="shared" si="119"/>
        <v>0.48385309547993066</v>
      </c>
      <c r="DC145" s="5" t="str">
        <f t="shared" si="120"/>
        <v>OK</v>
      </c>
      <c r="DD145" s="5">
        <f t="shared" si="121"/>
        <v>1.2506397644909562</v>
      </c>
      <c r="DE145" s="5">
        <f t="shared" si="122"/>
        <v>4.4677979100191463</v>
      </c>
      <c r="DF145" s="5" t="str">
        <f t="shared" si="123"/>
        <v>-</v>
      </c>
      <c r="DG145" s="5" t="str">
        <f t="shared" si="124"/>
        <v>-</v>
      </c>
      <c r="DH145" s="203">
        <f t="shared" si="125"/>
        <v>37.545238889226049</v>
      </c>
      <c r="DI145" s="203">
        <f t="shared" si="126"/>
        <v>180</v>
      </c>
      <c r="DJ145" s="46">
        <f t="shared" si="127"/>
        <v>0.20858466049570026</v>
      </c>
      <c r="DK145" s="5" t="str">
        <f t="shared" si="128"/>
        <v>OK</v>
      </c>
      <c r="EB145" s="18"/>
      <c r="EC145" s="77"/>
      <c r="ED145" s="77"/>
      <c r="EE145" s="18"/>
      <c r="EF145" s="18"/>
      <c r="EG145" s="18"/>
      <c r="EH145" s="5"/>
      <c r="EI145" s="5"/>
      <c r="EJ145" s="5"/>
      <c r="EK145" s="5"/>
      <c r="EL145" s="5"/>
      <c r="FE145" s="26"/>
      <c r="FF145" s="26"/>
      <c r="FG145" s="26"/>
      <c r="FH145" s="26"/>
      <c r="FI145" s="26"/>
      <c r="FJ145" s="26"/>
      <c r="FK145" s="26"/>
      <c r="FL145" s="26"/>
      <c r="FM145" s="26"/>
      <c r="FN145" s="205"/>
      <c r="FO145" s="205"/>
      <c r="FP145" s="205"/>
      <c r="FQ145" s="205"/>
      <c r="FR145" s="205"/>
      <c r="FS145" s="205"/>
      <c r="FT145" s="205"/>
      <c r="FU145" s="77"/>
      <c r="FV145" s="77"/>
      <c r="FW145" s="77"/>
      <c r="FX145" s="205"/>
      <c r="FY145" s="205"/>
      <c r="FZ145" s="205"/>
      <c r="GA145" s="205"/>
      <c r="GB145" s="205"/>
      <c r="GC145" s="205"/>
      <c r="GD145" s="205"/>
      <c r="GE145" s="205"/>
      <c r="GF145" s="205"/>
      <c r="GG145" s="205"/>
      <c r="GH145" s="205"/>
      <c r="GI145" s="205"/>
      <c r="GJ145" s="205"/>
      <c r="GK145" s="205"/>
      <c r="GL145" s="205"/>
      <c r="GM145" s="205"/>
      <c r="GN145" s="205"/>
      <c r="GO145" s="205"/>
      <c r="GP145" s="205"/>
      <c r="GQ145" s="205"/>
      <c r="GR145" s="205"/>
      <c r="GS145" s="205"/>
      <c r="GT145" s="205"/>
      <c r="GU145" s="205"/>
      <c r="GV145" s="18"/>
      <c r="GW145" s="5"/>
      <c r="GX145" s="5"/>
      <c r="GY145" s="77"/>
      <c r="GZ145" s="18"/>
      <c r="HA145" s="18"/>
      <c r="HB145" s="18"/>
      <c r="HC145" s="18"/>
      <c r="HD145" s="18"/>
      <c r="HE145" s="18"/>
      <c r="HF145" s="18"/>
      <c r="HG145" s="18"/>
      <c r="HH145" s="205"/>
      <c r="HI145" s="26"/>
      <c r="HJ145" s="26"/>
      <c r="HK145" s="5"/>
    </row>
    <row r="146" spans="27:219">
      <c r="AA146" s="18" t="s">
        <v>488</v>
      </c>
      <c r="AB146" s="22" t="s">
        <v>490</v>
      </c>
      <c r="AC146" s="59">
        <v>0</v>
      </c>
      <c r="AD146" s="59">
        <v>8.6549999999999994</v>
      </c>
      <c r="AE146" s="22">
        <v>528</v>
      </c>
      <c r="AF146" s="22">
        <v>1528</v>
      </c>
      <c r="AG146" s="22">
        <v>528</v>
      </c>
      <c r="AH146" s="6">
        <v>10</v>
      </c>
      <c r="AI146" s="6">
        <v>300</v>
      </c>
      <c r="AJ146" s="6">
        <v>14</v>
      </c>
      <c r="AK146" s="24">
        <v>300</v>
      </c>
      <c r="AL146" s="24">
        <v>14</v>
      </c>
      <c r="AM146" s="5">
        <f t="shared" si="73"/>
        <v>500</v>
      </c>
      <c r="AN146" s="26">
        <f t="shared" si="74"/>
        <v>134</v>
      </c>
      <c r="AO146" s="26">
        <f t="shared" si="75"/>
        <v>65911.546666666676</v>
      </c>
      <c r="AP146" s="15">
        <f t="shared" si="76"/>
        <v>6304.166666666667</v>
      </c>
      <c r="AQ146" s="5">
        <f t="shared" si="77"/>
        <v>2496.6494949494954</v>
      </c>
      <c r="AR146" s="26">
        <f t="shared" si="78"/>
        <v>420.27777777777777</v>
      </c>
      <c r="AS146" s="26">
        <f t="shared" si="79"/>
        <v>1391.9</v>
      </c>
      <c r="AT146" s="26">
        <f t="shared" si="80"/>
        <v>22.178305028345793</v>
      </c>
      <c r="AU146" s="26">
        <f t="shared" si="81"/>
        <v>6.8590101254115021</v>
      </c>
      <c r="AV146" s="95">
        <f t="shared" si="82"/>
        <v>7.201333333333334E-7</v>
      </c>
      <c r="AW146" s="95">
        <f t="shared" si="83"/>
        <v>4161087</v>
      </c>
      <c r="AX146" s="95">
        <f t="shared" si="84"/>
        <v>4.1610870000000001E-6</v>
      </c>
      <c r="AY146" s="54">
        <f t="shared" si="85"/>
        <v>0.25762202780669918</v>
      </c>
      <c r="AZ146" s="54" t="str">
        <f>_xll.Dce_Name_SectI(AE146,AF146,AI146,AH146,AJ146,"x","-",$O$11)</f>
        <v>(528-1528)x300x10x14</v>
      </c>
      <c r="BA146" s="15">
        <f t="shared" si="86"/>
        <v>385.5</v>
      </c>
      <c r="BB146" s="54"/>
      <c r="BC146" s="54"/>
      <c r="BD146" s="22" t="s">
        <v>509</v>
      </c>
      <c r="BE146" s="23">
        <v>-303.70713668439481</v>
      </c>
      <c r="BF146" s="23">
        <v>-225.0879940187053</v>
      </c>
      <c r="BG146" s="23">
        <v>1.2728369130267857E-3</v>
      </c>
      <c r="BH146" s="23">
        <v>-1.7777849634903864E-5</v>
      </c>
      <c r="BI146" s="23">
        <v>-1.2208065215851827E-6</v>
      </c>
      <c r="BJ146" s="23">
        <v>-4.0260231814234579</v>
      </c>
      <c r="BK146" s="23">
        <v>908.79613812152672</v>
      </c>
      <c r="BL146" s="92">
        <v>2.25</v>
      </c>
      <c r="BM146" s="91">
        <v>2</v>
      </c>
      <c r="BN146" s="5">
        <f t="shared" si="87"/>
        <v>19.473749999999999</v>
      </c>
      <c r="BO146" s="54">
        <f>_xll.Bimoment(BH146,AY146,AC146,AD146,$O$101)</f>
        <v>0</v>
      </c>
      <c r="BP146" s="5">
        <f t="shared" si="88"/>
        <v>0.84</v>
      </c>
      <c r="BQ146" s="5">
        <f t="shared" si="89"/>
        <v>0.10791786826050666</v>
      </c>
      <c r="BR146" s="24" t="str">
        <f t="shared" si="90"/>
        <v>Cal</v>
      </c>
      <c r="BS146" s="25">
        <f t="shared" si="91"/>
        <v>9.9158113656285629E-2</v>
      </c>
      <c r="BT146" s="25" t="str">
        <f t="shared" si="92"/>
        <v>CT.105</v>
      </c>
      <c r="BU146" s="25">
        <f t="shared" si="93"/>
        <v>1</v>
      </c>
      <c r="BV146" s="25" cm="1">
        <f t="array" ref="BV146">IF(BT146="CT.104",_xll.TCVN5575AnnexEHeSoCx(1,BP146),1)</f>
        <v>1</v>
      </c>
      <c r="BW146" s="25">
        <f t="shared" si="94"/>
        <v>1</v>
      </c>
      <c r="BX146" s="25">
        <f t="shared" si="95"/>
        <v>0.10437696174345855</v>
      </c>
      <c r="BY146" s="25">
        <f t="shared" si="96"/>
        <v>7.4263112494349836E-3</v>
      </c>
      <c r="BZ146" s="25">
        <f t="shared" si="97"/>
        <v>1.337718907361925E-8</v>
      </c>
      <c r="CA146" s="25">
        <f t="shared" si="98"/>
        <v>0</v>
      </c>
      <c r="CB146" s="25">
        <f t="shared" si="99"/>
        <v>0.11180328637008261</v>
      </c>
      <c r="CC146" s="5" t="str">
        <f t="shared" si="100"/>
        <v>OK</v>
      </c>
      <c r="CD146" s="5">
        <f t="shared" si="101"/>
        <v>87.805402509844015</v>
      </c>
      <c r="CE146" s="5">
        <f t="shared" si="102"/>
        <v>29.158726455153193</v>
      </c>
      <c r="CF146" s="5">
        <f t="shared" si="103"/>
        <v>2.9248163326364334</v>
      </c>
      <c r="CG146" s="5">
        <f t="shared" si="104"/>
        <v>0.97128328026682387</v>
      </c>
      <c r="CH146" s="5">
        <f t="shared" si="105"/>
        <v>7.1148950164765648E-2</v>
      </c>
      <c r="CI146" s="68">
        <f>_xll.DCETCVN5575PhuLucD2Eta(BP146,CH146,CF146)</f>
        <v>1.5167879218258613</v>
      </c>
      <c r="CJ146" s="5">
        <f t="shared" si="106"/>
        <v>0.10791786826050666</v>
      </c>
      <c r="CK146" s="5">
        <f>MIN(noisuy2chieu(CJ146,CF146,Data!$DA$2:$EB$24),1)</f>
        <v>0.67458254098892212</v>
      </c>
      <c r="CL146" s="102">
        <f t="shared" si="107"/>
        <v>0.1547282287953145</v>
      </c>
      <c r="CM146" s="5" t="str">
        <f t="shared" si="108"/>
        <v>OK</v>
      </c>
      <c r="CN146" s="5">
        <f t="shared" si="109"/>
        <v>0.90492218941026858</v>
      </c>
      <c r="CO146" s="5">
        <f t="shared" si="110"/>
        <v>0.5370345235716667</v>
      </c>
      <c r="CP146" s="25">
        <f>_xll.DCETCVNPhuLucFHeSoOnDinh(1, 0.2, AG146, AH146, AI146, AJ146, AI146, AJ146, $D$28)</f>
        <v>1</v>
      </c>
      <c r="CQ146" s="68">
        <f t="shared" si="111"/>
        <v>0.9</v>
      </c>
      <c r="CR146" s="68">
        <f t="shared" si="112"/>
        <v>1</v>
      </c>
      <c r="CS146" s="5">
        <f t="shared" si="113"/>
        <v>0.18181818181818182</v>
      </c>
      <c r="CT146" s="5">
        <f t="shared" si="114"/>
        <v>9.9510191986788829E-2</v>
      </c>
      <c r="CU146" s="26">
        <f t="shared" si="115"/>
        <v>16.06048654649787</v>
      </c>
      <c r="CV146" s="5"/>
      <c r="CW146" s="25"/>
      <c r="CX146" s="72">
        <f>MAX(_xll.Dce_c_925(CU146, CQ146, CR146, CN146, CP146, CS146, CT146),0.3)</f>
        <v>0.3</v>
      </c>
      <c r="CY146" s="102">
        <f t="shared" si="116"/>
        <v>0.38447858819581787</v>
      </c>
      <c r="CZ146" s="5" t="str">
        <f t="shared" si="117"/>
        <v>OK</v>
      </c>
      <c r="DA146" s="47">
        <f t="shared" si="118"/>
        <v>0.34499859601035404</v>
      </c>
      <c r="DB146" s="46">
        <f t="shared" si="119"/>
        <v>0.45712832802668235</v>
      </c>
      <c r="DC146" s="5" t="str">
        <f t="shared" si="120"/>
        <v>OK</v>
      </c>
      <c r="DD146" s="5">
        <f t="shared" si="121"/>
        <v>2.9248163326364334</v>
      </c>
      <c r="DE146" s="5">
        <f t="shared" si="122"/>
        <v>1.6655104634982609</v>
      </c>
      <c r="DF146" s="5" t="str">
        <f t="shared" si="123"/>
        <v>-</v>
      </c>
      <c r="DG146" s="5" t="str">
        <f t="shared" si="124"/>
        <v>-</v>
      </c>
      <c r="DH146" s="203" t="str">
        <f t="shared" si="125"/>
        <v>-</v>
      </c>
      <c r="DI146" s="203">
        <f t="shared" si="126"/>
        <v>180</v>
      </c>
      <c r="DJ146" s="46">
        <f t="shared" si="127"/>
        <v>0</v>
      </c>
      <c r="DK146" s="5" t="str">
        <f t="shared" si="128"/>
        <v>OK</v>
      </c>
      <c r="EB146" s="18"/>
      <c r="EC146" s="77"/>
      <c r="ED146" s="77"/>
      <c r="EE146" s="18"/>
      <c r="EF146" s="18"/>
      <c r="EG146" s="18"/>
      <c r="EH146" s="5"/>
      <c r="EI146" s="5"/>
      <c r="EJ146" s="5"/>
      <c r="EK146" s="5"/>
      <c r="EL146" s="5"/>
      <c r="FE146" s="26"/>
      <c r="FF146" s="26"/>
      <c r="FG146" s="26"/>
      <c r="FH146" s="26"/>
      <c r="FI146" s="26"/>
      <c r="FJ146" s="26"/>
      <c r="FK146" s="26"/>
      <c r="FL146" s="26"/>
      <c r="FM146" s="26"/>
      <c r="FN146" s="205"/>
      <c r="FO146" s="205"/>
      <c r="FP146" s="205"/>
      <c r="FQ146" s="205"/>
      <c r="FR146" s="205"/>
      <c r="FS146" s="205"/>
      <c r="FT146" s="205"/>
      <c r="FU146" s="77"/>
      <c r="FV146" s="77"/>
      <c r="FW146" s="77"/>
      <c r="FX146" s="205"/>
      <c r="FY146" s="205"/>
      <c r="FZ146" s="205"/>
      <c r="GA146" s="205"/>
      <c r="GB146" s="205"/>
      <c r="GC146" s="205"/>
      <c r="GD146" s="205"/>
      <c r="GE146" s="205"/>
      <c r="GF146" s="205"/>
      <c r="GG146" s="205"/>
      <c r="GH146" s="205"/>
      <c r="GI146" s="205"/>
      <c r="GJ146" s="205"/>
      <c r="GK146" s="205"/>
      <c r="GL146" s="205"/>
      <c r="GM146" s="205"/>
      <c r="GN146" s="205"/>
      <c r="GO146" s="205"/>
      <c r="GP146" s="205"/>
      <c r="GQ146" s="205"/>
      <c r="GR146" s="205"/>
      <c r="GS146" s="205"/>
      <c r="GT146" s="205"/>
      <c r="GU146" s="205"/>
      <c r="GV146" s="18"/>
      <c r="GW146" s="5"/>
      <c r="GX146" s="5"/>
      <c r="GY146" s="77"/>
      <c r="GZ146" s="18"/>
      <c r="HA146" s="18"/>
      <c r="HB146" s="18"/>
      <c r="HC146" s="18"/>
      <c r="HD146" s="18"/>
      <c r="HE146" s="18"/>
      <c r="HF146" s="18"/>
      <c r="HG146" s="18"/>
      <c r="HH146" s="205"/>
      <c r="HI146" s="26"/>
      <c r="HJ146" s="26"/>
      <c r="HK146" s="5"/>
    </row>
    <row r="147" spans="27:219">
      <c r="AA147" s="18" t="s">
        <v>488</v>
      </c>
      <c r="AB147" s="22" t="s">
        <v>490</v>
      </c>
      <c r="AC147" s="59">
        <v>3.6405952380952398</v>
      </c>
      <c r="AD147" s="59">
        <v>8.6549999999999994</v>
      </c>
      <c r="AE147" s="22">
        <v>528</v>
      </c>
      <c r="AF147" s="22">
        <v>1528</v>
      </c>
      <c r="AG147" s="22">
        <v>948.63492063492095</v>
      </c>
      <c r="AH147" s="6">
        <v>10</v>
      </c>
      <c r="AI147" s="6">
        <v>300</v>
      </c>
      <c r="AJ147" s="6">
        <v>14</v>
      </c>
      <c r="AK147" s="24">
        <v>300</v>
      </c>
      <c r="AL147" s="24">
        <v>14</v>
      </c>
      <c r="AM147" s="5">
        <f t="shared" si="73"/>
        <v>920.63492063492095</v>
      </c>
      <c r="AN147" s="26">
        <f t="shared" si="74"/>
        <v>176.06349206349208</v>
      </c>
      <c r="AO147" s="26">
        <f t="shared" si="75"/>
        <v>248482.7399356656</v>
      </c>
      <c r="AP147" s="15">
        <f t="shared" si="76"/>
        <v>6307.6719576719579</v>
      </c>
      <c r="AQ147" s="5">
        <f t="shared" si="77"/>
        <v>5238.7432621467533</v>
      </c>
      <c r="AR147" s="26">
        <f t="shared" si="78"/>
        <v>420.51146384479722</v>
      </c>
      <c r="AS147" s="26">
        <f t="shared" si="79"/>
        <v>3022.1941546989178</v>
      </c>
      <c r="AT147" s="26">
        <f t="shared" si="80"/>
        <v>37.567600585756203</v>
      </c>
      <c r="AU147" s="26">
        <f t="shared" si="81"/>
        <v>5.9854925384629922</v>
      </c>
      <c r="AV147" s="95">
        <f t="shared" si="82"/>
        <v>8.6034497354497351E-7</v>
      </c>
      <c r="AW147" s="95">
        <f t="shared" si="83"/>
        <v>13758293.349206358</v>
      </c>
      <c r="AX147" s="95">
        <f t="shared" si="84"/>
        <v>1.3758293349206359E-5</v>
      </c>
      <c r="AY147" s="54">
        <f t="shared" si="85"/>
        <v>0.1548581140202015</v>
      </c>
      <c r="AZ147" s="54" t="str">
        <f>_xll.Dce_Name_SectI(AE147,AF147,AI147,AH147,AJ147,"x","-",$O$11)</f>
        <v>(528-1528)x300x10x14</v>
      </c>
      <c r="BA147" s="15">
        <f t="shared" si="86"/>
        <v>700.97619047619071</v>
      </c>
      <c r="BB147" s="54"/>
      <c r="BC147" s="54"/>
      <c r="BD147" s="22" t="s">
        <v>509</v>
      </c>
      <c r="BE147" s="23">
        <v>-300.46384599782897</v>
      </c>
      <c r="BF147" s="23">
        <v>-249.57594345598793</v>
      </c>
      <c r="BG147" s="23">
        <v>1.2728369130252824E-3</v>
      </c>
      <c r="BH147" s="23">
        <v>-1.7777849634903864E-5</v>
      </c>
      <c r="BI147" s="23">
        <v>-4.6460176890021146E-3</v>
      </c>
      <c r="BJ147" s="23">
        <v>862.0062281138413</v>
      </c>
      <c r="BK147" s="23">
        <v>908.79613812152672</v>
      </c>
      <c r="BL147" s="92">
        <v>2.25</v>
      </c>
      <c r="BM147" s="91">
        <v>2</v>
      </c>
      <c r="BN147" s="5">
        <f t="shared" si="87"/>
        <v>19.473749999999999</v>
      </c>
      <c r="BO147" s="54">
        <f>_xll.Bimoment(BH147,AY147,AC147,AD147,$O$101)</f>
        <v>1.3672351601340627E-4</v>
      </c>
      <c r="BP147" s="5">
        <f t="shared" si="88"/>
        <v>0.45620689655172403</v>
      </c>
      <c r="BQ147" s="5">
        <f t="shared" si="89"/>
        <v>11.967863387415937</v>
      </c>
      <c r="BR147" s="24" t="str">
        <f t="shared" si="90"/>
        <v>Cal</v>
      </c>
      <c r="BS147" s="25">
        <f t="shared" si="91"/>
        <v>7.4662231836595386E-2</v>
      </c>
      <c r="BT147" s="25" t="str">
        <f t="shared" si="92"/>
        <v>CT.105</v>
      </c>
      <c r="BU147" s="25">
        <f t="shared" si="93"/>
        <v>1</v>
      </c>
      <c r="BV147" s="25" cm="1">
        <f t="array" ref="BV147">IF(BT147="CT.104",_xll.TCVN5575AnnexEHeSoCx(1,BP147),1)</f>
        <v>1</v>
      </c>
      <c r="BW147" s="25">
        <f t="shared" si="94"/>
        <v>1</v>
      </c>
      <c r="BX147" s="25">
        <f t="shared" si="95"/>
        <v>7.8591822985889875E-2</v>
      </c>
      <c r="BY147" s="25">
        <f t="shared" si="96"/>
        <v>0.75777058075980874</v>
      </c>
      <c r="BZ147" s="25">
        <f t="shared" si="97"/>
        <v>5.0881214743733107E-5</v>
      </c>
      <c r="CA147" s="25">
        <f t="shared" si="98"/>
        <v>3.2080148659065803E-6</v>
      </c>
      <c r="CB147" s="25">
        <f t="shared" si="99"/>
        <v>0.83641649297530818</v>
      </c>
      <c r="CC147" s="5" t="str">
        <f t="shared" si="100"/>
        <v>OK</v>
      </c>
      <c r="CD147" s="5">
        <f t="shared" si="101"/>
        <v>51.836555160202302</v>
      </c>
      <c r="CE147" s="5">
        <f t="shared" si="102"/>
        <v>33.414125690541383</v>
      </c>
      <c r="CF147" s="5">
        <f t="shared" si="103"/>
        <v>1.7266865002204341</v>
      </c>
      <c r="CG147" s="5">
        <f t="shared" si="104"/>
        <v>1.1130315193248546</v>
      </c>
      <c r="CH147" s="5">
        <f t="shared" si="105"/>
        <v>9.6418501565468997</v>
      </c>
      <c r="CI147" s="68">
        <f>_xll.DCETCVN5575PhuLucD2Eta(BP147,CH147,CF147)</f>
        <v>1.2412413793103447</v>
      </c>
      <c r="CJ147" s="5">
        <f t="shared" si="106"/>
        <v>11.967863387415937</v>
      </c>
      <c r="CK147" s="5">
        <f>MIN(noisuy2chieu(CJ147,CF147,Data!$DA$2:$EB$24),1)</f>
        <v>0.11113318800926208</v>
      </c>
      <c r="CL147" s="102">
        <f t="shared" si="107"/>
        <v>0.70718589463428216</v>
      </c>
      <c r="CM147" s="5" t="str">
        <f t="shared" si="108"/>
        <v>OK</v>
      </c>
      <c r="CN147" s="5">
        <f t="shared" si="109"/>
        <v>0.88472625978979058</v>
      </c>
      <c r="CO147" s="5">
        <f t="shared" si="110"/>
        <v>0.5370345235716667</v>
      </c>
      <c r="CP147" s="25">
        <f>_xll.DCETCVNPhuLucFHeSoOnDinh(1, 0.2, AG147, AH147, AI147, AJ147, AI147, AJ147, $D$28)</f>
        <v>1</v>
      </c>
      <c r="CQ147" s="68">
        <f t="shared" si="111"/>
        <v>0.9</v>
      </c>
      <c r="CR147" s="68">
        <f t="shared" si="112"/>
        <v>1</v>
      </c>
      <c r="CS147" s="5">
        <f t="shared" si="113"/>
        <v>0.18181818181818182</v>
      </c>
      <c r="CT147" s="5">
        <f t="shared" si="114"/>
        <v>0.10155106457844131</v>
      </c>
      <c r="CU147" s="26">
        <f t="shared" si="115"/>
        <v>10.165212153732885</v>
      </c>
      <c r="CV147" s="5"/>
      <c r="CW147" s="25"/>
      <c r="CX147" s="72">
        <f>MAX(_xll.Dce_c_925(CU147, CQ147, CR147, CN147, CP147, CS147, CT147),0.3)</f>
        <v>0.3</v>
      </c>
      <c r="CY147" s="102">
        <f t="shared" si="116"/>
        <v>0.29610598802452626</v>
      </c>
      <c r="CZ147" s="5" t="str">
        <f t="shared" si="117"/>
        <v>OK</v>
      </c>
      <c r="DA147" s="47">
        <f t="shared" si="118"/>
        <v>0.34499859601035404</v>
      </c>
      <c r="DB147" s="46">
        <f t="shared" si="119"/>
        <v>0.47130315193248545</v>
      </c>
      <c r="DC147" s="5" t="str">
        <f t="shared" si="120"/>
        <v>OK</v>
      </c>
      <c r="DD147" s="5">
        <f t="shared" si="121"/>
        <v>1.7266865002204341</v>
      </c>
      <c r="DE147" s="5">
        <f t="shared" si="122"/>
        <v>3.0666541867587034</v>
      </c>
      <c r="DF147" s="5">
        <f t="shared" si="123"/>
        <v>1.7472169405065237</v>
      </c>
      <c r="DG147" s="5" t="str">
        <f t="shared" si="124"/>
        <v>Gia cường</v>
      </c>
      <c r="DH147" s="203">
        <f t="shared" si="125"/>
        <v>51.836555160202302</v>
      </c>
      <c r="DI147" s="203">
        <f t="shared" si="126"/>
        <v>167.56884632194306</v>
      </c>
      <c r="DJ147" s="46">
        <f t="shared" si="127"/>
        <v>0.30934482332480157</v>
      </c>
      <c r="DK147" s="5" t="str">
        <f t="shared" si="128"/>
        <v>OK</v>
      </c>
      <c r="EB147" s="18"/>
      <c r="EC147" s="77"/>
      <c r="ED147" s="77"/>
      <c r="EE147" s="18"/>
      <c r="EF147" s="18"/>
      <c r="EG147" s="18"/>
      <c r="EH147" s="5"/>
      <c r="EI147" s="5"/>
      <c r="EJ147" s="5"/>
      <c r="EK147" s="5"/>
      <c r="EL147" s="5"/>
      <c r="FE147" s="26"/>
      <c r="FF147" s="26"/>
      <c r="FG147" s="26"/>
      <c r="FH147" s="26"/>
      <c r="FI147" s="26"/>
      <c r="FJ147" s="26"/>
      <c r="FK147" s="26"/>
      <c r="FL147" s="26"/>
      <c r="FM147" s="26"/>
      <c r="FN147" s="205"/>
      <c r="FO147" s="205"/>
      <c r="FP147" s="205"/>
      <c r="FQ147" s="205"/>
      <c r="FR147" s="205"/>
      <c r="FS147" s="205"/>
      <c r="FT147" s="205"/>
      <c r="FU147" s="77"/>
      <c r="FV147" s="77"/>
      <c r="FW147" s="77"/>
      <c r="FX147" s="205"/>
      <c r="FY147" s="205"/>
      <c r="FZ147" s="205"/>
      <c r="GA147" s="205"/>
      <c r="GB147" s="205"/>
      <c r="GC147" s="205"/>
      <c r="GD147" s="205"/>
      <c r="GE147" s="205"/>
      <c r="GF147" s="205"/>
      <c r="GG147" s="205"/>
      <c r="GH147" s="205"/>
      <c r="GI147" s="205"/>
      <c r="GJ147" s="205"/>
      <c r="GK147" s="205"/>
      <c r="GL147" s="205"/>
      <c r="GM147" s="205"/>
      <c r="GN147" s="205"/>
      <c r="GO147" s="205"/>
      <c r="GP147" s="205"/>
      <c r="GQ147" s="205"/>
      <c r="GR147" s="205"/>
      <c r="GS147" s="205"/>
      <c r="GT147" s="205"/>
      <c r="GU147" s="205"/>
      <c r="GV147" s="18"/>
      <c r="GW147" s="5"/>
      <c r="GX147" s="5"/>
      <c r="GY147" s="77"/>
      <c r="GZ147" s="18"/>
      <c r="HA147" s="18"/>
      <c r="HB147" s="18"/>
      <c r="HC147" s="18"/>
      <c r="HD147" s="18"/>
      <c r="HE147" s="18"/>
      <c r="HF147" s="18"/>
      <c r="HG147" s="18"/>
      <c r="HH147" s="205"/>
      <c r="HI147" s="26"/>
      <c r="HJ147" s="26"/>
      <c r="HK147" s="5"/>
    </row>
    <row r="148" spans="27:219">
      <c r="AA148" s="18" t="s">
        <v>488</v>
      </c>
      <c r="AB148" s="22" t="s">
        <v>490</v>
      </c>
      <c r="AC148" s="59">
        <v>7.2811904761904795</v>
      </c>
      <c r="AD148" s="59">
        <v>8.6549999999999994</v>
      </c>
      <c r="AE148" s="22">
        <v>528</v>
      </c>
      <c r="AF148" s="22">
        <v>1528</v>
      </c>
      <c r="AG148" s="22">
        <v>1369.2698412698419</v>
      </c>
      <c r="AH148" s="6">
        <v>10</v>
      </c>
      <c r="AI148" s="6">
        <v>300</v>
      </c>
      <c r="AJ148" s="6">
        <v>14</v>
      </c>
      <c r="AK148" s="24">
        <v>300</v>
      </c>
      <c r="AL148" s="24">
        <v>14</v>
      </c>
      <c r="AM148" s="5">
        <f t="shared" si="73"/>
        <v>1341.2698412698419</v>
      </c>
      <c r="AN148" s="26">
        <f t="shared" si="74"/>
        <v>218.12698412698418</v>
      </c>
      <c r="AO148" s="26">
        <f t="shared" si="75"/>
        <v>586811.79072745051</v>
      </c>
      <c r="AP148" s="15">
        <f t="shared" si="76"/>
        <v>6311.1772486772488</v>
      </c>
      <c r="AQ148" s="5">
        <f t="shared" si="77"/>
        <v>8571.1635945074104</v>
      </c>
      <c r="AR148" s="26">
        <f t="shared" si="78"/>
        <v>420.74514991181661</v>
      </c>
      <c r="AS148" s="26">
        <f t="shared" si="79"/>
        <v>5094.8226505417015</v>
      </c>
      <c r="AT148" s="26">
        <f t="shared" si="80"/>
        <v>51.867428670398397</v>
      </c>
      <c r="AU148" s="26">
        <f t="shared" si="81"/>
        <v>5.3789869588463937</v>
      </c>
      <c r="AV148" s="95">
        <f t="shared" si="82"/>
        <v>1.0005566137566139E-6</v>
      </c>
      <c r="AW148" s="95">
        <f t="shared" si="83"/>
        <v>28928912.396825422</v>
      </c>
      <c r="AX148" s="95">
        <f t="shared" si="84"/>
        <v>2.8928912396825422E-5</v>
      </c>
      <c r="AY148" s="54">
        <f t="shared" si="85"/>
        <v>0.11516876660535029</v>
      </c>
      <c r="AZ148" s="54" t="str">
        <f>_xll.Dce_Name_SectI(AE148,AF148,AI148,AH148,AJ148,"x","-",$O$11)</f>
        <v>(528-1528)x300x10x14</v>
      </c>
      <c r="BA148" s="15">
        <f t="shared" si="86"/>
        <v>1016.4523809523813</v>
      </c>
      <c r="BB148" s="54"/>
      <c r="BC148" s="54"/>
      <c r="BD148" s="22" t="s">
        <v>509</v>
      </c>
      <c r="BE148" s="23">
        <v>-295.67911956077074</v>
      </c>
      <c r="BF148" s="23">
        <v>-274.16974342386249</v>
      </c>
      <c r="BG148" s="23">
        <v>1.2728369130237732E-3</v>
      </c>
      <c r="BH148" s="23">
        <v>-1.7777849634903864E-5</v>
      </c>
      <c r="BI148" s="23">
        <v>-9.2908145714771448E-3</v>
      </c>
      <c r="BJ148" s="23">
        <v>1817.5922762430534</v>
      </c>
      <c r="BK148" s="23">
        <v>908.79613812152672</v>
      </c>
      <c r="BL148" s="92">
        <v>2.25</v>
      </c>
      <c r="BM148" s="91">
        <v>2</v>
      </c>
      <c r="BN148" s="5">
        <f t="shared" si="87"/>
        <v>19.473749999999999</v>
      </c>
      <c r="BO148" s="54">
        <f>_xll.Bimoment(BH148,AY148,AC148,AD148,$O$101)</f>
        <v>8.1327802758780527E-5</v>
      </c>
      <c r="BP148" s="5">
        <f t="shared" si="88"/>
        <v>0.31313609467455605</v>
      </c>
      <c r="BQ148" s="5">
        <f t="shared" si="89"/>
        <v>18.970236045574318</v>
      </c>
      <c r="BR148" s="24" t="str">
        <f t="shared" si="90"/>
        <v>Cal</v>
      </c>
      <c r="BS148" s="25">
        <f t="shared" si="91"/>
        <v>5.930472808101981E-2</v>
      </c>
      <c r="BT148" s="25" t="str">
        <f t="shared" si="92"/>
        <v>CT.105</v>
      </c>
      <c r="BU148" s="25">
        <f t="shared" si="93"/>
        <v>1</v>
      </c>
      <c r="BV148" s="25" cm="1">
        <f t="array" ref="BV148">IF(BT148="CT.104",_xll.TCVN5575AnnexEHeSoCx(1,BP148),1)</f>
        <v>1</v>
      </c>
      <c r="BW148" s="25">
        <f t="shared" si="94"/>
        <v>1</v>
      </c>
      <c r="BX148" s="25">
        <f t="shared" si="95"/>
        <v>6.2426029558968227E-2</v>
      </c>
      <c r="BY148" s="25">
        <f t="shared" si="96"/>
        <v>0.97658744388220087</v>
      </c>
      <c r="BZ148" s="25">
        <f t="shared" si="97"/>
        <v>1.0169254728622036E-4</v>
      </c>
      <c r="CA148" s="25">
        <f t="shared" si="98"/>
        <v>1.3159773737703794E-6</v>
      </c>
      <c r="CB148" s="25">
        <f t="shared" si="99"/>
        <v>1.0391164819658292</v>
      </c>
      <c r="CC148" s="5" t="str">
        <f t="shared" si="100"/>
        <v>Check</v>
      </c>
      <c r="CD148" s="5">
        <f t="shared" si="101"/>
        <v>37.545238889226049</v>
      </c>
      <c r="CE148" s="5">
        <f t="shared" si="102"/>
        <v>37.181722419139881</v>
      </c>
      <c r="CF148" s="5">
        <f t="shared" si="103"/>
        <v>1.2506397644909562</v>
      </c>
      <c r="CG148" s="5">
        <f t="shared" si="104"/>
        <v>1.2385309547993069</v>
      </c>
      <c r="CH148" s="5">
        <f t="shared" si="105"/>
        <v>15.643914097719557</v>
      </c>
      <c r="CI148" s="68">
        <f>_xll.DCETCVN5575PhuLucD2Eta(BP148,CH148,CF148)</f>
        <v>1.2126272189349112</v>
      </c>
      <c r="CJ148" s="5">
        <f t="shared" si="106"/>
        <v>18.970236045574318</v>
      </c>
      <c r="CK148" s="5">
        <f>MIN(noisuy2chieu(CJ148,CF148,Data!$DA$2:$EB$24),1)</f>
        <v>7.6113946735858917E-2</v>
      </c>
      <c r="CL148" s="102">
        <f t="shared" si="107"/>
        <v>0.82016545240529459</v>
      </c>
      <c r="CM148" s="5" t="str">
        <f t="shared" si="108"/>
        <v>OK</v>
      </c>
      <c r="CN148" s="5">
        <f t="shared" si="109"/>
        <v>0.86643683692746631</v>
      </c>
      <c r="CO148" s="5">
        <f t="shared" si="110"/>
        <v>0.5370345235716667</v>
      </c>
      <c r="CP148" s="25">
        <f>_xll.DCETCVNPhuLucFHeSoOnDinh(1, 0.2, AG148, AH148, AI148, AJ148, AI148, AJ148, $D$28)</f>
        <v>1</v>
      </c>
      <c r="CQ148" s="68">
        <f t="shared" si="111"/>
        <v>0.9</v>
      </c>
      <c r="CR148" s="68">
        <f t="shared" si="112"/>
        <v>1</v>
      </c>
      <c r="CS148" s="5">
        <f t="shared" si="113"/>
        <v>0.18181818181818182</v>
      </c>
      <c r="CT148" s="5">
        <f t="shared" si="114"/>
        <v>0.10347287704587492</v>
      </c>
      <c r="CU148" s="26">
        <f t="shared" si="115"/>
        <v>7.8219570488597787</v>
      </c>
      <c r="CV148" s="5"/>
      <c r="CW148" s="25"/>
      <c r="CX148" s="72">
        <f>MAX(_xll.Dce_c_925(CU148, CQ148, CR148, CN148, CP148, CS148, CT148),0.3)</f>
        <v>0.3</v>
      </c>
      <c r="CY148" s="102">
        <f t="shared" si="116"/>
        <v>0.24016380228531389</v>
      </c>
      <c r="CZ148" s="5" t="str">
        <f t="shared" si="117"/>
        <v>OK</v>
      </c>
      <c r="DA148" s="47">
        <f t="shared" si="118"/>
        <v>0.34499859601035404</v>
      </c>
      <c r="DB148" s="46">
        <f t="shared" si="119"/>
        <v>0.48385309547993066</v>
      </c>
      <c r="DC148" s="5" t="str">
        <f t="shared" si="120"/>
        <v>OK</v>
      </c>
      <c r="DD148" s="5">
        <f t="shared" si="121"/>
        <v>1.2506397644909562</v>
      </c>
      <c r="DE148" s="5">
        <f t="shared" si="122"/>
        <v>4.4677979100191463</v>
      </c>
      <c r="DF148" s="5" t="str">
        <f t="shared" si="123"/>
        <v>-</v>
      </c>
      <c r="DG148" s="5" t="str">
        <f t="shared" si="124"/>
        <v>-</v>
      </c>
      <c r="DH148" s="203">
        <f t="shared" si="125"/>
        <v>37.545238889226049</v>
      </c>
      <c r="DI148" s="203">
        <f t="shared" si="126"/>
        <v>160.79007285568233</v>
      </c>
      <c r="DJ148" s="46">
        <f t="shared" si="127"/>
        <v>0.23350470723976166</v>
      </c>
      <c r="DK148" s="5" t="str">
        <f t="shared" si="128"/>
        <v>OK</v>
      </c>
      <c r="EB148" s="18"/>
      <c r="EC148" s="77"/>
      <c r="ED148" s="77"/>
      <c r="EE148" s="18"/>
      <c r="EF148" s="18"/>
      <c r="EG148" s="18"/>
      <c r="EH148" s="5"/>
      <c r="EI148" s="5"/>
      <c r="EJ148" s="5"/>
      <c r="EK148" s="5"/>
      <c r="EL148" s="5"/>
      <c r="FE148" s="26"/>
      <c r="FF148" s="26"/>
      <c r="FG148" s="26"/>
      <c r="FH148" s="26"/>
      <c r="FI148" s="26"/>
      <c r="FJ148" s="26"/>
      <c r="FK148" s="26"/>
      <c r="FL148" s="26"/>
      <c r="FM148" s="26"/>
      <c r="FN148" s="205"/>
      <c r="FO148" s="205"/>
      <c r="FP148" s="205"/>
      <c r="FQ148" s="205"/>
      <c r="FR148" s="205"/>
      <c r="FS148" s="205"/>
      <c r="FT148" s="205"/>
      <c r="FU148" s="77"/>
      <c r="FV148" s="77"/>
      <c r="FW148" s="77"/>
      <c r="FX148" s="205"/>
      <c r="FY148" s="205"/>
      <c r="FZ148" s="205"/>
      <c r="GA148" s="205"/>
      <c r="GB148" s="205"/>
      <c r="GC148" s="205"/>
      <c r="GD148" s="205"/>
      <c r="GE148" s="205"/>
      <c r="GF148" s="205"/>
      <c r="GG148" s="205"/>
      <c r="GH148" s="205"/>
      <c r="GI148" s="205"/>
      <c r="GJ148" s="205"/>
      <c r="GK148" s="205"/>
      <c r="GL148" s="205"/>
      <c r="GM148" s="205"/>
      <c r="GN148" s="205"/>
      <c r="GO148" s="205"/>
      <c r="GP148" s="205"/>
      <c r="GQ148" s="205"/>
      <c r="GR148" s="205"/>
      <c r="GS148" s="205"/>
      <c r="GT148" s="205"/>
      <c r="GU148" s="205"/>
      <c r="GV148" s="18"/>
      <c r="GW148" s="5"/>
      <c r="GX148" s="5"/>
      <c r="GY148" s="77"/>
      <c r="GZ148" s="18"/>
      <c r="HA148" s="18"/>
      <c r="HB148" s="18"/>
      <c r="HC148" s="18"/>
      <c r="HD148" s="18"/>
      <c r="HE148" s="18"/>
      <c r="HF148" s="18"/>
      <c r="HG148" s="18"/>
      <c r="HH148" s="205"/>
      <c r="HI148" s="26"/>
      <c r="HJ148" s="26"/>
      <c r="HK148" s="5"/>
    </row>
    <row r="149" spans="27:219">
      <c r="AA149" s="18" t="s">
        <v>488</v>
      </c>
      <c r="AB149" s="22" t="s">
        <v>490</v>
      </c>
      <c r="AC149" s="59">
        <v>0</v>
      </c>
      <c r="AD149" s="59">
        <v>8.6549999999999994</v>
      </c>
      <c r="AE149" s="22">
        <v>528</v>
      </c>
      <c r="AF149" s="22">
        <v>1528</v>
      </c>
      <c r="AG149" s="22">
        <v>528</v>
      </c>
      <c r="AH149" s="6">
        <v>10</v>
      </c>
      <c r="AI149" s="6">
        <v>300</v>
      </c>
      <c r="AJ149" s="6">
        <v>14</v>
      </c>
      <c r="AK149" s="24">
        <v>300</v>
      </c>
      <c r="AL149" s="24">
        <v>14</v>
      </c>
      <c r="AM149" s="5">
        <f t="shared" si="73"/>
        <v>500</v>
      </c>
      <c r="AN149" s="26">
        <f t="shared" si="74"/>
        <v>134</v>
      </c>
      <c r="AO149" s="26">
        <f t="shared" si="75"/>
        <v>65911.546666666676</v>
      </c>
      <c r="AP149" s="15">
        <f t="shared" si="76"/>
        <v>6304.166666666667</v>
      </c>
      <c r="AQ149" s="5">
        <f t="shared" si="77"/>
        <v>2496.6494949494954</v>
      </c>
      <c r="AR149" s="26">
        <f t="shared" si="78"/>
        <v>420.27777777777777</v>
      </c>
      <c r="AS149" s="26">
        <f t="shared" si="79"/>
        <v>1391.9</v>
      </c>
      <c r="AT149" s="26">
        <f t="shared" si="80"/>
        <v>22.178305028345793</v>
      </c>
      <c r="AU149" s="26">
        <f t="shared" si="81"/>
        <v>6.8590101254115021</v>
      </c>
      <c r="AV149" s="95">
        <f t="shared" si="82"/>
        <v>7.201333333333334E-7</v>
      </c>
      <c r="AW149" s="95">
        <f t="shared" si="83"/>
        <v>4161087</v>
      </c>
      <c r="AX149" s="95">
        <f t="shared" si="84"/>
        <v>4.1610870000000001E-6</v>
      </c>
      <c r="AY149" s="54">
        <f t="shared" si="85"/>
        <v>0.25762202780669918</v>
      </c>
      <c r="AZ149" s="54" t="str">
        <f>_xll.Dce_Name_SectI(AE149,AF149,AI149,AH149,AJ149,"x","-",$O$11)</f>
        <v>(528-1528)x300x10x14</v>
      </c>
      <c r="BA149" s="15">
        <f t="shared" si="86"/>
        <v>385.5</v>
      </c>
      <c r="BB149" s="54"/>
      <c r="BC149" s="54"/>
      <c r="BD149" s="22" t="s">
        <v>510</v>
      </c>
      <c r="BE149" s="23">
        <v>-90.976459393815873</v>
      </c>
      <c r="BF149" s="23">
        <v>-96.693101653328284</v>
      </c>
      <c r="BG149" s="23">
        <v>-7.0606779779083437E-4</v>
      </c>
      <c r="BH149" s="23">
        <v>9.8617246347135407E-6</v>
      </c>
      <c r="BI149" s="23">
        <v>6.7720551116146082E-7</v>
      </c>
      <c r="BJ149" s="23">
        <v>-1.1779374332985286</v>
      </c>
      <c r="BK149" s="23">
        <v>304.59078711516293</v>
      </c>
      <c r="BL149" s="92">
        <v>2.25</v>
      </c>
      <c r="BM149" s="91">
        <v>2</v>
      </c>
      <c r="BN149" s="5">
        <f t="shared" si="87"/>
        <v>19.473749999999999</v>
      </c>
      <c r="BO149" s="54">
        <f>_xll.Bimoment(BH149,AY149,AC149,AD149,$O$101)</f>
        <v>0</v>
      </c>
      <c r="BP149" s="5">
        <f t="shared" si="88"/>
        <v>0.84</v>
      </c>
      <c r="BQ149" s="5">
        <f t="shared" si="89"/>
        <v>0.10541076271770559</v>
      </c>
      <c r="BR149" s="24" t="str">
        <f t="shared" si="90"/>
        <v>Cal</v>
      </c>
      <c r="BS149" s="25">
        <f t="shared" si="91"/>
        <v>2.9703135063279436E-2</v>
      </c>
      <c r="BT149" s="25" t="str">
        <f t="shared" si="92"/>
        <v>CT.105</v>
      </c>
      <c r="BU149" s="25">
        <f t="shared" si="93"/>
        <v>1</v>
      </c>
      <c r="BV149" s="25" cm="1">
        <f t="array" ref="BV149">IF(BT149="CT.104",_xll.TCVN5575AnnexEHeSoCx(1,BP149),1)</f>
        <v>1</v>
      </c>
      <c r="BW149" s="25">
        <f t="shared" si="94"/>
        <v>1</v>
      </c>
      <c r="BX149" s="25">
        <f t="shared" si="95"/>
        <v>3.1266457961346777E-2</v>
      </c>
      <c r="BY149" s="25">
        <f t="shared" si="96"/>
        <v>2.1727967321197961E-3</v>
      </c>
      <c r="BZ149" s="25">
        <f t="shared" si="97"/>
        <v>7.4205912274623503E-9</v>
      </c>
      <c r="CA149" s="25">
        <f t="shared" si="98"/>
        <v>0</v>
      </c>
      <c r="CB149" s="25">
        <f t="shared" si="99"/>
        <v>3.3439262114057795E-2</v>
      </c>
      <c r="CC149" s="5" t="str">
        <f t="shared" si="100"/>
        <v>OK</v>
      </c>
      <c r="CD149" s="5">
        <f t="shared" si="101"/>
        <v>87.805402509844015</v>
      </c>
      <c r="CE149" s="5">
        <f t="shared" si="102"/>
        <v>29.158726455153193</v>
      </c>
      <c r="CF149" s="5">
        <f t="shared" si="103"/>
        <v>2.9248163326364334</v>
      </c>
      <c r="CG149" s="5">
        <f t="shared" si="104"/>
        <v>0.97128328026682387</v>
      </c>
      <c r="CH149" s="5">
        <f t="shared" si="105"/>
        <v>6.9492896662804615E-2</v>
      </c>
      <c r="CI149" s="68">
        <f>_xll.DCETCVN5575PhuLucD2Eta(BP149,CH149,CF149)</f>
        <v>1.5168566541294524</v>
      </c>
      <c r="CJ149" s="5">
        <f t="shared" si="106"/>
        <v>0.10541076271770559</v>
      </c>
      <c r="CK149" s="5">
        <f>MIN(noisuy2chieu(CJ149,CF149,Data!$DA$2:$EB$24),1)</f>
        <v>0.67575252056121826</v>
      </c>
      <c r="CL149" s="102">
        <f t="shared" si="107"/>
        <v>4.626909557862946E-2</v>
      </c>
      <c r="CM149" s="5" t="str">
        <f t="shared" si="108"/>
        <v>OK</v>
      </c>
      <c r="CN149" s="5">
        <f t="shared" si="109"/>
        <v>0.90492218941026858</v>
      </c>
      <c r="CO149" s="5">
        <f t="shared" si="110"/>
        <v>0.5370345235716667</v>
      </c>
      <c r="CP149" s="25">
        <f>_xll.DCETCVNPhuLucFHeSoOnDinh(1, 0.2, AG149, AH149, AI149, AJ149, AI149, AJ149, $D$28)</f>
        <v>1</v>
      </c>
      <c r="CQ149" s="68">
        <f t="shared" si="111"/>
        <v>0.9</v>
      </c>
      <c r="CR149" s="68">
        <f t="shared" si="112"/>
        <v>1</v>
      </c>
      <c r="CS149" s="5">
        <f t="shared" si="113"/>
        <v>0.18181818181818182</v>
      </c>
      <c r="CT149" s="5">
        <f t="shared" si="114"/>
        <v>9.9510191986788829E-2</v>
      </c>
      <c r="CU149" s="26">
        <f t="shared" si="115"/>
        <v>17.969457031485593</v>
      </c>
      <c r="CV149" s="5"/>
      <c r="CW149" s="25"/>
      <c r="CX149" s="72">
        <f>MAX(_xll.Dce_c_925(CU149, CQ149, CR149, CN149, CP149, CS149, CT149),0.3)</f>
        <v>0.3</v>
      </c>
      <c r="CY149" s="102">
        <f t="shared" si="116"/>
        <v>0.11517181008208344</v>
      </c>
      <c r="CZ149" s="5" t="str">
        <f t="shared" si="117"/>
        <v>OK</v>
      </c>
      <c r="DA149" s="47">
        <f t="shared" si="118"/>
        <v>0.34499859601035404</v>
      </c>
      <c r="DB149" s="46">
        <f t="shared" si="119"/>
        <v>0.45712832802668235</v>
      </c>
      <c r="DC149" s="5" t="str">
        <f t="shared" si="120"/>
        <v>OK</v>
      </c>
      <c r="DD149" s="5">
        <f t="shared" si="121"/>
        <v>2.9248163326364334</v>
      </c>
      <c r="DE149" s="5">
        <f t="shared" si="122"/>
        <v>1.6655104634982609</v>
      </c>
      <c r="DF149" s="5" t="str">
        <f t="shared" si="123"/>
        <v>-</v>
      </c>
      <c r="DG149" s="5" t="str">
        <f t="shared" si="124"/>
        <v>-</v>
      </c>
      <c r="DH149" s="203" t="str">
        <f t="shared" si="125"/>
        <v>-</v>
      </c>
      <c r="DI149" s="203">
        <f t="shared" si="126"/>
        <v>180</v>
      </c>
      <c r="DJ149" s="46">
        <f t="shared" si="127"/>
        <v>0</v>
      </c>
      <c r="DK149" s="5" t="str">
        <f t="shared" si="128"/>
        <v>OK</v>
      </c>
      <c r="EB149" s="18"/>
      <c r="EC149" s="77"/>
      <c r="ED149" s="77"/>
      <c r="EE149" s="18"/>
      <c r="EF149" s="18"/>
      <c r="EG149" s="18"/>
      <c r="EH149" s="5"/>
      <c r="EI149" s="5"/>
      <c r="EJ149" s="5"/>
      <c r="EK149" s="5"/>
      <c r="EL149" s="5"/>
      <c r="FE149" s="26"/>
      <c r="FF149" s="26"/>
      <c r="FG149" s="26"/>
      <c r="FH149" s="26"/>
      <c r="FI149" s="26"/>
      <c r="FJ149" s="26"/>
      <c r="FK149" s="26"/>
      <c r="FL149" s="26"/>
      <c r="FM149" s="26"/>
      <c r="FN149" s="205"/>
      <c r="FO149" s="205"/>
      <c r="FP149" s="205"/>
      <c r="FQ149" s="205"/>
      <c r="FR149" s="205"/>
      <c r="FS149" s="205"/>
      <c r="FT149" s="205"/>
      <c r="FU149" s="77"/>
      <c r="FV149" s="77"/>
      <c r="FW149" s="77"/>
      <c r="FX149" s="205"/>
      <c r="FY149" s="205"/>
      <c r="FZ149" s="205"/>
      <c r="GA149" s="205"/>
      <c r="GB149" s="205"/>
      <c r="GC149" s="205"/>
      <c r="GD149" s="205"/>
      <c r="GE149" s="205"/>
      <c r="GF149" s="205"/>
      <c r="GG149" s="205"/>
      <c r="GH149" s="205"/>
      <c r="GI149" s="205"/>
      <c r="GJ149" s="205"/>
      <c r="GK149" s="205"/>
      <c r="GL149" s="205"/>
      <c r="GM149" s="205"/>
      <c r="GN149" s="205"/>
      <c r="GO149" s="205"/>
      <c r="GP149" s="205"/>
      <c r="GQ149" s="205"/>
      <c r="GR149" s="205"/>
      <c r="GS149" s="205"/>
      <c r="GT149" s="205"/>
      <c r="GU149" s="205"/>
      <c r="GV149" s="18"/>
      <c r="GW149" s="5"/>
      <c r="GX149" s="5"/>
      <c r="GY149" s="77"/>
      <c r="GZ149" s="18"/>
      <c r="HA149" s="18"/>
      <c r="HB149" s="18"/>
      <c r="HC149" s="18"/>
      <c r="HD149" s="18"/>
      <c r="HE149" s="18"/>
      <c r="HF149" s="18"/>
      <c r="HG149" s="18"/>
      <c r="HH149" s="205"/>
      <c r="HI149" s="26"/>
      <c r="HJ149" s="26"/>
      <c r="HK149" s="5"/>
    </row>
    <row r="150" spans="27:219">
      <c r="AA150" s="18" t="s">
        <v>488</v>
      </c>
      <c r="AB150" s="22" t="s">
        <v>490</v>
      </c>
      <c r="AC150" s="59">
        <v>3.6405952380952398</v>
      </c>
      <c r="AD150" s="59">
        <v>8.6549999999999994</v>
      </c>
      <c r="AE150" s="22">
        <v>528</v>
      </c>
      <c r="AF150" s="22">
        <v>1528</v>
      </c>
      <c r="AG150" s="22">
        <v>948.63492063492095</v>
      </c>
      <c r="AH150" s="6">
        <v>10</v>
      </c>
      <c r="AI150" s="6">
        <v>300</v>
      </c>
      <c r="AJ150" s="6">
        <v>14</v>
      </c>
      <c r="AK150" s="24">
        <v>300</v>
      </c>
      <c r="AL150" s="24">
        <v>14</v>
      </c>
      <c r="AM150" s="5">
        <f t="shared" si="73"/>
        <v>920.63492063492095</v>
      </c>
      <c r="AN150" s="26">
        <f t="shared" si="74"/>
        <v>176.06349206349208</v>
      </c>
      <c r="AO150" s="26">
        <f t="shared" si="75"/>
        <v>248482.7399356656</v>
      </c>
      <c r="AP150" s="15">
        <f t="shared" si="76"/>
        <v>6307.6719576719579</v>
      </c>
      <c r="AQ150" s="5">
        <f t="shared" si="77"/>
        <v>5238.7432621467533</v>
      </c>
      <c r="AR150" s="26">
        <f t="shared" si="78"/>
        <v>420.51146384479722</v>
      </c>
      <c r="AS150" s="26">
        <f t="shared" si="79"/>
        <v>3022.1941546989178</v>
      </c>
      <c r="AT150" s="26">
        <f t="shared" si="80"/>
        <v>37.567600585756203</v>
      </c>
      <c r="AU150" s="26">
        <f t="shared" si="81"/>
        <v>5.9854925384629922</v>
      </c>
      <c r="AV150" s="95">
        <f t="shared" si="82"/>
        <v>8.6034497354497351E-7</v>
      </c>
      <c r="AW150" s="95">
        <f t="shared" si="83"/>
        <v>13758293.349206358</v>
      </c>
      <c r="AX150" s="95">
        <f t="shared" si="84"/>
        <v>1.3758293349206359E-5</v>
      </c>
      <c r="AY150" s="54">
        <f t="shared" si="85"/>
        <v>0.1548581140202015</v>
      </c>
      <c r="AZ150" s="54" t="str">
        <f>_xll.Dce_Name_SectI(AE150,AF150,AI150,AH150,AJ150,"x","-",$O$11)</f>
        <v>(528-1528)x300x10x14</v>
      </c>
      <c r="BA150" s="15">
        <f t="shared" si="86"/>
        <v>700.97619047619071</v>
      </c>
      <c r="BB150" s="54"/>
      <c r="BC150" s="54"/>
      <c r="BD150" s="22" t="s">
        <v>510</v>
      </c>
      <c r="BE150" s="23">
        <v>-85.153318707250094</v>
      </c>
      <c r="BF150" s="23">
        <v>-83.612292590610878</v>
      </c>
      <c r="BG150" s="23">
        <v>-7.0606779779003163E-4</v>
      </c>
      <c r="BH150" s="23">
        <v>9.8617246347135407E-6</v>
      </c>
      <c r="BI150" s="23">
        <v>2.5772378571033046E-3</v>
      </c>
      <c r="BJ150" s="23">
        <v>327.77229261571756</v>
      </c>
      <c r="BK150" s="23">
        <v>304.59078711516293</v>
      </c>
      <c r="BL150" s="92">
        <v>2.25</v>
      </c>
      <c r="BM150" s="91">
        <v>2</v>
      </c>
      <c r="BN150" s="5">
        <f t="shared" si="87"/>
        <v>19.473749999999999</v>
      </c>
      <c r="BO150" s="54">
        <f>_xll.Bimoment(BH150,AY150,AC150,AD150,$O$101)</f>
        <v>-7.5843237157706503E-5</v>
      </c>
      <c r="BP150" s="5">
        <f t="shared" si="88"/>
        <v>0.45620689655172403</v>
      </c>
      <c r="BQ150" s="5">
        <f t="shared" si="89"/>
        <v>16.057173563431277</v>
      </c>
      <c r="BR150" s="24" t="str">
        <f t="shared" si="90"/>
        <v>Cal</v>
      </c>
      <c r="BS150" s="25">
        <f t="shared" si="91"/>
        <v>2.1159739874401194E-2</v>
      </c>
      <c r="BT150" s="25" t="str">
        <f t="shared" si="92"/>
        <v>CT.105</v>
      </c>
      <c r="BU150" s="25">
        <f t="shared" si="93"/>
        <v>1</v>
      </c>
      <c r="BV150" s="25" cm="1">
        <f t="array" ref="BV150">IF(BT150="CT.104",_xll.TCVN5575AnnexEHeSoCx(1,BP150),1)</f>
        <v>1</v>
      </c>
      <c r="BW150" s="25">
        <f t="shared" si="94"/>
        <v>1</v>
      </c>
      <c r="BX150" s="25">
        <f t="shared" si="95"/>
        <v>2.2273410394106522E-2</v>
      </c>
      <c r="BY150" s="25">
        <f t="shared" si="96"/>
        <v>0.28813736192586342</v>
      </c>
      <c r="BZ150" s="25">
        <f t="shared" si="97"/>
        <v>2.8224815665976706E-5</v>
      </c>
      <c r="CA150" s="25">
        <f t="shared" si="98"/>
        <v>1.7795492639067568E-6</v>
      </c>
      <c r="CB150" s="25">
        <f t="shared" si="99"/>
        <v>0.31044077668489983</v>
      </c>
      <c r="CC150" s="5" t="str">
        <f t="shared" si="100"/>
        <v>OK</v>
      </c>
      <c r="CD150" s="5">
        <f t="shared" si="101"/>
        <v>51.836555160202302</v>
      </c>
      <c r="CE150" s="5">
        <f t="shared" si="102"/>
        <v>33.414125690541383</v>
      </c>
      <c r="CF150" s="5">
        <f t="shared" si="103"/>
        <v>1.7266865002204341</v>
      </c>
      <c r="CG150" s="5">
        <f t="shared" si="104"/>
        <v>1.1130315193248546</v>
      </c>
      <c r="CH150" s="5">
        <f t="shared" si="105"/>
        <v>12.936382746402575</v>
      </c>
      <c r="CI150" s="68">
        <f>_xll.DCETCVN5575PhuLucD2Eta(BP150,CH150,CF150)</f>
        <v>1.2412413793103447</v>
      </c>
      <c r="CJ150" s="5">
        <f t="shared" si="106"/>
        <v>16.057173563431277</v>
      </c>
      <c r="CK150" s="5">
        <f>MIN(noisuy2chieu(CJ150,CF150,Data!$DA$2:$EB$24),1)</f>
        <v>8.569759875535965E-2</v>
      </c>
      <c r="CL150" s="102">
        <f t="shared" si="107"/>
        <v>0.2599070536117386</v>
      </c>
      <c r="CM150" s="5" t="str">
        <f t="shared" si="108"/>
        <v>OK</v>
      </c>
      <c r="CN150" s="5">
        <f t="shared" si="109"/>
        <v>0.88472625978979058</v>
      </c>
      <c r="CO150" s="5">
        <f t="shared" si="110"/>
        <v>0.5370345235716667</v>
      </c>
      <c r="CP150" s="25">
        <f>_xll.DCETCVNPhuLucFHeSoOnDinh(1, 0.2, AG150, AH150, AI150, AJ150, AI150, AJ150, $D$28)</f>
        <v>1</v>
      </c>
      <c r="CQ150" s="68">
        <f t="shared" si="111"/>
        <v>0.9</v>
      </c>
      <c r="CR150" s="68">
        <f t="shared" si="112"/>
        <v>1</v>
      </c>
      <c r="CS150" s="5">
        <f t="shared" si="113"/>
        <v>0.18181818181818182</v>
      </c>
      <c r="CT150" s="5">
        <f t="shared" si="114"/>
        <v>0.10155106457844131</v>
      </c>
      <c r="CU150" s="26">
        <f t="shared" si="115"/>
        <v>12.021464571349265</v>
      </c>
      <c r="CV150" s="5"/>
      <c r="CW150" s="25"/>
      <c r="CX150" s="72">
        <f>MAX(_xll.Dce_c_925(CU150, CQ150, CR150, CN150, CP150, CS150, CT150),0.3)</f>
        <v>0.3</v>
      </c>
      <c r="CY150" s="102">
        <f t="shared" si="116"/>
        <v>8.3918274711693108E-2</v>
      </c>
      <c r="CZ150" s="5" t="str">
        <f t="shared" si="117"/>
        <v>OK</v>
      </c>
      <c r="DA150" s="47">
        <f t="shared" si="118"/>
        <v>0.34499859601035404</v>
      </c>
      <c r="DB150" s="46">
        <f t="shared" si="119"/>
        <v>0.47130315193248545</v>
      </c>
      <c r="DC150" s="5" t="str">
        <f t="shared" si="120"/>
        <v>OK</v>
      </c>
      <c r="DD150" s="5">
        <f t="shared" si="121"/>
        <v>1.7266865002204341</v>
      </c>
      <c r="DE150" s="5">
        <f t="shared" si="122"/>
        <v>3.0666541867587034</v>
      </c>
      <c r="DF150" s="5" t="str">
        <f t="shared" si="123"/>
        <v>-</v>
      </c>
      <c r="DG150" s="5" t="str">
        <f t="shared" si="124"/>
        <v>-</v>
      </c>
      <c r="DH150" s="203">
        <f t="shared" si="125"/>
        <v>51.836555160202302</v>
      </c>
      <c r="DI150" s="203">
        <f t="shared" si="126"/>
        <v>180</v>
      </c>
      <c r="DJ150" s="46">
        <f t="shared" si="127"/>
        <v>0.28798086200112388</v>
      </c>
      <c r="DK150" s="5" t="str">
        <f t="shared" si="128"/>
        <v>OK</v>
      </c>
      <c r="EB150" s="18"/>
      <c r="EC150" s="77"/>
      <c r="ED150" s="77"/>
      <c r="EE150" s="18"/>
      <c r="EF150" s="18"/>
      <c r="EG150" s="18"/>
      <c r="EH150" s="5"/>
      <c r="EI150" s="5"/>
      <c r="EJ150" s="5"/>
      <c r="EK150" s="5"/>
      <c r="EL150" s="5"/>
      <c r="FE150" s="26"/>
      <c r="FF150" s="26"/>
      <c r="FG150" s="26"/>
      <c r="FH150" s="26"/>
      <c r="FI150" s="26"/>
      <c r="FJ150" s="26"/>
      <c r="FK150" s="26"/>
      <c r="FL150" s="26"/>
      <c r="FM150" s="26"/>
      <c r="FN150" s="205"/>
      <c r="FO150" s="205"/>
      <c r="FP150" s="205"/>
      <c r="FQ150" s="205"/>
      <c r="FR150" s="205"/>
      <c r="FS150" s="205"/>
      <c r="FT150" s="205"/>
      <c r="FU150" s="77"/>
      <c r="FV150" s="77"/>
      <c r="FW150" s="77"/>
      <c r="FX150" s="205"/>
      <c r="FY150" s="205"/>
      <c r="FZ150" s="205"/>
      <c r="GA150" s="205"/>
      <c r="GB150" s="205"/>
      <c r="GC150" s="205"/>
      <c r="GD150" s="205"/>
      <c r="GE150" s="205"/>
      <c r="GF150" s="205"/>
      <c r="GG150" s="205"/>
      <c r="GH150" s="205"/>
      <c r="GI150" s="205"/>
      <c r="GJ150" s="205"/>
      <c r="GK150" s="205"/>
      <c r="GL150" s="205"/>
      <c r="GM150" s="205"/>
      <c r="GN150" s="205"/>
      <c r="GO150" s="205"/>
      <c r="GP150" s="205"/>
      <c r="GQ150" s="205"/>
      <c r="GR150" s="205"/>
      <c r="GS150" s="205"/>
      <c r="GT150" s="205"/>
      <c r="GU150" s="205"/>
      <c r="GV150" s="18"/>
      <c r="GW150" s="5"/>
      <c r="GX150" s="5"/>
      <c r="GY150" s="77"/>
      <c r="GZ150" s="18"/>
      <c r="HA150" s="18"/>
      <c r="HB150" s="18"/>
      <c r="HC150" s="18"/>
      <c r="HD150" s="18"/>
      <c r="HE150" s="18"/>
      <c r="HF150" s="18"/>
      <c r="HG150" s="18"/>
      <c r="HH150" s="205"/>
      <c r="HI150" s="26"/>
      <c r="HJ150" s="26"/>
      <c r="HK150" s="5"/>
    </row>
    <row r="151" spans="27:219">
      <c r="AA151" s="18" t="s">
        <v>488</v>
      </c>
      <c r="AB151" s="22" t="s">
        <v>490</v>
      </c>
      <c r="AC151" s="59">
        <v>7.2811904761904795</v>
      </c>
      <c r="AD151" s="59">
        <v>8.6549999999999994</v>
      </c>
      <c r="AE151" s="22">
        <v>528</v>
      </c>
      <c r="AF151" s="22">
        <v>1528</v>
      </c>
      <c r="AG151" s="22">
        <v>1369.2698412698419</v>
      </c>
      <c r="AH151" s="6">
        <v>10</v>
      </c>
      <c r="AI151" s="6">
        <v>300</v>
      </c>
      <c r="AJ151" s="6">
        <v>14</v>
      </c>
      <c r="AK151" s="24">
        <v>300</v>
      </c>
      <c r="AL151" s="24">
        <v>14</v>
      </c>
      <c r="AM151" s="5">
        <f t="shared" si="73"/>
        <v>1341.2698412698419</v>
      </c>
      <c r="AN151" s="26">
        <f t="shared" si="74"/>
        <v>218.12698412698418</v>
      </c>
      <c r="AO151" s="26">
        <f t="shared" si="75"/>
        <v>586811.79072745051</v>
      </c>
      <c r="AP151" s="15">
        <f t="shared" si="76"/>
        <v>6311.1772486772488</v>
      </c>
      <c r="AQ151" s="5">
        <f t="shared" si="77"/>
        <v>8571.1635945074104</v>
      </c>
      <c r="AR151" s="26">
        <f t="shared" si="78"/>
        <v>420.74514991181661</v>
      </c>
      <c r="AS151" s="26">
        <f t="shared" si="79"/>
        <v>5094.8226505417015</v>
      </c>
      <c r="AT151" s="26">
        <f t="shared" si="80"/>
        <v>51.867428670398397</v>
      </c>
      <c r="AU151" s="26">
        <f t="shared" si="81"/>
        <v>5.3789869588463937</v>
      </c>
      <c r="AV151" s="95">
        <f t="shared" si="82"/>
        <v>1.0005566137566139E-6</v>
      </c>
      <c r="AW151" s="95">
        <f t="shared" si="83"/>
        <v>28928912.396825422</v>
      </c>
      <c r="AX151" s="95">
        <f t="shared" si="84"/>
        <v>2.8928912396825422E-5</v>
      </c>
      <c r="AY151" s="54">
        <f t="shared" si="85"/>
        <v>0.11516876660535029</v>
      </c>
      <c r="AZ151" s="54" t="str">
        <f>_xll.Dce_Name_SectI(AE151,AF151,AI151,AH151,AJ151,"x","-",$O$11)</f>
        <v>(528-1528)x300x10x14</v>
      </c>
      <c r="BA151" s="15">
        <f t="shared" si="86"/>
        <v>1016.4523809523813</v>
      </c>
      <c r="BB151" s="54"/>
      <c r="BC151" s="54"/>
      <c r="BD151" s="22" t="s">
        <v>510</v>
      </c>
      <c r="BE151" s="23">
        <v>-77.788742270191875</v>
      </c>
      <c r="BF151" s="23">
        <v>-70.637334058485436</v>
      </c>
      <c r="BG151" s="23">
        <v>-7.0606779778923561E-4</v>
      </c>
      <c r="BH151" s="23">
        <v>9.8617246347135407E-6</v>
      </c>
      <c r="BI151" s="23">
        <v>5.1537985086925336E-3</v>
      </c>
      <c r="BJ151" s="23">
        <v>609.18157423032585</v>
      </c>
      <c r="BK151" s="23">
        <v>304.59078711516293</v>
      </c>
      <c r="BL151" s="92">
        <v>2.25</v>
      </c>
      <c r="BM151" s="91">
        <v>2</v>
      </c>
      <c r="BN151" s="5">
        <f t="shared" si="87"/>
        <v>19.473749999999999</v>
      </c>
      <c r="BO151" s="54">
        <f>_xll.Bimoment(BH151,AY151,AC151,AD151,$O$101)</f>
        <v>-4.5114139922678392E-5</v>
      </c>
      <c r="BP151" s="5">
        <f t="shared" si="88"/>
        <v>0.31313609467455605</v>
      </c>
      <c r="BQ151" s="5">
        <f t="shared" si="89"/>
        <v>24.167233148594054</v>
      </c>
      <c r="BR151" s="24" t="str">
        <f t="shared" si="90"/>
        <v>Cal</v>
      </c>
      <c r="BS151" s="25">
        <f t="shared" si="91"/>
        <v>1.5602184607933075E-2</v>
      </c>
      <c r="BT151" s="25" t="str">
        <f t="shared" si="92"/>
        <v>CT.105</v>
      </c>
      <c r="BU151" s="25">
        <f t="shared" si="93"/>
        <v>1</v>
      </c>
      <c r="BV151" s="25" cm="1">
        <f t="array" ref="BV151">IF(BT151="CT.104",_xll.TCVN5575AnnexEHeSoCx(1,BP151),1)</f>
        <v>1</v>
      </c>
      <c r="BW151" s="25">
        <f t="shared" si="94"/>
        <v>1</v>
      </c>
      <c r="BX151" s="25">
        <f t="shared" si="95"/>
        <v>1.6423352218876922E-2</v>
      </c>
      <c r="BY151" s="25">
        <f t="shared" si="96"/>
        <v>0.32731162220133403</v>
      </c>
      <c r="BZ151" s="25">
        <f t="shared" si="97"/>
        <v>5.6410866293453574E-5</v>
      </c>
      <c r="CA151" s="25">
        <f t="shared" si="98"/>
        <v>7.2999866418923947E-7</v>
      </c>
      <c r="CB151" s="25">
        <f t="shared" si="99"/>
        <v>0.34379211528516856</v>
      </c>
      <c r="CC151" s="5" t="str">
        <f t="shared" si="100"/>
        <v>OK</v>
      </c>
      <c r="CD151" s="5">
        <f t="shared" si="101"/>
        <v>37.545238889226049</v>
      </c>
      <c r="CE151" s="5">
        <f t="shared" si="102"/>
        <v>37.181722419139881</v>
      </c>
      <c r="CF151" s="5">
        <f t="shared" si="103"/>
        <v>1.2506397644909562</v>
      </c>
      <c r="CG151" s="5">
        <f t="shared" si="104"/>
        <v>1.2385309547993069</v>
      </c>
      <c r="CH151" s="5">
        <f t="shared" si="105"/>
        <v>19.929647604167172</v>
      </c>
      <c r="CI151" s="68">
        <f>_xll.DCETCVN5575PhuLucD2Eta(BP151,CH151,CF151)</f>
        <v>1.2126272189349112</v>
      </c>
      <c r="CJ151" s="5">
        <f t="shared" si="106"/>
        <v>24.167233148594054</v>
      </c>
      <c r="CK151" s="5">
        <f>MIN(noisuy2chieu(CJ151,CF151,Data!$DA$2:$EB$24),1)</f>
        <v>7.1994885802268982E-2</v>
      </c>
      <c r="CL151" s="102">
        <f t="shared" si="107"/>
        <v>0.22811831751470499</v>
      </c>
      <c r="CM151" s="5" t="str">
        <f t="shared" si="108"/>
        <v>OK</v>
      </c>
      <c r="CN151" s="5">
        <f t="shared" si="109"/>
        <v>0.86643683692746631</v>
      </c>
      <c r="CO151" s="5">
        <f t="shared" si="110"/>
        <v>0.5370345235716667</v>
      </c>
      <c r="CP151" s="25">
        <f>_xll.DCETCVNPhuLucFHeSoOnDinh(1, 0.2, AG151, AH151, AI151, AJ151, AI151, AJ151, $D$28)</f>
        <v>1</v>
      </c>
      <c r="CQ151" s="68">
        <f t="shared" si="111"/>
        <v>0.9</v>
      </c>
      <c r="CR151" s="68">
        <f t="shared" si="112"/>
        <v>1</v>
      </c>
      <c r="CS151" s="5">
        <f t="shared" si="113"/>
        <v>0.18181818181818182</v>
      </c>
      <c r="CT151" s="5">
        <f t="shared" si="114"/>
        <v>0.10347287704587492</v>
      </c>
      <c r="CU151" s="26">
        <f t="shared" si="115"/>
        <v>9.9648238020835862</v>
      </c>
      <c r="CV151" s="5"/>
      <c r="CW151" s="25"/>
      <c r="CX151" s="72">
        <f>MAX(_xll.Dce_c_925(CU151, CQ151, CR151, CN151, CP151, CS151, CT151),0.3)</f>
        <v>0.3</v>
      </c>
      <c r="CY151" s="102">
        <f t="shared" si="116"/>
        <v>6.3183494818144892E-2</v>
      </c>
      <c r="CZ151" s="5" t="str">
        <f t="shared" si="117"/>
        <v>OK</v>
      </c>
      <c r="DA151" s="47">
        <f t="shared" si="118"/>
        <v>0.34499859601035404</v>
      </c>
      <c r="DB151" s="46">
        <f t="shared" si="119"/>
        <v>0.48385309547993066</v>
      </c>
      <c r="DC151" s="5" t="str">
        <f t="shared" si="120"/>
        <v>OK</v>
      </c>
      <c r="DD151" s="5">
        <f t="shared" si="121"/>
        <v>1.2506397644909562</v>
      </c>
      <c r="DE151" s="5">
        <f t="shared" si="122"/>
        <v>4.4677979100191463</v>
      </c>
      <c r="DF151" s="5" t="str">
        <f t="shared" si="123"/>
        <v>-</v>
      </c>
      <c r="DG151" s="5" t="str">
        <f t="shared" si="124"/>
        <v>-</v>
      </c>
      <c r="DH151" s="203">
        <f t="shared" si="125"/>
        <v>37.545238889226049</v>
      </c>
      <c r="DI151" s="203">
        <f t="shared" si="126"/>
        <v>180</v>
      </c>
      <c r="DJ151" s="46">
        <f t="shared" si="127"/>
        <v>0.20858466049570026</v>
      </c>
      <c r="DK151" s="5" t="str">
        <f t="shared" si="128"/>
        <v>OK</v>
      </c>
      <c r="EB151" s="18"/>
      <c r="EC151" s="77"/>
      <c r="ED151" s="77"/>
      <c r="EE151" s="18"/>
      <c r="EF151" s="18"/>
      <c r="EG151" s="18"/>
      <c r="EH151" s="5"/>
      <c r="EI151" s="5"/>
      <c r="EJ151" s="5"/>
      <c r="EK151" s="5"/>
      <c r="EL151" s="5"/>
      <c r="FE151" s="26"/>
      <c r="FF151" s="26"/>
      <c r="FG151" s="26"/>
      <c r="FH151" s="26"/>
      <c r="FI151" s="26"/>
      <c r="FJ151" s="26"/>
      <c r="FK151" s="26"/>
      <c r="FL151" s="26"/>
      <c r="FM151" s="26"/>
      <c r="FN151" s="205"/>
      <c r="FO151" s="205"/>
      <c r="FP151" s="205"/>
      <c r="FQ151" s="205"/>
      <c r="FR151" s="205"/>
      <c r="FS151" s="205"/>
      <c r="FT151" s="205"/>
      <c r="FU151" s="77"/>
      <c r="FV151" s="77"/>
      <c r="FW151" s="77"/>
      <c r="FX151" s="205"/>
      <c r="FY151" s="205"/>
      <c r="FZ151" s="205"/>
      <c r="GA151" s="205"/>
      <c r="GB151" s="205"/>
      <c r="GC151" s="205"/>
      <c r="GD151" s="205"/>
      <c r="GE151" s="205"/>
      <c r="GF151" s="205"/>
      <c r="GG151" s="205"/>
      <c r="GH151" s="205"/>
      <c r="GI151" s="205"/>
      <c r="GJ151" s="205"/>
      <c r="GK151" s="205"/>
      <c r="GL151" s="205"/>
      <c r="GM151" s="205"/>
      <c r="GN151" s="205"/>
      <c r="GO151" s="205"/>
      <c r="GP151" s="205"/>
      <c r="GQ151" s="205"/>
      <c r="GR151" s="205"/>
      <c r="GS151" s="205"/>
      <c r="GT151" s="205"/>
      <c r="GU151" s="205"/>
      <c r="GV151" s="18"/>
      <c r="GW151" s="5"/>
      <c r="GX151" s="5"/>
      <c r="GY151" s="77"/>
      <c r="GZ151" s="18"/>
      <c r="HA151" s="18"/>
      <c r="HB151" s="18"/>
      <c r="HC151" s="18"/>
      <c r="HD151" s="18"/>
      <c r="HE151" s="18"/>
      <c r="HF151" s="18"/>
      <c r="HG151" s="18"/>
      <c r="HH151" s="205"/>
      <c r="HI151" s="26"/>
      <c r="HJ151" s="26"/>
      <c r="HK151" s="5"/>
    </row>
    <row r="152" spans="27:219">
      <c r="AA152" s="18" t="s">
        <v>488</v>
      </c>
      <c r="AB152" s="22" t="s">
        <v>490</v>
      </c>
      <c r="AC152" s="59">
        <v>0</v>
      </c>
      <c r="AD152" s="59">
        <v>8.6549999999999994</v>
      </c>
      <c r="AE152" s="22">
        <v>528</v>
      </c>
      <c r="AF152" s="22">
        <v>1528</v>
      </c>
      <c r="AG152" s="22">
        <v>528</v>
      </c>
      <c r="AH152" s="6">
        <v>10</v>
      </c>
      <c r="AI152" s="6">
        <v>300</v>
      </c>
      <c r="AJ152" s="6">
        <v>14</v>
      </c>
      <c r="AK152" s="24">
        <v>300</v>
      </c>
      <c r="AL152" s="24">
        <v>14</v>
      </c>
      <c r="AM152" s="5">
        <f t="shared" ref="AM152:AM215" si="129">AG152-AJ152-AL152</f>
        <v>500</v>
      </c>
      <c r="AN152" s="26">
        <f t="shared" ref="AN152:AN215" si="130">(AM152*AH152+AI152*AJ152+AK152*AL152)/100</f>
        <v>134</v>
      </c>
      <c r="AO152" s="26">
        <f t="shared" ref="AO152:AO215" si="131">(AH152*AM152^3/12+AI152*AJ152^3/12+AI152*AJ152*(AM152/2+AJ152/2)^2+AK152*AL152^3/12+AK152*AL152*(AM152/2+AL152/2)^2)/10000</f>
        <v>65911.546666666676</v>
      </c>
      <c r="AP152" s="15">
        <f t="shared" ref="AP152:AP215" si="132">(AM152*AH152^3/12+AJ152*AI152^3/12+AL152*AK152^3/12)/10000</f>
        <v>6304.166666666667</v>
      </c>
      <c r="AQ152" s="5">
        <f t="shared" ref="AQ152:AQ215" si="133">AO152/(AG152/20)</f>
        <v>2496.6494949494954</v>
      </c>
      <c r="AR152" s="26">
        <f t="shared" ref="AR152:AR215" si="134">AP152/(MAX(AI152,AK152)/20)</f>
        <v>420.27777777777777</v>
      </c>
      <c r="AS152" s="26">
        <f t="shared" ref="AS152:AS215" si="135">(AH152*AM152^2/8+AI152*AJ152*(AM152/2+AJ152/2))/1000</f>
        <v>1391.9</v>
      </c>
      <c r="AT152" s="26">
        <f t="shared" ref="AT152:AT215" si="136">SQRT(AO152/AN152)</f>
        <v>22.178305028345793</v>
      </c>
      <c r="AU152" s="26">
        <f t="shared" ref="AU152:AU215" si="137">SQRT(AP152/AN152)</f>
        <v>6.8590101254115021</v>
      </c>
      <c r="AV152" s="95">
        <f t="shared" ref="AV152:AV215" si="138">((2*AI152*AJ152^3+(AM152+AJ152)*AH152^3)/3)/1000000000000</f>
        <v>7.201333333333334E-7</v>
      </c>
      <c r="AW152" s="95">
        <f t="shared" ref="AW152:AW215" si="139">(AI152^3*(AM152+AJ152)^2*AJ152/24)/1000000</f>
        <v>4161087</v>
      </c>
      <c r="AX152" s="95">
        <f t="shared" ref="AX152:AX215" si="140">AW152/1000000000000</f>
        <v>4.1610870000000001E-6</v>
      </c>
      <c r="AY152" s="54">
        <f t="shared" ref="AY152:AY215" si="141">SQRT(($K$106*AV152)/($B$28*AX152))</f>
        <v>0.25762202780669918</v>
      </c>
      <c r="AZ152" s="54" t="str">
        <f>_xll.Dce_Name_SectI(AE152,AF152,AI152,AH152,AJ152,"x","-",$O$11)</f>
        <v>(528-1528)x300x10x14</v>
      </c>
      <c r="BA152" s="15">
        <f t="shared" ref="BA152:BA215" si="142">AI152*(AM152+AJ152)/400</f>
        <v>385.5</v>
      </c>
      <c r="BB152" s="54"/>
      <c r="BC152" s="54"/>
      <c r="BD152" s="22" t="s">
        <v>493</v>
      </c>
      <c r="BE152" s="23">
        <v>-297.11764480435534</v>
      </c>
      <c r="BF152" s="23">
        <v>-302.39519511955496</v>
      </c>
      <c r="BG152" s="23">
        <v>1.5853176439339983E-3</v>
      </c>
      <c r="BH152" s="23">
        <v>-2.2142301506951613E-5</v>
      </c>
      <c r="BI152" s="23">
        <v>-1.5205138211207837E-6</v>
      </c>
      <c r="BJ152" s="23">
        <v>-3.8598399658755205</v>
      </c>
      <c r="BK152" s="23">
        <v>1093.0614459688322</v>
      </c>
      <c r="BL152" s="92">
        <v>2.25</v>
      </c>
      <c r="BM152" s="91">
        <v>2</v>
      </c>
      <c r="BN152" s="5">
        <f t="shared" ref="BN152:BN215" si="143">BL152*AD152</f>
        <v>19.473749999999999</v>
      </c>
      <c r="BO152" s="54">
        <f>_xll.Bimoment(BH152,AY152,AC152,AD152,$O$101)</f>
        <v>0</v>
      </c>
      <c r="BP152" s="5">
        <f t="shared" ref="BP152:BP215" si="144">(AI152*AJ152)/(AM152*AH152)</f>
        <v>0.84</v>
      </c>
      <c r="BQ152" s="5">
        <f t="shared" ref="BQ152:BQ215" si="145">CJ152</f>
        <v>0.10576205019349719</v>
      </c>
      <c r="BR152" s="24" t="str">
        <f t="shared" ref="BR152:BR215" si="146">IF(AND(BQ152&lt;20,BT152="CT.104"),"OK","Cal")</f>
        <v>Cal</v>
      </c>
      <c r="BS152" s="25">
        <f t="shared" ref="BS152:BS215" si="147">ABS(BE152)/(AN152*$D$28)*10</f>
        <v>9.700669373276527E-2</v>
      </c>
      <c r="BT152" s="25" t="str">
        <f t="shared" ref="BT152:BT215" si="148">"CT."&amp;IF(AND(BS152&gt;0.1,ABS(BF152)*AS152/(AO152*AH152)*100&lt;=0.5*(0.58*$D$28/$E$28)),104,105)</f>
        <v>CT.105</v>
      </c>
      <c r="BU152" s="25">
        <f t="shared" ref="BU152:BU215" si="149">IF(BT152="CT.104",IF(BS152&gt;0.1,1.5,1),1)</f>
        <v>1</v>
      </c>
      <c r="BV152" s="25" cm="1">
        <f t="array" ref="BV152">IF(BT152="CT.104",_xll.TCVN5575AnnexEHeSoCx(1,BP152),1)</f>
        <v>1</v>
      </c>
      <c r="BW152" s="25">
        <f t="shared" ref="BW152:BW215" si="150">IF(BT152="CT.104",1.47,1)</f>
        <v>1</v>
      </c>
      <c r="BX152" s="25">
        <f t="shared" ref="BX152:BX215" si="151">IF(AND(BR152&lt;&gt;"Cal",$O$47="No"),"-",(ABS(BE152)/(AN152*$D$28*$F$28)*10)^BU152)</f>
        <v>0.1021123091923845</v>
      </c>
      <c r="BY152" s="25">
        <f t="shared" ref="BY152:BY215" si="152">IF(AND(BR152&lt;&gt;"Cal",$O$47="No"),"-",ABS(BJ152)/(BV152*AQ152*$D$28*$F$28)*1000)</f>
        <v>7.1197734508486911E-3</v>
      </c>
      <c r="BZ152" s="25">
        <f t="shared" ref="BZ152:BZ215" si="153">IF(AND(BR152&lt;&gt;"Cal",$O$47="No"),"-",ABS(BI152)/(BW152*AR152*$D$28*$F$28)*1000)</f>
        <v>1.6661281304242075E-8</v>
      </c>
      <c r="CA152" s="25">
        <f t="shared" ref="CA152:CA215" si="154">IF(AND(BR152&lt;&gt;"Cal",$O$47="No"),"-",ABS(BO152)*BA152/(AW152*$L$47)*100000)</f>
        <v>0</v>
      </c>
      <c r="CB152" s="25">
        <f t="shared" ref="CB152:CB215" si="155">IF(AND(BR152&lt;&gt;"Cal",$O$47="No"),0,BX152+BY152+BZ152+CA152)</f>
        <v>0.10923209930451448</v>
      </c>
      <c r="CC152" s="5" t="str">
        <f t="shared" ref="CC152:CC215" si="156">IF(OR(CB152&lt;=1,BR152="OK"),"OK","Check")</f>
        <v>OK</v>
      </c>
      <c r="CD152" s="5">
        <f t="shared" ref="CD152:CD215" si="157">BN152/AT152*100</f>
        <v>87.805402509844015</v>
      </c>
      <c r="CE152" s="5">
        <f t="shared" ref="CE152:CE215" si="158">BM152/AU152*100</f>
        <v>29.158726455153193</v>
      </c>
      <c r="CF152" s="5">
        <f t="shared" ref="CF152:CF215" si="159">CD152*SQRT($D$28/$B$28)</f>
        <v>2.9248163326364334</v>
      </c>
      <c r="CG152" s="5">
        <f t="shared" ref="CG152:CG215" si="160">CE152*SQRT($D$28/$B$28)</f>
        <v>0.97128328026682387</v>
      </c>
      <c r="CH152" s="5">
        <f t="shared" ref="CH152:CH215" si="161">ABS((BJ152/BE152)*100*AN152/AQ152)</f>
        <v>6.9724928435754951E-2</v>
      </c>
      <c r="CI152" s="68">
        <f>_xll.DCETCVN5575PhuLucD2Eta(BP152,CH152,CF152)</f>
        <v>1.5168470239585417</v>
      </c>
      <c r="CJ152" s="5">
        <f t="shared" ref="CJ152:CJ215" si="162">CH152*CI152</f>
        <v>0.10576205019349719</v>
      </c>
      <c r="CK152" s="5">
        <f>MIN(noisuy2chieu(CJ152,CF152,Data!$DA$2:$EB$24),1)</f>
        <v>0.67558860778808594</v>
      </c>
      <c r="CL152" s="102">
        <f t="shared" ref="CL152:CL215" si="163">IF(BE152&gt;0,"-",ABS(BE152)/(CK152*AN152*$D$28*$F$28)*10)</f>
        <v>0.1511456943104855</v>
      </c>
      <c r="CM152" s="5" t="str">
        <f t="shared" ref="CM152:CM215" si="164">IF(CL152="-","OK",IF(CL152&lt;=1,"OK","Check"))</f>
        <v>OK</v>
      </c>
      <c r="CN152" s="5">
        <f t="shared" ref="CN152:CN215" si="165">FactorPhi7121(CG152,"c")</f>
        <v>0.90492218941026858</v>
      </c>
      <c r="CO152" s="5">
        <f t="shared" ref="CO152:CO215" si="166">FactorPhi7121(3.14,"c")</f>
        <v>0.5370345235716667</v>
      </c>
      <c r="CP152" s="25">
        <f>_xll.DCETCVNPhuLucFHeSoOnDinh(1, 0.2, AG152, AH152, AI152, AJ152, AI152, AJ152, $D$28)</f>
        <v>1</v>
      </c>
      <c r="CQ152" s="68">
        <f t="shared" ref="CQ152:CQ215" si="167">IF(CU152&lt;=1,0.7,IF(CU152&lt;=5,0.65+0.05*CU152,0.65+0.05*5))</f>
        <v>0.9</v>
      </c>
      <c r="CR152" s="68">
        <f t="shared" ref="CR152:CR215" si="168">IF(CG152&lt;=3.14,1,SQRT(CO152/CN152))</f>
        <v>1</v>
      </c>
      <c r="CS152" s="5">
        <f t="shared" ref="CS152:CS215" si="169">CR152/(1+CQ152*5)</f>
        <v>0.18181818181818182</v>
      </c>
      <c r="CT152" s="5">
        <f t="shared" ref="CT152:CT215" si="170">1/(1+10*CN152/CP152)</f>
        <v>9.9510191986788829E-2</v>
      </c>
      <c r="CU152" s="26">
        <f t="shared" ref="CU152:CU215" si="171">ABS((BK152/BE152)*100*AN152/AQ152)</f>
        <v>19.745282646393932</v>
      </c>
      <c r="CV152" s="5"/>
      <c r="CW152" s="25"/>
      <c r="CX152" s="72">
        <f>MAX(_xll.Dce_c_925(CU152, CQ152, CR152, CN152, CP152, CS152, CT152),0.3)</f>
        <v>0.3</v>
      </c>
      <c r="CY152" s="102">
        <f t="shared" ref="CY152:CY215" si="172">IF(BE152&gt;0,"-",ABS(BE152)/(CX152*CN152*AN152*$D$28*$F$28)*10)</f>
        <v>0.3761366092663001</v>
      </c>
      <c r="CZ152" s="5" t="str">
        <f t="shared" ref="CZ152:CZ215" si="173">IF(BE152&gt;0,"OK",IF(CY152&lt;=1,"OK","Check"))</f>
        <v>OK</v>
      </c>
      <c r="DA152" s="47">
        <f t="shared" ref="DA152:DA215" si="174">(((AI152-AH152)/2)/AJ152)*SQRT($D$28/$B$28)</f>
        <v>0.34499859601035404</v>
      </c>
      <c r="DB152" s="46">
        <f t="shared" ref="DB152:DB215" si="175">IF(BE152&lt;0,0.36+0.1*MIN(MAX(0.8,CG152),4),0.5*SQRT($D$28/MIN(ABS(BJ152)*1000/(AQ152)+ABS(BI152)*1000/(AR152),$D$28)))</f>
        <v>0.45712832802668235</v>
      </c>
      <c r="DC152" s="5" t="str">
        <f t="shared" ref="DC152:DC215" si="176">IF(DA152&lt;=DB152,"OK","Gia cường")</f>
        <v>OK</v>
      </c>
      <c r="DD152" s="5">
        <f t="shared" ref="DD152:DD215" si="177">CF152</f>
        <v>2.9248163326364334</v>
      </c>
      <c r="DE152" s="5">
        <f t="shared" ref="DE152:DE215" si="178">(AM152/AH152)*SQRT($D$28/$B$28)</f>
        <v>1.6655104634982609</v>
      </c>
      <c r="DF152" s="5" t="str">
        <f t="shared" ref="DF152:DF215" si="179">IF(BE152&gt;0,$L$81,IF(AND(CH152&gt;=1,CH152&lt;=10,CX152*CN152&gt;CK152),IF(DD152&lt;2,1.3+0.15*DD152^2,MIN(1.2+0.35*DD152,3.1)),"-"))</f>
        <v>-</v>
      </c>
      <c r="DG152" s="5" t="str">
        <f t="shared" ref="DG152:DG215" si="180">IF(DF152="-","-",IF(DE152&lt;=DF152,"OK","Gia cường"))</f>
        <v>-</v>
      </c>
      <c r="DH152" s="203" t="str">
        <f t="shared" ref="DH152:DH215" si="181">IF(OR(AC152=0,AC152=AD152),"-",MAX(CD152,CE152))</f>
        <v>-</v>
      </c>
      <c r="DI152" s="203">
        <f t="shared" ref="DI152:DI215" si="182">IF(BE152&lt;0,$DJ$15-60*MAX(CL152,0.5),$DJ$16)</f>
        <v>180</v>
      </c>
      <c r="DJ152" s="46">
        <f t="shared" ref="DJ152:DJ215" si="183">IFERROR(DH152/DI152,0)</f>
        <v>0</v>
      </c>
      <c r="DK152" s="5" t="str">
        <f t="shared" ref="DK152:DK215" si="184">IF(OR(DH152&lt;=DI152,DH152="-"),"OK","Check")</f>
        <v>OK</v>
      </c>
      <c r="EB152" s="18"/>
      <c r="EC152" s="77"/>
      <c r="ED152" s="77"/>
      <c r="EE152" s="18"/>
      <c r="EF152" s="18"/>
      <c r="EG152" s="18"/>
      <c r="EH152" s="5"/>
      <c r="EI152" s="5"/>
      <c r="EJ152" s="5"/>
      <c r="EK152" s="5"/>
      <c r="EL152" s="5"/>
      <c r="FE152" s="26"/>
      <c r="FF152" s="26"/>
      <c r="FG152" s="26"/>
      <c r="FH152" s="26"/>
      <c r="FI152" s="26"/>
      <c r="FJ152" s="26"/>
      <c r="FK152" s="26"/>
      <c r="FL152" s="26"/>
      <c r="FM152" s="26"/>
      <c r="FN152" s="205"/>
      <c r="FO152" s="205"/>
      <c r="FP152" s="205"/>
      <c r="FQ152" s="205"/>
      <c r="FR152" s="205"/>
      <c r="FS152" s="205"/>
      <c r="FT152" s="205"/>
      <c r="FU152" s="77"/>
      <c r="FV152" s="77"/>
      <c r="FW152" s="77"/>
      <c r="FX152" s="205"/>
      <c r="FY152" s="205"/>
      <c r="FZ152" s="205"/>
      <c r="GA152" s="205"/>
      <c r="GB152" s="205"/>
      <c r="GC152" s="205"/>
      <c r="GD152" s="205"/>
      <c r="GE152" s="205"/>
      <c r="GF152" s="205"/>
      <c r="GG152" s="205"/>
      <c r="GH152" s="205"/>
      <c r="GI152" s="205"/>
      <c r="GJ152" s="205"/>
      <c r="GK152" s="205"/>
      <c r="GL152" s="205"/>
      <c r="GM152" s="205"/>
      <c r="GN152" s="205"/>
      <c r="GO152" s="205"/>
      <c r="GP152" s="205"/>
      <c r="GQ152" s="205"/>
      <c r="GR152" s="205"/>
      <c r="GS152" s="205"/>
      <c r="GT152" s="205"/>
      <c r="GU152" s="205"/>
      <c r="GV152" s="18"/>
      <c r="GW152" s="5"/>
      <c r="GX152" s="5"/>
      <c r="GY152" s="77"/>
      <c r="GZ152" s="18"/>
      <c r="HA152" s="18"/>
      <c r="HB152" s="18"/>
      <c r="HC152" s="18"/>
      <c r="HD152" s="18"/>
      <c r="HE152" s="18"/>
      <c r="HF152" s="18"/>
      <c r="HG152" s="18"/>
      <c r="HH152" s="205"/>
      <c r="HI152" s="26"/>
      <c r="HJ152" s="26"/>
      <c r="HK152" s="5"/>
    </row>
    <row r="153" spans="27:219">
      <c r="AA153" s="18" t="s">
        <v>488</v>
      </c>
      <c r="AB153" s="22" t="s">
        <v>490</v>
      </c>
      <c r="AC153" s="59">
        <v>3.6405952380952398</v>
      </c>
      <c r="AD153" s="59">
        <v>8.6549999999999994</v>
      </c>
      <c r="AE153" s="22">
        <v>528</v>
      </c>
      <c r="AF153" s="22">
        <v>1528</v>
      </c>
      <c r="AG153" s="22">
        <v>948.63492063492095</v>
      </c>
      <c r="AH153" s="6">
        <v>10</v>
      </c>
      <c r="AI153" s="6">
        <v>300</v>
      </c>
      <c r="AJ153" s="6">
        <v>14</v>
      </c>
      <c r="AK153" s="24">
        <v>300</v>
      </c>
      <c r="AL153" s="24">
        <v>14</v>
      </c>
      <c r="AM153" s="5">
        <f t="shared" si="129"/>
        <v>920.63492063492095</v>
      </c>
      <c r="AN153" s="26">
        <f t="shared" si="130"/>
        <v>176.06349206349208</v>
      </c>
      <c r="AO153" s="26">
        <f t="shared" si="131"/>
        <v>248482.7399356656</v>
      </c>
      <c r="AP153" s="15">
        <f t="shared" si="132"/>
        <v>6307.6719576719579</v>
      </c>
      <c r="AQ153" s="5">
        <f t="shared" si="133"/>
        <v>5238.7432621467533</v>
      </c>
      <c r="AR153" s="26">
        <f t="shared" si="134"/>
        <v>420.51146384479722</v>
      </c>
      <c r="AS153" s="26">
        <f t="shared" si="135"/>
        <v>3022.1941546989178</v>
      </c>
      <c r="AT153" s="26">
        <f t="shared" si="136"/>
        <v>37.567600585756203</v>
      </c>
      <c r="AU153" s="26">
        <f t="shared" si="137"/>
        <v>5.9854925384629922</v>
      </c>
      <c r="AV153" s="95">
        <f t="shared" si="138"/>
        <v>8.6034497354497351E-7</v>
      </c>
      <c r="AW153" s="95">
        <f t="shared" si="139"/>
        <v>13758293.349206358</v>
      </c>
      <c r="AX153" s="95">
        <f t="shared" si="140"/>
        <v>1.3758293349206359E-5</v>
      </c>
      <c r="AY153" s="54">
        <f t="shared" si="141"/>
        <v>0.1548581140202015</v>
      </c>
      <c r="AZ153" s="54" t="str">
        <f>_xll.Dce_Name_SectI(AE153,AF153,AI153,AH153,AJ153,"x","-",$O$11)</f>
        <v>(528-1528)x300x10x14</v>
      </c>
      <c r="BA153" s="15">
        <f t="shared" si="142"/>
        <v>700.97619047619071</v>
      </c>
      <c r="BB153" s="54"/>
      <c r="BC153" s="54"/>
      <c r="BD153" s="22" t="s">
        <v>493</v>
      </c>
      <c r="BE153" s="23">
        <v>-292.03160411778953</v>
      </c>
      <c r="BF153" s="23">
        <v>-300.0483170568375</v>
      </c>
      <c r="BG153" s="23">
        <v>1.5853176439341421E-3</v>
      </c>
      <c r="BH153" s="23">
        <v>-2.2142301506951613E-5</v>
      </c>
      <c r="BI153" s="23">
        <v>-5.7866123625328779E-3</v>
      </c>
      <c r="BJ153" s="23">
        <v>1095.3170365933333</v>
      </c>
      <c r="BK153" s="23">
        <v>1093.0614459688322</v>
      </c>
      <c r="BL153" s="92">
        <v>2.25</v>
      </c>
      <c r="BM153" s="91">
        <v>2</v>
      </c>
      <c r="BN153" s="5">
        <f t="shared" si="143"/>
        <v>19.473749999999999</v>
      </c>
      <c r="BO153" s="54">
        <f>_xll.Bimoment(BH153,AY153,AC153,AD153,$O$101)</f>
        <v>1.7028906064744874E-4</v>
      </c>
      <c r="BP153" s="5">
        <f t="shared" si="144"/>
        <v>0.45620689655172403</v>
      </c>
      <c r="BQ153" s="5">
        <f t="shared" si="145"/>
        <v>15.646183887911727</v>
      </c>
      <c r="BR153" s="24" t="str">
        <f t="shared" si="146"/>
        <v>Cal</v>
      </c>
      <c r="BS153" s="25">
        <f t="shared" si="147"/>
        <v>7.256690487285046E-2</v>
      </c>
      <c r="BT153" s="25" t="str">
        <f t="shared" si="148"/>
        <v>CT.105</v>
      </c>
      <c r="BU153" s="25">
        <f t="shared" si="149"/>
        <v>1</v>
      </c>
      <c r="BV153" s="25" cm="1">
        <f t="array" ref="BV153">IF(BT153="CT.104",_xll.TCVN5575AnnexEHeSoCx(1,BP153),1)</f>
        <v>1</v>
      </c>
      <c r="BW153" s="25">
        <f t="shared" si="150"/>
        <v>1</v>
      </c>
      <c r="BX153" s="25">
        <f t="shared" si="151"/>
        <v>7.638621565563207E-2</v>
      </c>
      <c r="BY153" s="25">
        <f t="shared" si="152"/>
        <v>0.96286894440608228</v>
      </c>
      <c r="BZ153" s="25">
        <f t="shared" si="153"/>
        <v>6.3372523732257828E-5</v>
      </c>
      <c r="CA153" s="25">
        <f t="shared" si="154"/>
        <v>3.9955806724917531E-6</v>
      </c>
      <c r="CB153" s="25">
        <f t="shared" si="155"/>
        <v>1.0393225281661191</v>
      </c>
      <c r="CC153" s="5" t="str">
        <f t="shared" si="156"/>
        <v>Check</v>
      </c>
      <c r="CD153" s="5">
        <f t="shared" si="157"/>
        <v>51.836555160202302</v>
      </c>
      <c r="CE153" s="5">
        <f t="shared" si="158"/>
        <v>33.414125690541383</v>
      </c>
      <c r="CF153" s="5">
        <f t="shared" si="159"/>
        <v>1.7266865002204341</v>
      </c>
      <c r="CG153" s="5">
        <f t="shared" si="160"/>
        <v>1.1130315193248546</v>
      </c>
      <c r="CH153" s="5">
        <f t="shared" si="161"/>
        <v>12.605270939811094</v>
      </c>
      <c r="CI153" s="68">
        <f>_xll.DCETCVN5575PhuLucD2Eta(BP153,CH153,CF153)</f>
        <v>1.2412413793103447</v>
      </c>
      <c r="CJ153" s="5">
        <f t="shared" si="162"/>
        <v>15.646183887911727</v>
      </c>
      <c r="CK153" s="5">
        <f>MIN(noisuy2chieu(CJ153,CF153,Data!$DA$2:$EB$24),1)</f>
        <v>8.7902314960956573E-2</v>
      </c>
      <c r="CL153" s="102">
        <f t="shared" si="163"/>
        <v>0.86898980634992851</v>
      </c>
      <c r="CM153" s="5" t="str">
        <f t="shared" si="164"/>
        <v>OK</v>
      </c>
      <c r="CN153" s="5">
        <f t="shared" si="165"/>
        <v>0.88472625978979058</v>
      </c>
      <c r="CO153" s="5">
        <f t="shared" si="166"/>
        <v>0.5370345235716667</v>
      </c>
      <c r="CP153" s="25">
        <f>_xll.DCETCVNPhuLucFHeSoOnDinh(1, 0.2, AG153, AH153, AI153, AJ153, AI153, AJ153, $D$28)</f>
        <v>1</v>
      </c>
      <c r="CQ153" s="68">
        <f t="shared" si="167"/>
        <v>0.9</v>
      </c>
      <c r="CR153" s="68">
        <f t="shared" si="168"/>
        <v>1</v>
      </c>
      <c r="CS153" s="5">
        <f t="shared" si="169"/>
        <v>0.18181818181818182</v>
      </c>
      <c r="CT153" s="5">
        <f t="shared" si="170"/>
        <v>0.10155106457844131</v>
      </c>
      <c r="CU153" s="26">
        <f t="shared" si="171"/>
        <v>12.579312856442316</v>
      </c>
      <c r="CV153" s="5"/>
      <c r="CW153" s="25"/>
      <c r="CX153" s="72">
        <f>MAX(_xll.Dce_c_925(CU153, CQ153, CR153, CN153, CP153, CS153, CT153),0.3)</f>
        <v>0.3</v>
      </c>
      <c r="CY153" s="102">
        <f t="shared" si="172"/>
        <v>0.28779604542607828</v>
      </c>
      <c r="CZ153" s="5" t="str">
        <f t="shared" si="173"/>
        <v>OK</v>
      </c>
      <c r="DA153" s="47">
        <f t="shared" si="174"/>
        <v>0.34499859601035404</v>
      </c>
      <c r="DB153" s="46">
        <f t="shared" si="175"/>
        <v>0.47130315193248545</v>
      </c>
      <c r="DC153" s="5" t="str">
        <f t="shared" si="176"/>
        <v>OK</v>
      </c>
      <c r="DD153" s="5">
        <f t="shared" si="177"/>
        <v>1.7266865002204341</v>
      </c>
      <c r="DE153" s="5">
        <f t="shared" si="178"/>
        <v>3.0666541867587034</v>
      </c>
      <c r="DF153" s="5" t="str">
        <f t="shared" si="179"/>
        <v>-</v>
      </c>
      <c r="DG153" s="5" t="str">
        <f t="shared" si="180"/>
        <v>-</v>
      </c>
      <c r="DH153" s="203">
        <f t="shared" si="181"/>
        <v>51.836555160202302</v>
      </c>
      <c r="DI153" s="203">
        <f t="shared" si="182"/>
        <v>157.86061161900429</v>
      </c>
      <c r="DJ153" s="46">
        <f t="shared" si="183"/>
        <v>0.32836915192821842</v>
      </c>
      <c r="DK153" s="5" t="str">
        <f t="shared" si="184"/>
        <v>OK</v>
      </c>
      <c r="EB153" s="18"/>
      <c r="EC153" s="77"/>
      <c r="ED153" s="77"/>
      <c r="EE153" s="18"/>
      <c r="EF153" s="18"/>
      <c r="EG153" s="18"/>
      <c r="EH153" s="5"/>
      <c r="EI153" s="5"/>
      <c r="EJ153" s="5"/>
      <c r="EK153" s="5"/>
      <c r="EL153" s="5"/>
      <c r="FE153" s="26"/>
      <c r="FF153" s="26"/>
      <c r="FG153" s="26"/>
      <c r="FH153" s="26"/>
      <c r="FI153" s="26"/>
      <c r="FJ153" s="26"/>
      <c r="FK153" s="26"/>
      <c r="FL153" s="26"/>
      <c r="FM153" s="26"/>
      <c r="FN153" s="205"/>
      <c r="FO153" s="205"/>
      <c r="FP153" s="205"/>
      <c r="FQ153" s="205"/>
      <c r="FR153" s="205"/>
      <c r="FS153" s="205"/>
      <c r="FT153" s="205"/>
      <c r="FU153" s="77"/>
      <c r="FV153" s="77"/>
      <c r="FW153" s="77"/>
      <c r="FX153" s="205"/>
      <c r="FY153" s="205"/>
      <c r="FZ153" s="205"/>
      <c r="GA153" s="205"/>
      <c r="GB153" s="205"/>
      <c r="GC153" s="205"/>
      <c r="GD153" s="205"/>
      <c r="GE153" s="205"/>
      <c r="GF153" s="205"/>
      <c r="GG153" s="205"/>
      <c r="GH153" s="205"/>
      <c r="GI153" s="205"/>
      <c r="GJ153" s="205"/>
      <c r="GK153" s="205"/>
      <c r="GL153" s="205"/>
      <c r="GM153" s="205"/>
      <c r="GN153" s="205"/>
      <c r="GO153" s="205"/>
      <c r="GP153" s="205"/>
      <c r="GQ153" s="205"/>
      <c r="GR153" s="205"/>
      <c r="GS153" s="205"/>
      <c r="GT153" s="205"/>
      <c r="GU153" s="205"/>
      <c r="GV153" s="18"/>
      <c r="GW153" s="5"/>
      <c r="GX153" s="5"/>
      <c r="GY153" s="77"/>
      <c r="GZ153" s="18"/>
      <c r="HA153" s="18"/>
      <c r="HB153" s="18"/>
      <c r="HC153" s="18"/>
      <c r="HD153" s="18"/>
      <c r="HE153" s="18"/>
      <c r="HF153" s="18"/>
      <c r="HG153" s="18"/>
      <c r="HH153" s="205"/>
      <c r="HI153" s="26"/>
      <c r="HJ153" s="26"/>
      <c r="HK153" s="5"/>
    </row>
    <row r="154" spans="27:219">
      <c r="AA154" s="18" t="s">
        <v>488</v>
      </c>
      <c r="AB154" s="22" t="s">
        <v>490</v>
      </c>
      <c r="AC154" s="59">
        <v>7.2811904761904795</v>
      </c>
      <c r="AD154" s="59">
        <v>8.6549999999999994</v>
      </c>
      <c r="AE154" s="22">
        <v>528</v>
      </c>
      <c r="AF154" s="22">
        <v>1528</v>
      </c>
      <c r="AG154" s="22">
        <v>1369.2698412698419</v>
      </c>
      <c r="AH154" s="6">
        <v>10</v>
      </c>
      <c r="AI154" s="6">
        <v>300</v>
      </c>
      <c r="AJ154" s="6">
        <v>14</v>
      </c>
      <c r="AK154" s="24">
        <v>300</v>
      </c>
      <c r="AL154" s="24">
        <v>14</v>
      </c>
      <c r="AM154" s="5">
        <f t="shared" si="129"/>
        <v>1341.2698412698419</v>
      </c>
      <c r="AN154" s="26">
        <f t="shared" si="130"/>
        <v>218.12698412698418</v>
      </c>
      <c r="AO154" s="26">
        <f t="shared" si="131"/>
        <v>586811.79072745051</v>
      </c>
      <c r="AP154" s="15">
        <f t="shared" si="132"/>
        <v>6311.1772486772488</v>
      </c>
      <c r="AQ154" s="5">
        <f t="shared" si="133"/>
        <v>8571.1635945074104</v>
      </c>
      <c r="AR154" s="26">
        <f t="shared" si="134"/>
        <v>420.74514991181661</v>
      </c>
      <c r="AS154" s="26">
        <f t="shared" si="135"/>
        <v>5094.8226505417015</v>
      </c>
      <c r="AT154" s="26">
        <f t="shared" si="136"/>
        <v>51.867428670398397</v>
      </c>
      <c r="AU154" s="26">
        <f t="shared" si="137"/>
        <v>5.3789869588463937</v>
      </c>
      <c r="AV154" s="95">
        <f t="shared" si="138"/>
        <v>1.0005566137566139E-6</v>
      </c>
      <c r="AW154" s="95">
        <f t="shared" si="139"/>
        <v>28928912.396825422</v>
      </c>
      <c r="AX154" s="95">
        <f t="shared" si="140"/>
        <v>2.8928912396825422E-5</v>
      </c>
      <c r="AY154" s="54">
        <f t="shared" si="141"/>
        <v>0.11516876660535029</v>
      </c>
      <c r="AZ154" s="54" t="str">
        <f>_xll.Dce_Name_SectI(AE154,AF154,AI154,AH154,AJ154,"x","-",$O$11)</f>
        <v>(528-1528)x300x10x14</v>
      </c>
      <c r="BA154" s="15">
        <f t="shared" si="142"/>
        <v>1016.4523809523813</v>
      </c>
      <c r="BB154" s="54"/>
      <c r="BC154" s="54"/>
      <c r="BD154" s="22" t="s">
        <v>493</v>
      </c>
      <c r="BE154" s="23">
        <v>-285.40412768073134</v>
      </c>
      <c r="BF154" s="23">
        <v>-297.80728952471213</v>
      </c>
      <c r="BG154" s="23">
        <v>1.5853176439342797E-3</v>
      </c>
      <c r="BH154" s="23">
        <v>-2.2142301506951613E-5</v>
      </c>
      <c r="BI154" s="23">
        <v>-1.1571704211245147E-2</v>
      </c>
      <c r="BJ154" s="23">
        <v>2186.1228919376645</v>
      </c>
      <c r="BK154" s="23">
        <v>1093.0614459688322</v>
      </c>
      <c r="BL154" s="92">
        <v>2.25</v>
      </c>
      <c r="BM154" s="91">
        <v>2</v>
      </c>
      <c r="BN154" s="5">
        <f t="shared" si="143"/>
        <v>19.473749999999999</v>
      </c>
      <c r="BO154" s="54">
        <f>_xll.Bimoment(BH154,AY154,AC154,AD154,$O$101)</f>
        <v>1.0129373161348306E-4</v>
      </c>
      <c r="BP154" s="5">
        <f t="shared" si="144"/>
        <v>0.31313609467455605</v>
      </c>
      <c r="BQ154" s="5">
        <f t="shared" si="145"/>
        <v>23.638028110476064</v>
      </c>
      <c r="BR154" s="24" t="str">
        <f t="shared" si="146"/>
        <v>Cal</v>
      </c>
      <c r="BS154" s="25">
        <f t="shared" si="147"/>
        <v>5.7243860203756047E-2</v>
      </c>
      <c r="BT154" s="25" t="str">
        <f t="shared" si="148"/>
        <v>CT.105</v>
      </c>
      <c r="BU154" s="25">
        <f t="shared" si="149"/>
        <v>1</v>
      </c>
      <c r="BV154" s="25" cm="1">
        <f t="array" ref="BV154">IF(BT154="CT.104",_xll.TCVN5575AnnexEHeSoCx(1,BP154),1)</f>
        <v>1</v>
      </c>
      <c r="BW154" s="25">
        <f t="shared" si="150"/>
        <v>1</v>
      </c>
      <c r="BX154" s="25">
        <f t="shared" si="151"/>
        <v>6.0256694951322159E-2</v>
      </c>
      <c r="BY154" s="25">
        <f t="shared" si="152"/>
        <v>1.1745979529923345</v>
      </c>
      <c r="BZ154" s="25">
        <f t="shared" si="153"/>
        <v>1.2665800922309335E-4</v>
      </c>
      <c r="CA154" s="25">
        <f t="shared" si="154"/>
        <v>1.6390490630059641E-6</v>
      </c>
      <c r="CB154" s="25">
        <f t="shared" si="155"/>
        <v>1.2349829450019427</v>
      </c>
      <c r="CC154" s="5" t="str">
        <f t="shared" si="156"/>
        <v>Check</v>
      </c>
      <c r="CD154" s="5">
        <f t="shared" si="157"/>
        <v>37.545238889226049</v>
      </c>
      <c r="CE154" s="5">
        <f t="shared" si="158"/>
        <v>37.181722419139881</v>
      </c>
      <c r="CF154" s="5">
        <f t="shared" si="159"/>
        <v>1.2506397644909562</v>
      </c>
      <c r="CG154" s="5">
        <f t="shared" si="160"/>
        <v>1.2385309547993069</v>
      </c>
      <c r="CH154" s="5">
        <f t="shared" si="161"/>
        <v>19.493235630351503</v>
      </c>
      <c r="CI154" s="68">
        <f>_xll.DCETCVN5575PhuLucD2Eta(BP154,CH154,CF154)</f>
        <v>1.2126272189349112</v>
      </c>
      <c r="CJ154" s="5">
        <f t="shared" si="162"/>
        <v>23.638028110476064</v>
      </c>
      <c r="CK154" s="5">
        <f>MIN(noisuy2chieu(CJ154,CF154,Data!$DA$2:$EB$24),1)</f>
        <v>7.1994885802268982E-2</v>
      </c>
      <c r="CL154" s="102">
        <f t="shared" si="163"/>
        <v>0.83695799055525577</v>
      </c>
      <c r="CM154" s="5" t="str">
        <f t="shared" si="164"/>
        <v>OK</v>
      </c>
      <c r="CN154" s="5">
        <f t="shared" si="165"/>
        <v>0.86643683692746631</v>
      </c>
      <c r="CO154" s="5">
        <f t="shared" si="166"/>
        <v>0.5370345235716667</v>
      </c>
      <c r="CP154" s="25">
        <f>_xll.DCETCVNPhuLucFHeSoOnDinh(1, 0.2, AG154, AH154, AI154, AJ154, AI154, AJ154, $D$28)</f>
        <v>1</v>
      </c>
      <c r="CQ154" s="68">
        <f t="shared" si="167"/>
        <v>0.9</v>
      </c>
      <c r="CR154" s="68">
        <f t="shared" si="168"/>
        <v>1</v>
      </c>
      <c r="CS154" s="5">
        <f t="shared" si="169"/>
        <v>0.18181818181818182</v>
      </c>
      <c r="CT154" s="5">
        <f t="shared" si="170"/>
        <v>0.10347287704587492</v>
      </c>
      <c r="CU154" s="26">
        <f t="shared" si="171"/>
        <v>9.7466178151757514</v>
      </c>
      <c r="CV154" s="5"/>
      <c r="CW154" s="25"/>
      <c r="CX154" s="72">
        <f>MAX(_xll.Dce_c_925(CU154, CQ154, CR154, CN154, CP154, CS154, CT154),0.3)</f>
        <v>0.3</v>
      </c>
      <c r="CY154" s="102">
        <f t="shared" si="172"/>
        <v>0.23181799443108761</v>
      </c>
      <c r="CZ154" s="5" t="str">
        <f t="shared" si="173"/>
        <v>OK</v>
      </c>
      <c r="DA154" s="47">
        <f t="shared" si="174"/>
        <v>0.34499859601035404</v>
      </c>
      <c r="DB154" s="46">
        <f t="shared" si="175"/>
        <v>0.48385309547993066</v>
      </c>
      <c r="DC154" s="5" t="str">
        <f t="shared" si="176"/>
        <v>OK</v>
      </c>
      <c r="DD154" s="5">
        <f t="shared" si="177"/>
        <v>1.2506397644909562</v>
      </c>
      <c r="DE154" s="5">
        <f t="shared" si="178"/>
        <v>4.4677979100191463</v>
      </c>
      <c r="DF154" s="5" t="str">
        <f t="shared" si="179"/>
        <v>-</v>
      </c>
      <c r="DG154" s="5" t="str">
        <f t="shared" si="180"/>
        <v>-</v>
      </c>
      <c r="DH154" s="203">
        <f t="shared" si="181"/>
        <v>37.545238889226049</v>
      </c>
      <c r="DI154" s="203">
        <f t="shared" si="182"/>
        <v>159.78252056668464</v>
      </c>
      <c r="DJ154" s="46">
        <f t="shared" si="183"/>
        <v>0.23497713489603317</v>
      </c>
      <c r="DK154" s="5" t="str">
        <f t="shared" si="184"/>
        <v>OK</v>
      </c>
      <c r="EB154" s="18"/>
      <c r="EC154" s="77"/>
      <c r="ED154" s="77"/>
      <c r="EE154" s="18"/>
      <c r="EF154" s="18"/>
      <c r="EG154" s="18"/>
      <c r="EH154" s="5"/>
      <c r="EI154" s="5"/>
      <c r="EJ154" s="5"/>
      <c r="EK154" s="5"/>
      <c r="EL154" s="5"/>
      <c r="FE154" s="26"/>
      <c r="FF154" s="26"/>
      <c r="FG154" s="26"/>
      <c r="FH154" s="26"/>
      <c r="FI154" s="26"/>
      <c r="FJ154" s="26"/>
      <c r="FK154" s="26"/>
      <c r="FL154" s="26"/>
      <c r="FM154" s="26"/>
      <c r="FN154" s="205"/>
      <c r="FO154" s="205"/>
      <c r="FP154" s="205"/>
      <c r="FQ154" s="205"/>
      <c r="FR154" s="205"/>
      <c r="FS154" s="205"/>
      <c r="FT154" s="205"/>
      <c r="FU154" s="77"/>
      <c r="FV154" s="77"/>
      <c r="FW154" s="77"/>
      <c r="FX154" s="205"/>
      <c r="FY154" s="205"/>
      <c r="FZ154" s="205"/>
      <c r="GA154" s="205"/>
      <c r="GB154" s="205"/>
      <c r="GC154" s="205"/>
      <c r="GD154" s="205"/>
      <c r="GE154" s="205"/>
      <c r="GF154" s="205"/>
      <c r="GG154" s="205"/>
      <c r="GH154" s="205"/>
      <c r="GI154" s="205"/>
      <c r="GJ154" s="205"/>
      <c r="GK154" s="205"/>
      <c r="GL154" s="205"/>
      <c r="GM154" s="205"/>
      <c r="GN154" s="205"/>
      <c r="GO154" s="205"/>
      <c r="GP154" s="205"/>
      <c r="GQ154" s="205"/>
      <c r="GR154" s="205"/>
      <c r="GS154" s="205"/>
      <c r="GT154" s="205"/>
      <c r="GU154" s="205"/>
      <c r="GV154" s="18"/>
      <c r="GW154" s="5"/>
      <c r="GX154" s="5"/>
      <c r="GY154" s="77"/>
      <c r="GZ154" s="18"/>
      <c r="HA154" s="18"/>
      <c r="HB154" s="18"/>
      <c r="HC154" s="18"/>
      <c r="HD154" s="18"/>
      <c r="HE154" s="18"/>
      <c r="HF154" s="18"/>
      <c r="HG154" s="18"/>
      <c r="HH154" s="205"/>
      <c r="HI154" s="26"/>
      <c r="HJ154" s="26"/>
      <c r="HK154" s="5"/>
    </row>
    <row r="155" spans="27:219">
      <c r="AA155" s="18" t="s">
        <v>488</v>
      </c>
      <c r="AB155" s="22" t="s">
        <v>490</v>
      </c>
      <c r="AC155" s="59">
        <v>0</v>
      </c>
      <c r="AD155" s="59">
        <v>8.6549999999999994</v>
      </c>
      <c r="AE155" s="22">
        <v>528</v>
      </c>
      <c r="AF155" s="22">
        <v>1528</v>
      </c>
      <c r="AG155" s="22">
        <v>528</v>
      </c>
      <c r="AH155" s="6">
        <v>10</v>
      </c>
      <c r="AI155" s="6">
        <v>300</v>
      </c>
      <c r="AJ155" s="6">
        <v>14</v>
      </c>
      <c r="AK155" s="24">
        <v>300</v>
      </c>
      <c r="AL155" s="24">
        <v>14</v>
      </c>
      <c r="AM155" s="5">
        <f t="shared" si="129"/>
        <v>500</v>
      </c>
      <c r="AN155" s="26">
        <f t="shared" si="130"/>
        <v>134</v>
      </c>
      <c r="AO155" s="26">
        <f t="shared" si="131"/>
        <v>65911.546666666676</v>
      </c>
      <c r="AP155" s="15">
        <f t="shared" si="132"/>
        <v>6304.166666666667</v>
      </c>
      <c r="AQ155" s="5">
        <f t="shared" si="133"/>
        <v>2496.6494949494954</v>
      </c>
      <c r="AR155" s="26">
        <f t="shared" si="134"/>
        <v>420.27777777777777</v>
      </c>
      <c r="AS155" s="26">
        <f t="shared" si="135"/>
        <v>1391.9</v>
      </c>
      <c r="AT155" s="26">
        <f t="shared" si="136"/>
        <v>22.178305028345793</v>
      </c>
      <c r="AU155" s="26">
        <f t="shared" si="137"/>
        <v>6.8590101254115021</v>
      </c>
      <c r="AV155" s="95">
        <f t="shared" si="138"/>
        <v>7.201333333333334E-7</v>
      </c>
      <c r="AW155" s="95">
        <f t="shared" si="139"/>
        <v>4161087</v>
      </c>
      <c r="AX155" s="95">
        <f t="shared" si="140"/>
        <v>4.1610870000000001E-6</v>
      </c>
      <c r="AY155" s="54">
        <f t="shared" si="141"/>
        <v>0.25762202780669918</v>
      </c>
      <c r="AZ155" s="54" t="str">
        <f>_xll.Dce_Name_SectI(AE155,AF155,AI155,AH155,AJ155,"x","-",$O$11)</f>
        <v>(528-1528)x300x10x14</v>
      </c>
      <c r="BA155" s="15">
        <f t="shared" si="142"/>
        <v>385.5</v>
      </c>
      <c r="BB155" s="54"/>
      <c r="BC155" s="54"/>
      <c r="BD155" s="22" t="s">
        <v>511</v>
      </c>
      <c r="BE155" s="23">
        <v>-45.799669536748894</v>
      </c>
      <c r="BF155" s="23">
        <v>-50.795295410323348</v>
      </c>
      <c r="BG155" s="23">
        <v>-1.7076666317783135E-3</v>
      </c>
      <c r="BH155" s="23">
        <v>2.3851162938160779E-5</v>
      </c>
      <c r="BI155" s="23">
        <v>1.6378614873931166E-6</v>
      </c>
      <c r="BJ155" s="23">
        <v>-0.59096998425832448</v>
      </c>
      <c r="BK155" s="23">
        <v>110.09643937336432</v>
      </c>
      <c r="BL155" s="92">
        <v>2.25</v>
      </c>
      <c r="BM155" s="91">
        <v>2</v>
      </c>
      <c r="BN155" s="5">
        <f t="shared" si="143"/>
        <v>19.473749999999999</v>
      </c>
      <c r="BO155" s="54">
        <f>_xll.Bimoment(BH155,AY155,AC155,AD155,$O$101)</f>
        <v>0</v>
      </c>
      <c r="BP155" s="5">
        <f t="shared" si="144"/>
        <v>0.84</v>
      </c>
      <c r="BQ155" s="5">
        <f t="shared" si="145"/>
        <v>0.10505039044693741</v>
      </c>
      <c r="BR155" s="24" t="str">
        <f t="shared" si="146"/>
        <v>Cal</v>
      </c>
      <c r="BS155" s="25">
        <f t="shared" si="147"/>
        <v>1.4953250315169883E-2</v>
      </c>
      <c r="BT155" s="25" t="str">
        <f t="shared" si="148"/>
        <v>CT.105</v>
      </c>
      <c r="BU155" s="25">
        <f t="shared" si="149"/>
        <v>1</v>
      </c>
      <c r="BV155" s="25" cm="1">
        <f t="array" ref="BV155">IF(BT155="CT.104",_xll.TCVN5575AnnexEHeSoCx(1,BP155),1)</f>
        <v>1</v>
      </c>
      <c r="BW155" s="25">
        <f t="shared" si="150"/>
        <v>1</v>
      </c>
      <c r="BX155" s="25">
        <f t="shared" si="151"/>
        <v>1.574026348965251E-2</v>
      </c>
      <c r="BY155" s="25">
        <f t="shared" si="152"/>
        <v>1.0900898590018335E-3</v>
      </c>
      <c r="BZ155" s="25">
        <f t="shared" si="153"/>
        <v>1.7947137737114543E-8</v>
      </c>
      <c r="CA155" s="25">
        <f t="shared" si="154"/>
        <v>0</v>
      </c>
      <c r="CB155" s="25">
        <f t="shared" si="155"/>
        <v>1.6830371295792082E-2</v>
      </c>
      <c r="CC155" s="5" t="str">
        <f t="shared" si="156"/>
        <v>OK</v>
      </c>
      <c r="CD155" s="5">
        <f t="shared" si="157"/>
        <v>87.805402509844015</v>
      </c>
      <c r="CE155" s="5">
        <f t="shared" si="158"/>
        <v>29.158726455153193</v>
      </c>
      <c r="CF155" s="5">
        <f t="shared" si="159"/>
        <v>2.9248163326364334</v>
      </c>
      <c r="CG155" s="5">
        <f t="shared" si="160"/>
        <v>0.97128328026682387</v>
      </c>
      <c r="CH155" s="5">
        <f t="shared" si="161"/>
        <v>6.9254867284683483E-2</v>
      </c>
      <c r="CI155" s="68">
        <f>_xll.DCETCVN5575PhuLucD2Eta(BP155,CH155,CF155)</f>
        <v>1.5168665332230089</v>
      </c>
      <c r="CJ155" s="5">
        <f t="shared" si="162"/>
        <v>0.10505039044693741</v>
      </c>
      <c r="CK155" s="5">
        <f>MIN(noisuy2chieu(CJ155,CF155,Data!$DA$2:$EB$24),1)</f>
        <v>0.67592072486877441</v>
      </c>
      <c r="CL155" s="102">
        <f t="shared" si="163"/>
        <v>2.3287144350705294E-2</v>
      </c>
      <c r="CM155" s="5" t="str">
        <f t="shared" si="164"/>
        <v>OK</v>
      </c>
      <c r="CN155" s="5">
        <f t="shared" si="165"/>
        <v>0.90492218941026858</v>
      </c>
      <c r="CO155" s="5">
        <f t="shared" si="166"/>
        <v>0.5370345235716667</v>
      </c>
      <c r="CP155" s="25">
        <f>_xll.DCETCVNPhuLucFHeSoOnDinh(1, 0.2, AG155, AH155, AI155, AJ155, AI155, AJ155, $D$28)</f>
        <v>1</v>
      </c>
      <c r="CQ155" s="68">
        <f t="shared" si="167"/>
        <v>0.9</v>
      </c>
      <c r="CR155" s="68">
        <f t="shared" si="168"/>
        <v>1</v>
      </c>
      <c r="CS155" s="5">
        <f t="shared" si="169"/>
        <v>0.18181818181818182</v>
      </c>
      <c r="CT155" s="5">
        <f t="shared" si="170"/>
        <v>9.9510191986788829E-2</v>
      </c>
      <c r="CU155" s="26">
        <f t="shared" si="171"/>
        <v>12.902033098834403</v>
      </c>
      <c r="CV155" s="5"/>
      <c r="CW155" s="25"/>
      <c r="CX155" s="72">
        <f>MAX(_xll.Dce_c_925(CU155, CQ155, CR155, CN155, CP155, CS155, CT155),0.3)</f>
        <v>0.3</v>
      </c>
      <c r="CY155" s="102">
        <f t="shared" si="172"/>
        <v>5.7980172858509628E-2</v>
      </c>
      <c r="CZ155" s="5" t="str">
        <f t="shared" si="173"/>
        <v>OK</v>
      </c>
      <c r="DA155" s="47">
        <f t="shared" si="174"/>
        <v>0.34499859601035404</v>
      </c>
      <c r="DB155" s="46">
        <f t="shared" si="175"/>
        <v>0.45712832802668235</v>
      </c>
      <c r="DC155" s="5" t="str">
        <f t="shared" si="176"/>
        <v>OK</v>
      </c>
      <c r="DD155" s="5">
        <f t="shared" si="177"/>
        <v>2.9248163326364334</v>
      </c>
      <c r="DE155" s="5">
        <f t="shared" si="178"/>
        <v>1.6655104634982609</v>
      </c>
      <c r="DF155" s="5" t="str">
        <f t="shared" si="179"/>
        <v>-</v>
      </c>
      <c r="DG155" s="5" t="str">
        <f t="shared" si="180"/>
        <v>-</v>
      </c>
      <c r="DH155" s="203" t="str">
        <f t="shared" si="181"/>
        <v>-</v>
      </c>
      <c r="DI155" s="203">
        <f t="shared" si="182"/>
        <v>180</v>
      </c>
      <c r="DJ155" s="46">
        <f t="shared" si="183"/>
        <v>0</v>
      </c>
      <c r="DK155" s="5" t="str">
        <f t="shared" si="184"/>
        <v>OK</v>
      </c>
      <c r="EB155" s="18"/>
      <c r="EC155" s="77"/>
      <c r="ED155" s="77"/>
      <c r="EE155" s="18"/>
      <c r="EF155" s="18"/>
      <c r="EG155" s="18"/>
      <c r="EH155" s="5"/>
      <c r="EI155" s="5"/>
      <c r="EJ155" s="5"/>
      <c r="EK155" s="5"/>
      <c r="EL155" s="5"/>
      <c r="FE155" s="26"/>
      <c r="FF155" s="26"/>
      <c r="FG155" s="26"/>
      <c r="FH155" s="26"/>
      <c r="FI155" s="26"/>
      <c r="FJ155" s="26"/>
      <c r="FK155" s="26"/>
      <c r="FL155" s="26"/>
      <c r="FM155" s="26"/>
      <c r="FN155" s="205"/>
      <c r="FO155" s="205"/>
      <c r="FP155" s="205"/>
      <c r="FQ155" s="205"/>
      <c r="FR155" s="205"/>
      <c r="FS155" s="205"/>
      <c r="FT155" s="205"/>
      <c r="FU155" s="77"/>
      <c r="FV155" s="77"/>
      <c r="FW155" s="77"/>
      <c r="FX155" s="205"/>
      <c r="FY155" s="205"/>
      <c r="FZ155" s="205"/>
      <c r="GA155" s="205"/>
      <c r="GB155" s="205"/>
      <c r="GC155" s="205"/>
      <c r="GD155" s="205"/>
      <c r="GE155" s="205"/>
      <c r="GF155" s="205"/>
      <c r="GG155" s="205"/>
      <c r="GH155" s="205"/>
      <c r="GI155" s="205"/>
      <c r="GJ155" s="205"/>
      <c r="GK155" s="205"/>
      <c r="GL155" s="205"/>
      <c r="GM155" s="205"/>
      <c r="GN155" s="205"/>
      <c r="GO155" s="205"/>
      <c r="GP155" s="205"/>
      <c r="GQ155" s="205"/>
      <c r="GR155" s="205"/>
      <c r="GS155" s="205"/>
      <c r="GT155" s="205"/>
      <c r="GU155" s="205"/>
      <c r="GV155" s="18"/>
      <c r="GW155" s="5"/>
      <c r="GX155" s="5"/>
      <c r="GY155" s="77"/>
      <c r="GZ155" s="18"/>
      <c r="HA155" s="18"/>
      <c r="HB155" s="18"/>
      <c r="HC155" s="18"/>
      <c r="HD155" s="18"/>
      <c r="HE155" s="18"/>
      <c r="HF155" s="18"/>
      <c r="HG155" s="18"/>
      <c r="HH155" s="205"/>
      <c r="HI155" s="26"/>
      <c r="HJ155" s="26"/>
      <c r="HK155" s="5"/>
    </row>
    <row r="156" spans="27:219">
      <c r="AA156" s="18" t="s">
        <v>488</v>
      </c>
      <c r="AB156" s="22" t="s">
        <v>490</v>
      </c>
      <c r="AC156" s="59">
        <v>3.6405952380952398</v>
      </c>
      <c r="AD156" s="59">
        <v>8.6549999999999994</v>
      </c>
      <c r="AE156" s="22">
        <v>528</v>
      </c>
      <c r="AF156" s="22">
        <v>1528</v>
      </c>
      <c r="AG156" s="22">
        <v>948.63492063492095</v>
      </c>
      <c r="AH156" s="6">
        <v>10</v>
      </c>
      <c r="AI156" s="6">
        <v>300</v>
      </c>
      <c r="AJ156" s="6">
        <v>14</v>
      </c>
      <c r="AK156" s="24">
        <v>300</v>
      </c>
      <c r="AL156" s="24">
        <v>14</v>
      </c>
      <c r="AM156" s="5">
        <f t="shared" si="129"/>
        <v>920.63492063492095</v>
      </c>
      <c r="AN156" s="26">
        <f t="shared" si="130"/>
        <v>176.06349206349208</v>
      </c>
      <c r="AO156" s="26">
        <f t="shared" si="131"/>
        <v>248482.7399356656</v>
      </c>
      <c r="AP156" s="15">
        <f t="shared" si="132"/>
        <v>6307.6719576719579</v>
      </c>
      <c r="AQ156" s="5">
        <f t="shared" si="133"/>
        <v>5238.7432621467533</v>
      </c>
      <c r="AR156" s="26">
        <f t="shared" si="134"/>
        <v>420.51146384479722</v>
      </c>
      <c r="AS156" s="26">
        <f t="shared" si="135"/>
        <v>3022.1941546989178</v>
      </c>
      <c r="AT156" s="26">
        <f t="shared" si="136"/>
        <v>37.567600585756203</v>
      </c>
      <c r="AU156" s="26">
        <f t="shared" si="137"/>
        <v>5.9854925384629922</v>
      </c>
      <c r="AV156" s="95">
        <f t="shared" si="138"/>
        <v>8.6034497354497351E-7</v>
      </c>
      <c r="AW156" s="95">
        <f t="shared" si="139"/>
        <v>13758293.349206358</v>
      </c>
      <c r="AX156" s="95">
        <f t="shared" si="140"/>
        <v>1.3758293349206359E-5</v>
      </c>
      <c r="AY156" s="54">
        <f t="shared" si="141"/>
        <v>0.1548581140202015</v>
      </c>
      <c r="AZ156" s="54" t="str">
        <f>_xll.Dce_Name_SectI(AE156,AF156,AI156,AH156,AJ156,"x","-",$O$11)</f>
        <v>(528-1528)x300x10x14</v>
      </c>
      <c r="BA156" s="15">
        <f t="shared" si="142"/>
        <v>700.97619047619071</v>
      </c>
      <c r="BB156" s="54"/>
      <c r="BC156" s="54"/>
      <c r="BD156" s="22" t="s">
        <v>511</v>
      </c>
      <c r="BE156" s="23">
        <v>-39.462816350183033</v>
      </c>
      <c r="BF156" s="23">
        <v>-30.233609222605907</v>
      </c>
      <c r="BG156" s="23">
        <v>-1.7076666317770515E-3</v>
      </c>
      <c r="BH156" s="23">
        <v>2.3851162938160779E-5</v>
      </c>
      <c r="BI156" s="23">
        <v>6.2332018320357292E-3</v>
      </c>
      <c r="BJ156" s="23">
        <v>147.22092068686868</v>
      </c>
      <c r="BK156" s="23">
        <v>110.09643937336432</v>
      </c>
      <c r="BL156" s="92">
        <v>2.25</v>
      </c>
      <c r="BM156" s="91">
        <v>2</v>
      </c>
      <c r="BN156" s="5">
        <f t="shared" si="143"/>
        <v>19.473749999999999</v>
      </c>
      <c r="BO156" s="54">
        <f>_xll.Bimoment(BH156,AY156,AC156,AD156,$O$101)</f>
        <v>-1.8343134433489216E-4</v>
      </c>
      <c r="BP156" s="5">
        <f t="shared" si="144"/>
        <v>0.45620689655172403</v>
      </c>
      <c r="BQ156" s="5">
        <f t="shared" si="145"/>
        <v>15.562518991090977</v>
      </c>
      <c r="BR156" s="24" t="str">
        <f t="shared" si="146"/>
        <v>Cal</v>
      </c>
      <c r="BS156" s="25">
        <f t="shared" si="147"/>
        <v>9.8061113924623119E-3</v>
      </c>
      <c r="BT156" s="25" t="str">
        <f t="shared" si="148"/>
        <v>CT.105</v>
      </c>
      <c r="BU156" s="25">
        <f t="shared" si="149"/>
        <v>1</v>
      </c>
      <c r="BV156" s="25" cm="1">
        <f t="array" ref="BV156">IF(BT156="CT.104",_xll.TCVN5575AnnexEHeSoCx(1,BP156),1)</f>
        <v>1</v>
      </c>
      <c r="BW156" s="25">
        <f t="shared" si="150"/>
        <v>1</v>
      </c>
      <c r="BX156" s="25">
        <f t="shared" si="151"/>
        <v>1.0322222518381382E-2</v>
      </c>
      <c r="BY156" s="25">
        <f t="shared" si="152"/>
        <v>0.12941865027238417</v>
      </c>
      <c r="BZ156" s="25">
        <f t="shared" si="153"/>
        <v>6.8263382145012798E-5</v>
      </c>
      <c r="CA156" s="25">
        <f t="shared" si="154"/>
        <v>4.3039449003188514E-6</v>
      </c>
      <c r="CB156" s="25">
        <f t="shared" si="155"/>
        <v>0.13981344011781088</v>
      </c>
      <c r="CC156" s="5" t="str">
        <f t="shared" si="156"/>
        <v>OK</v>
      </c>
      <c r="CD156" s="5">
        <f t="shared" si="157"/>
        <v>51.836555160202302</v>
      </c>
      <c r="CE156" s="5">
        <f t="shared" si="158"/>
        <v>33.414125690541383</v>
      </c>
      <c r="CF156" s="5">
        <f t="shared" si="159"/>
        <v>1.7266865002204341</v>
      </c>
      <c r="CG156" s="5">
        <f t="shared" si="160"/>
        <v>1.1130315193248546</v>
      </c>
      <c r="CH156" s="5">
        <f t="shared" si="161"/>
        <v>12.53786672801529</v>
      </c>
      <c r="CI156" s="68">
        <f>_xll.DCETCVN5575PhuLucD2Eta(BP156,CH156,CF156)</f>
        <v>1.2412413793103447</v>
      </c>
      <c r="CJ156" s="5">
        <f t="shared" si="162"/>
        <v>15.562518991090977</v>
      </c>
      <c r="CK156" s="5">
        <f>MIN(noisuy2chieu(CJ156,CF156,Data!$DA$2:$EB$24),1)</f>
        <v>8.8351130485534668E-2</v>
      </c>
      <c r="CL156" s="102">
        <f t="shared" si="163"/>
        <v>0.11683181031929629</v>
      </c>
      <c r="CM156" s="5" t="str">
        <f t="shared" si="164"/>
        <v>OK</v>
      </c>
      <c r="CN156" s="5">
        <f t="shared" si="165"/>
        <v>0.88472625978979058</v>
      </c>
      <c r="CO156" s="5">
        <f t="shared" si="166"/>
        <v>0.5370345235716667</v>
      </c>
      <c r="CP156" s="25">
        <f>_xll.DCETCVNPhuLucFHeSoOnDinh(1, 0.2, AG156, AH156, AI156, AJ156, AI156, AJ156, $D$28)</f>
        <v>1</v>
      </c>
      <c r="CQ156" s="68">
        <f t="shared" si="167"/>
        <v>0.9</v>
      </c>
      <c r="CR156" s="68">
        <f t="shared" si="168"/>
        <v>1</v>
      </c>
      <c r="CS156" s="5">
        <f t="shared" si="169"/>
        <v>0.18181818181818182</v>
      </c>
      <c r="CT156" s="5">
        <f t="shared" si="170"/>
        <v>0.10155106457844131</v>
      </c>
      <c r="CU156" s="26">
        <f t="shared" si="171"/>
        <v>9.3762114626917921</v>
      </c>
      <c r="CV156" s="5"/>
      <c r="CW156" s="25"/>
      <c r="CX156" s="72">
        <f>MAX(_xll.Dce_c_925(CU156, CQ156, CR156, CN156, CP156, CS156, CT156),0.3)</f>
        <v>0.3</v>
      </c>
      <c r="CY156" s="102">
        <f t="shared" si="172"/>
        <v>3.8890456809521801E-2</v>
      </c>
      <c r="CZ156" s="5" t="str">
        <f t="shared" si="173"/>
        <v>OK</v>
      </c>
      <c r="DA156" s="47">
        <f t="shared" si="174"/>
        <v>0.34499859601035404</v>
      </c>
      <c r="DB156" s="46">
        <f t="shared" si="175"/>
        <v>0.47130315193248545</v>
      </c>
      <c r="DC156" s="5" t="str">
        <f t="shared" si="176"/>
        <v>OK</v>
      </c>
      <c r="DD156" s="5">
        <f t="shared" si="177"/>
        <v>1.7266865002204341</v>
      </c>
      <c r="DE156" s="5">
        <f t="shared" si="178"/>
        <v>3.0666541867587034</v>
      </c>
      <c r="DF156" s="5" t="str">
        <f t="shared" si="179"/>
        <v>-</v>
      </c>
      <c r="DG156" s="5" t="str">
        <f t="shared" si="180"/>
        <v>-</v>
      </c>
      <c r="DH156" s="203">
        <f t="shared" si="181"/>
        <v>51.836555160202302</v>
      </c>
      <c r="DI156" s="203">
        <f t="shared" si="182"/>
        <v>180</v>
      </c>
      <c r="DJ156" s="46">
        <f t="shared" si="183"/>
        <v>0.28798086200112388</v>
      </c>
      <c r="DK156" s="5" t="str">
        <f t="shared" si="184"/>
        <v>OK</v>
      </c>
      <c r="EB156" s="18"/>
      <c r="EC156" s="77"/>
      <c r="ED156" s="77"/>
      <c r="EE156" s="18"/>
      <c r="EF156" s="18"/>
      <c r="EG156" s="18"/>
      <c r="EH156" s="5"/>
      <c r="EI156" s="5"/>
      <c r="EJ156" s="5"/>
      <c r="EK156" s="5"/>
      <c r="EL156" s="5"/>
      <c r="FE156" s="26"/>
      <c r="FF156" s="26"/>
      <c r="FG156" s="26"/>
      <c r="FH156" s="26"/>
      <c r="FI156" s="26"/>
      <c r="FJ156" s="26"/>
      <c r="FK156" s="26"/>
      <c r="FL156" s="26"/>
      <c r="FM156" s="26"/>
      <c r="FN156" s="205"/>
      <c r="FO156" s="205"/>
      <c r="FP156" s="205"/>
      <c r="FQ156" s="205"/>
      <c r="FR156" s="205"/>
      <c r="FS156" s="205"/>
      <c r="FT156" s="205"/>
      <c r="FU156" s="77"/>
      <c r="FV156" s="77"/>
      <c r="FW156" s="77"/>
      <c r="FX156" s="205"/>
      <c r="FY156" s="205"/>
      <c r="FZ156" s="205"/>
      <c r="GA156" s="205"/>
      <c r="GB156" s="205"/>
      <c r="GC156" s="205"/>
      <c r="GD156" s="205"/>
      <c r="GE156" s="205"/>
      <c r="GF156" s="205"/>
      <c r="GG156" s="205"/>
      <c r="GH156" s="205"/>
      <c r="GI156" s="205"/>
      <c r="GJ156" s="205"/>
      <c r="GK156" s="205"/>
      <c r="GL156" s="205"/>
      <c r="GM156" s="205"/>
      <c r="GN156" s="205"/>
      <c r="GO156" s="205"/>
      <c r="GP156" s="205"/>
      <c r="GQ156" s="205"/>
      <c r="GR156" s="205"/>
      <c r="GS156" s="205"/>
      <c r="GT156" s="205"/>
      <c r="GU156" s="205"/>
      <c r="GV156" s="18"/>
      <c r="GW156" s="5"/>
      <c r="GX156" s="5"/>
      <c r="GY156" s="77"/>
      <c r="GZ156" s="18"/>
      <c r="HA156" s="18"/>
      <c r="HB156" s="18"/>
      <c r="HC156" s="18"/>
      <c r="HD156" s="18"/>
      <c r="HE156" s="18"/>
      <c r="HF156" s="18"/>
      <c r="HG156" s="18"/>
      <c r="HH156" s="205"/>
      <c r="HI156" s="26"/>
      <c r="HJ156" s="26"/>
      <c r="HK156" s="5"/>
    </row>
    <row r="157" spans="27:219">
      <c r="AA157" s="18" t="s">
        <v>488</v>
      </c>
      <c r="AB157" s="22" t="s">
        <v>490</v>
      </c>
      <c r="AC157" s="59">
        <v>7.2811904761904795</v>
      </c>
      <c r="AD157" s="59">
        <v>8.6549999999999994</v>
      </c>
      <c r="AE157" s="22">
        <v>528</v>
      </c>
      <c r="AF157" s="22">
        <v>1528</v>
      </c>
      <c r="AG157" s="22">
        <v>1369.2698412698419</v>
      </c>
      <c r="AH157" s="6">
        <v>10</v>
      </c>
      <c r="AI157" s="6">
        <v>300</v>
      </c>
      <c r="AJ157" s="6">
        <v>14</v>
      </c>
      <c r="AK157" s="24">
        <v>300</v>
      </c>
      <c r="AL157" s="24">
        <v>14</v>
      </c>
      <c r="AM157" s="5">
        <f t="shared" si="129"/>
        <v>1341.2698412698419</v>
      </c>
      <c r="AN157" s="26">
        <f t="shared" si="130"/>
        <v>218.12698412698418</v>
      </c>
      <c r="AO157" s="26">
        <f t="shared" si="131"/>
        <v>586811.79072745051</v>
      </c>
      <c r="AP157" s="15">
        <f t="shared" si="132"/>
        <v>6311.1772486772488</v>
      </c>
      <c r="AQ157" s="5">
        <f t="shared" si="133"/>
        <v>8571.1635945074104</v>
      </c>
      <c r="AR157" s="26">
        <f t="shared" si="134"/>
        <v>420.74514991181661</v>
      </c>
      <c r="AS157" s="26">
        <f t="shared" si="135"/>
        <v>5094.8226505417015</v>
      </c>
      <c r="AT157" s="26">
        <f t="shared" si="136"/>
        <v>51.867428670398397</v>
      </c>
      <c r="AU157" s="26">
        <f t="shared" si="137"/>
        <v>5.3789869588463937</v>
      </c>
      <c r="AV157" s="95">
        <f t="shared" si="138"/>
        <v>1.0005566137566139E-6</v>
      </c>
      <c r="AW157" s="95">
        <f t="shared" si="139"/>
        <v>28928912.396825422</v>
      </c>
      <c r="AX157" s="95">
        <f t="shared" si="140"/>
        <v>2.8928912396825422E-5</v>
      </c>
      <c r="AY157" s="54">
        <f t="shared" si="141"/>
        <v>0.11516876660535029</v>
      </c>
      <c r="AZ157" s="54" t="str">
        <f>_xll.Dce_Name_SectI(AE157,AF157,AI157,AH157,AJ157,"x","-",$O$11)</f>
        <v>(528-1528)x300x10x14</v>
      </c>
      <c r="BA157" s="15">
        <f t="shared" si="142"/>
        <v>1016.4523809523813</v>
      </c>
      <c r="BB157" s="54"/>
      <c r="BC157" s="54"/>
      <c r="BD157" s="22" t="s">
        <v>511</v>
      </c>
      <c r="BE157" s="23">
        <v>-31.584527413124817</v>
      </c>
      <c r="BF157" s="23">
        <v>-9.7777735654805156</v>
      </c>
      <c r="BG157" s="23">
        <v>-1.7076666317757958E-3</v>
      </c>
      <c r="BH157" s="23">
        <v>2.3851162938160779E-5</v>
      </c>
      <c r="BI157" s="23">
        <v>1.2464765802579473E-2</v>
      </c>
      <c r="BJ157" s="23">
        <v>220.19287874672864</v>
      </c>
      <c r="BK157" s="23">
        <v>110.09643937336432</v>
      </c>
      <c r="BL157" s="92">
        <v>2.25</v>
      </c>
      <c r="BM157" s="91">
        <v>2</v>
      </c>
      <c r="BN157" s="5">
        <f t="shared" si="143"/>
        <v>19.473749999999999</v>
      </c>
      <c r="BO157" s="54">
        <f>_xll.Bimoment(BH157,AY157,AC157,AD157,$O$101)</f>
        <v>-1.0911120944536922E-4</v>
      </c>
      <c r="BP157" s="5">
        <f t="shared" si="144"/>
        <v>0.31313609467455605</v>
      </c>
      <c r="BQ157" s="5">
        <f t="shared" si="145"/>
        <v>21.51423008520494</v>
      </c>
      <c r="BR157" s="24" t="str">
        <f t="shared" si="146"/>
        <v>Cal</v>
      </c>
      <c r="BS157" s="25">
        <f t="shared" si="147"/>
        <v>6.3349478738484403E-3</v>
      </c>
      <c r="BT157" s="25" t="str">
        <f t="shared" si="148"/>
        <v>CT.105</v>
      </c>
      <c r="BU157" s="25">
        <f t="shared" si="149"/>
        <v>1</v>
      </c>
      <c r="BV157" s="25" cm="1">
        <f t="array" ref="BV157">IF(BT157="CT.104",_xll.TCVN5575AnnexEHeSoCx(1,BP157),1)</f>
        <v>1</v>
      </c>
      <c r="BW157" s="25">
        <f t="shared" si="150"/>
        <v>1</v>
      </c>
      <c r="BX157" s="25">
        <f t="shared" si="151"/>
        <v>6.668366182998358E-3</v>
      </c>
      <c r="BY157" s="25">
        <f t="shared" si="152"/>
        <v>0.11830904181701951</v>
      </c>
      <c r="BZ157" s="25">
        <f t="shared" si="153"/>
        <v>1.3643300875705068E-4</v>
      </c>
      <c r="CA157" s="25">
        <f t="shared" si="154"/>
        <v>1.7655448442485357E-6</v>
      </c>
      <c r="CB157" s="25">
        <f t="shared" si="155"/>
        <v>0.12511560655361917</v>
      </c>
      <c r="CC157" s="5" t="str">
        <f t="shared" si="156"/>
        <v>OK</v>
      </c>
      <c r="CD157" s="5">
        <f t="shared" si="157"/>
        <v>37.545238889226049</v>
      </c>
      <c r="CE157" s="5">
        <f t="shared" si="158"/>
        <v>37.181722419139881</v>
      </c>
      <c r="CF157" s="5">
        <f t="shared" si="159"/>
        <v>1.2506397644909562</v>
      </c>
      <c r="CG157" s="5">
        <f t="shared" si="160"/>
        <v>1.2385309547993069</v>
      </c>
      <c r="CH157" s="5">
        <f t="shared" si="161"/>
        <v>17.741833392212296</v>
      </c>
      <c r="CI157" s="68">
        <f>_xll.DCETCVN5575PhuLucD2Eta(BP157,CH157,CF157)</f>
        <v>1.2126272189349112</v>
      </c>
      <c r="CJ157" s="5">
        <f t="shared" si="162"/>
        <v>21.51423008520494</v>
      </c>
      <c r="CK157" s="5">
        <f>MIN(noisuy2chieu(CJ157,CF157,Data!$DA$2:$EB$24),1)</f>
        <v>7.1994885802268982E-2</v>
      </c>
      <c r="CL157" s="102">
        <f t="shared" si="163"/>
        <v>9.2622776030407972E-2</v>
      </c>
      <c r="CM157" s="5" t="str">
        <f t="shared" si="164"/>
        <v>OK</v>
      </c>
      <c r="CN157" s="5">
        <f t="shared" si="165"/>
        <v>0.86643683692746631</v>
      </c>
      <c r="CO157" s="5">
        <f t="shared" si="166"/>
        <v>0.5370345235716667</v>
      </c>
      <c r="CP157" s="25">
        <f>_xll.DCETCVNPhuLucFHeSoOnDinh(1, 0.2, AG157, AH157, AI157, AJ157, AI157, AJ157, $D$28)</f>
        <v>1</v>
      </c>
      <c r="CQ157" s="68">
        <f t="shared" si="167"/>
        <v>0.9</v>
      </c>
      <c r="CR157" s="68">
        <f t="shared" si="168"/>
        <v>1</v>
      </c>
      <c r="CS157" s="5">
        <f t="shared" si="169"/>
        <v>0.18181818181818182</v>
      </c>
      <c r="CT157" s="5">
        <f t="shared" si="170"/>
        <v>0.10347287704587492</v>
      </c>
      <c r="CU157" s="26">
        <f t="shared" si="171"/>
        <v>8.8709166961061481</v>
      </c>
      <c r="CV157" s="5"/>
      <c r="CW157" s="25"/>
      <c r="CX157" s="72">
        <f>MAX(_xll.Dce_c_925(CU157, CQ157, CR157, CN157, CP157, CS157, CT157),0.3)</f>
        <v>0.3</v>
      </c>
      <c r="CY157" s="102">
        <f t="shared" si="172"/>
        <v>2.5654365476293805E-2</v>
      </c>
      <c r="CZ157" s="5" t="str">
        <f t="shared" si="173"/>
        <v>OK</v>
      </c>
      <c r="DA157" s="47">
        <f t="shared" si="174"/>
        <v>0.34499859601035404</v>
      </c>
      <c r="DB157" s="46">
        <f t="shared" si="175"/>
        <v>0.48385309547993066</v>
      </c>
      <c r="DC157" s="5" t="str">
        <f t="shared" si="176"/>
        <v>OK</v>
      </c>
      <c r="DD157" s="5">
        <f t="shared" si="177"/>
        <v>1.2506397644909562</v>
      </c>
      <c r="DE157" s="5">
        <f t="shared" si="178"/>
        <v>4.4677979100191463</v>
      </c>
      <c r="DF157" s="5" t="str">
        <f t="shared" si="179"/>
        <v>-</v>
      </c>
      <c r="DG157" s="5" t="str">
        <f t="shared" si="180"/>
        <v>-</v>
      </c>
      <c r="DH157" s="203">
        <f t="shared" si="181"/>
        <v>37.545238889226049</v>
      </c>
      <c r="DI157" s="203">
        <f t="shared" si="182"/>
        <v>180</v>
      </c>
      <c r="DJ157" s="46">
        <f t="shared" si="183"/>
        <v>0.20858466049570026</v>
      </c>
      <c r="DK157" s="5" t="str">
        <f t="shared" si="184"/>
        <v>OK</v>
      </c>
      <c r="EB157" s="18"/>
      <c r="EC157" s="77"/>
      <c r="ED157" s="77"/>
      <c r="EE157" s="18"/>
      <c r="EF157" s="18"/>
      <c r="EG157" s="18"/>
      <c r="EH157" s="5"/>
      <c r="EI157" s="5"/>
      <c r="EJ157" s="5"/>
      <c r="EK157" s="5"/>
      <c r="EL157" s="5"/>
      <c r="FE157" s="26"/>
      <c r="FF157" s="26"/>
      <c r="FG157" s="26"/>
      <c r="FH157" s="26"/>
      <c r="FI157" s="26"/>
      <c r="FJ157" s="26"/>
      <c r="FK157" s="26"/>
      <c r="FL157" s="26"/>
      <c r="FM157" s="26"/>
      <c r="FN157" s="205"/>
      <c r="FO157" s="205"/>
      <c r="FP157" s="205"/>
      <c r="FQ157" s="205"/>
      <c r="FR157" s="205"/>
      <c r="FS157" s="205"/>
      <c r="FT157" s="205"/>
      <c r="FU157" s="77"/>
      <c r="FV157" s="77"/>
      <c r="FW157" s="77"/>
      <c r="FX157" s="205"/>
      <c r="FY157" s="205"/>
      <c r="FZ157" s="205"/>
      <c r="GA157" s="205"/>
      <c r="GB157" s="205"/>
      <c r="GC157" s="205"/>
      <c r="GD157" s="205"/>
      <c r="GE157" s="205"/>
      <c r="GF157" s="205"/>
      <c r="GG157" s="205"/>
      <c r="GH157" s="205"/>
      <c r="GI157" s="205"/>
      <c r="GJ157" s="205"/>
      <c r="GK157" s="205"/>
      <c r="GL157" s="205"/>
      <c r="GM157" s="205"/>
      <c r="GN157" s="205"/>
      <c r="GO157" s="205"/>
      <c r="GP157" s="205"/>
      <c r="GQ157" s="205"/>
      <c r="GR157" s="205"/>
      <c r="GS157" s="205"/>
      <c r="GT157" s="205"/>
      <c r="GU157" s="205"/>
      <c r="GV157" s="18"/>
      <c r="GW157" s="5"/>
      <c r="GX157" s="5"/>
      <c r="GY157" s="77"/>
      <c r="GZ157" s="18"/>
      <c r="HA157" s="18"/>
      <c r="HB157" s="18"/>
      <c r="HC157" s="18"/>
      <c r="HD157" s="18"/>
      <c r="HE157" s="18"/>
      <c r="HF157" s="18"/>
      <c r="HG157" s="18"/>
      <c r="HH157" s="205"/>
      <c r="HI157" s="26"/>
      <c r="HJ157" s="26"/>
      <c r="HK157" s="5"/>
    </row>
    <row r="158" spans="27:219">
      <c r="AA158" s="18" t="s">
        <v>488</v>
      </c>
      <c r="AB158" s="22" t="s">
        <v>490</v>
      </c>
      <c r="AC158" s="59">
        <v>0</v>
      </c>
      <c r="AD158" s="59">
        <v>8.6549999999999994</v>
      </c>
      <c r="AE158" s="22">
        <v>528</v>
      </c>
      <c r="AF158" s="22">
        <v>1528</v>
      </c>
      <c r="AG158" s="22">
        <v>528</v>
      </c>
      <c r="AH158" s="6">
        <v>10</v>
      </c>
      <c r="AI158" s="6">
        <v>300</v>
      </c>
      <c r="AJ158" s="6">
        <v>14</v>
      </c>
      <c r="AK158" s="24">
        <v>300</v>
      </c>
      <c r="AL158" s="24">
        <v>14</v>
      </c>
      <c r="AM158" s="5">
        <f t="shared" si="129"/>
        <v>500</v>
      </c>
      <c r="AN158" s="26">
        <f t="shared" si="130"/>
        <v>134</v>
      </c>
      <c r="AO158" s="26">
        <f t="shared" si="131"/>
        <v>65911.546666666676</v>
      </c>
      <c r="AP158" s="15">
        <f t="shared" si="132"/>
        <v>6304.166666666667</v>
      </c>
      <c r="AQ158" s="5">
        <f t="shared" si="133"/>
        <v>2496.6494949494954</v>
      </c>
      <c r="AR158" s="26">
        <f t="shared" si="134"/>
        <v>420.27777777777777</v>
      </c>
      <c r="AS158" s="26">
        <f t="shared" si="135"/>
        <v>1391.9</v>
      </c>
      <c r="AT158" s="26">
        <f t="shared" si="136"/>
        <v>22.178305028345793</v>
      </c>
      <c r="AU158" s="26">
        <f t="shared" si="137"/>
        <v>6.8590101254115021</v>
      </c>
      <c r="AV158" s="95">
        <f t="shared" si="138"/>
        <v>7.201333333333334E-7</v>
      </c>
      <c r="AW158" s="95">
        <f t="shared" si="139"/>
        <v>4161087</v>
      </c>
      <c r="AX158" s="95">
        <f t="shared" si="140"/>
        <v>4.1610870000000001E-6</v>
      </c>
      <c r="AY158" s="54">
        <f t="shared" si="141"/>
        <v>0.25762202780669918</v>
      </c>
      <c r="AZ158" s="54" t="str">
        <f>_xll.Dce_Name_SectI(AE158,AF158,AI158,AH158,AJ158,"x","-",$O$11)</f>
        <v>(528-1528)x300x10x14</v>
      </c>
      <c r="BA158" s="15">
        <f t="shared" si="142"/>
        <v>385.5</v>
      </c>
      <c r="BB158" s="54"/>
      <c r="BC158" s="54"/>
      <c r="BD158" s="22" t="s">
        <v>512</v>
      </c>
      <c r="BE158" s="23">
        <v>-155.93029894462128</v>
      </c>
      <c r="BF158" s="23">
        <v>-145.04274415985671</v>
      </c>
      <c r="BG158" s="23">
        <v>-2.1918563704065156E-4</v>
      </c>
      <c r="BH158" s="23">
        <v>3.0613892931418272E-6</v>
      </c>
      <c r="BI158" s="23">
        <v>2.1022587379973532E-7</v>
      </c>
      <c r="BJ158" s="23">
        <v>-2.0387814445358283</v>
      </c>
      <c r="BK158" s="23">
        <v>496.87533184408392</v>
      </c>
      <c r="BL158" s="92">
        <v>2.25</v>
      </c>
      <c r="BM158" s="91">
        <v>2</v>
      </c>
      <c r="BN158" s="5">
        <f t="shared" si="143"/>
        <v>19.473749999999999</v>
      </c>
      <c r="BO158" s="54">
        <f>_xll.Bimoment(BH158,AY158,AC158,AD158,$O$101)</f>
        <v>0</v>
      </c>
      <c r="BP158" s="5">
        <f t="shared" si="144"/>
        <v>0.84</v>
      </c>
      <c r="BQ158" s="5">
        <f t="shared" si="145"/>
        <v>0.10644464287476792</v>
      </c>
      <c r="BR158" s="24" t="str">
        <f t="shared" si="146"/>
        <v>Cal</v>
      </c>
      <c r="BS158" s="25">
        <f t="shared" si="147"/>
        <v>5.0910078946471503E-2</v>
      </c>
      <c r="BT158" s="25" t="str">
        <f t="shared" si="148"/>
        <v>CT.105</v>
      </c>
      <c r="BU158" s="25">
        <f t="shared" si="149"/>
        <v>1</v>
      </c>
      <c r="BV158" s="25" cm="1">
        <f t="array" ref="BV158">IF(BT158="CT.104",_xll.TCVN5575AnnexEHeSoCx(1,BP158),1)</f>
        <v>1</v>
      </c>
      <c r="BW158" s="25">
        <f t="shared" si="150"/>
        <v>1</v>
      </c>
      <c r="BX158" s="25">
        <f t="shared" si="151"/>
        <v>5.3589556785759475E-2</v>
      </c>
      <c r="BY158" s="25">
        <f t="shared" si="152"/>
        <v>3.760690113896101E-3</v>
      </c>
      <c r="BZ158" s="25">
        <f t="shared" si="153"/>
        <v>2.3035847304733233E-9</v>
      </c>
      <c r="CA158" s="25">
        <f t="shared" si="154"/>
        <v>0</v>
      </c>
      <c r="CB158" s="25">
        <f t="shared" si="155"/>
        <v>5.7350249203240306E-2</v>
      </c>
      <c r="CC158" s="5" t="str">
        <f t="shared" si="156"/>
        <v>OK</v>
      </c>
      <c r="CD158" s="5">
        <f t="shared" si="157"/>
        <v>87.805402509844015</v>
      </c>
      <c r="CE158" s="5">
        <f t="shared" si="158"/>
        <v>29.158726455153193</v>
      </c>
      <c r="CF158" s="5">
        <f t="shared" si="159"/>
        <v>2.9248163326364334</v>
      </c>
      <c r="CG158" s="5">
        <f t="shared" si="160"/>
        <v>0.97128328026682387</v>
      </c>
      <c r="CH158" s="5">
        <f t="shared" si="161"/>
        <v>7.0175801769188015E-2</v>
      </c>
      <c r="CI158" s="68">
        <f>_xll.DCETCVN5575PhuLucD2Eta(BP158,CH158,CF158)</f>
        <v>1.5168283110589897</v>
      </c>
      <c r="CJ158" s="5">
        <f t="shared" si="162"/>
        <v>0.10644464287476792</v>
      </c>
      <c r="CK158" s="5">
        <f>MIN(noisuy2chieu(CJ158,CF158,Data!$DA$2:$EB$24),1)</f>
        <v>0.67527008056640625</v>
      </c>
      <c r="CL158" s="102">
        <f t="shared" si="163"/>
        <v>7.9360182433685478E-2</v>
      </c>
      <c r="CM158" s="5" t="str">
        <f t="shared" si="164"/>
        <v>OK</v>
      </c>
      <c r="CN158" s="5">
        <f t="shared" si="165"/>
        <v>0.90492218941026858</v>
      </c>
      <c r="CO158" s="5">
        <f t="shared" si="166"/>
        <v>0.5370345235716667</v>
      </c>
      <c r="CP158" s="25">
        <f>_xll.DCETCVNPhuLucFHeSoOnDinh(1, 0.2, AG158, AH158, AI158, AJ158, AI158, AJ158, $D$28)</f>
        <v>1</v>
      </c>
      <c r="CQ158" s="68">
        <f t="shared" si="167"/>
        <v>0.9</v>
      </c>
      <c r="CR158" s="68">
        <f t="shared" si="168"/>
        <v>1</v>
      </c>
      <c r="CS158" s="5">
        <f t="shared" si="169"/>
        <v>0.18181818181818182</v>
      </c>
      <c r="CT158" s="5">
        <f t="shared" si="170"/>
        <v>9.9510191986788829E-2</v>
      </c>
      <c r="CU158" s="26">
        <f t="shared" si="171"/>
        <v>17.102679095369407</v>
      </c>
      <c r="CV158" s="5"/>
      <c r="CW158" s="25"/>
      <c r="CX158" s="72">
        <f>MAX(_xll.Dce_c_925(CU158, CQ158, CR158, CN158, CP158, CS158, CT158),0.3)</f>
        <v>0.3</v>
      </c>
      <c r="CY158" s="102">
        <f t="shared" si="172"/>
        <v>0.19740023843259352</v>
      </c>
      <c r="CZ158" s="5" t="str">
        <f t="shared" si="173"/>
        <v>OK</v>
      </c>
      <c r="DA158" s="47">
        <f t="shared" si="174"/>
        <v>0.34499859601035404</v>
      </c>
      <c r="DB158" s="46">
        <f t="shared" si="175"/>
        <v>0.45712832802668235</v>
      </c>
      <c r="DC158" s="5" t="str">
        <f t="shared" si="176"/>
        <v>OK</v>
      </c>
      <c r="DD158" s="5">
        <f t="shared" si="177"/>
        <v>2.9248163326364334</v>
      </c>
      <c r="DE158" s="5">
        <f t="shared" si="178"/>
        <v>1.6655104634982609</v>
      </c>
      <c r="DF158" s="5" t="str">
        <f t="shared" si="179"/>
        <v>-</v>
      </c>
      <c r="DG158" s="5" t="str">
        <f t="shared" si="180"/>
        <v>-</v>
      </c>
      <c r="DH158" s="203" t="str">
        <f t="shared" si="181"/>
        <v>-</v>
      </c>
      <c r="DI158" s="203">
        <f t="shared" si="182"/>
        <v>180</v>
      </c>
      <c r="DJ158" s="46">
        <f t="shared" si="183"/>
        <v>0</v>
      </c>
      <c r="DK158" s="5" t="str">
        <f t="shared" si="184"/>
        <v>OK</v>
      </c>
      <c r="EB158" s="18"/>
      <c r="EC158" s="77"/>
      <c r="ED158" s="77"/>
      <c r="EE158" s="18"/>
      <c r="EF158" s="18"/>
      <c r="EG158" s="18"/>
      <c r="EH158" s="5"/>
      <c r="EI158" s="5"/>
      <c r="EJ158" s="5"/>
      <c r="EK158" s="5"/>
      <c r="EL158" s="5"/>
      <c r="FE158" s="26"/>
      <c r="FF158" s="26"/>
      <c r="FG158" s="26"/>
      <c r="FH158" s="26"/>
      <c r="FI158" s="26"/>
      <c r="FJ158" s="26"/>
      <c r="FK158" s="26"/>
      <c r="FL158" s="26"/>
      <c r="FM158" s="26"/>
      <c r="FN158" s="205"/>
      <c r="FO158" s="205"/>
      <c r="FP158" s="205"/>
      <c r="FQ158" s="205"/>
      <c r="FR158" s="205"/>
      <c r="FS158" s="205"/>
      <c r="FT158" s="205"/>
      <c r="FU158" s="77"/>
      <c r="FV158" s="77"/>
      <c r="FW158" s="77"/>
      <c r="FX158" s="205"/>
      <c r="FY158" s="205"/>
      <c r="FZ158" s="205"/>
      <c r="GA158" s="205"/>
      <c r="GB158" s="205"/>
      <c r="GC158" s="205"/>
      <c r="GD158" s="205"/>
      <c r="GE158" s="205"/>
      <c r="GF158" s="205"/>
      <c r="GG158" s="205"/>
      <c r="GH158" s="205"/>
      <c r="GI158" s="205"/>
      <c r="GJ158" s="205"/>
      <c r="GK158" s="205"/>
      <c r="GL158" s="205"/>
      <c r="GM158" s="205"/>
      <c r="GN158" s="205"/>
      <c r="GO158" s="205"/>
      <c r="GP158" s="205"/>
      <c r="GQ158" s="205"/>
      <c r="GR158" s="205"/>
      <c r="GS158" s="205"/>
      <c r="GT158" s="205"/>
      <c r="GU158" s="205"/>
      <c r="GV158" s="18"/>
      <c r="GW158" s="5"/>
      <c r="GX158" s="5"/>
      <c r="GY158" s="77"/>
      <c r="GZ158" s="18"/>
      <c r="HA158" s="18"/>
      <c r="HB158" s="18"/>
      <c r="HC158" s="18"/>
      <c r="HD158" s="18"/>
      <c r="HE158" s="18"/>
      <c r="HF158" s="18"/>
      <c r="HG158" s="18"/>
      <c r="HH158" s="205"/>
      <c r="HI158" s="26"/>
      <c r="HJ158" s="26"/>
      <c r="HK158" s="5"/>
    </row>
    <row r="159" spans="27:219">
      <c r="AA159" s="18" t="s">
        <v>488</v>
      </c>
      <c r="AB159" s="22" t="s">
        <v>490</v>
      </c>
      <c r="AC159" s="59">
        <v>3.6405952380952398</v>
      </c>
      <c r="AD159" s="59">
        <v>8.6549999999999994</v>
      </c>
      <c r="AE159" s="22">
        <v>528</v>
      </c>
      <c r="AF159" s="22">
        <v>1528</v>
      </c>
      <c r="AG159" s="22">
        <v>948.63492063492095</v>
      </c>
      <c r="AH159" s="6">
        <v>10</v>
      </c>
      <c r="AI159" s="6">
        <v>300</v>
      </c>
      <c r="AJ159" s="6">
        <v>14</v>
      </c>
      <c r="AK159" s="24">
        <v>300</v>
      </c>
      <c r="AL159" s="24">
        <v>14</v>
      </c>
      <c r="AM159" s="5">
        <f t="shared" si="129"/>
        <v>920.63492063492095</v>
      </c>
      <c r="AN159" s="26">
        <f t="shared" si="130"/>
        <v>176.06349206349208</v>
      </c>
      <c r="AO159" s="26">
        <f t="shared" si="131"/>
        <v>248482.7399356656</v>
      </c>
      <c r="AP159" s="15">
        <f t="shared" si="132"/>
        <v>6307.6719576719579</v>
      </c>
      <c r="AQ159" s="5">
        <f t="shared" si="133"/>
        <v>5238.7432621467533</v>
      </c>
      <c r="AR159" s="26">
        <f t="shared" si="134"/>
        <v>420.51146384479722</v>
      </c>
      <c r="AS159" s="26">
        <f t="shared" si="135"/>
        <v>3022.1941546989178</v>
      </c>
      <c r="AT159" s="26">
        <f t="shared" si="136"/>
        <v>37.567600585756203</v>
      </c>
      <c r="AU159" s="26">
        <f t="shared" si="137"/>
        <v>5.9854925384629922</v>
      </c>
      <c r="AV159" s="95">
        <f t="shared" si="138"/>
        <v>8.6034497354497351E-7</v>
      </c>
      <c r="AW159" s="95">
        <f t="shared" si="139"/>
        <v>13758293.349206358</v>
      </c>
      <c r="AX159" s="95">
        <f t="shared" si="140"/>
        <v>1.3758293349206359E-5</v>
      </c>
      <c r="AY159" s="54">
        <f t="shared" si="141"/>
        <v>0.1548581140202015</v>
      </c>
      <c r="AZ159" s="54" t="str">
        <f>_xll.Dce_Name_SectI(AE159,AF159,AI159,AH159,AJ159,"x","-",$O$11)</f>
        <v>(528-1528)x300x10x14</v>
      </c>
      <c r="BA159" s="15">
        <f t="shared" si="142"/>
        <v>700.97619047619071</v>
      </c>
      <c r="BB159" s="54"/>
      <c r="BC159" s="54"/>
      <c r="BD159" s="22" t="s">
        <v>512</v>
      </c>
      <c r="BE159" s="23">
        <v>-150.41349575805543</v>
      </c>
      <c r="BF159" s="23">
        <v>-136.42293847213926</v>
      </c>
      <c r="BG159" s="23">
        <v>-2.1918563704012247E-4</v>
      </c>
      <c r="BH159" s="23">
        <v>3.0613892931418272E-6</v>
      </c>
      <c r="BI159" s="23">
        <v>8.000556366965705E-4</v>
      </c>
      <c r="BJ159" s="23">
        <v>511.48693794137193</v>
      </c>
      <c r="BK159" s="23">
        <v>496.87533184408392</v>
      </c>
      <c r="BL159" s="92">
        <v>2.25</v>
      </c>
      <c r="BM159" s="91">
        <v>2</v>
      </c>
      <c r="BN159" s="5">
        <f t="shared" si="143"/>
        <v>19.473749999999999</v>
      </c>
      <c r="BO159" s="54">
        <f>_xll.Bimoment(BH159,AY159,AC159,AD159,$O$101)</f>
        <v>-2.3544124662994456E-5</v>
      </c>
      <c r="BP159" s="5">
        <f t="shared" si="144"/>
        <v>0.45620689655172403</v>
      </c>
      <c r="BQ159" s="5">
        <f t="shared" si="145"/>
        <v>14.185550169440518</v>
      </c>
      <c r="BR159" s="24" t="str">
        <f t="shared" si="146"/>
        <v>Cal</v>
      </c>
      <c r="BS159" s="25">
        <f t="shared" si="147"/>
        <v>3.7376234915537349E-2</v>
      </c>
      <c r="BT159" s="25" t="str">
        <f t="shared" si="148"/>
        <v>CT.105</v>
      </c>
      <c r="BU159" s="25">
        <f t="shared" si="149"/>
        <v>1</v>
      </c>
      <c r="BV159" s="25" cm="1">
        <f t="array" ref="BV159">IF(BT159="CT.104",_xll.TCVN5575AnnexEHeSoCx(1,BP159),1)</f>
        <v>1</v>
      </c>
      <c r="BW159" s="25">
        <f t="shared" si="150"/>
        <v>1</v>
      </c>
      <c r="BX159" s="25">
        <f t="shared" si="151"/>
        <v>3.9343405174249835E-2</v>
      </c>
      <c r="BY159" s="25">
        <f t="shared" si="152"/>
        <v>0.44963683715252978</v>
      </c>
      <c r="BZ159" s="25">
        <f t="shared" si="153"/>
        <v>8.7618699244418214E-6</v>
      </c>
      <c r="CA159" s="25">
        <f t="shared" si="154"/>
        <v>5.5242802500952331E-7</v>
      </c>
      <c r="CB159" s="25">
        <f t="shared" si="155"/>
        <v>0.48898955662472904</v>
      </c>
      <c r="CC159" s="5" t="str">
        <f t="shared" si="156"/>
        <v>OK</v>
      </c>
      <c r="CD159" s="5">
        <f t="shared" si="157"/>
        <v>51.836555160202302</v>
      </c>
      <c r="CE159" s="5">
        <f t="shared" si="158"/>
        <v>33.414125690541383</v>
      </c>
      <c r="CF159" s="5">
        <f t="shared" si="159"/>
        <v>1.7266865002204341</v>
      </c>
      <c r="CG159" s="5">
        <f t="shared" si="160"/>
        <v>1.1130315193248546</v>
      </c>
      <c r="CH159" s="5">
        <f t="shared" si="161"/>
        <v>11.428518583002974</v>
      </c>
      <c r="CI159" s="68">
        <f>_xll.DCETCVN5575PhuLucD2Eta(BP159,CH159,CF159)</f>
        <v>1.2412413793103447</v>
      </c>
      <c r="CJ159" s="5">
        <f t="shared" si="162"/>
        <v>14.185550169440518</v>
      </c>
      <c r="CK159" s="5">
        <f>MIN(noisuy2chieu(CJ159,CF159,Data!$DA$2:$EB$24),1)</f>
        <v>9.5737770199775696E-2</v>
      </c>
      <c r="CL159" s="102">
        <f t="shared" si="163"/>
        <v>0.41094967108751429</v>
      </c>
      <c r="CM159" s="5" t="str">
        <f t="shared" si="164"/>
        <v>OK</v>
      </c>
      <c r="CN159" s="5">
        <f t="shared" si="165"/>
        <v>0.88472625978979058</v>
      </c>
      <c r="CO159" s="5">
        <f t="shared" si="166"/>
        <v>0.5370345235716667</v>
      </c>
      <c r="CP159" s="25">
        <f>_xll.DCETCVNPhuLucFHeSoOnDinh(1, 0.2, AG159, AH159, AI159, AJ159, AI159, AJ159, $D$28)</f>
        <v>1</v>
      </c>
      <c r="CQ159" s="68">
        <f t="shared" si="167"/>
        <v>0.9</v>
      </c>
      <c r="CR159" s="68">
        <f t="shared" si="168"/>
        <v>1</v>
      </c>
      <c r="CS159" s="5">
        <f t="shared" si="169"/>
        <v>0.18181818181818182</v>
      </c>
      <c r="CT159" s="5">
        <f t="shared" si="170"/>
        <v>0.10155106457844131</v>
      </c>
      <c r="CU159" s="26">
        <f t="shared" si="171"/>
        <v>11.102041014519074</v>
      </c>
      <c r="CV159" s="5"/>
      <c r="CW159" s="25"/>
      <c r="CX159" s="72">
        <f>MAX(_xll.Dce_c_925(CU159, CQ159, CR159, CN159, CP159, CS159, CT159),0.3)</f>
        <v>0.3</v>
      </c>
      <c r="CY159" s="102">
        <f t="shared" si="172"/>
        <v>0.14823193328219497</v>
      </c>
      <c r="CZ159" s="5" t="str">
        <f t="shared" si="173"/>
        <v>OK</v>
      </c>
      <c r="DA159" s="47">
        <f t="shared" si="174"/>
        <v>0.34499859601035404</v>
      </c>
      <c r="DB159" s="46">
        <f t="shared" si="175"/>
        <v>0.47130315193248545</v>
      </c>
      <c r="DC159" s="5" t="str">
        <f t="shared" si="176"/>
        <v>OK</v>
      </c>
      <c r="DD159" s="5">
        <f t="shared" si="177"/>
        <v>1.7266865002204341</v>
      </c>
      <c r="DE159" s="5">
        <f t="shared" si="178"/>
        <v>3.0666541867587034</v>
      </c>
      <c r="DF159" s="5" t="str">
        <f t="shared" si="179"/>
        <v>-</v>
      </c>
      <c r="DG159" s="5" t="str">
        <f t="shared" si="180"/>
        <v>-</v>
      </c>
      <c r="DH159" s="203">
        <f t="shared" si="181"/>
        <v>51.836555160202302</v>
      </c>
      <c r="DI159" s="203">
        <f t="shared" si="182"/>
        <v>180</v>
      </c>
      <c r="DJ159" s="46">
        <f t="shared" si="183"/>
        <v>0.28798086200112388</v>
      </c>
      <c r="DK159" s="5" t="str">
        <f t="shared" si="184"/>
        <v>OK</v>
      </c>
      <c r="EB159" s="18"/>
      <c r="EC159" s="77"/>
      <c r="ED159" s="77"/>
      <c r="EE159" s="18"/>
      <c r="EF159" s="18"/>
      <c r="EG159" s="18"/>
      <c r="EH159" s="5"/>
      <c r="EI159" s="5"/>
      <c r="EJ159" s="5"/>
      <c r="EK159" s="5"/>
      <c r="EL159" s="5"/>
      <c r="FE159" s="26"/>
      <c r="FF159" s="26"/>
      <c r="FG159" s="26"/>
      <c r="FH159" s="26"/>
      <c r="FI159" s="26"/>
      <c r="FJ159" s="26"/>
      <c r="FK159" s="26"/>
      <c r="FL159" s="26"/>
      <c r="FM159" s="26"/>
      <c r="FN159" s="205"/>
      <c r="FO159" s="205"/>
      <c r="FP159" s="205"/>
      <c r="FQ159" s="205"/>
      <c r="FR159" s="205"/>
      <c r="FS159" s="205"/>
      <c r="FT159" s="205"/>
      <c r="FU159" s="77"/>
      <c r="FV159" s="77"/>
      <c r="FW159" s="77"/>
      <c r="FX159" s="205"/>
      <c r="FY159" s="205"/>
      <c r="FZ159" s="205"/>
      <c r="GA159" s="205"/>
      <c r="GB159" s="205"/>
      <c r="GC159" s="205"/>
      <c r="GD159" s="205"/>
      <c r="GE159" s="205"/>
      <c r="GF159" s="205"/>
      <c r="GG159" s="205"/>
      <c r="GH159" s="205"/>
      <c r="GI159" s="205"/>
      <c r="GJ159" s="205"/>
      <c r="GK159" s="205"/>
      <c r="GL159" s="205"/>
      <c r="GM159" s="205"/>
      <c r="GN159" s="205"/>
      <c r="GO159" s="205"/>
      <c r="GP159" s="205"/>
      <c r="GQ159" s="205"/>
      <c r="GR159" s="205"/>
      <c r="GS159" s="205"/>
      <c r="GT159" s="205"/>
      <c r="GU159" s="205"/>
      <c r="GV159" s="18"/>
      <c r="GW159" s="5"/>
      <c r="GX159" s="5"/>
      <c r="GY159" s="77"/>
      <c r="GZ159" s="18"/>
      <c r="HA159" s="18"/>
      <c r="HB159" s="18"/>
      <c r="HC159" s="18"/>
      <c r="HD159" s="18"/>
      <c r="HE159" s="18"/>
      <c r="HF159" s="18"/>
      <c r="HG159" s="18"/>
      <c r="HH159" s="205"/>
      <c r="HI159" s="26"/>
      <c r="HJ159" s="26"/>
      <c r="HK159" s="5"/>
    </row>
    <row r="160" spans="27:219">
      <c r="AA160" s="18" t="s">
        <v>488</v>
      </c>
      <c r="AB160" s="22" t="s">
        <v>490</v>
      </c>
      <c r="AC160" s="59">
        <v>7.2811904761904795</v>
      </c>
      <c r="AD160" s="59">
        <v>8.6549999999999994</v>
      </c>
      <c r="AE160" s="22">
        <v>528</v>
      </c>
      <c r="AF160" s="22">
        <v>1528</v>
      </c>
      <c r="AG160" s="22">
        <v>1369.2698412698419</v>
      </c>
      <c r="AH160" s="6">
        <v>10</v>
      </c>
      <c r="AI160" s="6">
        <v>300</v>
      </c>
      <c r="AJ160" s="6">
        <v>14</v>
      </c>
      <c r="AK160" s="24">
        <v>300</v>
      </c>
      <c r="AL160" s="24">
        <v>14</v>
      </c>
      <c r="AM160" s="5">
        <f t="shared" si="129"/>
        <v>1341.2698412698419</v>
      </c>
      <c r="AN160" s="26">
        <f t="shared" si="130"/>
        <v>218.12698412698418</v>
      </c>
      <c r="AO160" s="26">
        <f t="shared" si="131"/>
        <v>586811.79072745051</v>
      </c>
      <c r="AP160" s="15">
        <f t="shared" si="132"/>
        <v>6311.1772486772488</v>
      </c>
      <c r="AQ160" s="5">
        <f t="shared" si="133"/>
        <v>8571.1635945074104</v>
      </c>
      <c r="AR160" s="26">
        <f t="shared" si="134"/>
        <v>420.74514991181661</v>
      </c>
      <c r="AS160" s="26">
        <f t="shared" si="135"/>
        <v>5094.8226505417015</v>
      </c>
      <c r="AT160" s="26">
        <f t="shared" si="136"/>
        <v>51.867428670398397</v>
      </c>
      <c r="AU160" s="26">
        <f t="shared" si="137"/>
        <v>5.3789869588463937</v>
      </c>
      <c r="AV160" s="95">
        <f t="shared" si="138"/>
        <v>1.0005566137566139E-6</v>
      </c>
      <c r="AW160" s="95">
        <f t="shared" si="139"/>
        <v>28928912.396825422</v>
      </c>
      <c r="AX160" s="95">
        <f t="shared" si="140"/>
        <v>2.8928912396825422E-5</v>
      </c>
      <c r="AY160" s="54">
        <f t="shared" si="141"/>
        <v>0.11516876660535029</v>
      </c>
      <c r="AZ160" s="54" t="str">
        <f>_xll.Dce_Name_SectI(AE160,AF160,AI160,AH160,AJ160,"x","-",$O$11)</f>
        <v>(528-1528)x300x10x14</v>
      </c>
      <c r="BA160" s="15">
        <f t="shared" si="142"/>
        <v>1016.4523809523813</v>
      </c>
      <c r="BB160" s="54"/>
      <c r="BC160" s="54"/>
      <c r="BD160" s="22" t="s">
        <v>512</v>
      </c>
      <c r="BE160" s="23">
        <v>-143.35525682099717</v>
      </c>
      <c r="BF160" s="23">
        <v>-127.90898331501387</v>
      </c>
      <c r="BG160" s="23">
        <v>-2.191856370396001E-4</v>
      </c>
      <c r="BH160" s="23">
        <v>3.0613892931418272E-6</v>
      </c>
      <c r="BI160" s="23">
        <v>1.5999010475174231E-3</v>
      </c>
      <c r="BJ160" s="23">
        <v>993.75066368816783</v>
      </c>
      <c r="BK160" s="23">
        <v>496.87533184408392</v>
      </c>
      <c r="BL160" s="92">
        <v>2.25</v>
      </c>
      <c r="BM160" s="91">
        <v>2</v>
      </c>
      <c r="BN160" s="5">
        <f t="shared" si="143"/>
        <v>19.473749999999999</v>
      </c>
      <c r="BO160" s="54">
        <f>_xll.Bimoment(BH160,AY160,AC160,AD160,$O$101)</f>
        <v>-1.4004847026698765E-5</v>
      </c>
      <c r="BP160" s="5">
        <f t="shared" si="144"/>
        <v>0.31313609467455605</v>
      </c>
      <c r="BQ160" s="5">
        <f t="shared" si="145"/>
        <v>21.392460130436042</v>
      </c>
      <c r="BR160" s="24" t="str">
        <f t="shared" si="146"/>
        <v>Cal</v>
      </c>
      <c r="BS160" s="25">
        <f t="shared" si="147"/>
        <v>2.8752941828909428E-2</v>
      </c>
      <c r="BT160" s="25" t="str">
        <f t="shared" si="148"/>
        <v>CT.105</v>
      </c>
      <c r="BU160" s="25">
        <f t="shared" si="149"/>
        <v>1</v>
      </c>
      <c r="BV160" s="25" cm="1">
        <f t="array" ref="BV160">IF(BT160="CT.104",_xll.TCVN5575AnnexEHeSoCx(1,BP160),1)</f>
        <v>1</v>
      </c>
      <c r="BW160" s="25">
        <f t="shared" si="150"/>
        <v>1</v>
      </c>
      <c r="BX160" s="25">
        <f t="shared" si="151"/>
        <v>3.026625455674677E-2</v>
      </c>
      <c r="BY160" s="25">
        <f t="shared" si="152"/>
        <v>0.533939560149018</v>
      </c>
      <c r="BZ160" s="25">
        <f t="shared" si="153"/>
        <v>1.7511705962513005E-5</v>
      </c>
      <c r="CA160" s="25">
        <f t="shared" si="154"/>
        <v>2.2661453014923792E-7</v>
      </c>
      <c r="CB160" s="25">
        <f t="shared" si="155"/>
        <v>0.56422355302625748</v>
      </c>
      <c r="CC160" s="5" t="str">
        <f t="shared" si="156"/>
        <v>OK</v>
      </c>
      <c r="CD160" s="5">
        <f t="shared" si="157"/>
        <v>37.545238889226049</v>
      </c>
      <c r="CE160" s="5">
        <f t="shared" si="158"/>
        <v>37.181722419139881</v>
      </c>
      <c r="CF160" s="5">
        <f t="shared" si="159"/>
        <v>1.2506397644909562</v>
      </c>
      <c r="CG160" s="5">
        <f t="shared" si="160"/>
        <v>1.2385309547993069</v>
      </c>
      <c r="CH160" s="5">
        <f t="shared" si="161"/>
        <v>17.641415099708645</v>
      </c>
      <c r="CI160" s="68">
        <f>_xll.DCETCVN5575PhuLucD2Eta(BP160,CH160,CF160)</f>
        <v>1.2126272189349112</v>
      </c>
      <c r="CJ160" s="5">
        <f t="shared" si="162"/>
        <v>21.392460130436042</v>
      </c>
      <c r="CK160" s="5">
        <f>MIN(noisuy2chieu(CJ160,CF160,Data!$DA$2:$EB$24),1)</f>
        <v>7.1994885802268982E-2</v>
      </c>
      <c r="CL160" s="102">
        <f t="shared" si="163"/>
        <v>0.42039450746365237</v>
      </c>
      <c r="CM160" s="5" t="str">
        <f t="shared" si="164"/>
        <v>OK</v>
      </c>
      <c r="CN160" s="5">
        <f t="shared" si="165"/>
        <v>0.86643683692746631</v>
      </c>
      <c r="CO160" s="5">
        <f t="shared" si="166"/>
        <v>0.5370345235716667</v>
      </c>
      <c r="CP160" s="25">
        <f>_xll.DCETCVNPhuLucFHeSoOnDinh(1, 0.2, AG160, AH160, AI160, AJ160, AI160, AJ160, $D$28)</f>
        <v>1</v>
      </c>
      <c r="CQ160" s="68">
        <f t="shared" si="167"/>
        <v>0.9</v>
      </c>
      <c r="CR160" s="68">
        <f t="shared" si="168"/>
        <v>1</v>
      </c>
      <c r="CS160" s="5">
        <f t="shared" si="169"/>
        <v>0.18181818181818182</v>
      </c>
      <c r="CT160" s="5">
        <f t="shared" si="170"/>
        <v>0.10347287704587492</v>
      </c>
      <c r="CU160" s="26">
        <f t="shared" si="171"/>
        <v>8.8207075498543226</v>
      </c>
      <c r="CV160" s="5"/>
      <c r="CW160" s="25"/>
      <c r="CX160" s="72">
        <f>MAX(_xll.Dce_c_925(CU160, CQ160, CR160, CN160, CP160, CS160, CT160),0.3)</f>
        <v>0.3</v>
      </c>
      <c r="CY160" s="102">
        <f t="shared" si="172"/>
        <v>0.11643954976212732</v>
      </c>
      <c r="CZ160" s="5" t="str">
        <f t="shared" si="173"/>
        <v>OK</v>
      </c>
      <c r="DA160" s="47">
        <f t="shared" si="174"/>
        <v>0.34499859601035404</v>
      </c>
      <c r="DB160" s="46">
        <f t="shared" si="175"/>
        <v>0.48385309547993066</v>
      </c>
      <c r="DC160" s="5" t="str">
        <f t="shared" si="176"/>
        <v>OK</v>
      </c>
      <c r="DD160" s="5">
        <f t="shared" si="177"/>
        <v>1.2506397644909562</v>
      </c>
      <c r="DE160" s="5">
        <f t="shared" si="178"/>
        <v>4.4677979100191463</v>
      </c>
      <c r="DF160" s="5" t="str">
        <f t="shared" si="179"/>
        <v>-</v>
      </c>
      <c r="DG160" s="5" t="str">
        <f t="shared" si="180"/>
        <v>-</v>
      </c>
      <c r="DH160" s="203">
        <f t="shared" si="181"/>
        <v>37.545238889226049</v>
      </c>
      <c r="DI160" s="203">
        <f t="shared" si="182"/>
        <v>180</v>
      </c>
      <c r="DJ160" s="46">
        <f t="shared" si="183"/>
        <v>0.20858466049570026</v>
      </c>
      <c r="DK160" s="5" t="str">
        <f t="shared" si="184"/>
        <v>OK</v>
      </c>
      <c r="EB160" s="18"/>
      <c r="EC160" s="77"/>
      <c r="ED160" s="77"/>
      <c r="EE160" s="18"/>
      <c r="EF160" s="18"/>
      <c r="EG160" s="18"/>
      <c r="EH160" s="5"/>
      <c r="EI160" s="5"/>
      <c r="EJ160" s="5"/>
      <c r="EK160" s="5"/>
      <c r="EL160" s="5"/>
      <c r="FE160" s="26"/>
      <c r="FF160" s="26"/>
      <c r="FG160" s="26"/>
      <c r="FH160" s="26"/>
      <c r="FI160" s="26"/>
      <c r="FJ160" s="26"/>
      <c r="FK160" s="26"/>
      <c r="FL160" s="26"/>
      <c r="FM160" s="26"/>
      <c r="FN160" s="205"/>
      <c r="FO160" s="205"/>
      <c r="FP160" s="205"/>
      <c r="FQ160" s="205"/>
      <c r="FR160" s="205"/>
      <c r="FS160" s="205"/>
      <c r="FT160" s="205"/>
      <c r="FU160" s="77"/>
      <c r="FV160" s="77"/>
      <c r="FW160" s="77"/>
      <c r="FX160" s="205"/>
      <c r="FY160" s="205"/>
      <c r="FZ160" s="205"/>
      <c r="GA160" s="205"/>
      <c r="GB160" s="205"/>
      <c r="GC160" s="205"/>
      <c r="GD160" s="205"/>
      <c r="GE160" s="205"/>
      <c r="GF160" s="205"/>
      <c r="GG160" s="205"/>
      <c r="GH160" s="205"/>
      <c r="GI160" s="205"/>
      <c r="GJ160" s="205"/>
      <c r="GK160" s="205"/>
      <c r="GL160" s="205"/>
      <c r="GM160" s="205"/>
      <c r="GN160" s="205"/>
      <c r="GO160" s="205"/>
      <c r="GP160" s="205"/>
      <c r="GQ160" s="205"/>
      <c r="GR160" s="205"/>
      <c r="GS160" s="205"/>
      <c r="GT160" s="205"/>
      <c r="GU160" s="205"/>
      <c r="GV160" s="18"/>
      <c r="GW160" s="5"/>
      <c r="GX160" s="5"/>
      <c r="GY160" s="77"/>
      <c r="GZ160" s="18"/>
      <c r="HA160" s="18"/>
      <c r="HB160" s="18"/>
      <c r="HC160" s="18"/>
      <c r="HD160" s="18"/>
      <c r="HE160" s="18"/>
      <c r="HF160" s="18"/>
      <c r="HG160" s="18"/>
      <c r="HH160" s="205"/>
      <c r="HI160" s="26"/>
      <c r="HJ160" s="26"/>
      <c r="HK160" s="5"/>
    </row>
    <row r="161" spans="27:219">
      <c r="AA161" s="18" t="s">
        <v>488</v>
      </c>
      <c r="AB161" s="22" t="s">
        <v>490</v>
      </c>
      <c r="AC161" s="59">
        <v>0</v>
      </c>
      <c r="AD161" s="59">
        <v>8.6549999999999994</v>
      </c>
      <c r="AE161" s="22">
        <v>528</v>
      </c>
      <c r="AF161" s="22">
        <v>1528</v>
      </c>
      <c r="AG161" s="22">
        <v>528</v>
      </c>
      <c r="AH161" s="6">
        <v>10</v>
      </c>
      <c r="AI161" s="6">
        <v>300</v>
      </c>
      <c r="AJ161" s="6">
        <v>14</v>
      </c>
      <c r="AK161" s="24">
        <v>300</v>
      </c>
      <c r="AL161" s="24">
        <v>14</v>
      </c>
      <c r="AM161" s="5">
        <f t="shared" si="129"/>
        <v>500</v>
      </c>
      <c r="AN161" s="26">
        <f t="shared" si="130"/>
        <v>134</v>
      </c>
      <c r="AO161" s="26">
        <f t="shared" si="131"/>
        <v>65911.546666666676</v>
      </c>
      <c r="AP161" s="15">
        <f t="shared" si="132"/>
        <v>6304.166666666667</v>
      </c>
      <c r="AQ161" s="5">
        <f t="shared" si="133"/>
        <v>2496.6494949494954</v>
      </c>
      <c r="AR161" s="26">
        <f t="shared" si="134"/>
        <v>420.27777777777777</v>
      </c>
      <c r="AS161" s="26">
        <f t="shared" si="135"/>
        <v>1391.9</v>
      </c>
      <c r="AT161" s="26">
        <f t="shared" si="136"/>
        <v>22.178305028345793</v>
      </c>
      <c r="AU161" s="26">
        <f t="shared" si="137"/>
        <v>6.8590101254115021</v>
      </c>
      <c r="AV161" s="95">
        <f t="shared" si="138"/>
        <v>7.201333333333334E-7</v>
      </c>
      <c r="AW161" s="95">
        <f t="shared" si="139"/>
        <v>4161087</v>
      </c>
      <c r="AX161" s="95">
        <f t="shared" si="140"/>
        <v>4.1610870000000001E-6</v>
      </c>
      <c r="AY161" s="54">
        <f t="shared" si="141"/>
        <v>0.25762202780669918</v>
      </c>
      <c r="AZ161" s="54" t="str">
        <f>_xll.Dce_Name_SectI(AE161,AF161,AI161,AH161,AJ161,"x","-",$O$11)</f>
        <v>(528-1528)x300x10x14</v>
      </c>
      <c r="BA161" s="15">
        <f t="shared" si="142"/>
        <v>385.5</v>
      </c>
      <c r="BB161" s="54"/>
      <c r="BC161" s="54"/>
      <c r="BD161" s="22" t="s">
        <v>513</v>
      </c>
      <c r="BE161" s="23">
        <v>-46.345700085087344</v>
      </c>
      <c r="BF161" s="23">
        <v>-51.424740040906045</v>
      </c>
      <c r="BG161" s="23">
        <v>2.1570429237524188E-3</v>
      </c>
      <c r="BH161" s="23">
        <v>-3.0127649789266195E-5</v>
      </c>
      <c r="BI161" s="23">
        <v>-2.0688684017704242E-6</v>
      </c>
      <c r="BJ161" s="23">
        <v>-0.59799273696368926</v>
      </c>
      <c r="BK161" s="23">
        <v>112.38987776952717</v>
      </c>
      <c r="BL161" s="92">
        <v>2.25</v>
      </c>
      <c r="BM161" s="91">
        <v>2</v>
      </c>
      <c r="BN161" s="5">
        <f t="shared" si="143"/>
        <v>19.473749999999999</v>
      </c>
      <c r="BO161" s="54">
        <f>_xll.Bimoment(BH161,AY161,AC161,AD161,$O$101)</f>
        <v>0</v>
      </c>
      <c r="BP161" s="5">
        <f t="shared" si="144"/>
        <v>0.84</v>
      </c>
      <c r="BQ161" s="5">
        <f t="shared" si="145"/>
        <v>0.10504637879106883</v>
      </c>
      <c r="BR161" s="24" t="str">
        <f t="shared" si="146"/>
        <v>Cal</v>
      </c>
      <c r="BS161" s="25">
        <f t="shared" si="147"/>
        <v>1.5131525214347548E-2</v>
      </c>
      <c r="BT161" s="25" t="str">
        <f t="shared" si="148"/>
        <v>CT.105</v>
      </c>
      <c r="BU161" s="25">
        <f t="shared" si="149"/>
        <v>1</v>
      </c>
      <c r="BV161" s="25" cm="1">
        <f t="array" ref="BV161">IF(BT161="CT.104",_xll.TCVN5575AnnexEHeSoCx(1,BP161),1)</f>
        <v>1</v>
      </c>
      <c r="BW161" s="25">
        <f t="shared" si="150"/>
        <v>1</v>
      </c>
      <c r="BX161" s="25">
        <f t="shared" si="151"/>
        <v>1.5927921278260575E-2</v>
      </c>
      <c r="BY161" s="25">
        <f t="shared" si="152"/>
        <v>1.103043869713568E-3</v>
      </c>
      <c r="BZ161" s="25">
        <f t="shared" si="153"/>
        <v>2.2669967181190512E-8</v>
      </c>
      <c r="CA161" s="25">
        <f t="shared" si="154"/>
        <v>0</v>
      </c>
      <c r="CB161" s="25">
        <f t="shared" si="155"/>
        <v>1.7030987817941323E-2</v>
      </c>
      <c r="CC161" s="5" t="str">
        <f t="shared" si="156"/>
        <v>OK</v>
      </c>
      <c r="CD161" s="5">
        <f t="shared" si="157"/>
        <v>87.805402509844015</v>
      </c>
      <c r="CE161" s="5">
        <f t="shared" si="158"/>
        <v>29.158726455153193</v>
      </c>
      <c r="CF161" s="5">
        <f t="shared" si="159"/>
        <v>2.9248163326364334</v>
      </c>
      <c r="CG161" s="5">
        <f t="shared" si="160"/>
        <v>0.97128328026682387</v>
      </c>
      <c r="CH161" s="5">
        <f t="shared" si="161"/>
        <v>6.9252217564577709E-2</v>
      </c>
      <c r="CI161" s="68">
        <f>_xll.DCETCVN5575PhuLucD2Eta(BP161,CH161,CF161)</f>
        <v>1.5168666431961266</v>
      </c>
      <c r="CJ161" s="5">
        <f t="shared" si="162"/>
        <v>0.10504637879106883</v>
      </c>
      <c r="CK161" s="5">
        <f>MIN(noisuy2chieu(CJ161,CF161,Data!$DA$2:$EB$24),1)</f>
        <v>0.67592257261276245</v>
      </c>
      <c r="CL161" s="102">
        <f t="shared" si="163"/>
        <v>2.356471276982448E-2</v>
      </c>
      <c r="CM161" s="5" t="str">
        <f t="shared" si="164"/>
        <v>OK</v>
      </c>
      <c r="CN161" s="5">
        <f t="shared" si="165"/>
        <v>0.90492218941026858</v>
      </c>
      <c r="CO161" s="5">
        <f t="shared" si="166"/>
        <v>0.5370345235716667</v>
      </c>
      <c r="CP161" s="25">
        <f>_xll.DCETCVNPhuLucFHeSoOnDinh(1, 0.2, AG161, AH161, AI161, AJ161, AI161, AJ161, $D$28)</f>
        <v>1</v>
      </c>
      <c r="CQ161" s="68">
        <f t="shared" si="167"/>
        <v>0.9</v>
      </c>
      <c r="CR161" s="68">
        <f t="shared" si="168"/>
        <v>1</v>
      </c>
      <c r="CS161" s="5">
        <f t="shared" si="169"/>
        <v>0.18181818181818182</v>
      </c>
      <c r="CT161" s="5">
        <f t="shared" si="170"/>
        <v>9.9510191986788829E-2</v>
      </c>
      <c r="CU161" s="26">
        <f t="shared" si="171"/>
        <v>13.015623411867956</v>
      </c>
      <c r="CV161" s="5"/>
      <c r="CW161" s="25"/>
      <c r="CX161" s="72">
        <f>MAX(_xll.Dce_c_925(CU161, CQ161, CR161, CN161, CP161, CS161, CT161),0.3)</f>
        <v>0.3</v>
      </c>
      <c r="CY161" s="102">
        <f t="shared" si="172"/>
        <v>5.8671421199358184E-2</v>
      </c>
      <c r="CZ161" s="5" t="str">
        <f t="shared" si="173"/>
        <v>OK</v>
      </c>
      <c r="DA161" s="47">
        <f t="shared" si="174"/>
        <v>0.34499859601035404</v>
      </c>
      <c r="DB161" s="46">
        <f t="shared" si="175"/>
        <v>0.45712832802668235</v>
      </c>
      <c r="DC161" s="5" t="str">
        <f t="shared" si="176"/>
        <v>OK</v>
      </c>
      <c r="DD161" s="5">
        <f t="shared" si="177"/>
        <v>2.9248163326364334</v>
      </c>
      <c r="DE161" s="5">
        <f t="shared" si="178"/>
        <v>1.6655104634982609</v>
      </c>
      <c r="DF161" s="5" t="str">
        <f t="shared" si="179"/>
        <v>-</v>
      </c>
      <c r="DG161" s="5" t="str">
        <f t="shared" si="180"/>
        <v>-</v>
      </c>
      <c r="DH161" s="203" t="str">
        <f t="shared" si="181"/>
        <v>-</v>
      </c>
      <c r="DI161" s="203">
        <f t="shared" si="182"/>
        <v>180</v>
      </c>
      <c r="DJ161" s="46">
        <f t="shared" si="183"/>
        <v>0</v>
      </c>
      <c r="DK161" s="5" t="str">
        <f t="shared" si="184"/>
        <v>OK</v>
      </c>
      <c r="EB161" s="18"/>
      <c r="EC161" s="77"/>
      <c r="ED161" s="77"/>
      <c r="EE161" s="18"/>
      <c r="EF161" s="18"/>
      <c r="EG161" s="18"/>
      <c r="EH161" s="5"/>
      <c r="EI161" s="5"/>
      <c r="EJ161" s="5"/>
      <c r="EK161" s="5"/>
      <c r="EL161" s="5"/>
      <c r="FE161" s="26"/>
      <c r="FF161" s="26"/>
      <c r="FG161" s="26"/>
      <c r="FH161" s="26"/>
      <c r="FI161" s="26"/>
      <c r="FJ161" s="26"/>
      <c r="FK161" s="26"/>
      <c r="FL161" s="26"/>
      <c r="FM161" s="26"/>
      <c r="FN161" s="205"/>
      <c r="FO161" s="205"/>
      <c r="FP161" s="205"/>
      <c r="FQ161" s="205"/>
      <c r="FR161" s="205"/>
      <c r="FS161" s="205"/>
      <c r="FT161" s="205"/>
      <c r="FU161" s="77"/>
      <c r="FV161" s="77"/>
      <c r="FW161" s="77"/>
      <c r="FX161" s="205"/>
      <c r="FY161" s="205"/>
      <c r="FZ161" s="205"/>
      <c r="GA161" s="205"/>
      <c r="GB161" s="205"/>
      <c r="GC161" s="205"/>
      <c r="GD161" s="205"/>
      <c r="GE161" s="205"/>
      <c r="GF161" s="205"/>
      <c r="GG161" s="205"/>
      <c r="GH161" s="205"/>
      <c r="GI161" s="205"/>
      <c r="GJ161" s="205"/>
      <c r="GK161" s="205"/>
      <c r="GL161" s="205"/>
      <c r="GM161" s="205"/>
      <c r="GN161" s="205"/>
      <c r="GO161" s="205"/>
      <c r="GP161" s="205"/>
      <c r="GQ161" s="205"/>
      <c r="GR161" s="205"/>
      <c r="GS161" s="205"/>
      <c r="GT161" s="205"/>
      <c r="GU161" s="205"/>
      <c r="GV161" s="18"/>
      <c r="GW161" s="5"/>
      <c r="GX161" s="5"/>
      <c r="GY161" s="77"/>
      <c r="GZ161" s="18"/>
      <c r="HA161" s="18"/>
      <c r="HB161" s="18"/>
      <c r="HC161" s="18"/>
      <c r="HD161" s="18"/>
      <c r="HE161" s="18"/>
      <c r="HF161" s="18"/>
      <c r="HG161" s="18"/>
      <c r="HH161" s="205"/>
      <c r="HI161" s="26"/>
      <c r="HJ161" s="26"/>
      <c r="HK161" s="5"/>
    </row>
    <row r="162" spans="27:219">
      <c r="AA162" s="18" t="s">
        <v>488</v>
      </c>
      <c r="AB162" s="22" t="s">
        <v>490</v>
      </c>
      <c r="AC162" s="59">
        <v>3.6405952380952398</v>
      </c>
      <c r="AD162" s="59">
        <v>8.6549999999999994</v>
      </c>
      <c r="AE162" s="22">
        <v>528</v>
      </c>
      <c r="AF162" s="22">
        <v>1528</v>
      </c>
      <c r="AG162" s="22">
        <v>948.63492063492095</v>
      </c>
      <c r="AH162" s="6">
        <v>10</v>
      </c>
      <c r="AI162" s="6">
        <v>300</v>
      </c>
      <c r="AJ162" s="6">
        <v>14</v>
      </c>
      <c r="AK162" s="24">
        <v>300</v>
      </c>
      <c r="AL162" s="24">
        <v>14</v>
      </c>
      <c r="AM162" s="5">
        <f t="shared" si="129"/>
        <v>920.63492063492095</v>
      </c>
      <c r="AN162" s="26">
        <f t="shared" si="130"/>
        <v>176.06349206349208</v>
      </c>
      <c r="AO162" s="26">
        <f t="shared" si="131"/>
        <v>248482.7399356656</v>
      </c>
      <c r="AP162" s="15">
        <f t="shared" si="132"/>
        <v>6307.6719576719579</v>
      </c>
      <c r="AQ162" s="5">
        <f t="shared" si="133"/>
        <v>5238.7432621467533</v>
      </c>
      <c r="AR162" s="26">
        <f t="shared" si="134"/>
        <v>420.51146384479722</v>
      </c>
      <c r="AS162" s="26">
        <f t="shared" si="135"/>
        <v>3022.1941546989178</v>
      </c>
      <c r="AT162" s="26">
        <f t="shared" si="136"/>
        <v>37.567600585756203</v>
      </c>
      <c r="AU162" s="26">
        <f t="shared" si="137"/>
        <v>5.9854925384629922</v>
      </c>
      <c r="AV162" s="95">
        <f t="shared" si="138"/>
        <v>8.6034497354497351E-7</v>
      </c>
      <c r="AW162" s="95">
        <f t="shared" si="139"/>
        <v>13758293.349206358</v>
      </c>
      <c r="AX162" s="95">
        <f t="shared" si="140"/>
        <v>1.3758293349206359E-5</v>
      </c>
      <c r="AY162" s="54">
        <f t="shared" si="141"/>
        <v>0.1548581140202015</v>
      </c>
      <c r="AZ162" s="54" t="str">
        <f>_xll.Dce_Name_SectI(AE162,AF162,AI162,AH162,AJ162,"x","-",$O$11)</f>
        <v>(528-1528)x300x10x14</v>
      </c>
      <c r="BA162" s="15">
        <f t="shared" si="142"/>
        <v>700.97619047619071</v>
      </c>
      <c r="BB162" s="54"/>
      <c r="BC162" s="54"/>
      <c r="BD162" s="22" t="s">
        <v>513</v>
      </c>
      <c r="BE162" s="23">
        <v>-40.008846898521483</v>
      </c>
      <c r="BF162" s="23">
        <v>-30.863053853188632</v>
      </c>
      <c r="BG162" s="23">
        <v>2.1570429237536804E-3</v>
      </c>
      <c r="BH162" s="23">
        <v>-3.0127649789266195E-5</v>
      </c>
      <c r="BI162" s="23">
        <v>-7.8734828296811304E-3</v>
      </c>
      <c r="BJ162" s="23">
        <v>149.51084770667887</v>
      </c>
      <c r="BK162" s="23">
        <v>112.38987776952717</v>
      </c>
      <c r="BL162" s="92">
        <v>2.25</v>
      </c>
      <c r="BM162" s="91">
        <v>2</v>
      </c>
      <c r="BN162" s="5">
        <f t="shared" si="143"/>
        <v>19.473749999999999</v>
      </c>
      <c r="BO162" s="54">
        <f>_xll.Bimoment(BH162,AY162,AC162,AD162,$O$101)</f>
        <v>2.31701712693179E-4</v>
      </c>
      <c r="BP162" s="5">
        <f t="shared" si="144"/>
        <v>0.45620689655172403</v>
      </c>
      <c r="BQ162" s="5">
        <f t="shared" si="145"/>
        <v>15.588887059545629</v>
      </c>
      <c r="BR162" s="24" t="str">
        <f t="shared" si="146"/>
        <v>Cal</v>
      </c>
      <c r="BS162" s="25">
        <f t="shared" si="147"/>
        <v>9.941794470253321E-3</v>
      </c>
      <c r="BT162" s="25" t="str">
        <f t="shared" si="148"/>
        <v>CT.105</v>
      </c>
      <c r="BU162" s="25">
        <f t="shared" si="149"/>
        <v>1</v>
      </c>
      <c r="BV162" s="25" cm="1">
        <f t="array" ref="BV162">IF(BT162="CT.104",_xll.TCVN5575AnnexEHeSoCx(1,BP162),1)</f>
        <v>1</v>
      </c>
      <c r="BW162" s="25">
        <f t="shared" si="150"/>
        <v>1</v>
      </c>
      <c r="BX162" s="25">
        <f t="shared" si="151"/>
        <v>1.046504681079297E-2</v>
      </c>
      <c r="BY162" s="25">
        <f t="shared" si="152"/>
        <v>0.13143167439112635</v>
      </c>
      <c r="BZ162" s="25">
        <f t="shared" si="153"/>
        <v>8.6227043772652034E-5</v>
      </c>
      <c r="CA162" s="25">
        <f t="shared" si="154"/>
        <v>5.4365376231463353E-6</v>
      </c>
      <c r="CB162" s="25">
        <f t="shared" si="155"/>
        <v>0.1419883847833151</v>
      </c>
      <c r="CC162" s="5" t="str">
        <f t="shared" si="156"/>
        <v>OK</v>
      </c>
      <c r="CD162" s="5">
        <f t="shared" si="157"/>
        <v>51.836555160202302</v>
      </c>
      <c r="CE162" s="5">
        <f t="shared" si="158"/>
        <v>33.414125690541383</v>
      </c>
      <c r="CF162" s="5">
        <f t="shared" si="159"/>
        <v>1.7266865002204341</v>
      </c>
      <c r="CG162" s="5">
        <f t="shared" si="160"/>
        <v>1.1130315193248546</v>
      </c>
      <c r="CH162" s="5">
        <f t="shared" si="161"/>
        <v>12.55911003241536</v>
      </c>
      <c r="CI162" s="68">
        <f>_xll.DCETCVN5575PhuLucD2Eta(BP162,CH162,CF162)</f>
        <v>1.2412413793103447</v>
      </c>
      <c r="CJ162" s="5">
        <f t="shared" si="162"/>
        <v>15.588887059545629</v>
      </c>
      <c r="CK162" s="5">
        <f>MIN(noisuy2chieu(CJ162,CF162,Data!$DA$2:$EB$24),1)</f>
        <v>8.8209681212902069E-2</v>
      </c>
      <c r="CL162" s="102">
        <f t="shared" si="163"/>
        <v>0.11863830213301224</v>
      </c>
      <c r="CM162" s="5" t="str">
        <f t="shared" si="164"/>
        <v>OK</v>
      </c>
      <c r="CN162" s="5">
        <f t="shared" si="165"/>
        <v>0.88472625978979058</v>
      </c>
      <c r="CO162" s="5">
        <f t="shared" si="166"/>
        <v>0.5370345235716667</v>
      </c>
      <c r="CP162" s="25">
        <f>_xll.DCETCVNPhuLucFHeSoOnDinh(1, 0.2, AG162, AH162, AI162, AJ162, AI162, AJ162, $D$28)</f>
        <v>1</v>
      </c>
      <c r="CQ162" s="68">
        <f t="shared" si="167"/>
        <v>0.9</v>
      </c>
      <c r="CR162" s="68">
        <f t="shared" si="168"/>
        <v>1</v>
      </c>
      <c r="CS162" s="5">
        <f t="shared" si="169"/>
        <v>0.18181818181818182</v>
      </c>
      <c r="CT162" s="5">
        <f t="shared" si="170"/>
        <v>0.10155106457844131</v>
      </c>
      <c r="CU162" s="26">
        <f t="shared" si="171"/>
        <v>9.4408991928560226</v>
      </c>
      <c r="CV162" s="5"/>
      <c r="CW162" s="25"/>
      <c r="CX162" s="72">
        <f>MAX(_xll.Dce_c_925(CU162, CQ162, CR162, CN162, CP162, CS162, CT162),0.3)</f>
        <v>0.3</v>
      </c>
      <c r="CY162" s="102">
        <f t="shared" si="172"/>
        <v>3.9428567857359813E-2</v>
      </c>
      <c r="CZ162" s="5" t="str">
        <f t="shared" si="173"/>
        <v>OK</v>
      </c>
      <c r="DA162" s="47">
        <f t="shared" si="174"/>
        <v>0.34499859601035404</v>
      </c>
      <c r="DB162" s="46">
        <f t="shared" si="175"/>
        <v>0.47130315193248545</v>
      </c>
      <c r="DC162" s="5" t="str">
        <f t="shared" si="176"/>
        <v>OK</v>
      </c>
      <c r="DD162" s="5">
        <f t="shared" si="177"/>
        <v>1.7266865002204341</v>
      </c>
      <c r="DE162" s="5">
        <f t="shared" si="178"/>
        <v>3.0666541867587034</v>
      </c>
      <c r="DF162" s="5" t="str">
        <f t="shared" si="179"/>
        <v>-</v>
      </c>
      <c r="DG162" s="5" t="str">
        <f t="shared" si="180"/>
        <v>-</v>
      </c>
      <c r="DH162" s="203">
        <f t="shared" si="181"/>
        <v>51.836555160202302</v>
      </c>
      <c r="DI162" s="203">
        <f t="shared" si="182"/>
        <v>180</v>
      </c>
      <c r="DJ162" s="46">
        <f t="shared" si="183"/>
        <v>0.28798086200112388</v>
      </c>
      <c r="DK162" s="5" t="str">
        <f t="shared" si="184"/>
        <v>OK</v>
      </c>
      <c r="EB162" s="18"/>
      <c r="EC162" s="77"/>
      <c r="ED162" s="77"/>
      <c r="EE162" s="18"/>
      <c r="EF162" s="18"/>
      <c r="EG162" s="18"/>
      <c r="EH162" s="5"/>
      <c r="EI162" s="5"/>
      <c r="EJ162" s="5"/>
      <c r="EK162" s="5"/>
      <c r="EL162" s="5"/>
      <c r="FE162" s="26"/>
      <c r="FF162" s="26"/>
      <c r="FG162" s="26"/>
      <c r="FH162" s="26"/>
      <c r="FI162" s="26"/>
      <c r="FJ162" s="26"/>
      <c r="FK162" s="26"/>
      <c r="FL162" s="26"/>
      <c r="FM162" s="26"/>
      <c r="FN162" s="205"/>
      <c r="FO162" s="205"/>
      <c r="FP162" s="205"/>
      <c r="FQ162" s="205"/>
      <c r="FR162" s="205"/>
      <c r="FS162" s="205"/>
      <c r="FT162" s="205"/>
      <c r="FU162" s="77"/>
      <c r="FV162" s="77"/>
      <c r="FW162" s="77"/>
      <c r="FX162" s="205"/>
      <c r="FY162" s="205"/>
      <c r="FZ162" s="205"/>
      <c r="GA162" s="205"/>
      <c r="GB162" s="205"/>
      <c r="GC162" s="205"/>
      <c r="GD162" s="205"/>
      <c r="GE162" s="205"/>
      <c r="GF162" s="205"/>
      <c r="GG162" s="205"/>
      <c r="GH162" s="205"/>
      <c r="GI162" s="205"/>
      <c r="GJ162" s="205"/>
      <c r="GK162" s="205"/>
      <c r="GL162" s="205"/>
      <c r="GM162" s="205"/>
      <c r="GN162" s="205"/>
      <c r="GO162" s="205"/>
      <c r="GP162" s="205"/>
      <c r="GQ162" s="205"/>
      <c r="GR162" s="205"/>
      <c r="GS162" s="205"/>
      <c r="GT162" s="205"/>
      <c r="GU162" s="205"/>
      <c r="GV162" s="18"/>
      <c r="GW162" s="5"/>
      <c r="GX162" s="5"/>
      <c r="GY162" s="77"/>
      <c r="GZ162" s="18"/>
      <c r="HA162" s="18"/>
      <c r="HB162" s="18"/>
      <c r="HC162" s="18"/>
      <c r="HD162" s="18"/>
      <c r="HE162" s="18"/>
      <c r="HF162" s="18"/>
      <c r="HG162" s="18"/>
      <c r="HH162" s="205"/>
      <c r="HI162" s="26"/>
      <c r="HJ162" s="26"/>
      <c r="HK162" s="5"/>
    </row>
    <row r="163" spans="27:219">
      <c r="AA163" s="18" t="s">
        <v>488</v>
      </c>
      <c r="AB163" s="22" t="s">
        <v>490</v>
      </c>
      <c r="AC163" s="59">
        <v>7.2811904761904795</v>
      </c>
      <c r="AD163" s="59">
        <v>8.6549999999999994</v>
      </c>
      <c r="AE163" s="22">
        <v>528</v>
      </c>
      <c r="AF163" s="22">
        <v>1528</v>
      </c>
      <c r="AG163" s="22">
        <v>1369.2698412698419</v>
      </c>
      <c r="AH163" s="6">
        <v>10</v>
      </c>
      <c r="AI163" s="6">
        <v>300</v>
      </c>
      <c r="AJ163" s="6">
        <v>14</v>
      </c>
      <c r="AK163" s="24">
        <v>300</v>
      </c>
      <c r="AL163" s="24">
        <v>14</v>
      </c>
      <c r="AM163" s="5">
        <f t="shared" si="129"/>
        <v>1341.2698412698419</v>
      </c>
      <c r="AN163" s="26">
        <f t="shared" si="130"/>
        <v>218.12698412698418</v>
      </c>
      <c r="AO163" s="26">
        <f t="shared" si="131"/>
        <v>586811.79072745051</v>
      </c>
      <c r="AP163" s="15">
        <f t="shared" si="132"/>
        <v>6311.1772486772488</v>
      </c>
      <c r="AQ163" s="5">
        <f t="shared" si="133"/>
        <v>8571.1635945074104</v>
      </c>
      <c r="AR163" s="26">
        <f t="shared" si="134"/>
        <v>420.74514991181661</v>
      </c>
      <c r="AS163" s="26">
        <f t="shared" si="135"/>
        <v>5094.8226505417015</v>
      </c>
      <c r="AT163" s="26">
        <f t="shared" si="136"/>
        <v>51.867428670398397</v>
      </c>
      <c r="AU163" s="26">
        <f t="shared" si="137"/>
        <v>5.3789869588463937</v>
      </c>
      <c r="AV163" s="95">
        <f t="shared" si="138"/>
        <v>1.0005566137566139E-6</v>
      </c>
      <c r="AW163" s="95">
        <f t="shared" si="139"/>
        <v>28928912.396825422</v>
      </c>
      <c r="AX163" s="95">
        <f t="shared" si="140"/>
        <v>2.8928912396825422E-5</v>
      </c>
      <c r="AY163" s="54">
        <f t="shared" si="141"/>
        <v>0.11516876660535029</v>
      </c>
      <c r="AZ163" s="54" t="str">
        <f>_xll.Dce_Name_SectI(AE163,AF163,AI163,AH163,AJ163,"x","-",$O$11)</f>
        <v>(528-1528)x300x10x14</v>
      </c>
      <c r="BA163" s="15">
        <f t="shared" si="142"/>
        <v>1016.4523809523813</v>
      </c>
      <c r="BB163" s="54"/>
      <c r="BC163" s="54"/>
      <c r="BD163" s="22" t="s">
        <v>513</v>
      </c>
      <c r="BE163" s="23">
        <v>-32.130557961463268</v>
      </c>
      <c r="BF163" s="23">
        <v>-10.407218196063212</v>
      </c>
      <c r="BG163" s="23">
        <v>2.1570429237549359E-3</v>
      </c>
      <c r="BH163" s="23">
        <v>-3.0127649789266195E-5</v>
      </c>
      <c r="BI163" s="23">
        <v>-1.5744896790965083E-2</v>
      </c>
      <c r="BJ163" s="23">
        <v>224.77975553905435</v>
      </c>
      <c r="BK163" s="23">
        <v>112.38987776952717</v>
      </c>
      <c r="BL163" s="92">
        <v>2.25</v>
      </c>
      <c r="BM163" s="91">
        <v>2</v>
      </c>
      <c r="BN163" s="5">
        <f t="shared" si="143"/>
        <v>19.473749999999999</v>
      </c>
      <c r="BO163" s="54">
        <f>_xll.Bimoment(BH163,AY163,AC163,AD163,$O$101)</f>
        <v>1.3782406815031581E-4</v>
      </c>
      <c r="BP163" s="5">
        <f t="shared" si="144"/>
        <v>0.31313609467455605</v>
      </c>
      <c r="BQ163" s="5">
        <f t="shared" si="145"/>
        <v>21.589165215709546</v>
      </c>
      <c r="BR163" s="24" t="str">
        <f t="shared" si="146"/>
        <v>Cal</v>
      </c>
      <c r="BS163" s="25">
        <f t="shared" si="147"/>
        <v>6.4444658987980732E-3</v>
      </c>
      <c r="BT163" s="25" t="str">
        <f t="shared" si="148"/>
        <v>CT.105</v>
      </c>
      <c r="BU163" s="25">
        <f t="shared" si="149"/>
        <v>1</v>
      </c>
      <c r="BV163" s="25" cm="1">
        <f t="array" ref="BV163">IF(BT163="CT.104",_xll.TCVN5575AnnexEHeSoCx(1,BP163),1)</f>
        <v>1</v>
      </c>
      <c r="BW163" s="25">
        <f t="shared" si="150"/>
        <v>1</v>
      </c>
      <c r="BX163" s="25">
        <f t="shared" si="151"/>
        <v>6.7836483145242866E-3</v>
      </c>
      <c r="BY163" s="25">
        <f t="shared" si="152"/>
        <v>0.12077355838686267</v>
      </c>
      <c r="BZ163" s="25">
        <f t="shared" si="153"/>
        <v>1.7233566003430751E-4</v>
      </c>
      <c r="CA163" s="25">
        <f t="shared" si="154"/>
        <v>2.2301519172325171E-6</v>
      </c>
      <c r="CB163" s="25">
        <f t="shared" si="155"/>
        <v>0.12773177251333848</v>
      </c>
      <c r="CC163" s="5" t="str">
        <f t="shared" si="156"/>
        <v>OK</v>
      </c>
      <c r="CD163" s="5">
        <f t="shared" si="157"/>
        <v>37.545238889226049</v>
      </c>
      <c r="CE163" s="5">
        <f t="shared" si="158"/>
        <v>37.181722419139881</v>
      </c>
      <c r="CF163" s="5">
        <f t="shared" si="159"/>
        <v>1.2506397644909562</v>
      </c>
      <c r="CG163" s="5">
        <f t="shared" si="160"/>
        <v>1.2385309547993069</v>
      </c>
      <c r="CH163" s="5">
        <f t="shared" si="161"/>
        <v>17.803629077922224</v>
      </c>
      <c r="CI163" s="68">
        <f>_xll.DCETCVN5575PhuLucD2Eta(BP163,CH163,CF163)</f>
        <v>1.2126272189349112</v>
      </c>
      <c r="CJ163" s="5">
        <f t="shared" si="162"/>
        <v>21.589165215709546</v>
      </c>
      <c r="CK163" s="5">
        <f>MIN(noisuy2chieu(CJ163,CF163,Data!$DA$2:$EB$24),1)</f>
        <v>7.1994885802268982E-2</v>
      </c>
      <c r="CL163" s="102">
        <f t="shared" si="163"/>
        <v>9.4224030483988835E-2</v>
      </c>
      <c r="CM163" s="5" t="str">
        <f t="shared" si="164"/>
        <v>OK</v>
      </c>
      <c r="CN163" s="5">
        <f t="shared" si="165"/>
        <v>0.86643683692746631</v>
      </c>
      <c r="CO163" s="5">
        <f t="shared" si="166"/>
        <v>0.5370345235716667</v>
      </c>
      <c r="CP163" s="25">
        <f>_xll.DCETCVNPhuLucFHeSoOnDinh(1, 0.2, AG163, AH163, AI163, AJ163, AI163, AJ163, $D$28)</f>
        <v>1</v>
      </c>
      <c r="CQ163" s="68">
        <f t="shared" si="167"/>
        <v>0.9</v>
      </c>
      <c r="CR163" s="68">
        <f t="shared" si="168"/>
        <v>1</v>
      </c>
      <c r="CS163" s="5">
        <f t="shared" si="169"/>
        <v>0.18181818181818182</v>
      </c>
      <c r="CT163" s="5">
        <f t="shared" si="170"/>
        <v>0.10347287704587492</v>
      </c>
      <c r="CU163" s="26">
        <f t="shared" si="171"/>
        <v>8.9018145389611121</v>
      </c>
      <c r="CV163" s="5"/>
      <c r="CW163" s="25"/>
      <c r="CX163" s="72">
        <f>MAX(_xll.Dce_c_925(CU163, CQ163, CR163, CN163, CP163, CS163, CT163),0.3)</f>
        <v>0.3</v>
      </c>
      <c r="CY163" s="102">
        <f t="shared" si="172"/>
        <v>2.6097875903569497E-2</v>
      </c>
      <c r="CZ163" s="5" t="str">
        <f t="shared" si="173"/>
        <v>OK</v>
      </c>
      <c r="DA163" s="47">
        <f t="shared" si="174"/>
        <v>0.34499859601035404</v>
      </c>
      <c r="DB163" s="46">
        <f t="shared" si="175"/>
        <v>0.48385309547993066</v>
      </c>
      <c r="DC163" s="5" t="str">
        <f t="shared" si="176"/>
        <v>OK</v>
      </c>
      <c r="DD163" s="5">
        <f t="shared" si="177"/>
        <v>1.2506397644909562</v>
      </c>
      <c r="DE163" s="5">
        <f t="shared" si="178"/>
        <v>4.4677979100191463</v>
      </c>
      <c r="DF163" s="5" t="str">
        <f t="shared" si="179"/>
        <v>-</v>
      </c>
      <c r="DG163" s="5" t="str">
        <f t="shared" si="180"/>
        <v>-</v>
      </c>
      <c r="DH163" s="203">
        <f t="shared" si="181"/>
        <v>37.545238889226049</v>
      </c>
      <c r="DI163" s="203">
        <f t="shared" si="182"/>
        <v>180</v>
      </c>
      <c r="DJ163" s="46">
        <f t="shared" si="183"/>
        <v>0.20858466049570026</v>
      </c>
      <c r="DK163" s="5" t="str">
        <f t="shared" si="184"/>
        <v>OK</v>
      </c>
      <c r="EB163" s="18"/>
      <c r="EC163" s="77"/>
      <c r="ED163" s="77"/>
      <c r="EE163" s="18"/>
      <c r="EF163" s="18"/>
      <c r="EG163" s="18"/>
      <c r="EH163" s="5"/>
      <c r="EI163" s="5"/>
      <c r="EJ163" s="5"/>
      <c r="EK163" s="5"/>
      <c r="EL163" s="5"/>
      <c r="FE163" s="26"/>
      <c r="FF163" s="26"/>
      <c r="FG163" s="26"/>
      <c r="FH163" s="26"/>
      <c r="FI163" s="26"/>
      <c r="FJ163" s="26"/>
      <c r="FK163" s="26"/>
      <c r="FL163" s="26"/>
      <c r="FM163" s="26"/>
      <c r="FN163" s="205"/>
      <c r="FO163" s="205"/>
      <c r="FP163" s="205"/>
      <c r="FQ163" s="205"/>
      <c r="FR163" s="205"/>
      <c r="FS163" s="205"/>
      <c r="FT163" s="205"/>
      <c r="FU163" s="77"/>
      <c r="FV163" s="77"/>
      <c r="FW163" s="77"/>
      <c r="FX163" s="205"/>
      <c r="FY163" s="205"/>
      <c r="FZ163" s="205"/>
      <c r="GA163" s="205"/>
      <c r="GB163" s="205"/>
      <c r="GC163" s="205"/>
      <c r="GD163" s="205"/>
      <c r="GE163" s="205"/>
      <c r="GF163" s="205"/>
      <c r="GG163" s="205"/>
      <c r="GH163" s="205"/>
      <c r="GI163" s="205"/>
      <c r="GJ163" s="205"/>
      <c r="GK163" s="205"/>
      <c r="GL163" s="205"/>
      <c r="GM163" s="205"/>
      <c r="GN163" s="205"/>
      <c r="GO163" s="205"/>
      <c r="GP163" s="205"/>
      <c r="GQ163" s="205"/>
      <c r="GR163" s="205"/>
      <c r="GS163" s="205"/>
      <c r="GT163" s="205"/>
      <c r="GU163" s="205"/>
      <c r="GV163" s="18"/>
      <c r="GW163" s="5"/>
      <c r="GX163" s="5"/>
      <c r="GY163" s="77"/>
      <c r="GZ163" s="18"/>
      <c r="HA163" s="18"/>
      <c r="HB163" s="18"/>
      <c r="HC163" s="18"/>
      <c r="HD163" s="18"/>
      <c r="HE163" s="18"/>
      <c r="HF163" s="18"/>
      <c r="HG163" s="18"/>
      <c r="HH163" s="205"/>
      <c r="HI163" s="26"/>
      <c r="HJ163" s="26"/>
      <c r="HK163" s="5"/>
    </row>
    <row r="164" spans="27:219">
      <c r="AA164" s="18" t="s">
        <v>488</v>
      </c>
      <c r="AB164" s="22" t="s">
        <v>490</v>
      </c>
      <c r="AC164" s="59">
        <v>0</v>
      </c>
      <c r="AD164" s="59">
        <v>8.6549999999999994</v>
      </c>
      <c r="AE164" s="22">
        <v>528</v>
      </c>
      <c r="AF164" s="22">
        <v>1528</v>
      </c>
      <c r="AG164" s="22">
        <v>528</v>
      </c>
      <c r="AH164" s="6">
        <v>10</v>
      </c>
      <c r="AI164" s="6">
        <v>300</v>
      </c>
      <c r="AJ164" s="6">
        <v>14</v>
      </c>
      <c r="AK164" s="24">
        <v>300</v>
      </c>
      <c r="AL164" s="24">
        <v>14</v>
      </c>
      <c r="AM164" s="5">
        <f t="shared" si="129"/>
        <v>500</v>
      </c>
      <c r="AN164" s="26">
        <f t="shared" si="130"/>
        <v>134</v>
      </c>
      <c r="AO164" s="26">
        <f t="shared" si="131"/>
        <v>65911.546666666676</v>
      </c>
      <c r="AP164" s="15">
        <f t="shared" si="132"/>
        <v>6304.166666666667</v>
      </c>
      <c r="AQ164" s="5">
        <f t="shared" si="133"/>
        <v>2496.6494949494954</v>
      </c>
      <c r="AR164" s="26">
        <f t="shared" si="134"/>
        <v>420.27777777777777</v>
      </c>
      <c r="AS164" s="26">
        <f t="shared" si="135"/>
        <v>1391.9</v>
      </c>
      <c r="AT164" s="26">
        <f t="shared" si="136"/>
        <v>22.178305028345793</v>
      </c>
      <c r="AU164" s="26">
        <f t="shared" si="137"/>
        <v>6.8590101254115021</v>
      </c>
      <c r="AV164" s="95">
        <f t="shared" si="138"/>
        <v>7.201333333333334E-7</v>
      </c>
      <c r="AW164" s="95">
        <f t="shared" si="139"/>
        <v>4161087</v>
      </c>
      <c r="AX164" s="95">
        <f t="shared" si="140"/>
        <v>4.1610870000000001E-6</v>
      </c>
      <c r="AY164" s="54">
        <f t="shared" si="141"/>
        <v>0.25762202780669918</v>
      </c>
      <c r="AZ164" s="54" t="str">
        <f>_xll.Dce_Name_SectI(AE164,AF164,AI164,AH164,AJ164,"x","-",$O$11)</f>
        <v>(528-1528)x300x10x14</v>
      </c>
      <c r="BA164" s="15">
        <f t="shared" si="142"/>
        <v>385.5</v>
      </c>
      <c r="BB164" s="54"/>
      <c r="BC164" s="54"/>
      <c r="BD164" s="22" t="s">
        <v>514</v>
      </c>
      <c r="BE164" s="23">
        <v>-156.47653981042242</v>
      </c>
      <c r="BF164" s="23">
        <v>-145.67242696762895</v>
      </c>
      <c r="BG164" s="23">
        <v>3.6560371767980675E-3</v>
      </c>
      <c r="BH164" s="23">
        <v>-5.1064263240272311E-5</v>
      </c>
      <c r="BI164" s="23">
        <v>-3.5065875152655302E-6</v>
      </c>
      <c r="BJ164" s="23">
        <v>-2.0458069063266033</v>
      </c>
      <c r="BK164" s="23">
        <v>499.16963803449772</v>
      </c>
      <c r="BL164" s="92">
        <v>2.25</v>
      </c>
      <c r="BM164" s="91">
        <v>2</v>
      </c>
      <c r="BN164" s="5">
        <f t="shared" si="143"/>
        <v>19.473749999999999</v>
      </c>
      <c r="BO164" s="54">
        <f>_xll.Bimoment(BH164,AY164,AC164,AD164,$O$101)</f>
        <v>0</v>
      </c>
      <c r="BP164" s="5">
        <f t="shared" si="144"/>
        <v>0.84</v>
      </c>
      <c r="BQ164" s="5">
        <f t="shared" si="145"/>
        <v>0.10643858745926138</v>
      </c>
      <c r="BR164" s="24" t="str">
        <f t="shared" si="146"/>
        <v>Cal</v>
      </c>
      <c r="BS164" s="25">
        <f t="shared" si="147"/>
        <v>5.1088422512731199E-2</v>
      </c>
      <c r="BT164" s="25" t="str">
        <f t="shared" si="148"/>
        <v>CT.105</v>
      </c>
      <c r="BU164" s="25">
        <f t="shared" si="149"/>
        <v>1</v>
      </c>
      <c r="BV164" s="25" cm="1">
        <f t="array" ref="BV164">IF(BT164="CT.104",_xll.TCVN5575AnnexEHeSoCx(1,BP164),1)</f>
        <v>1</v>
      </c>
      <c r="BW164" s="25">
        <f t="shared" si="150"/>
        <v>1</v>
      </c>
      <c r="BX164" s="25">
        <f t="shared" si="151"/>
        <v>5.3777286855506534E-2</v>
      </c>
      <c r="BY164" s="25">
        <f t="shared" si="152"/>
        <v>3.7736491217254752E-3</v>
      </c>
      <c r="BZ164" s="25">
        <f t="shared" si="153"/>
        <v>3.8424011803271368E-8</v>
      </c>
      <c r="CA164" s="25">
        <f t="shared" si="154"/>
        <v>0</v>
      </c>
      <c r="CB164" s="25">
        <f t="shared" si="155"/>
        <v>5.7550974401243814E-2</v>
      </c>
      <c r="CC164" s="5" t="str">
        <f t="shared" si="156"/>
        <v>OK</v>
      </c>
      <c r="CD164" s="5">
        <f t="shared" si="157"/>
        <v>87.805402509844015</v>
      </c>
      <c r="CE164" s="5">
        <f t="shared" si="158"/>
        <v>29.158726455153193</v>
      </c>
      <c r="CF164" s="5">
        <f t="shared" si="159"/>
        <v>2.9248163326364334</v>
      </c>
      <c r="CG164" s="5">
        <f t="shared" si="160"/>
        <v>0.97128328026682387</v>
      </c>
      <c r="CH164" s="5">
        <f t="shared" si="161"/>
        <v>7.0171801933125458E-2</v>
      </c>
      <c r="CI164" s="68">
        <f>_xll.DCETCVN5575PhuLucD2Eta(BP164,CH164,CF164)</f>
        <v>1.5168284770668792</v>
      </c>
      <c r="CJ164" s="5">
        <f t="shared" si="162"/>
        <v>0.10643858745926138</v>
      </c>
      <c r="CK164" s="5">
        <f>MIN(noisuy2chieu(CJ164,CF164,Data!$DA$2:$EB$24),1)</f>
        <v>0.67527288198471069</v>
      </c>
      <c r="CL164" s="102">
        <f t="shared" si="163"/>
        <v>7.9637859434616154E-2</v>
      </c>
      <c r="CM164" s="5" t="str">
        <f t="shared" si="164"/>
        <v>OK</v>
      </c>
      <c r="CN164" s="5">
        <f t="shared" si="165"/>
        <v>0.90492218941026858</v>
      </c>
      <c r="CO164" s="5">
        <f t="shared" si="166"/>
        <v>0.5370345235716667</v>
      </c>
      <c r="CP164" s="25">
        <f>_xll.DCETCVNPhuLucFHeSoOnDinh(1, 0.2, AG164, AH164, AI164, AJ164, AI164, AJ164, $D$28)</f>
        <v>1</v>
      </c>
      <c r="CQ164" s="68">
        <f t="shared" si="167"/>
        <v>0.9</v>
      </c>
      <c r="CR164" s="68">
        <f t="shared" si="168"/>
        <v>1</v>
      </c>
      <c r="CS164" s="5">
        <f t="shared" si="169"/>
        <v>0.18181818181818182</v>
      </c>
      <c r="CT164" s="5">
        <f t="shared" si="170"/>
        <v>9.9510191986788829E-2</v>
      </c>
      <c r="CU164" s="26">
        <f t="shared" si="171"/>
        <v>17.1216710936231</v>
      </c>
      <c r="CV164" s="5"/>
      <c r="CW164" s="25"/>
      <c r="CX164" s="72">
        <f>MAX(_xll.Dce_c_925(CU164, CQ164, CR164, CN164, CP164, CS164, CT164),0.3)</f>
        <v>0.3</v>
      </c>
      <c r="CY164" s="102">
        <f t="shared" si="172"/>
        <v>0.1980917530252069</v>
      </c>
      <c r="CZ164" s="5" t="str">
        <f t="shared" si="173"/>
        <v>OK</v>
      </c>
      <c r="DA164" s="47">
        <f t="shared" si="174"/>
        <v>0.34499859601035404</v>
      </c>
      <c r="DB164" s="46">
        <f t="shared" si="175"/>
        <v>0.45712832802668235</v>
      </c>
      <c r="DC164" s="5" t="str">
        <f t="shared" si="176"/>
        <v>OK</v>
      </c>
      <c r="DD164" s="5">
        <f t="shared" si="177"/>
        <v>2.9248163326364334</v>
      </c>
      <c r="DE164" s="5">
        <f t="shared" si="178"/>
        <v>1.6655104634982609</v>
      </c>
      <c r="DF164" s="5" t="str">
        <f t="shared" si="179"/>
        <v>-</v>
      </c>
      <c r="DG164" s="5" t="str">
        <f t="shared" si="180"/>
        <v>-</v>
      </c>
      <c r="DH164" s="203" t="str">
        <f t="shared" si="181"/>
        <v>-</v>
      </c>
      <c r="DI164" s="203">
        <f t="shared" si="182"/>
        <v>180</v>
      </c>
      <c r="DJ164" s="46">
        <f t="shared" si="183"/>
        <v>0</v>
      </c>
      <c r="DK164" s="5" t="str">
        <f t="shared" si="184"/>
        <v>OK</v>
      </c>
      <c r="EB164" s="18"/>
      <c r="EC164" s="77"/>
      <c r="ED164" s="77"/>
      <c r="EE164" s="18"/>
      <c r="EF164" s="18"/>
      <c r="EG164" s="18"/>
      <c r="EH164" s="5"/>
      <c r="EI164" s="5"/>
      <c r="EJ164" s="5"/>
      <c r="EK164" s="5"/>
      <c r="EL164" s="5"/>
      <c r="FE164" s="26"/>
      <c r="FF164" s="26"/>
      <c r="FG164" s="26"/>
      <c r="FH164" s="26"/>
      <c r="FI164" s="26"/>
      <c r="FJ164" s="26"/>
      <c r="FK164" s="26"/>
      <c r="FL164" s="26"/>
      <c r="FM164" s="26"/>
      <c r="FN164" s="205"/>
      <c r="FO164" s="205"/>
      <c r="FP164" s="205"/>
      <c r="FQ164" s="205"/>
      <c r="FR164" s="205"/>
      <c r="FS164" s="205"/>
      <c r="FT164" s="205"/>
      <c r="FU164" s="77"/>
      <c r="FV164" s="77"/>
      <c r="FW164" s="77"/>
      <c r="FX164" s="205"/>
      <c r="FY164" s="205"/>
      <c r="FZ164" s="205"/>
      <c r="GA164" s="205"/>
      <c r="GB164" s="205"/>
      <c r="GC164" s="205"/>
      <c r="GD164" s="205"/>
      <c r="GE164" s="205"/>
      <c r="GF164" s="205"/>
      <c r="GG164" s="205"/>
      <c r="GH164" s="205"/>
      <c r="GI164" s="205"/>
      <c r="GJ164" s="205"/>
      <c r="GK164" s="205"/>
      <c r="GL164" s="205"/>
      <c r="GM164" s="205"/>
      <c r="GN164" s="205"/>
      <c r="GO164" s="205"/>
      <c r="GP164" s="205"/>
      <c r="GQ164" s="205"/>
      <c r="GR164" s="205"/>
      <c r="GS164" s="205"/>
      <c r="GT164" s="205"/>
      <c r="GU164" s="205"/>
      <c r="GV164" s="18"/>
      <c r="GW164" s="5"/>
      <c r="GX164" s="5"/>
      <c r="GY164" s="77"/>
      <c r="GZ164" s="18"/>
      <c r="HA164" s="18"/>
      <c r="HB164" s="18"/>
      <c r="HC164" s="18"/>
      <c r="HD164" s="18"/>
      <c r="HE164" s="18"/>
      <c r="HF164" s="18"/>
      <c r="HG164" s="18"/>
      <c r="HH164" s="205"/>
      <c r="HI164" s="26"/>
      <c r="HJ164" s="26"/>
      <c r="HK164" s="5"/>
    </row>
    <row r="165" spans="27:219">
      <c r="AA165" s="18" t="s">
        <v>488</v>
      </c>
      <c r="AB165" s="22" t="s">
        <v>490</v>
      </c>
      <c r="AC165" s="59">
        <v>3.6405952380952398</v>
      </c>
      <c r="AD165" s="59">
        <v>8.6549999999999994</v>
      </c>
      <c r="AE165" s="22">
        <v>528</v>
      </c>
      <c r="AF165" s="22">
        <v>1528</v>
      </c>
      <c r="AG165" s="22">
        <v>948.63492063492095</v>
      </c>
      <c r="AH165" s="6">
        <v>10</v>
      </c>
      <c r="AI165" s="6">
        <v>300</v>
      </c>
      <c r="AJ165" s="6">
        <v>14</v>
      </c>
      <c r="AK165" s="24">
        <v>300</v>
      </c>
      <c r="AL165" s="24">
        <v>14</v>
      </c>
      <c r="AM165" s="5">
        <f t="shared" si="129"/>
        <v>920.63492063492095</v>
      </c>
      <c r="AN165" s="26">
        <f t="shared" si="130"/>
        <v>176.06349206349208</v>
      </c>
      <c r="AO165" s="26">
        <f t="shared" si="131"/>
        <v>248482.7399356656</v>
      </c>
      <c r="AP165" s="15">
        <f t="shared" si="132"/>
        <v>6307.6719576719579</v>
      </c>
      <c r="AQ165" s="5">
        <f t="shared" si="133"/>
        <v>5238.7432621467533</v>
      </c>
      <c r="AR165" s="26">
        <f t="shared" si="134"/>
        <v>420.51146384479722</v>
      </c>
      <c r="AS165" s="26">
        <f t="shared" si="135"/>
        <v>3022.1941546989178</v>
      </c>
      <c r="AT165" s="26">
        <f t="shared" si="136"/>
        <v>37.567600585756203</v>
      </c>
      <c r="AU165" s="26">
        <f t="shared" si="137"/>
        <v>5.9854925384629922</v>
      </c>
      <c r="AV165" s="95">
        <f t="shared" si="138"/>
        <v>8.6034497354497351E-7</v>
      </c>
      <c r="AW165" s="95">
        <f t="shared" si="139"/>
        <v>13758293.349206358</v>
      </c>
      <c r="AX165" s="95">
        <f t="shared" si="140"/>
        <v>1.3758293349206359E-5</v>
      </c>
      <c r="AY165" s="54">
        <f t="shared" si="141"/>
        <v>0.1548581140202015</v>
      </c>
      <c r="AZ165" s="54" t="str">
        <f>_xll.Dce_Name_SectI(AE165,AF165,AI165,AH165,AJ165,"x","-",$O$11)</f>
        <v>(528-1528)x300x10x14</v>
      </c>
      <c r="BA165" s="15">
        <f t="shared" si="142"/>
        <v>700.97619047619071</v>
      </c>
      <c r="BB165" s="54"/>
      <c r="BC165" s="54"/>
      <c r="BD165" s="22" t="s">
        <v>514</v>
      </c>
      <c r="BE165" s="23">
        <v>-150.95973662385654</v>
      </c>
      <c r="BF165" s="23">
        <v>-137.05262127991151</v>
      </c>
      <c r="BG165" s="23">
        <v>3.6560371767985966E-3</v>
      </c>
      <c r="BH165" s="23">
        <v>-5.1064263240272311E-5</v>
      </c>
      <c r="BI165" s="23">
        <v>-1.3345003763814135E-2</v>
      </c>
      <c r="BJ165" s="23">
        <v>513.77773140089039</v>
      </c>
      <c r="BK165" s="23">
        <v>499.16963803449772</v>
      </c>
      <c r="BL165" s="92">
        <v>2.25</v>
      </c>
      <c r="BM165" s="91">
        <v>2</v>
      </c>
      <c r="BN165" s="5">
        <f t="shared" si="143"/>
        <v>19.473749999999999</v>
      </c>
      <c r="BO165" s="54">
        <f>_xll.Bimoment(BH165,AY165,AC165,AD165,$O$101)</f>
        <v>3.9271822836980133E-4</v>
      </c>
      <c r="BP165" s="5">
        <f t="shared" si="144"/>
        <v>0.45620689655172403</v>
      </c>
      <c r="BQ165" s="5">
        <f t="shared" si="145"/>
        <v>14.197523255978927</v>
      </c>
      <c r="BR165" s="24" t="str">
        <f t="shared" si="146"/>
        <v>Cal</v>
      </c>
      <c r="BS165" s="25">
        <f t="shared" si="147"/>
        <v>3.7511970255094174E-2</v>
      </c>
      <c r="BT165" s="25" t="str">
        <f t="shared" si="148"/>
        <v>CT.105</v>
      </c>
      <c r="BU165" s="25">
        <f t="shared" si="149"/>
        <v>1</v>
      </c>
      <c r="BV165" s="25" cm="1">
        <f t="array" ref="BV165">IF(BT165="CT.104",_xll.TCVN5575AnnexEHeSoCx(1,BP165),1)</f>
        <v>1</v>
      </c>
      <c r="BW165" s="25">
        <f t="shared" si="150"/>
        <v>1</v>
      </c>
      <c r="BX165" s="25">
        <f t="shared" si="151"/>
        <v>3.94862844790465E-2</v>
      </c>
      <c r="BY165" s="25">
        <f t="shared" si="152"/>
        <v>0.45165062293922692</v>
      </c>
      <c r="BZ165" s="25">
        <f t="shared" si="153"/>
        <v>1.461488198527271E-4</v>
      </c>
      <c r="CA165" s="25">
        <f t="shared" si="154"/>
        <v>9.2145517571336093E-6</v>
      </c>
      <c r="CB165" s="25">
        <f t="shared" si="155"/>
        <v>0.4912922707898833</v>
      </c>
      <c r="CC165" s="5" t="str">
        <f t="shared" si="156"/>
        <v>OK</v>
      </c>
      <c r="CD165" s="5">
        <f t="shared" si="157"/>
        <v>51.836555160202302</v>
      </c>
      <c r="CE165" s="5">
        <f t="shared" si="158"/>
        <v>33.414125690541383</v>
      </c>
      <c r="CF165" s="5">
        <f t="shared" si="159"/>
        <v>1.7266865002204341</v>
      </c>
      <c r="CG165" s="5">
        <f t="shared" si="160"/>
        <v>1.1130315193248546</v>
      </c>
      <c r="CH165" s="5">
        <f t="shared" si="161"/>
        <v>11.438164641165377</v>
      </c>
      <c r="CI165" s="68">
        <f>_xll.DCETCVN5575PhuLucD2Eta(BP165,CH165,CF165)</f>
        <v>1.2412413793103447</v>
      </c>
      <c r="CJ165" s="5">
        <f t="shared" si="162"/>
        <v>14.197523255978927</v>
      </c>
      <c r="CK165" s="5">
        <f>MIN(noisuy2chieu(CJ165,CF165,Data!$DA$2:$EB$24),1)</f>
        <v>9.5673538744449615E-2</v>
      </c>
      <c r="CL165" s="102">
        <f t="shared" si="163"/>
        <v>0.41271897117255163</v>
      </c>
      <c r="CM165" s="5" t="str">
        <f t="shared" si="164"/>
        <v>OK</v>
      </c>
      <c r="CN165" s="5">
        <f t="shared" si="165"/>
        <v>0.88472625978979058</v>
      </c>
      <c r="CO165" s="5">
        <f t="shared" si="166"/>
        <v>0.5370345235716667</v>
      </c>
      <c r="CP165" s="25">
        <f>_xll.DCETCVNPhuLucFHeSoOnDinh(1, 0.2, AG165, AH165, AI165, AJ165, AI165, AJ165, $D$28)</f>
        <v>1</v>
      </c>
      <c r="CQ165" s="68">
        <f t="shared" si="167"/>
        <v>0.9</v>
      </c>
      <c r="CR165" s="68">
        <f t="shared" si="168"/>
        <v>1</v>
      </c>
      <c r="CS165" s="5">
        <f t="shared" si="169"/>
        <v>0.18181818181818182</v>
      </c>
      <c r="CT165" s="5">
        <f t="shared" si="170"/>
        <v>0.10155106457844131</v>
      </c>
      <c r="CU165" s="26">
        <f t="shared" si="171"/>
        <v>11.112946620207712</v>
      </c>
      <c r="CV165" s="5"/>
      <c r="CW165" s="25"/>
      <c r="CX165" s="72">
        <f>MAX(_xll.Dce_c_925(CU165, CQ165, CR165, CN165, CP165, CS165, CT165),0.3)</f>
        <v>0.3</v>
      </c>
      <c r="CY165" s="102">
        <f t="shared" si="172"/>
        <v>0.14877025159709995</v>
      </c>
      <c r="CZ165" s="5" t="str">
        <f t="shared" si="173"/>
        <v>OK</v>
      </c>
      <c r="DA165" s="47">
        <f t="shared" si="174"/>
        <v>0.34499859601035404</v>
      </c>
      <c r="DB165" s="46">
        <f t="shared" si="175"/>
        <v>0.47130315193248545</v>
      </c>
      <c r="DC165" s="5" t="str">
        <f t="shared" si="176"/>
        <v>OK</v>
      </c>
      <c r="DD165" s="5">
        <f t="shared" si="177"/>
        <v>1.7266865002204341</v>
      </c>
      <c r="DE165" s="5">
        <f t="shared" si="178"/>
        <v>3.0666541867587034</v>
      </c>
      <c r="DF165" s="5" t="str">
        <f t="shared" si="179"/>
        <v>-</v>
      </c>
      <c r="DG165" s="5" t="str">
        <f t="shared" si="180"/>
        <v>-</v>
      </c>
      <c r="DH165" s="203">
        <f t="shared" si="181"/>
        <v>51.836555160202302</v>
      </c>
      <c r="DI165" s="203">
        <f t="shared" si="182"/>
        <v>180</v>
      </c>
      <c r="DJ165" s="46">
        <f t="shared" si="183"/>
        <v>0.28798086200112388</v>
      </c>
      <c r="DK165" s="5" t="str">
        <f t="shared" si="184"/>
        <v>OK</v>
      </c>
      <c r="EB165" s="18"/>
      <c r="EC165" s="77"/>
      <c r="ED165" s="77"/>
      <c r="EE165" s="18"/>
      <c r="EF165" s="18"/>
      <c r="EG165" s="18"/>
      <c r="EH165" s="5"/>
      <c r="EI165" s="5"/>
      <c r="EJ165" s="5"/>
      <c r="EK165" s="5"/>
      <c r="EL165" s="5"/>
      <c r="FE165" s="26"/>
      <c r="FF165" s="26"/>
      <c r="FG165" s="26"/>
      <c r="FH165" s="26"/>
      <c r="FI165" s="26"/>
      <c r="FJ165" s="26"/>
      <c r="FK165" s="26"/>
      <c r="FL165" s="26"/>
      <c r="FM165" s="26"/>
      <c r="FN165" s="205"/>
      <c r="FO165" s="205"/>
      <c r="FP165" s="205"/>
      <c r="FQ165" s="205"/>
      <c r="FR165" s="205"/>
      <c r="FS165" s="205"/>
      <c r="FT165" s="205"/>
      <c r="FU165" s="77"/>
      <c r="FV165" s="77"/>
      <c r="FW165" s="77"/>
      <c r="FX165" s="205"/>
      <c r="FY165" s="205"/>
      <c r="FZ165" s="205"/>
      <c r="GA165" s="205"/>
      <c r="GB165" s="205"/>
      <c r="GC165" s="205"/>
      <c r="GD165" s="205"/>
      <c r="GE165" s="205"/>
      <c r="GF165" s="205"/>
      <c r="GG165" s="205"/>
      <c r="GH165" s="205"/>
      <c r="GI165" s="205"/>
      <c r="GJ165" s="205"/>
      <c r="GK165" s="205"/>
      <c r="GL165" s="205"/>
      <c r="GM165" s="205"/>
      <c r="GN165" s="205"/>
      <c r="GO165" s="205"/>
      <c r="GP165" s="205"/>
      <c r="GQ165" s="205"/>
      <c r="GR165" s="205"/>
      <c r="GS165" s="205"/>
      <c r="GT165" s="205"/>
      <c r="GU165" s="205"/>
      <c r="GV165" s="18"/>
      <c r="GW165" s="5"/>
      <c r="GX165" s="5"/>
      <c r="GY165" s="77"/>
      <c r="GZ165" s="18"/>
      <c r="HA165" s="18"/>
      <c r="HB165" s="18"/>
      <c r="HC165" s="18"/>
      <c r="HD165" s="18"/>
      <c r="HE165" s="18"/>
      <c r="HF165" s="18"/>
      <c r="HG165" s="18"/>
      <c r="HH165" s="205"/>
      <c r="HI165" s="26"/>
      <c r="HJ165" s="26"/>
      <c r="HK165" s="5"/>
    </row>
    <row r="166" spans="27:219">
      <c r="AA166" s="18" t="s">
        <v>488</v>
      </c>
      <c r="AB166" s="22" t="s">
        <v>490</v>
      </c>
      <c r="AC166" s="59">
        <v>7.2811904761904795</v>
      </c>
      <c r="AD166" s="59">
        <v>8.6549999999999994</v>
      </c>
      <c r="AE166" s="22">
        <v>528</v>
      </c>
      <c r="AF166" s="22">
        <v>1528</v>
      </c>
      <c r="AG166" s="22">
        <v>1369.2698412698419</v>
      </c>
      <c r="AH166" s="6">
        <v>10</v>
      </c>
      <c r="AI166" s="6">
        <v>300</v>
      </c>
      <c r="AJ166" s="6">
        <v>14</v>
      </c>
      <c r="AK166" s="24">
        <v>300</v>
      </c>
      <c r="AL166" s="24">
        <v>14</v>
      </c>
      <c r="AM166" s="5">
        <f t="shared" si="129"/>
        <v>1341.2698412698419</v>
      </c>
      <c r="AN166" s="26">
        <f t="shared" si="130"/>
        <v>218.12698412698418</v>
      </c>
      <c r="AO166" s="26">
        <f t="shared" si="131"/>
        <v>586811.79072745051</v>
      </c>
      <c r="AP166" s="15">
        <f t="shared" si="132"/>
        <v>6311.1772486772488</v>
      </c>
      <c r="AQ166" s="5">
        <f t="shared" si="133"/>
        <v>8571.1635945074104</v>
      </c>
      <c r="AR166" s="26">
        <f t="shared" si="134"/>
        <v>420.74514991181661</v>
      </c>
      <c r="AS166" s="26">
        <f t="shared" si="135"/>
        <v>5094.8226505417015</v>
      </c>
      <c r="AT166" s="26">
        <f t="shared" si="136"/>
        <v>51.867428670398397</v>
      </c>
      <c r="AU166" s="26">
        <f t="shared" si="137"/>
        <v>5.3789869588463937</v>
      </c>
      <c r="AV166" s="95">
        <f t="shared" si="138"/>
        <v>1.0005566137566139E-6</v>
      </c>
      <c r="AW166" s="95">
        <f t="shared" si="139"/>
        <v>28928912.396825422</v>
      </c>
      <c r="AX166" s="95">
        <f t="shared" si="140"/>
        <v>2.8928912396825422E-5</v>
      </c>
      <c r="AY166" s="54">
        <f t="shared" si="141"/>
        <v>0.11516876660535029</v>
      </c>
      <c r="AZ166" s="54" t="str">
        <f>_xll.Dce_Name_SectI(AE166,AF166,AI166,AH166,AJ166,"x","-",$O$11)</f>
        <v>(528-1528)x300x10x14</v>
      </c>
      <c r="BA166" s="15">
        <f t="shared" si="142"/>
        <v>1016.4523809523813</v>
      </c>
      <c r="BB166" s="54"/>
      <c r="BC166" s="54"/>
      <c r="BD166" s="22" t="s">
        <v>514</v>
      </c>
      <c r="BE166" s="23">
        <v>-143.90149768679834</v>
      </c>
      <c r="BF166" s="23">
        <v>-128.53866612278608</v>
      </c>
      <c r="BG166" s="23">
        <v>3.6560371767991187E-3</v>
      </c>
      <c r="BH166" s="23">
        <v>-5.1064263240272311E-5</v>
      </c>
      <c r="BI166" s="23">
        <v>-2.6686500940114922E-2</v>
      </c>
      <c r="BJ166" s="23">
        <v>998.33927606899545</v>
      </c>
      <c r="BK166" s="23">
        <v>499.16963803449772</v>
      </c>
      <c r="BL166" s="92">
        <v>2.25</v>
      </c>
      <c r="BM166" s="91">
        <v>2</v>
      </c>
      <c r="BN166" s="5">
        <f t="shared" si="143"/>
        <v>19.473749999999999</v>
      </c>
      <c r="BO166" s="54">
        <f>_xll.Bimoment(BH166,AY166,AC166,AD166,$O$101)</f>
        <v>2.3360217428511124E-4</v>
      </c>
      <c r="BP166" s="5">
        <f t="shared" si="144"/>
        <v>0.31313609467455605</v>
      </c>
      <c r="BQ166" s="5">
        <f t="shared" si="145"/>
        <v>21.409659774216774</v>
      </c>
      <c r="BR166" s="24" t="str">
        <f t="shared" si="146"/>
        <v>Cal</v>
      </c>
      <c r="BS166" s="25">
        <f t="shared" si="147"/>
        <v>2.8862502037493659E-2</v>
      </c>
      <c r="BT166" s="25" t="str">
        <f t="shared" si="148"/>
        <v>CT.105</v>
      </c>
      <c r="BU166" s="25">
        <f t="shared" si="149"/>
        <v>1</v>
      </c>
      <c r="BV166" s="25" cm="1">
        <f t="array" ref="BV166">IF(BT166="CT.104",_xll.TCVN5575AnnexEHeSoCx(1,BP166),1)</f>
        <v>1</v>
      </c>
      <c r="BW166" s="25">
        <f t="shared" si="150"/>
        <v>1</v>
      </c>
      <c r="BX166" s="25">
        <f t="shared" si="151"/>
        <v>3.038158109209859E-2</v>
      </c>
      <c r="BY166" s="25">
        <f t="shared" si="152"/>
        <v>0.53640500924589751</v>
      </c>
      <c r="BZ166" s="25">
        <f t="shared" si="153"/>
        <v>2.9209691334146717E-4</v>
      </c>
      <c r="CA166" s="25">
        <f t="shared" si="154"/>
        <v>3.7799518171487939E-6</v>
      </c>
      <c r="CB166" s="25">
        <f t="shared" si="155"/>
        <v>0.56708246720315458</v>
      </c>
      <c r="CC166" s="5" t="str">
        <f t="shared" si="156"/>
        <v>OK</v>
      </c>
      <c r="CD166" s="5">
        <f t="shared" si="157"/>
        <v>37.545238889226049</v>
      </c>
      <c r="CE166" s="5">
        <f t="shared" si="158"/>
        <v>37.181722419139881</v>
      </c>
      <c r="CF166" s="5">
        <f t="shared" si="159"/>
        <v>1.2506397644909562</v>
      </c>
      <c r="CG166" s="5">
        <f t="shared" si="160"/>
        <v>1.2385309547993069</v>
      </c>
      <c r="CH166" s="5">
        <f t="shared" si="161"/>
        <v>17.65559888472696</v>
      </c>
      <c r="CI166" s="68">
        <f>_xll.DCETCVN5575PhuLucD2Eta(BP166,CH166,CF166)</f>
        <v>1.2126272189349112</v>
      </c>
      <c r="CJ166" s="5">
        <f t="shared" si="162"/>
        <v>21.409659774216774</v>
      </c>
      <c r="CK166" s="5">
        <f>MIN(noisuy2chieu(CJ166,CF166,Data!$DA$2:$EB$24),1)</f>
        <v>7.1994885802268982E-2</v>
      </c>
      <c r="CL166" s="102">
        <f t="shared" si="163"/>
        <v>0.42199637868084638</v>
      </c>
      <c r="CM166" s="5" t="str">
        <f t="shared" si="164"/>
        <v>OK</v>
      </c>
      <c r="CN166" s="5">
        <f t="shared" si="165"/>
        <v>0.86643683692746631</v>
      </c>
      <c r="CO166" s="5">
        <f t="shared" si="166"/>
        <v>0.5370345235716667</v>
      </c>
      <c r="CP166" s="25">
        <f>_xll.DCETCVNPhuLucFHeSoOnDinh(1, 0.2, AG166, AH166, AI166, AJ166, AI166, AJ166, $D$28)</f>
        <v>1</v>
      </c>
      <c r="CQ166" s="68">
        <f t="shared" si="167"/>
        <v>0.9</v>
      </c>
      <c r="CR166" s="68">
        <f t="shared" si="168"/>
        <v>1</v>
      </c>
      <c r="CS166" s="5">
        <f t="shared" si="169"/>
        <v>0.18181818181818182</v>
      </c>
      <c r="CT166" s="5">
        <f t="shared" si="170"/>
        <v>0.10347287704587492</v>
      </c>
      <c r="CU166" s="26">
        <f t="shared" si="171"/>
        <v>8.8277994423634798</v>
      </c>
      <c r="CV166" s="5"/>
      <c r="CW166" s="25"/>
      <c r="CX166" s="72">
        <f>MAX(_xll.Dce_c_925(CU166, CQ166, CR166, CN166, CP166, CS166, CT166),0.3)</f>
        <v>0.3</v>
      </c>
      <c r="CY166" s="102">
        <f t="shared" si="172"/>
        <v>0.11688323101865064</v>
      </c>
      <c r="CZ166" s="5" t="str">
        <f t="shared" si="173"/>
        <v>OK</v>
      </c>
      <c r="DA166" s="47">
        <f t="shared" si="174"/>
        <v>0.34499859601035404</v>
      </c>
      <c r="DB166" s="46">
        <f t="shared" si="175"/>
        <v>0.48385309547993066</v>
      </c>
      <c r="DC166" s="5" t="str">
        <f t="shared" si="176"/>
        <v>OK</v>
      </c>
      <c r="DD166" s="5">
        <f t="shared" si="177"/>
        <v>1.2506397644909562</v>
      </c>
      <c r="DE166" s="5">
        <f t="shared" si="178"/>
        <v>4.4677979100191463</v>
      </c>
      <c r="DF166" s="5" t="str">
        <f t="shared" si="179"/>
        <v>-</v>
      </c>
      <c r="DG166" s="5" t="str">
        <f t="shared" si="180"/>
        <v>-</v>
      </c>
      <c r="DH166" s="203">
        <f t="shared" si="181"/>
        <v>37.545238889226049</v>
      </c>
      <c r="DI166" s="203">
        <f t="shared" si="182"/>
        <v>180</v>
      </c>
      <c r="DJ166" s="46">
        <f t="shared" si="183"/>
        <v>0.20858466049570026</v>
      </c>
      <c r="DK166" s="5" t="str">
        <f t="shared" si="184"/>
        <v>OK</v>
      </c>
      <c r="EB166" s="18"/>
      <c r="EC166" s="77"/>
      <c r="ED166" s="77"/>
      <c r="EE166" s="18"/>
      <c r="EF166" s="18"/>
      <c r="EG166" s="18"/>
      <c r="EH166" s="5"/>
      <c r="EI166" s="5"/>
      <c r="EJ166" s="5"/>
      <c r="EK166" s="5"/>
      <c r="EL166" s="5"/>
      <c r="FE166" s="26"/>
      <c r="FF166" s="26"/>
      <c r="FG166" s="26"/>
      <c r="FH166" s="26"/>
      <c r="FI166" s="26"/>
      <c r="FJ166" s="26"/>
      <c r="FK166" s="26"/>
      <c r="FL166" s="26"/>
      <c r="FM166" s="26"/>
      <c r="FN166" s="205"/>
      <c r="FO166" s="205"/>
      <c r="FP166" s="205"/>
      <c r="FQ166" s="205"/>
      <c r="FR166" s="205"/>
      <c r="FS166" s="205"/>
      <c r="FT166" s="205"/>
      <c r="FU166" s="77"/>
      <c r="FV166" s="77"/>
      <c r="FW166" s="77"/>
      <c r="FX166" s="205"/>
      <c r="FY166" s="205"/>
      <c r="FZ166" s="205"/>
      <c r="GA166" s="205"/>
      <c r="GB166" s="205"/>
      <c r="GC166" s="205"/>
      <c r="GD166" s="205"/>
      <c r="GE166" s="205"/>
      <c r="GF166" s="205"/>
      <c r="GG166" s="205"/>
      <c r="GH166" s="205"/>
      <c r="GI166" s="205"/>
      <c r="GJ166" s="205"/>
      <c r="GK166" s="205"/>
      <c r="GL166" s="205"/>
      <c r="GM166" s="205"/>
      <c r="GN166" s="205"/>
      <c r="GO166" s="205"/>
      <c r="GP166" s="205"/>
      <c r="GQ166" s="205"/>
      <c r="GR166" s="205"/>
      <c r="GS166" s="205"/>
      <c r="GT166" s="205"/>
      <c r="GU166" s="205"/>
      <c r="GV166" s="18"/>
      <c r="GW166" s="5"/>
      <c r="GX166" s="5"/>
      <c r="GY166" s="77"/>
      <c r="GZ166" s="18"/>
      <c r="HA166" s="18"/>
      <c r="HB166" s="18"/>
      <c r="HC166" s="18"/>
      <c r="HD166" s="18"/>
      <c r="HE166" s="18"/>
      <c r="HF166" s="18"/>
      <c r="HG166" s="18"/>
      <c r="HH166" s="205"/>
      <c r="HI166" s="26"/>
      <c r="HJ166" s="26"/>
      <c r="HK166" s="5"/>
    </row>
    <row r="167" spans="27:219">
      <c r="AA167" s="18" t="s">
        <v>488</v>
      </c>
      <c r="AB167" s="22" t="s">
        <v>490</v>
      </c>
      <c r="AC167" s="59">
        <v>0</v>
      </c>
      <c r="AD167" s="59">
        <v>8.6549999999999994</v>
      </c>
      <c r="AE167" s="22">
        <v>528</v>
      </c>
      <c r="AF167" s="22">
        <v>1528</v>
      </c>
      <c r="AG167" s="22">
        <v>528</v>
      </c>
      <c r="AH167" s="6">
        <v>10</v>
      </c>
      <c r="AI167" s="6">
        <v>300</v>
      </c>
      <c r="AJ167" s="6">
        <v>14</v>
      </c>
      <c r="AK167" s="24">
        <v>300</v>
      </c>
      <c r="AL167" s="24">
        <v>14</v>
      </c>
      <c r="AM167" s="5">
        <f t="shared" si="129"/>
        <v>500</v>
      </c>
      <c r="AN167" s="26">
        <f t="shared" si="130"/>
        <v>134</v>
      </c>
      <c r="AO167" s="26">
        <f t="shared" si="131"/>
        <v>65911.546666666676</v>
      </c>
      <c r="AP167" s="15">
        <f t="shared" si="132"/>
        <v>6304.166666666667</v>
      </c>
      <c r="AQ167" s="5">
        <f t="shared" si="133"/>
        <v>2496.6494949494954</v>
      </c>
      <c r="AR167" s="26">
        <f t="shared" si="134"/>
        <v>420.27777777777777</v>
      </c>
      <c r="AS167" s="26">
        <f t="shared" si="135"/>
        <v>1391.9</v>
      </c>
      <c r="AT167" s="26">
        <f t="shared" si="136"/>
        <v>22.178305028345793</v>
      </c>
      <c r="AU167" s="26">
        <f t="shared" si="137"/>
        <v>6.8590101254115021</v>
      </c>
      <c r="AV167" s="95">
        <f t="shared" si="138"/>
        <v>7.201333333333334E-7</v>
      </c>
      <c r="AW167" s="95">
        <f t="shared" si="139"/>
        <v>4161087</v>
      </c>
      <c r="AX167" s="95">
        <f t="shared" si="140"/>
        <v>4.1610870000000001E-6</v>
      </c>
      <c r="AY167" s="54">
        <f t="shared" si="141"/>
        <v>0.25762202780669918</v>
      </c>
      <c r="AZ167" s="54" t="str">
        <f>_xll.Dce_Name_SectI(AE167,AF167,AI167,AH167,AJ167,"x","-",$O$11)</f>
        <v>(528-1528)x300x10x14</v>
      </c>
      <c r="BA167" s="15">
        <f t="shared" si="142"/>
        <v>385.5</v>
      </c>
      <c r="BB167" s="54"/>
      <c r="BC167" s="54"/>
      <c r="BD167" s="22" t="s">
        <v>515</v>
      </c>
      <c r="BE167" s="23">
        <v>-44.310418441076905</v>
      </c>
      <c r="BF167" s="23">
        <v>7.4529805402048908</v>
      </c>
      <c r="BG167" s="23">
        <v>-1.2757862224386598E-3</v>
      </c>
      <c r="BH167" s="23">
        <v>1.781904295567353E-5</v>
      </c>
      <c r="BI167" s="23">
        <v>1.2236352708323851E-6</v>
      </c>
      <c r="BJ167" s="23">
        <v>-0.62603668655252376</v>
      </c>
      <c r="BK167" s="23">
        <v>28.185178625189224</v>
      </c>
      <c r="BL167" s="92">
        <v>2.25</v>
      </c>
      <c r="BM167" s="91">
        <v>2</v>
      </c>
      <c r="BN167" s="5">
        <f t="shared" si="143"/>
        <v>19.473749999999999</v>
      </c>
      <c r="BO167" s="54">
        <f>_xll.Bimoment(BH167,AY167,AC167,AD167,$O$101)</f>
        <v>0</v>
      </c>
      <c r="BP167" s="5">
        <f t="shared" si="144"/>
        <v>0.84</v>
      </c>
      <c r="BQ167" s="5">
        <f t="shared" si="145"/>
        <v>0.11500332204911778</v>
      </c>
      <c r="BR167" s="24" t="str">
        <f t="shared" si="146"/>
        <v>Cal</v>
      </c>
      <c r="BS167" s="25">
        <f t="shared" si="147"/>
        <v>1.4467020946247123E-2</v>
      </c>
      <c r="BT167" s="25" t="str">
        <f t="shared" si="148"/>
        <v>CT.105</v>
      </c>
      <c r="BU167" s="25">
        <f t="shared" si="149"/>
        <v>1</v>
      </c>
      <c r="BV167" s="25" cm="1">
        <f t="array" ref="BV167">IF(BT167="CT.104",_xll.TCVN5575AnnexEHeSoCx(1,BP167),1)</f>
        <v>1</v>
      </c>
      <c r="BW167" s="25">
        <f t="shared" si="150"/>
        <v>1</v>
      </c>
      <c r="BX167" s="25">
        <f t="shared" si="151"/>
        <v>1.5228443101312763E-2</v>
      </c>
      <c r="BY167" s="25">
        <f t="shared" si="152"/>
        <v>1.1547731044758264E-3</v>
      </c>
      <c r="BZ167" s="25">
        <f t="shared" si="153"/>
        <v>1.340818556065681E-8</v>
      </c>
      <c r="CA167" s="25">
        <f t="shared" si="154"/>
        <v>0</v>
      </c>
      <c r="CB167" s="25">
        <f t="shared" si="155"/>
        <v>1.6383229613974152E-2</v>
      </c>
      <c r="CC167" s="5" t="str">
        <f t="shared" si="156"/>
        <v>OK</v>
      </c>
      <c r="CD167" s="5">
        <f t="shared" si="157"/>
        <v>87.805402509844015</v>
      </c>
      <c r="CE167" s="5">
        <f t="shared" si="158"/>
        <v>29.158726455153193</v>
      </c>
      <c r="CF167" s="5">
        <f t="shared" si="159"/>
        <v>2.9248163326364334</v>
      </c>
      <c r="CG167" s="5">
        <f t="shared" si="160"/>
        <v>0.97128328026682387</v>
      </c>
      <c r="CH167" s="5">
        <f t="shared" si="161"/>
        <v>7.5830017342763012E-2</v>
      </c>
      <c r="CI167" s="68">
        <f>_xll.DCETCVN5575PhuLucD2Eta(BP167,CH167,CF167)</f>
        <v>1.5165936403427891</v>
      </c>
      <c r="CJ167" s="5">
        <f t="shared" si="162"/>
        <v>0.11500332204911778</v>
      </c>
      <c r="CK167" s="5">
        <f>MIN(noisuy2chieu(CJ167,CF167,Data!$DA$2:$EB$24),1)</f>
        <v>0.67127597332000732</v>
      </c>
      <c r="CL167" s="102">
        <f t="shared" si="163"/>
        <v>2.2685815829212072E-2</v>
      </c>
      <c r="CM167" s="5" t="str">
        <f t="shared" si="164"/>
        <v>OK</v>
      </c>
      <c r="CN167" s="5">
        <f t="shared" si="165"/>
        <v>0.90492218941026858</v>
      </c>
      <c r="CO167" s="5">
        <f t="shared" si="166"/>
        <v>0.5370345235716667</v>
      </c>
      <c r="CP167" s="25">
        <f>_xll.DCETCVNPhuLucFHeSoOnDinh(1, 0.2, AG167, AH167, AI167, AJ167, AI167, AJ167, $D$28)</f>
        <v>1</v>
      </c>
      <c r="CQ167" s="68">
        <f t="shared" si="167"/>
        <v>0.82069946776814473</v>
      </c>
      <c r="CR167" s="68">
        <f t="shared" si="168"/>
        <v>1</v>
      </c>
      <c r="CS167" s="5">
        <f t="shared" si="169"/>
        <v>0.19594406220012908</v>
      </c>
      <c r="CT167" s="5">
        <f t="shared" si="170"/>
        <v>9.9510191986788829E-2</v>
      </c>
      <c r="CU167" s="26">
        <f t="shared" si="171"/>
        <v>3.4139893553628928</v>
      </c>
      <c r="CV167" s="5"/>
      <c r="CW167" s="25"/>
      <c r="CX167" s="72">
        <f>MAX(_xll.Dce_c_925(CU167, CQ167, CR167, CN167, CP167, CS167, CT167),0.3)</f>
        <v>0.3</v>
      </c>
      <c r="CY167" s="102">
        <f t="shared" si="172"/>
        <v>5.6094852793317815E-2</v>
      </c>
      <c r="CZ167" s="5" t="str">
        <f t="shared" si="173"/>
        <v>OK</v>
      </c>
      <c r="DA167" s="47">
        <f t="shared" si="174"/>
        <v>0.34499859601035404</v>
      </c>
      <c r="DB167" s="46">
        <f t="shared" si="175"/>
        <v>0.45712832802668235</v>
      </c>
      <c r="DC167" s="5" t="str">
        <f t="shared" si="176"/>
        <v>OK</v>
      </c>
      <c r="DD167" s="5">
        <f t="shared" si="177"/>
        <v>2.9248163326364334</v>
      </c>
      <c r="DE167" s="5">
        <f t="shared" si="178"/>
        <v>1.6655104634982609</v>
      </c>
      <c r="DF167" s="5" t="str">
        <f t="shared" si="179"/>
        <v>-</v>
      </c>
      <c r="DG167" s="5" t="str">
        <f t="shared" si="180"/>
        <v>-</v>
      </c>
      <c r="DH167" s="203" t="str">
        <f t="shared" si="181"/>
        <v>-</v>
      </c>
      <c r="DI167" s="203">
        <f t="shared" si="182"/>
        <v>180</v>
      </c>
      <c r="DJ167" s="46">
        <f t="shared" si="183"/>
        <v>0</v>
      </c>
      <c r="DK167" s="5" t="str">
        <f t="shared" si="184"/>
        <v>OK</v>
      </c>
      <c r="EB167" s="18"/>
      <c r="EC167" s="77"/>
      <c r="ED167" s="77"/>
      <c r="EE167" s="18"/>
      <c r="EF167" s="18"/>
      <c r="EG167" s="18"/>
      <c r="EH167" s="5"/>
      <c r="EI167" s="5"/>
      <c r="EJ167" s="5"/>
      <c r="EK167" s="5"/>
      <c r="EL167" s="5"/>
      <c r="FE167" s="26"/>
      <c r="FF167" s="26"/>
      <c r="FG167" s="26"/>
      <c r="FH167" s="26"/>
      <c r="FI167" s="26"/>
      <c r="FJ167" s="26"/>
      <c r="FK167" s="26"/>
      <c r="FL167" s="26"/>
      <c r="FM167" s="26"/>
      <c r="FN167" s="205"/>
      <c r="FO167" s="205"/>
      <c r="FP167" s="205"/>
      <c r="FQ167" s="205"/>
      <c r="FR167" s="205"/>
      <c r="FS167" s="205"/>
      <c r="FT167" s="205"/>
      <c r="FU167" s="77"/>
      <c r="FV167" s="77"/>
      <c r="FW167" s="77"/>
      <c r="FX167" s="205"/>
      <c r="FY167" s="205"/>
      <c r="FZ167" s="205"/>
      <c r="GA167" s="205"/>
      <c r="GB167" s="205"/>
      <c r="GC167" s="205"/>
      <c r="GD167" s="205"/>
      <c r="GE167" s="205"/>
      <c r="GF167" s="205"/>
      <c r="GG167" s="205"/>
      <c r="GH167" s="205"/>
      <c r="GI167" s="205"/>
      <c r="GJ167" s="205"/>
      <c r="GK167" s="205"/>
      <c r="GL167" s="205"/>
      <c r="GM167" s="205"/>
      <c r="GN167" s="205"/>
      <c r="GO167" s="205"/>
      <c r="GP167" s="205"/>
      <c r="GQ167" s="205"/>
      <c r="GR167" s="205"/>
      <c r="GS167" s="205"/>
      <c r="GT167" s="205"/>
      <c r="GU167" s="205"/>
      <c r="GV167" s="18"/>
      <c r="GW167" s="5"/>
      <c r="GX167" s="5"/>
      <c r="GY167" s="77"/>
      <c r="GZ167" s="18"/>
      <c r="HA167" s="18"/>
      <c r="HB167" s="18"/>
      <c r="HC167" s="18"/>
      <c r="HD167" s="18"/>
      <c r="HE167" s="18"/>
      <c r="HF167" s="18"/>
      <c r="HG167" s="18"/>
      <c r="HH167" s="205"/>
      <c r="HI167" s="26"/>
      <c r="HJ167" s="26"/>
      <c r="HK167" s="5"/>
    </row>
    <row r="168" spans="27:219">
      <c r="AA168" s="18" t="s">
        <v>488</v>
      </c>
      <c r="AB168" s="22" t="s">
        <v>490</v>
      </c>
      <c r="AC168" s="59">
        <v>3.6405952380952398</v>
      </c>
      <c r="AD168" s="59">
        <v>8.6549999999999994</v>
      </c>
      <c r="AE168" s="22">
        <v>528</v>
      </c>
      <c r="AF168" s="22">
        <v>1528</v>
      </c>
      <c r="AG168" s="22">
        <v>948.63492063492095</v>
      </c>
      <c r="AH168" s="6">
        <v>10</v>
      </c>
      <c r="AI168" s="6">
        <v>300</v>
      </c>
      <c r="AJ168" s="6">
        <v>14</v>
      </c>
      <c r="AK168" s="24">
        <v>300</v>
      </c>
      <c r="AL168" s="24">
        <v>14</v>
      </c>
      <c r="AM168" s="5">
        <f t="shared" si="129"/>
        <v>920.63492063492095</v>
      </c>
      <c r="AN168" s="26">
        <f t="shared" si="130"/>
        <v>176.06349206349208</v>
      </c>
      <c r="AO168" s="26">
        <f t="shared" si="131"/>
        <v>248482.7399356656</v>
      </c>
      <c r="AP168" s="15">
        <f t="shared" si="132"/>
        <v>6307.6719576719579</v>
      </c>
      <c r="AQ168" s="5">
        <f t="shared" si="133"/>
        <v>5238.7432621467533</v>
      </c>
      <c r="AR168" s="26">
        <f t="shared" si="134"/>
        <v>420.51146384479722</v>
      </c>
      <c r="AS168" s="26">
        <f t="shared" si="135"/>
        <v>3022.1941546989178</v>
      </c>
      <c r="AT168" s="26">
        <f t="shared" si="136"/>
        <v>37.567600585756203</v>
      </c>
      <c r="AU168" s="26">
        <f t="shared" si="137"/>
        <v>5.9854925384629922</v>
      </c>
      <c r="AV168" s="95">
        <f t="shared" si="138"/>
        <v>8.6034497354497351E-7</v>
      </c>
      <c r="AW168" s="95">
        <f t="shared" si="139"/>
        <v>13758293.349206358</v>
      </c>
      <c r="AX168" s="95">
        <f t="shared" si="140"/>
        <v>1.3758293349206359E-5</v>
      </c>
      <c r="AY168" s="54">
        <f t="shared" si="141"/>
        <v>0.1548581140202015</v>
      </c>
      <c r="AZ168" s="54" t="str">
        <f>_xll.Dce_Name_SectI(AE168,AF168,AI168,AH168,AJ168,"x","-",$O$11)</f>
        <v>(528-1528)x300x10x14</v>
      </c>
      <c r="BA168" s="15">
        <f t="shared" si="142"/>
        <v>700.97619047619071</v>
      </c>
      <c r="BB168" s="54"/>
      <c r="BC168" s="54"/>
      <c r="BD168" s="22" t="s">
        <v>515</v>
      </c>
      <c r="BE168" s="23">
        <v>-40.432402754511031</v>
      </c>
      <c r="BF168" s="23">
        <v>-7.7918616470776669</v>
      </c>
      <c r="BG168" s="23">
        <v>-1.2757862224395957E-3</v>
      </c>
      <c r="BH168" s="23">
        <v>1.781904295567353E-5</v>
      </c>
      <c r="BI168" s="23">
        <v>4.6567830459489715E-3</v>
      </c>
      <c r="BJ168" s="23">
        <v>-3.9908359985133757E-2</v>
      </c>
      <c r="BK168" s="23">
        <v>28.185178625189224</v>
      </c>
      <c r="BL168" s="92">
        <v>2.25</v>
      </c>
      <c r="BM168" s="91">
        <v>2</v>
      </c>
      <c r="BN168" s="5">
        <f t="shared" si="143"/>
        <v>19.473749999999999</v>
      </c>
      <c r="BO168" s="54">
        <f>_xll.Bimoment(BH168,AY168,AC168,AD168,$O$101)</f>
        <v>-1.370403201133149E-4</v>
      </c>
      <c r="BP168" s="5">
        <f t="shared" si="144"/>
        <v>0.45620689655172403</v>
      </c>
      <c r="BQ168" s="5">
        <f t="shared" si="145"/>
        <v>5.1075662718821262E-3</v>
      </c>
      <c r="BR168" s="24" t="str">
        <f t="shared" si="146"/>
        <v>Cal</v>
      </c>
      <c r="BS168" s="25">
        <f t="shared" si="147"/>
        <v>1.00470438236676E-2</v>
      </c>
      <c r="BT168" s="25" t="str">
        <f t="shared" si="148"/>
        <v>CT.105</v>
      </c>
      <c r="BU168" s="25">
        <f t="shared" si="149"/>
        <v>1</v>
      </c>
      <c r="BV168" s="25" cm="1">
        <f t="array" ref="BV168">IF(BT168="CT.104",_xll.TCVN5575AnnexEHeSoCx(1,BP168),1)</f>
        <v>1</v>
      </c>
      <c r="BW168" s="25">
        <f t="shared" si="150"/>
        <v>1</v>
      </c>
      <c r="BX168" s="25">
        <f t="shared" si="151"/>
        <v>1.0575835603860632E-2</v>
      </c>
      <c r="BY168" s="25">
        <f t="shared" si="152"/>
        <v>3.5082555249371675E-5</v>
      </c>
      <c r="BZ168" s="25">
        <f t="shared" si="153"/>
        <v>5.0999112366013491E-5</v>
      </c>
      <c r="CA168" s="25">
        <f t="shared" si="154"/>
        <v>3.2154482050403353E-6</v>
      </c>
      <c r="CB168" s="25">
        <f t="shared" si="155"/>
        <v>1.0665132719681057E-2</v>
      </c>
      <c r="CC168" s="5" t="str">
        <f t="shared" si="156"/>
        <v>OK</v>
      </c>
      <c r="CD168" s="5">
        <f t="shared" si="157"/>
        <v>51.836555160202302</v>
      </c>
      <c r="CE168" s="5">
        <f t="shared" si="158"/>
        <v>33.414125690541383</v>
      </c>
      <c r="CF168" s="5">
        <f t="shared" si="159"/>
        <v>1.7266865002204341</v>
      </c>
      <c r="CG168" s="5">
        <f t="shared" si="160"/>
        <v>1.1130315193248546</v>
      </c>
      <c r="CH168" s="5">
        <f t="shared" si="161"/>
        <v>3.3172371965166552E-3</v>
      </c>
      <c r="CI168" s="68">
        <f>_xll.DCETCVN5575PhuLucD2Eta(BP168,CH168,CF168)</f>
        <v>1.539704871646034</v>
      </c>
      <c r="CJ168" s="5">
        <f t="shared" si="162"/>
        <v>5.1075662718821262E-3</v>
      </c>
      <c r="CK168" s="5">
        <f>MIN(noisuy2chieu(CJ168,CF168,Data!$DA$2:$EB$24),1)</f>
        <v>1</v>
      </c>
      <c r="CL168" s="102">
        <f t="shared" si="163"/>
        <v>1.0575835603860632E-2</v>
      </c>
      <c r="CM168" s="5" t="str">
        <f t="shared" si="164"/>
        <v>OK</v>
      </c>
      <c r="CN168" s="5">
        <f t="shared" si="165"/>
        <v>0.88472625978979058</v>
      </c>
      <c r="CO168" s="5">
        <f t="shared" si="166"/>
        <v>0.5370345235716667</v>
      </c>
      <c r="CP168" s="25">
        <f>_xll.DCETCVNPhuLucFHeSoOnDinh(1, 0.2, AG168, AH168, AI168, AJ168, AI168, AJ168, $D$28)</f>
        <v>1</v>
      </c>
      <c r="CQ168" s="68">
        <f t="shared" si="167"/>
        <v>0.76713952034206911</v>
      </c>
      <c r="CR168" s="68">
        <f t="shared" si="168"/>
        <v>1</v>
      </c>
      <c r="CS168" s="5">
        <f t="shared" si="169"/>
        <v>0.2067953959003368</v>
      </c>
      <c r="CT168" s="5">
        <f t="shared" si="170"/>
        <v>0.10155106457844131</v>
      </c>
      <c r="CU168" s="26">
        <f t="shared" si="171"/>
        <v>2.3427904068413823</v>
      </c>
      <c r="CV168" s="5"/>
      <c r="CW168" s="25"/>
      <c r="CX168" s="72">
        <f>MAX(_xll.Dce_c_925(CU168, CQ168, CR168, CN168, CP168, CS168, CT168),0.3)</f>
        <v>0.3574943367693898</v>
      </c>
      <c r="CY168" s="102">
        <f t="shared" si="172"/>
        <v>3.3437716175431398E-2</v>
      </c>
      <c r="CZ168" s="5" t="str">
        <f t="shared" si="173"/>
        <v>OK</v>
      </c>
      <c r="DA168" s="47">
        <f t="shared" si="174"/>
        <v>0.34499859601035404</v>
      </c>
      <c r="DB168" s="46">
        <f t="shared" si="175"/>
        <v>0.47130315193248545</v>
      </c>
      <c r="DC168" s="5" t="str">
        <f t="shared" si="176"/>
        <v>OK</v>
      </c>
      <c r="DD168" s="5">
        <f t="shared" si="177"/>
        <v>1.7266865002204341</v>
      </c>
      <c r="DE168" s="5">
        <f t="shared" si="178"/>
        <v>3.0666541867587034</v>
      </c>
      <c r="DF168" s="5" t="str">
        <f t="shared" si="179"/>
        <v>-</v>
      </c>
      <c r="DG168" s="5" t="str">
        <f t="shared" si="180"/>
        <v>-</v>
      </c>
      <c r="DH168" s="203">
        <f t="shared" si="181"/>
        <v>51.836555160202302</v>
      </c>
      <c r="DI168" s="203">
        <f t="shared" si="182"/>
        <v>180</v>
      </c>
      <c r="DJ168" s="46">
        <f t="shared" si="183"/>
        <v>0.28798086200112388</v>
      </c>
      <c r="DK168" s="5" t="str">
        <f t="shared" si="184"/>
        <v>OK</v>
      </c>
      <c r="EB168" s="18"/>
      <c r="EC168" s="77"/>
      <c r="ED168" s="77"/>
      <c r="EE168" s="18"/>
      <c r="EF168" s="18"/>
      <c r="EG168" s="18"/>
      <c r="EH168" s="5"/>
      <c r="EI168" s="5"/>
      <c r="EJ168" s="5"/>
      <c r="EK168" s="5"/>
      <c r="EL168" s="5"/>
      <c r="FE168" s="26"/>
      <c r="FF168" s="26"/>
      <c r="FG168" s="26"/>
      <c r="FH168" s="26"/>
      <c r="FI168" s="26"/>
      <c r="FJ168" s="26"/>
      <c r="FK168" s="26"/>
      <c r="FL168" s="26"/>
      <c r="FM168" s="26"/>
      <c r="FN168" s="205"/>
      <c r="FO168" s="205"/>
      <c r="FP168" s="205"/>
      <c r="FQ168" s="205"/>
      <c r="FR168" s="205"/>
      <c r="FS168" s="205"/>
      <c r="FT168" s="205"/>
      <c r="FU168" s="77"/>
      <c r="FV168" s="77"/>
      <c r="FW168" s="77"/>
      <c r="FX168" s="205"/>
      <c r="FY168" s="205"/>
      <c r="FZ168" s="205"/>
      <c r="GA168" s="205"/>
      <c r="GB168" s="205"/>
      <c r="GC168" s="205"/>
      <c r="GD168" s="205"/>
      <c r="GE168" s="205"/>
      <c r="GF168" s="205"/>
      <c r="GG168" s="205"/>
      <c r="GH168" s="205"/>
      <c r="GI168" s="205"/>
      <c r="GJ168" s="205"/>
      <c r="GK168" s="205"/>
      <c r="GL168" s="205"/>
      <c r="GM168" s="205"/>
      <c r="GN168" s="205"/>
      <c r="GO168" s="205"/>
      <c r="GP168" s="205"/>
      <c r="GQ168" s="205"/>
      <c r="GR168" s="205"/>
      <c r="GS168" s="205"/>
      <c r="GT168" s="205"/>
      <c r="GU168" s="205"/>
      <c r="GV168" s="18"/>
      <c r="GW168" s="5"/>
      <c r="GX168" s="5"/>
      <c r="GY168" s="77"/>
      <c r="GZ168" s="18"/>
      <c r="HA168" s="18"/>
      <c r="HB168" s="18"/>
      <c r="HC168" s="18"/>
      <c r="HD168" s="18"/>
      <c r="HE168" s="18"/>
      <c r="HF168" s="18"/>
      <c r="HG168" s="18"/>
      <c r="HH168" s="205"/>
      <c r="HI168" s="26"/>
      <c r="HJ168" s="26"/>
      <c r="HK168" s="5"/>
    </row>
    <row r="169" spans="27:219">
      <c r="AA169" s="18" t="s">
        <v>488</v>
      </c>
      <c r="AB169" s="22" t="s">
        <v>490</v>
      </c>
      <c r="AC169" s="59">
        <v>7.2811904761904795</v>
      </c>
      <c r="AD169" s="59">
        <v>8.6549999999999994</v>
      </c>
      <c r="AE169" s="22">
        <v>528</v>
      </c>
      <c r="AF169" s="22">
        <v>1528</v>
      </c>
      <c r="AG169" s="22">
        <v>1369.2698412698419</v>
      </c>
      <c r="AH169" s="6">
        <v>10</v>
      </c>
      <c r="AI169" s="6">
        <v>300</v>
      </c>
      <c r="AJ169" s="6">
        <v>14</v>
      </c>
      <c r="AK169" s="24">
        <v>300</v>
      </c>
      <c r="AL169" s="24">
        <v>14</v>
      </c>
      <c r="AM169" s="5">
        <f t="shared" si="129"/>
        <v>1341.2698412698419</v>
      </c>
      <c r="AN169" s="26">
        <f t="shared" si="130"/>
        <v>218.12698412698418</v>
      </c>
      <c r="AO169" s="26">
        <f t="shared" si="131"/>
        <v>586811.79072745051</v>
      </c>
      <c r="AP169" s="15">
        <f t="shared" si="132"/>
        <v>6311.1772486772488</v>
      </c>
      <c r="AQ169" s="5">
        <f t="shared" si="133"/>
        <v>8571.1635945074104</v>
      </c>
      <c r="AR169" s="26">
        <f t="shared" si="134"/>
        <v>420.74514991181661</v>
      </c>
      <c r="AS169" s="26">
        <f t="shared" si="135"/>
        <v>5094.8226505417015</v>
      </c>
      <c r="AT169" s="26">
        <f t="shared" si="136"/>
        <v>51.867428670398397</v>
      </c>
      <c r="AU169" s="26">
        <f t="shared" si="137"/>
        <v>5.3789869588463937</v>
      </c>
      <c r="AV169" s="95">
        <f t="shared" si="138"/>
        <v>1.0005566137566139E-6</v>
      </c>
      <c r="AW169" s="95">
        <f t="shared" si="139"/>
        <v>28928912.396825422</v>
      </c>
      <c r="AX169" s="95">
        <f t="shared" si="140"/>
        <v>2.8928912396825422E-5</v>
      </c>
      <c r="AY169" s="54">
        <f t="shared" si="141"/>
        <v>0.11516876660535029</v>
      </c>
      <c r="AZ169" s="54" t="str">
        <f>_xll.Dce_Name_SectI(AE169,AF169,AI169,AH169,AJ169,"x","-",$O$11)</f>
        <v>(528-1528)x300x10x14</v>
      </c>
      <c r="BA169" s="15">
        <f t="shared" si="142"/>
        <v>1016.4523809523813</v>
      </c>
      <c r="BB169" s="54"/>
      <c r="BC169" s="54"/>
      <c r="BD169" s="22" t="s">
        <v>515</v>
      </c>
      <c r="BE169" s="23">
        <v>-35.012951317452803</v>
      </c>
      <c r="BF169" s="23">
        <v>-23.142554364952275</v>
      </c>
      <c r="BG169" s="23">
        <v>-1.2757862224405375E-3</v>
      </c>
      <c r="BH169" s="23">
        <v>1.781904295567353E-5</v>
      </c>
      <c r="BI169" s="23">
        <v>9.3123424566305384E-3</v>
      </c>
      <c r="BJ169" s="23">
        <v>56.370357250378447</v>
      </c>
      <c r="BK169" s="23">
        <v>28.185178625189224</v>
      </c>
      <c r="BL169" s="92">
        <v>2.25</v>
      </c>
      <c r="BM169" s="91">
        <v>2</v>
      </c>
      <c r="BN169" s="5">
        <f t="shared" si="143"/>
        <v>19.473749999999999</v>
      </c>
      <c r="BO169" s="54">
        <f>_xll.Bimoment(BH169,AY169,AC169,AD169,$O$101)</f>
        <v>-8.1516248624581829E-5</v>
      </c>
      <c r="BP169" s="5">
        <f t="shared" si="144"/>
        <v>0.31313609467455605</v>
      </c>
      <c r="BQ169" s="5">
        <f t="shared" si="145"/>
        <v>5.1421331635433756</v>
      </c>
      <c r="BR169" s="24" t="str">
        <f t="shared" si="146"/>
        <v>Cal</v>
      </c>
      <c r="BS169" s="25">
        <f t="shared" si="147"/>
        <v>7.0225911125548889E-3</v>
      </c>
      <c r="BT169" s="25" t="str">
        <f t="shared" si="148"/>
        <v>CT.105</v>
      </c>
      <c r="BU169" s="25">
        <f t="shared" si="149"/>
        <v>1</v>
      </c>
      <c r="BV169" s="25" cm="1">
        <f t="array" ref="BV169">IF(BT169="CT.104",_xll.TCVN5575AnnexEHeSoCx(1,BP169),1)</f>
        <v>1</v>
      </c>
      <c r="BW169" s="25">
        <f t="shared" si="150"/>
        <v>1</v>
      </c>
      <c r="BX169" s="25">
        <f t="shared" si="151"/>
        <v>7.392201171110409E-3</v>
      </c>
      <c r="BY169" s="25">
        <f t="shared" si="152"/>
        <v>3.0287641412992037E-2</v>
      </c>
      <c r="BZ169" s="25">
        <f t="shared" si="153"/>
        <v>1.0192818060578467E-4</v>
      </c>
      <c r="CA169" s="25">
        <f t="shared" si="154"/>
        <v>1.3190266445875269E-6</v>
      </c>
      <c r="CB169" s="25">
        <f t="shared" si="155"/>
        <v>3.7783089791352815E-2</v>
      </c>
      <c r="CC169" s="5" t="str">
        <f t="shared" si="156"/>
        <v>OK</v>
      </c>
      <c r="CD169" s="5">
        <f t="shared" si="157"/>
        <v>37.545238889226049</v>
      </c>
      <c r="CE169" s="5">
        <f t="shared" si="158"/>
        <v>37.181722419139881</v>
      </c>
      <c r="CF169" s="5">
        <f t="shared" si="159"/>
        <v>1.2506397644909562</v>
      </c>
      <c r="CG169" s="5">
        <f t="shared" si="160"/>
        <v>1.2385309547993069</v>
      </c>
      <c r="CH169" s="5">
        <f t="shared" si="161"/>
        <v>4.09724258200111</v>
      </c>
      <c r="CI169" s="68">
        <f>_xll.DCETCVN5575PhuLucD2Eta(BP169,CH169,CF169)</f>
        <v>1.2550228746846464</v>
      </c>
      <c r="CJ169" s="5">
        <f t="shared" si="162"/>
        <v>5.1421331635433756</v>
      </c>
      <c r="CK169" s="5">
        <f>MIN(noisuy2chieu(CJ169,CF169,Data!$DA$2:$EB$24),1)</f>
        <v>0.24435961246490479</v>
      </c>
      <c r="CL169" s="102">
        <f t="shared" si="163"/>
        <v>3.0251321388767079E-2</v>
      </c>
      <c r="CM169" s="5" t="str">
        <f t="shared" si="164"/>
        <v>OK</v>
      </c>
      <c r="CN169" s="5">
        <f t="shared" si="165"/>
        <v>0.86643683692746631</v>
      </c>
      <c r="CO169" s="5">
        <f t="shared" si="166"/>
        <v>0.5370345235716667</v>
      </c>
      <c r="CP169" s="25">
        <f>_xll.DCETCVNPhuLucFHeSoOnDinh(1, 0.2, AG169, AH169, AI169, AJ169, AI169, AJ169, $D$28)</f>
        <v>1</v>
      </c>
      <c r="CQ169" s="68">
        <f t="shared" si="167"/>
        <v>0.75243106455002784</v>
      </c>
      <c r="CR169" s="68">
        <f t="shared" si="168"/>
        <v>1</v>
      </c>
      <c r="CS169" s="5">
        <f t="shared" si="169"/>
        <v>0.20998895084810068</v>
      </c>
      <c r="CT169" s="5">
        <f t="shared" si="170"/>
        <v>0.10347287704587492</v>
      </c>
      <c r="CU169" s="26">
        <f t="shared" si="171"/>
        <v>2.048621291000555</v>
      </c>
      <c r="CV169" s="5"/>
      <c r="CW169" s="25"/>
      <c r="CX169" s="72">
        <f>MAX(_xll.Dce_c_925(CU169, CQ169, CR169, CN169, CP169, CS169, CT169),0.3)</f>
        <v>0.39347673820750073</v>
      </c>
      <c r="CY169" s="102">
        <f t="shared" si="172"/>
        <v>2.1682921946480794E-2</v>
      </c>
      <c r="CZ169" s="5" t="str">
        <f t="shared" si="173"/>
        <v>OK</v>
      </c>
      <c r="DA169" s="47">
        <f t="shared" si="174"/>
        <v>0.34499859601035404</v>
      </c>
      <c r="DB169" s="46">
        <f t="shared" si="175"/>
        <v>0.48385309547993066</v>
      </c>
      <c r="DC169" s="5" t="str">
        <f t="shared" si="176"/>
        <v>OK</v>
      </c>
      <c r="DD169" s="5">
        <f t="shared" si="177"/>
        <v>1.2506397644909562</v>
      </c>
      <c r="DE169" s="5">
        <f t="shared" si="178"/>
        <v>4.4677979100191463</v>
      </c>
      <c r="DF169" s="5">
        <f t="shared" si="179"/>
        <v>1.5346149730788992</v>
      </c>
      <c r="DG169" s="5" t="str">
        <f t="shared" si="180"/>
        <v>Gia cường</v>
      </c>
      <c r="DH169" s="203">
        <f t="shared" si="181"/>
        <v>37.545238889226049</v>
      </c>
      <c r="DI169" s="203">
        <f t="shared" si="182"/>
        <v>180</v>
      </c>
      <c r="DJ169" s="46">
        <f t="shared" si="183"/>
        <v>0.20858466049570026</v>
      </c>
      <c r="DK169" s="5" t="str">
        <f t="shared" si="184"/>
        <v>OK</v>
      </c>
      <c r="EB169" s="18"/>
      <c r="EC169" s="77"/>
      <c r="ED169" s="77"/>
      <c r="EE169" s="18"/>
      <c r="EF169" s="18"/>
      <c r="EG169" s="18"/>
      <c r="EH169" s="5"/>
      <c r="EI169" s="5"/>
      <c r="EJ169" s="5"/>
      <c r="EK169" s="5"/>
      <c r="EL169" s="5"/>
      <c r="FE169" s="26"/>
      <c r="FF169" s="26"/>
      <c r="FG169" s="26"/>
      <c r="FH169" s="26"/>
      <c r="FI169" s="26"/>
      <c r="FJ169" s="26"/>
      <c r="FK169" s="26"/>
      <c r="FL169" s="26"/>
      <c r="FM169" s="26"/>
      <c r="FN169" s="205"/>
      <c r="FO169" s="205"/>
      <c r="FP169" s="205"/>
      <c r="FQ169" s="205"/>
      <c r="FR169" s="205"/>
      <c r="FS169" s="205"/>
      <c r="FT169" s="205"/>
      <c r="FU169" s="77"/>
      <c r="FV169" s="77"/>
      <c r="FW169" s="77"/>
      <c r="FX169" s="205"/>
      <c r="FY169" s="205"/>
      <c r="FZ169" s="205"/>
      <c r="GA169" s="205"/>
      <c r="GB169" s="205"/>
      <c r="GC169" s="205"/>
      <c r="GD169" s="205"/>
      <c r="GE169" s="205"/>
      <c r="GF169" s="205"/>
      <c r="GG169" s="205"/>
      <c r="GH169" s="205"/>
      <c r="GI169" s="205"/>
      <c r="GJ169" s="205"/>
      <c r="GK169" s="205"/>
      <c r="GL169" s="205"/>
      <c r="GM169" s="205"/>
      <c r="GN169" s="205"/>
      <c r="GO169" s="205"/>
      <c r="GP169" s="205"/>
      <c r="GQ169" s="205"/>
      <c r="GR169" s="205"/>
      <c r="GS169" s="205"/>
      <c r="GT169" s="205"/>
      <c r="GU169" s="205"/>
      <c r="GV169" s="18"/>
      <c r="GW169" s="5"/>
      <c r="GX169" s="5"/>
      <c r="GY169" s="77"/>
      <c r="GZ169" s="18"/>
      <c r="HA169" s="18"/>
      <c r="HB169" s="18"/>
      <c r="HC169" s="18"/>
      <c r="HD169" s="18"/>
      <c r="HE169" s="18"/>
      <c r="HF169" s="18"/>
      <c r="HG169" s="18"/>
      <c r="HH169" s="205"/>
      <c r="HI169" s="26"/>
      <c r="HJ169" s="26"/>
      <c r="HK169" s="5"/>
    </row>
    <row r="170" spans="27:219">
      <c r="AA170" s="18" t="s">
        <v>488</v>
      </c>
      <c r="AB170" s="22" t="s">
        <v>490</v>
      </c>
      <c r="AC170" s="59">
        <v>0</v>
      </c>
      <c r="AD170" s="59">
        <v>8.6549999999999994</v>
      </c>
      <c r="AE170" s="22">
        <v>528</v>
      </c>
      <c r="AF170" s="22">
        <v>1528</v>
      </c>
      <c r="AG170" s="22">
        <v>528</v>
      </c>
      <c r="AH170" s="6">
        <v>10</v>
      </c>
      <c r="AI170" s="6">
        <v>300</v>
      </c>
      <c r="AJ170" s="6">
        <v>14</v>
      </c>
      <c r="AK170" s="24">
        <v>300</v>
      </c>
      <c r="AL170" s="24">
        <v>14</v>
      </c>
      <c r="AM170" s="5">
        <f t="shared" si="129"/>
        <v>500</v>
      </c>
      <c r="AN170" s="26">
        <f t="shared" si="130"/>
        <v>134</v>
      </c>
      <c r="AO170" s="26">
        <f t="shared" si="131"/>
        <v>65911.546666666676</v>
      </c>
      <c r="AP170" s="15">
        <f t="shared" si="132"/>
        <v>6304.166666666667</v>
      </c>
      <c r="AQ170" s="5">
        <f t="shared" si="133"/>
        <v>2496.6494949494954</v>
      </c>
      <c r="AR170" s="26">
        <f t="shared" si="134"/>
        <v>420.27777777777777</v>
      </c>
      <c r="AS170" s="26">
        <f t="shared" si="135"/>
        <v>1391.9</v>
      </c>
      <c r="AT170" s="26">
        <f t="shared" si="136"/>
        <v>22.178305028345793</v>
      </c>
      <c r="AU170" s="26">
        <f t="shared" si="137"/>
        <v>6.8590101254115021</v>
      </c>
      <c r="AV170" s="95">
        <f t="shared" si="138"/>
        <v>7.201333333333334E-7</v>
      </c>
      <c r="AW170" s="95">
        <f t="shared" si="139"/>
        <v>4161087</v>
      </c>
      <c r="AX170" s="95">
        <f t="shared" si="140"/>
        <v>4.1610870000000001E-6</v>
      </c>
      <c r="AY170" s="54">
        <f t="shared" si="141"/>
        <v>0.25762202780669918</v>
      </c>
      <c r="AZ170" s="54" t="str">
        <f>_xll.Dce_Name_SectI(AE170,AF170,AI170,AH170,AJ170,"x","-",$O$11)</f>
        <v>(528-1528)x300x10x14</v>
      </c>
      <c r="BA170" s="15">
        <f t="shared" si="142"/>
        <v>385.5</v>
      </c>
      <c r="BB170" s="54"/>
      <c r="BC170" s="54"/>
      <c r="BD170" s="22" t="s">
        <v>516</v>
      </c>
      <c r="BE170" s="23">
        <v>-296.87934894838338</v>
      </c>
      <c r="BF170" s="23">
        <v>-212.05046492261158</v>
      </c>
      <c r="BG170" s="23">
        <v>1.1303522440038727E-3</v>
      </c>
      <c r="BH170" s="23">
        <v>-1.5787750985781431E-5</v>
      </c>
      <c r="BI170" s="23">
        <v>-1.0841462697179506E-6</v>
      </c>
      <c r="BJ170" s="23">
        <v>-3.943163325548809</v>
      </c>
      <c r="BK170" s="23">
        <v>871.05390409595702</v>
      </c>
      <c r="BL170" s="92">
        <v>2.25</v>
      </c>
      <c r="BM170" s="91">
        <v>2</v>
      </c>
      <c r="BN170" s="5">
        <f t="shared" si="143"/>
        <v>19.473749999999999</v>
      </c>
      <c r="BO170" s="54">
        <f>_xll.Bimoment(BH170,AY170,AC170,AD170,$O$101)</f>
        <v>0</v>
      </c>
      <c r="BP170" s="5">
        <f t="shared" si="144"/>
        <v>0.84</v>
      </c>
      <c r="BQ170" s="5">
        <f t="shared" si="145"/>
        <v>0.1081272648389683</v>
      </c>
      <c r="BR170" s="24" t="str">
        <f t="shared" si="146"/>
        <v>Cal</v>
      </c>
      <c r="BS170" s="25">
        <f t="shared" si="147"/>
        <v>9.6928891914117715E-2</v>
      </c>
      <c r="BT170" s="25" t="str">
        <f t="shared" si="148"/>
        <v>CT.105</v>
      </c>
      <c r="BU170" s="25">
        <f t="shared" si="149"/>
        <v>1</v>
      </c>
      <c r="BV170" s="25" cm="1">
        <f t="array" ref="BV170">IF(BT170="CT.104",_xll.TCVN5575AnnexEHeSoCx(1,BP170),1)</f>
        <v>1</v>
      </c>
      <c r="BW170" s="25">
        <f t="shared" si="150"/>
        <v>1</v>
      </c>
      <c r="BX170" s="25">
        <f t="shared" si="151"/>
        <v>0.10203041254117654</v>
      </c>
      <c r="BY170" s="25">
        <f t="shared" si="152"/>
        <v>7.2734698344506556E-3</v>
      </c>
      <c r="BZ170" s="25">
        <f t="shared" si="153"/>
        <v>1.1879711794662207E-8</v>
      </c>
      <c r="CA170" s="25">
        <f t="shared" si="154"/>
        <v>0</v>
      </c>
      <c r="CB170" s="25">
        <f t="shared" si="155"/>
        <v>0.10930389425533898</v>
      </c>
      <c r="CC170" s="5" t="str">
        <f t="shared" si="156"/>
        <v>OK</v>
      </c>
      <c r="CD170" s="5">
        <f t="shared" si="157"/>
        <v>87.805402509844015</v>
      </c>
      <c r="CE170" s="5">
        <f t="shared" si="158"/>
        <v>29.158726455153193</v>
      </c>
      <c r="CF170" s="5">
        <f t="shared" si="159"/>
        <v>2.9248163326364334</v>
      </c>
      <c r="CG170" s="5">
        <f t="shared" si="160"/>
        <v>0.97128328026682387</v>
      </c>
      <c r="CH170" s="5">
        <f t="shared" si="161"/>
        <v>7.1287272620948125E-2</v>
      </c>
      <c r="CI170" s="68">
        <f>_xll.DCETCVN5575PhuLucD2Eta(BP170,CH170,CF170)</f>
        <v>1.5167821809358233</v>
      </c>
      <c r="CJ170" s="5">
        <f t="shared" si="162"/>
        <v>0.1081272648389683</v>
      </c>
      <c r="CK170" s="5">
        <f>MIN(noisuy2chieu(CJ170,CF170,Data!$DA$2:$EB$24),1)</f>
        <v>0.67448484897613525</v>
      </c>
      <c r="CL170" s="102">
        <f t="shared" si="163"/>
        <v>0.15127161521279275</v>
      </c>
      <c r="CM170" s="5" t="str">
        <f t="shared" si="164"/>
        <v>OK</v>
      </c>
      <c r="CN170" s="5">
        <f t="shared" si="165"/>
        <v>0.90492218941026858</v>
      </c>
      <c r="CO170" s="5">
        <f t="shared" si="166"/>
        <v>0.5370345235716667</v>
      </c>
      <c r="CP170" s="25">
        <f>_xll.DCETCVNPhuLucFHeSoOnDinh(1, 0.2, AG170, AH170, AI170, AJ170, AI170, AJ170, $D$28)</f>
        <v>1</v>
      </c>
      <c r="CQ170" s="68">
        <f t="shared" si="167"/>
        <v>0.9</v>
      </c>
      <c r="CR170" s="68">
        <f t="shared" si="168"/>
        <v>1</v>
      </c>
      <c r="CS170" s="5">
        <f t="shared" si="169"/>
        <v>0.18181818181818182</v>
      </c>
      <c r="CT170" s="5">
        <f t="shared" si="170"/>
        <v>9.9510191986788829E-2</v>
      </c>
      <c r="CU170" s="26">
        <f t="shared" si="171"/>
        <v>15.747523498836383</v>
      </c>
      <c r="CV170" s="5"/>
      <c r="CW170" s="25"/>
      <c r="CX170" s="72">
        <f>MAX(_xll.Dce_c_925(CU170, CQ170, CR170, CN170, CP170, CS170, CT170),0.3)</f>
        <v>0.3</v>
      </c>
      <c r="CY170" s="102">
        <f t="shared" si="172"/>
        <v>0.37583493820490449</v>
      </c>
      <c r="CZ170" s="5" t="str">
        <f t="shared" si="173"/>
        <v>OK</v>
      </c>
      <c r="DA170" s="47">
        <f t="shared" si="174"/>
        <v>0.34499859601035404</v>
      </c>
      <c r="DB170" s="46">
        <f t="shared" si="175"/>
        <v>0.45712832802668235</v>
      </c>
      <c r="DC170" s="5" t="str">
        <f t="shared" si="176"/>
        <v>OK</v>
      </c>
      <c r="DD170" s="5">
        <f t="shared" si="177"/>
        <v>2.9248163326364334</v>
      </c>
      <c r="DE170" s="5">
        <f t="shared" si="178"/>
        <v>1.6655104634982609</v>
      </c>
      <c r="DF170" s="5" t="str">
        <f t="shared" si="179"/>
        <v>-</v>
      </c>
      <c r="DG170" s="5" t="str">
        <f t="shared" si="180"/>
        <v>-</v>
      </c>
      <c r="DH170" s="203" t="str">
        <f t="shared" si="181"/>
        <v>-</v>
      </c>
      <c r="DI170" s="203">
        <f t="shared" si="182"/>
        <v>180</v>
      </c>
      <c r="DJ170" s="46">
        <f t="shared" si="183"/>
        <v>0</v>
      </c>
      <c r="DK170" s="5" t="str">
        <f t="shared" si="184"/>
        <v>OK</v>
      </c>
      <c r="EB170" s="18"/>
      <c r="EC170" s="77"/>
      <c r="ED170" s="77"/>
      <c r="EE170" s="18"/>
      <c r="EF170" s="18"/>
      <c r="EG170" s="18"/>
      <c r="EH170" s="5"/>
      <c r="EI170" s="5"/>
      <c r="EJ170" s="5"/>
      <c r="EK170" s="5"/>
      <c r="EL170" s="5"/>
      <c r="FE170" s="26"/>
      <c r="FF170" s="26"/>
      <c r="FG170" s="26"/>
      <c r="FH170" s="26"/>
      <c r="FI170" s="26"/>
      <c r="FJ170" s="26"/>
      <c r="FK170" s="26"/>
      <c r="FL170" s="26"/>
      <c r="FM170" s="26"/>
      <c r="FN170" s="205"/>
      <c r="FO170" s="205"/>
      <c r="FP170" s="205"/>
      <c r="FQ170" s="205"/>
      <c r="FR170" s="205"/>
      <c r="FS170" s="205"/>
      <c r="FT170" s="205"/>
      <c r="FU170" s="77"/>
      <c r="FV170" s="77"/>
      <c r="FW170" s="77"/>
      <c r="FX170" s="205"/>
      <c r="FY170" s="205"/>
      <c r="FZ170" s="205"/>
      <c r="GA170" s="205"/>
      <c r="GB170" s="205"/>
      <c r="GC170" s="205"/>
      <c r="GD170" s="205"/>
      <c r="GE170" s="205"/>
      <c r="GF170" s="205"/>
      <c r="GG170" s="205"/>
      <c r="GH170" s="205"/>
      <c r="GI170" s="205"/>
      <c r="GJ170" s="205"/>
      <c r="GK170" s="205"/>
      <c r="GL170" s="205"/>
      <c r="GM170" s="205"/>
      <c r="GN170" s="205"/>
      <c r="GO170" s="205"/>
      <c r="GP170" s="205"/>
      <c r="GQ170" s="205"/>
      <c r="GR170" s="205"/>
      <c r="GS170" s="205"/>
      <c r="GT170" s="205"/>
      <c r="GU170" s="205"/>
      <c r="GV170" s="18"/>
      <c r="GW170" s="5"/>
      <c r="GX170" s="5"/>
      <c r="GY170" s="77"/>
      <c r="GZ170" s="18"/>
      <c r="HA170" s="18"/>
      <c r="HB170" s="18"/>
      <c r="HC170" s="18"/>
      <c r="HD170" s="18"/>
      <c r="HE170" s="18"/>
      <c r="HF170" s="18"/>
      <c r="HG170" s="18"/>
      <c r="HH170" s="205"/>
      <c r="HI170" s="26"/>
      <c r="HJ170" s="26"/>
      <c r="HK170" s="5"/>
    </row>
    <row r="171" spans="27:219">
      <c r="AA171" s="18" t="s">
        <v>488</v>
      </c>
      <c r="AB171" s="22" t="s">
        <v>490</v>
      </c>
      <c r="AC171" s="59">
        <v>3.6405952380952398</v>
      </c>
      <c r="AD171" s="59">
        <v>8.6549999999999994</v>
      </c>
      <c r="AE171" s="22">
        <v>528</v>
      </c>
      <c r="AF171" s="22">
        <v>1528</v>
      </c>
      <c r="AG171" s="22">
        <v>948.63492063492095</v>
      </c>
      <c r="AH171" s="6">
        <v>10</v>
      </c>
      <c r="AI171" s="6">
        <v>300</v>
      </c>
      <c r="AJ171" s="6">
        <v>14</v>
      </c>
      <c r="AK171" s="24">
        <v>300</v>
      </c>
      <c r="AL171" s="24">
        <v>14</v>
      </c>
      <c r="AM171" s="5">
        <f t="shared" si="129"/>
        <v>920.63492063492095</v>
      </c>
      <c r="AN171" s="26">
        <f t="shared" si="130"/>
        <v>176.06349206349208</v>
      </c>
      <c r="AO171" s="26">
        <f t="shared" si="131"/>
        <v>248482.7399356656</v>
      </c>
      <c r="AP171" s="15">
        <f t="shared" si="132"/>
        <v>6307.6719576719579</v>
      </c>
      <c r="AQ171" s="5">
        <f t="shared" si="133"/>
        <v>5238.7432621467533</v>
      </c>
      <c r="AR171" s="26">
        <f t="shared" si="134"/>
        <v>420.51146384479722</v>
      </c>
      <c r="AS171" s="26">
        <f t="shared" si="135"/>
        <v>3022.1941546989178</v>
      </c>
      <c r="AT171" s="26">
        <f t="shared" si="136"/>
        <v>37.567600585756203</v>
      </c>
      <c r="AU171" s="26">
        <f t="shared" si="137"/>
        <v>5.9854925384629922</v>
      </c>
      <c r="AV171" s="95">
        <f t="shared" si="138"/>
        <v>8.6034497354497351E-7</v>
      </c>
      <c r="AW171" s="95">
        <f t="shared" si="139"/>
        <v>13758293.349206358</v>
      </c>
      <c r="AX171" s="95">
        <f t="shared" si="140"/>
        <v>1.3758293349206359E-5</v>
      </c>
      <c r="AY171" s="54">
        <f t="shared" si="141"/>
        <v>0.1548581140202015</v>
      </c>
      <c r="AZ171" s="54" t="str">
        <f>_xll.Dce_Name_SectI(AE171,AF171,AI171,AH171,AJ171,"x","-",$O$11)</f>
        <v>(528-1528)x300x10x14</v>
      </c>
      <c r="BA171" s="15">
        <f t="shared" si="142"/>
        <v>700.97619047619071</v>
      </c>
      <c r="BB171" s="54"/>
      <c r="BC171" s="54"/>
      <c r="BD171" s="22" t="s">
        <v>516</v>
      </c>
      <c r="BE171" s="23">
        <v>-293.8203332618175</v>
      </c>
      <c r="BF171" s="23">
        <v>-239.22189710989417</v>
      </c>
      <c r="BG171" s="23">
        <v>1.1303522440022048E-3</v>
      </c>
      <c r="BH171" s="23">
        <v>-1.5787750985781431E-5</v>
      </c>
      <c r="BI171" s="23">
        <v>-4.1259304052992905E-3</v>
      </c>
      <c r="BJ171" s="23">
        <v>819.40918311376765</v>
      </c>
      <c r="BK171" s="23">
        <v>871.05390409595702</v>
      </c>
      <c r="BL171" s="92">
        <v>2.25</v>
      </c>
      <c r="BM171" s="91">
        <v>2</v>
      </c>
      <c r="BN171" s="5">
        <f t="shared" si="143"/>
        <v>19.473749999999999</v>
      </c>
      <c r="BO171" s="54">
        <f>_xll.Bimoment(BH171,AY171,AC171,AD171,$O$101)</f>
        <v>1.2141833062206743E-4</v>
      </c>
      <c r="BP171" s="5">
        <f t="shared" si="144"/>
        <v>0.45620689655172403</v>
      </c>
      <c r="BQ171" s="5">
        <f t="shared" si="145"/>
        <v>11.633688235512016</v>
      </c>
      <c r="BR171" s="24" t="str">
        <f t="shared" si="146"/>
        <v>Cal</v>
      </c>
      <c r="BS171" s="25">
        <f t="shared" si="147"/>
        <v>7.3011386003685938E-2</v>
      </c>
      <c r="BT171" s="25" t="str">
        <f t="shared" si="148"/>
        <v>CT.105</v>
      </c>
      <c r="BU171" s="25">
        <f t="shared" si="149"/>
        <v>1</v>
      </c>
      <c r="BV171" s="25" cm="1">
        <f t="array" ref="BV171">IF(BT171="CT.104",_xll.TCVN5575AnnexEHeSoCx(1,BP171),1)</f>
        <v>1</v>
      </c>
      <c r="BW171" s="25">
        <f t="shared" si="150"/>
        <v>1</v>
      </c>
      <c r="BX171" s="25">
        <f t="shared" si="151"/>
        <v>7.6854090530195721E-2</v>
      </c>
      <c r="BY171" s="25">
        <f t="shared" si="152"/>
        <v>0.72032446207109957</v>
      </c>
      <c r="BZ171" s="25">
        <f t="shared" si="153"/>
        <v>4.5185439449934784E-5</v>
      </c>
      <c r="CA171" s="25">
        <f t="shared" si="154"/>
        <v>2.8489013520611865E-6</v>
      </c>
      <c r="CB171" s="25">
        <f t="shared" si="155"/>
        <v>0.79722658694209736</v>
      </c>
      <c r="CC171" s="5" t="str">
        <f t="shared" si="156"/>
        <v>OK</v>
      </c>
      <c r="CD171" s="5">
        <f t="shared" si="157"/>
        <v>51.836555160202302</v>
      </c>
      <c r="CE171" s="5">
        <f t="shared" si="158"/>
        <v>33.414125690541383</v>
      </c>
      <c r="CF171" s="5">
        <f t="shared" si="159"/>
        <v>1.7266865002204341</v>
      </c>
      <c r="CG171" s="5">
        <f t="shared" si="160"/>
        <v>1.1130315193248546</v>
      </c>
      <c r="CH171" s="5">
        <f t="shared" si="161"/>
        <v>9.3726235923393855</v>
      </c>
      <c r="CI171" s="68">
        <f>_xll.DCETCVN5575PhuLucD2Eta(BP171,CH171,CF171)</f>
        <v>1.2412413793103447</v>
      </c>
      <c r="CJ171" s="5">
        <f t="shared" si="162"/>
        <v>11.633688235512016</v>
      </c>
      <c r="CK171" s="5">
        <f>MIN(noisuy2chieu(CJ171,CF171,Data!$DA$2:$EB$24),1)</f>
        <v>0.11432343721389771</v>
      </c>
      <c r="CL171" s="102">
        <f t="shared" si="163"/>
        <v>0.67225139834103054</v>
      </c>
      <c r="CM171" s="5" t="str">
        <f t="shared" si="164"/>
        <v>OK</v>
      </c>
      <c r="CN171" s="5">
        <f t="shared" si="165"/>
        <v>0.88472625978979058</v>
      </c>
      <c r="CO171" s="5">
        <f t="shared" si="166"/>
        <v>0.5370345235716667</v>
      </c>
      <c r="CP171" s="25">
        <f>_xll.DCETCVNPhuLucFHeSoOnDinh(1, 0.2, AG171, AH171, AI171, AJ171, AI171, AJ171, $D$28)</f>
        <v>1</v>
      </c>
      <c r="CQ171" s="68">
        <f t="shared" si="167"/>
        <v>0.9</v>
      </c>
      <c r="CR171" s="68">
        <f t="shared" si="168"/>
        <v>1</v>
      </c>
      <c r="CS171" s="5">
        <f t="shared" si="169"/>
        <v>0.18181818181818182</v>
      </c>
      <c r="CT171" s="5">
        <f t="shared" si="170"/>
        <v>0.10155106457844131</v>
      </c>
      <c r="CU171" s="26">
        <f t="shared" si="171"/>
        <v>9.9633498622819161</v>
      </c>
      <c r="CV171" s="5"/>
      <c r="CW171" s="25"/>
      <c r="CX171" s="72">
        <f>MAX(_xll.Dce_c_925(CU171, CQ171, CR171, CN171, CP171, CS171, CT171),0.3)</f>
        <v>0.3</v>
      </c>
      <c r="CY171" s="102">
        <f t="shared" si="172"/>
        <v>0.2895588312572378</v>
      </c>
      <c r="CZ171" s="5" t="str">
        <f t="shared" si="173"/>
        <v>OK</v>
      </c>
      <c r="DA171" s="47">
        <f t="shared" si="174"/>
        <v>0.34499859601035404</v>
      </c>
      <c r="DB171" s="46">
        <f t="shared" si="175"/>
        <v>0.47130315193248545</v>
      </c>
      <c r="DC171" s="5" t="str">
        <f t="shared" si="176"/>
        <v>OK</v>
      </c>
      <c r="DD171" s="5">
        <f t="shared" si="177"/>
        <v>1.7266865002204341</v>
      </c>
      <c r="DE171" s="5">
        <f t="shared" si="178"/>
        <v>3.0666541867587034</v>
      </c>
      <c r="DF171" s="5">
        <f t="shared" si="179"/>
        <v>1.7472169405065237</v>
      </c>
      <c r="DG171" s="5" t="str">
        <f t="shared" si="180"/>
        <v>Gia cường</v>
      </c>
      <c r="DH171" s="203">
        <f t="shared" si="181"/>
        <v>51.836555160202302</v>
      </c>
      <c r="DI171" s="203">
        <f t="shared" si="182"/>
        <v>169.66491609953817</v>
      </c>
      <c r="DJ171" s="46">
        <f t="shared" si="183"/>
        <v>0.30552312376585322</v>
      </c>
      <c r="DK171" s="5" t="str">
        <f t="shared" si="184"/>
        <v>OK</v>
      </c>
      <c r="EB171" s="18"/>
      <c r="EC171" s="77"/>
      <c r="ED171" s="77"/>
      <c r="EE171" s="18"/>
      <c r="EF171" s="18"/>
      <c r="EG171" s="18"/>
      <c r="EH171" s="5"/>
      <c r="EI171" s="5"/>
      <c r="EJ171" s="5"/>
      <c r="EK171" s="5"/>
      <c r="EL171" s="5"/>
      <c r="FE171" s="26"/>
      <c r="FF171" s="26"/>
      <c r="FG171" s="26"/>
      <c r="FH171" s="26"/>
      <c r="FI171" s="26"/>
      <c r="FJ171" s="26"/>
      <c r="FK171" s="26"/>
      <c r="FL171" s="26"/>
      <c r="FM171" s="26"/>
      <c r="FN171" s="205"/>
      <c r="FO171" s="205"/>
      <c r="FP171" s="205"/>
      <c r="FQ171" s="205"/>
      <c r="FR171" s="205"/>
      <c r="FS171" s="205"/>
      <c r="FT171" s="205"/>
      <c r="FU171" s="77"/>
      <c r="FV171" s="77"/>
      <c r="FW171" s="77"/>
      <c r="FX171" s="205"/>
      <c r="FY171" s="205"/>
      <c r="FZ171" s="205"/>
      <c r="GA171" s="205"/>
      <c r="GB171" s="205"/>
      <c r="GC171" s="205"/>
      <c r="GD171" s="205"/>
      <c r="GE171" s="205"/>
      <c r="GF171" s="205"/>
      <c r="GG171" s="205"/>
      <c r="GH171" s="205"/>
      <c r="GI171" s="205"/>
      <c r="GJ171" s="205"/>
      <c r="GK171" s="205"/>
      <c r="GL171" s="205"/>
      <c r="GM171" s="205"/>
      <c r="GN171" s="205"/>
      <c r="GO171" s="205"/>
      <c r="GP171" s="205"/>
      <c r="GQ171" s="205"/>
      <c r="GR171" s="205"/>
      <c r="GS171" s="205"/>
      <c r="GT171" s="205"/>
      <c r="GU171" s="205"/>
      <c r="GV171" s="18"/>
      <c r="GW171" s="5"/>
      <c r="GX171" s="5"/>
      <c r="GY171" s="77"/>
      <c r="GZ171" s="18"/>
      <c r="HA171" s="18"/>
      <c r="HB171" s="18"/>
      <c r="HC171" s="18"/>
      <c r="HD171" s="18"/>
      <c r="HE171" s="18"/>
      <c r="HF171" s="18"/>
      <c r="HG171" s="18"/>
      <c r="HH171" s="205"/>
      <c r="HI171" s="26"/>
      <c r="HJ171" s="26"/>
      <c r="HK171" s="5"/>
    </row>
    <row r="172" spans="27:219">
      <c r="AA172" s="18" t="s">
        <v>488</v>
      </c>
      <c r="AB172" s="22" t="s">
        <v>490</v>
      </c>
      <c r="AC172" s="59">
        <v>7.2811904761904795</v>
      </c>
      <c r="AD172" s="59">
        <v>8.6549999999999994</v>
      </c>
      <c r="AE172" s="22">
        <v>528</v>
      </c>
      <c r="AF172" s="22">
        <v>1528</v>
      </c>
      <c r="AG172" s="22">
        <v>1369.2698412698419</v>
      </c>
      <c r="AH172" s="6">
        <v>10</v>
      </c>
      <c r="AI172" s="6">
        <v>300</v>
      </c>
      <c r="AJ172" s="6">
        <v>14</v>
      </c>
      <c r="AK172" s="24">
        <v>300</v>
      </c>
      <c r="AL172" s="24">
        <v>14</v>
      </c>
      <c r="AM172" s="5">
        <f t="shared" si="129"/>
        <v>1341.2698412698419</v>
      </c>
      <c r="AN172" s="26">
        <f t="shared" si="130"/>
        <v>218.12698412698418</v>
      </c>
      <c r="AO172" s="26">
        <f t="shared" si="131"/>
        <v>586811.79072745051</v>
      </c>
      <c r="AP172" s="15">
        <f t="shared" si="132"/>
        <v>6311.1772486772488</v>
      </c>
      <c r="AQ172" s="5">
        <f t="shared" si="133"/>
        <v>8571.1635945074104</v>
      </c>
      <c r="AR172" s="26">
        <f t="shared" si="134"/>
        <v>420.74514991181661</v>
      </c>
      <c r="AS172" s="26">
        <f t="shared" si="135"/>
        <v>5094.8226505417015</v>
      </c>
      <c r="AT172" s="26">
        <f t="shared" si="136"/>
        <v>51.867428670398397</v>
      </c>
      <c r="AU172" s="26">
        <f t="shared" si="137"/>
        <v>5.3789869588463937</v>
      </c>
      <c r="AV172" s="95">
        <f t="shared" si="138"/>
        <v>1.0005566137566139E-6</v>
      </c>
      <c r="AW172" s="95">
        <f t="shared" si="139"/>
        <v>28928912.396825422</v>
      </c>
      <c r="AX172" s="95">
        <f t="shared" si="140"/>
        <v>2.8928912396825422E-5</v>
      </c>
      <c r="AY172" s="54">
        <f t="shared" si="141"/>
        <v>0.11516876660535029</v>
      </c>
      <c r="AZ172" s="54" t="str">
        <f>_xll.Dce_Name_SectI(AE172,AF172,AI172,AH172,AJ172,"x","-",$O$11)</f>
        <v>(528-1528)x300x10x14</v>
      </c>
      <c r="BA172" s="15">
        <f t="shared" si="142"/>
        <v>1016.4523809523813</v>
      </c>
      <c r="BB172" s="54"/>
      <c r="BC172" s="54"/>
      <c r="BD172" s="22" t="s">
        <v>516</v>
      </c>
      <c r="BE172" s="23">
        <v>-289.21988182475928</v>
      </c>
      <c r="BF172" s="23">
        <v>-266.49917982776878</v>
      </c>
      <c r="BG172" s="23">
        <v>1.1303522440005306E-3</v>
      </c>
      <c r="BH172" s="23">
        <v>-1.5787750985781431E-5</v>
      </c>
      <c r="BI172" s="23">
        <v>-8.2507766643227613E-3</v>
      </c>
      <c r="BJ172" s="23">
        <v>1742.107808191914</v>
      </c>
      <c r="BK172" s="23">
        <v>871.05390409595702</v>
      </c>
      <c r="BL172" s="92">
        <v>2.25</v>
      </c>
      <c r="BM172" s="91">
        <v>2</v>
      </c>
      <c r="BN172" s="5">
        <f t="shared" si="143"/>
        <v>19.473749999999999</v>
      </c>
      <c r="BO172" s="54">
        <f>_xll.Bimoment(BH172,AY172,AC172,AD172,$O$101)</f>
        <v>7.2223757346641458E-5</v>
      </c>
      <c r="BP172" s="5">
        <f t="shared" si="144"/>
        <v>0.31313609467455605</v>
      </c>
      <c r="BQ172" s="5">
        <f t="shared" si="145"/>
        <v>18.588476880009431</v>
      </c>
      <c r="BR172" s="24" t="str">
        <f t="shared" si="146"/>
        <v>Cal</v>
      </c>
      <c r="BS172" s="25">
        <f t="shared" si="147"/>
        <v>5.8009190749490076E-2</v>
      </c>
      <c r="BT172" s="25" t="str">
        <f t="shared" si="148"/>
        <v>CT.105</v>
      </c>
      <c r="BU172" s="25">
        <f t="shared" si="149"/>
        <v>1</v>
      </c>
      <c r="BV172" s="25" cm="1">
        <f t="array" ref="BV172">IF(BT172="CT.104",_xll.TCVN5575AnnexEHeSoCx(1,BP172),1)</f>
        <v>1</v>
      </c>
      <c r="BW172" s="25">
        <f t="shared" si="150"/>
        <v>1</v>
      </c>
      <c r="BX172" s="25">
        <f t="shared" si="151"/>
        <v>6.1062306052094825E-2</v>
      </c>
      <c r="BY172" s="25">
        <f t="shared" si="152"/>
        <v>0.93602984211947615</v>
      </c>
      <c r="BZ172" s="25">
        <f t="shared" si="153"/>
        <v>9.0308819493669704E-5</v>
      </c>
      <c r="CA172" s="25">
        <f t="shared" si="154"/>
        <v>1.1686634495557042E-6</v>
      </c>
      <c r="CB172" s="25">
        <f t="shared" si="155"/>
        <v>0.99718362565451424</v>
      </c>
      <c r="CC172" s="5" t="str">
        <f t="shared" si="156"/>
        <v>OK</v>
      </c>
      <c r="CD172" s="5">
        <f t="shared" si="157"/>
        <v>37.545238889226049</v>
      </c>
      <c r="CE172" s="5">
        <f t="shared" si="158"/>
        <v>37.181722419139881</v>
      </c>
      <c r="CF172" s="5">
        <f t="shared" si="159"/>
        <v>1.2506397644909562</v>
      </c>
      <c r="CG172" s="5">
        <f t="shared" si="160"/>
        <v>1.2385309547993069</v>
      </c>
      <c r="CH172" s="5">
        <f t="shared" si="161"/>
        <v>15.329094209460576</v>
      </c>
      <c r="CI172" s="68">
        <f>_xll.DCETCVN5575PhuLucD2Eta(BP172,CH172,CF172)</f>
        <v>1.2126272189349112</v>
      </c>
      <c r="CJ172" s="5">
        <f t="shared" si="162"/>
        <v>18.588476880009431</v>
      </c>
      <c r="CK172" s="5">
        <f>MIN(noisuy2chieu(CJ172,CF172,Data!$DA$2:$EB$24),1)</f>
        <v>7.764098048210144E-2</v>
      </c>
      <c r="CL172" s="102">
        <f t="shared" si="163"/>
        <v>0.78647005322365149</v>
      </c>
      <c r="CM172" s="5" t="str">
        <f t="shared" si="164"/>
        <v>OK</v>
      </c>
      <c r="CN172" s="5">
        <f t="shared" si="165"/>
        <v>0.86643683692746631</v>
      </c>
      <c r="CO172" s="5">
        <f t="shared" si="166"/>
        <v>0.5370345235716667</v>
      </c>
      <c r="CP172" s="25">
        <f>_xll.DCETCVNPhuLucFHeSoOnDinh(1, 0.2, AG172, AH172, AI172, AJ172, AI172, AJ172, $D$28)</f>
        <v>1</v>
      </c>
      <c r="CQ172" s="68">
        <f t="shared" si="167"/>
        <v>0.9</v>
      </c>
      <c r="CR172" s="68">
        <f t="shared" si="168"/>
        <v>1</v>
      </c>
      <c r="CS172" s="5">
        <f t="shared" si="169"/>
        <v>0.18181818181818182</v>
      </c>
      <c r="CT172" s="5">
        <f t="shared" si="170"/>
        <v>0.10347287704587492</v>
      </c>
      <c r="CU172" s="26">
        <f t="shared" si="171"/>
        <v>7.6645471047302882</v>
      </c>
      <c r="CV172" s="5"/>
      <c r="CW172" s="25"/>
      <c r="CX172" s="72">
        <f>MAX(_xll.Dce_c_925(CU172, CQ172, CR172, CN172, CP172, CS172, CT172),0.3)</f>
        <v>0.3</v>
      </c>
      <c r="CY172" s="102">
        <f t="shared" si="172"/>
        <v>0.23491732056942638</v>
      </c>
      <c r="CZ172" s="5" t="str">
        <f t="shared" si="173"/>
        <v>OK</v>
      </c>
      <c r="DA172" s="47">
        <f t="shared" si="174"/>
        <v>0.34499859601035404</v>
      </c>
      <c r="DB172" s="46">
        <f t="shared" si="175"/>
        <v>0.48385309547993066</v>
      </c>
      <c r="DC172" s="5" t="str">
        <f t="shared" si="176"/>
        <v>OK</v>
      </c>
      <c r="DD172" s="5">
        <f t="shared" si="177"/>
        <v>1.2506397644909562</v>
      </c>
      <c r="DE172" s="5">
        <f t="shared" si="178"/>
        <v>4.4677979100191463</v>
      </c>
      <c r="DF172" s="5" t="str">
        <f t="shared" si="179"/>
        <v>-</v>
      </c>
      <c r="DG172" s="5" t="str">
        <f t="shared" si="180"/>
        <v>-</v>
      </c>
      <c r="DH172" s="203">
        <f t="shared" si="181"/>
        <v>37.545238889226049</v>
      </c>
      <c r="DI172" s="203">
        <f t="shared" si="182"/>
        <v>162.8117968065809</v>
      </c>
      <c r="DJ172" s="46">
        <f t="shared" si="183"/>
        <v>0.23060515039846582</v>
      </c>
      <c r="DK172" s="5" t="str">
        <f t="shared" si="184"/>
        <v>OK</v>
      </c>
      <c r="EB172" s="18"/>
      <c r="EC172" s="77"/>
      <c r="ED172" s="77"/>
      <c r="EE172" s="18"/>
      <c r="EF172" s="18"/>
      <c r="EG172" s="18"/>
      <c r="EH172" s="5"/>
      <c r="EI172" s="5"/>
      <c r="EJ172" s="5"/>
      <c r="EK172" s="5"/>
      <c r="EL172" s="5"/>
      <c r="FE172" s="26"/>
      <c r="FF172" s="26"/>
      <c r="FG172" s="26"/>
      <c r="FH172" s="26"/>
      <c r="FI172" s="26"/>
      <c r="FJ172" s="26"/>
      <c r="FK172" s="26"/>
      <c r="FL172" s="26"/>
      <c r="FM172" s="26"/>
      <c r="FN172" s="205"/>
      <c r="FO172" s="205"/>
      <c r="FP172" s="205"/>
      <c r="FQ172" s="205"/>
      <c r="FR172" s="205"/>
      <c r="FS172" s="205"/>
      <c r="FT172" s="205"/>
      <c r="FU172" s="77"/>
      <c r="FV172" s="77"/>
      <c r="FW172" s="77"/>
      <c r="FX172" s="205"/>
      <c r="FY172" s="205"/>
      <c r="FZ172" s="205"/>
      <c r="GA172" s="205"/>
      <c r="GB172" s="205"/>
      <c r="GC172" s="205"/>
      <c r="GD172" s="205"/>
      <c r="GE172" s="205"/>
      <c r="GF172" s="205"/>
      <c r="GG172" s="205"/>
      <c r="GH172" s="205"/>
      <c r="GI172" s="205"/>
      <c r="GJ172" s="205"/>
      <c r="GK172" s="205"/>
      <c r="GL172" s="205"/>
      <c r="GM172" s="205"/>
      <c r="GN172" s="205"/>
      <c r="GO172" s="205"/>
      <c r="GP172" s="205"/>
      <c r="GQ172" s="205"/>
      <c r="GR172" s="205"/>
      <c r="GS172" s="205"/>
      <c r="GT172" s="205"/>
      <c r="GU172" s="205"/>
      <c r="GV172" s="18"/>
      <c r="GW172" s="5"/>
      <c r="GX172" s="5"/>
      <c r="GY172" s="77"/>
      <c r="GZ172" s="18"/>
      <c r="HA172" s="18"/>
      <c r="HB172" s="18"/>
      <c r="HC172" s="18"/>
      <c r="HD172" s="18"/>
      <c r="HE172" s="18"/>
      <c r="HF172" s="18"/>
      <c r="HG172" s="18"/>
      <c r="HH172" s="205"/>
      <c r="HI172" s="26"/>
      <c r="HJ172" s="26"/>
      <c r="HK172" s="5"/>
    </row>
    <row r="173" spans="27:219">
      <c r="AA173" s="18" t="s">
        <v>488</v>
      </c>
      <c r="AB173" s="22" t="s">
        <v>490</v>
      </c>
      <c r="AC173" s="59">
        <v>0</v>
      </c>
      <c r="AD173" s="59">
        <v>8.6549999999999994</v>
      </c>
      <c r="AE173" s="22">
        <v>528</v>
      </c>
      <c r="AF173" s="22">
        <v>1528</v>
      </c>
      <c r="AG173" s="22">
        <v>528</v>
      </c>
      <c r="AH173" s="6">
        <v>10</v>
      </c>
      <c r="AI173" s="6">
        <v>300</v>
      </c>
      <c r="AJ173" s="6">
        <v>14</v>
      </c>
      <c r="AK173" s="24">
        <v>300</v>
      </c>
      <c r="AL173" s="24">
        <v>14</v>
      </c>
      <c r="AM173" s="5">
        <f t="shared" si="129"/>
        <v>500</v>
      </c>
      <c r="AN173" s="26">
        <f t="shared" si="130"/>
        <v>134</v>
      </c>
      <c r="AO173" s="26">
        <f t="shared" si="131"/>
        <v>65911.546666666676</v>
      </c>
      <c r="AP173" s="15">
        <f t="shared" si="132"/>
        <v>6304.166666666667</v>
      </c>
      <c r="AQ173" s="5">
        <f t="shared" si="133"/>
        <v>2496.6494949494954</v>
      </c>
      <c r="AR173" s="26">
        <f t="shared" si="134"/>
        <v>420.27777777777777</v>
      </c>
      <c r="AS173" s="26">
        <f t="shared" si="135"/>
        <v>1391.9</v>
      </c>
      <c r="AT173" s="26">
        <f t="shared" si="136"/>
        <v>22.178305028345793</v>
      </c>
      <c r="AU173" s="26">
        <f t="shared" si="137"/>
        <v>6.8590101254115021</v>
      </c>
      <c r="AV173" s="95">
        <f t="shared" si="138"/>
        <v>7.201333333333334E-7</v>
      </c>
      <c r="AW173" s="95">
        <f t="shared" si="139"/>
        <v>4161087</v>
      </c>
      <c r="AX173" s="95">
        <f t="shared" si="140"/>
        <v>4.1610870000000001E-6</v>
      </c>
      <c r="AY173" s="54">
        <f t="shared" si="141"/>
        <v>0.25762202780669918</v>
      </c>
      <c r="AZ173" s="54" t="str">
        <f>_xll.Dce_Name_SectI(AE173,AF173,AI173,AH173,AJ173,"x","-",$O$11)</f>
        <v>(528-1528)x300x10x14</v>
      </c>
      <c r="BA173" s="15">
        <f t="shared" si="142"/>
        <v>385.5</v>
      </c>
      <c r="BB173" s="54"/>
      <c r="BC173" s="54"/>
      <c r="BD173" s="22" t="s">
        <v>517</v>
      </c>
      <c r="BE173" s="23">
        <v>-60.511929736629014</v>
      </c>
      <c r="BF173" s="23">
        <v>-69.38947340552599</v>
      </c>
      <c r="BG173" s="23">
        <v>-1.0684307680157051E-3</v>
      </c>
      <c r="BH173" s="23">
        <v>1.4922887091571238E-5</v>
      </c>
      <c r="BI173" s="23">
        <v>1.0247559888894311E-6</v>
      </c>
      <c r="BJ173" s="23">
        <v>-0.7786236054099982</v>
      </c>
      <c r="BK173" s="23">
        <v>199.71462519999716</v>
      </c>
      <c r="BL173" s="92">
        <v>2.25</v>
      </c>
      <c r="BM173" s="91">
        <v>2</v>
      </c>
      <c r="BN173" s="5">
        <f t="shared" si="143"/>
        <v>19.473749999999999</v>
      </c>
      <c r="BO173" s="54">
        <f>_xll.Bimoment(BH173,AY173,AC173,AD173,$O$101)</f>
        <v>0</v>
      </c>
      <c r="BP173" s="5">
        <f t="shared" si="144"/>
        <v>0.84</v>
      </c>
      <c r="BQ173" s="5">
        <f t="shared" si="145"/>
        <v>0.10475709752923745</v>
      </c>
      <c r="BR173" s="24" t="str">
        <f t="shared" si="146"/>
        <v>Cal</v>
      </c>
      <c r="BS173" s="25">
        <f t="shared" si="147"/>
        <v>1.9756693477444177E-2</v>
      </c>
      <c r="BT173" s="25" t="str">
        <f t="shared" si="148"/>
        <v>CT.105</v>
      </c>
      <c r="BU173" s="25">
        <f t="shared" si="149"/>
        <v>1</v>
      </c>
      <c r="BV173" s="25" cm="1">
        <f t="array" ref="BV173">IF(BT173="CT.104",_xll.TCVN5575AnnexEHeSoCx(1,BP173),1)</f>
        <v>1</v>
      </c>
      <c r="BW173" s="25">
        <f t="shared" si="150"/>
        <v>1</v>
      </c>
      <c r="BX173" s="25">
        <f t="shared" si="151"/>
        <v>2.0796519449941236E-2</v>
      </c>
      <c r="BY173" s="25">
        <f t="shared" si="152"/>
        <v>1.4362314818782242E-3</v>
      </c>
      <c r="BZ173" s="25">
        <f t="shared" si="153"/>
        <v>1.1228932984317348E-8</v>
      </c>
      <c r="CA173" s="25">
        <f t="shared" si="154"/>
        <v>0</v>
      </c>
      <c r="CB173" s="25">
        <f t="shared" si="155"/>
        <v>2.2232762160752446E-2</v>
      </c>
      <c r="CC173" s="5" t="str">
        <f t="shared" si="156"/>
        <v>OK</v>
      </c>
      <c r="CD173" s="5">
        <f t="shared" si="157"/>
        <v>87.805402509844015</v>
      </c>
      <c r="CE173" s="5">
        <f t="shared" si="158"/>
        <v>29.158726455153193</v>
      </c>
      <c r="CF173" s="5">
        <f t="shared" si="159"/>
        <v>2.9248163326364334</v>
      </c>
      <c r="CG173" s="5">
        <f t="shared" si="160"/>
        <v>0.97128328026682387</v>
      </c>
      <c r="CH173" s="5">
        <f t="shared" si="161"/>
        <v>6.9061146762338765E-2</v>
      </c>
      <c r="CI173" s="68">
        <f>_xll.DCETCVN5575PhuLucD2Eta(BP173,CH173,CF173)</f>
        <v>1.5168745733362889</v>
      </c>
      <c r="CJ173" s="5">
        <f t="shared" si="162"/>
        <v>0.10475709752923745</v>
      </c>
      <c r="CK173" s="5">
        <f>MIN(noisuy2chieu(CJ173,CF173,Data!$DA$2:$EB$24),1)</f>
        <v>0.67605757713317871</v>
      </c>
      <c r="CL173" s="102">
        <f t="shared" si="163"/>
        <v>3.0761461972113165E-2</v>
      </c>
      <c r="CM173" s="5" t="str">
        <f t="shared" si="164"/>
        <v>OK</v>
      </c>
      <c r="CN173" s="5">
        <f t="shared" si="165"/>
        <v>0.90492218941026858</v>
      </c>
      <c r="CO173" s="5">
        <f t="shared" si="166"/>
        <v>0.5370345235716667</v>
      </c>
      <c r="CP173" s="25">
        <f>_xll.DCETCVNPhuLucFHeSoOnDinh(1, 0.2, AG173, AH173, AI173, AJ173, AI173, AJ173, $D$28)</f>
        <v>1</v>
      </c>
      <c r="CQ173" s="68">
        <f t="shared" si="167"/>
        <v>0.9</v>
      </c>
      <c r="CR173" s="68">
        <f t="shared" si="168"/>
        <v>1</v>
      </c>
      <c r="CS173" s="5">
        <f t="shared" si="169"/>
        <v>0.18181818181818182</v>
      </c>
      <c r="CT173" s="5">
        <f t="shared" si="170"/>
        <v>9.9510191986788829E-2</v>
      </c>
      <c r="CU173" s="26">
        <f t="shared" si="171"/>
        <v>17.713977518392582</v>
      </c>
      <c r="CV173" s="5"/>
      <c r="CW173" s="25"/>
      <c r="CX173" s="72">
        <f>MAX(_xll.Dce_c_925(CU173, CQ173, CR173, CN173, CP173, CS173, CT173),0.3)</f>
        <v>0.3</v>
      </c>
      <c r="CY173" s="102">
        <f t="shared" si="172"/>
        <v>7.6605184745199589E-2</v>
      </c>
      <c r="CZ173" s="5" t="str">
        <f t="shared" si="173"/>
        <v>OK</v>
      </c>
      <c r="DA173" s="47">
        <f t="shared" si="174"/>
        <v>0.34499859601035404</v>
      </c>
      <c r="DB173" s="46">
        <f t="shared" si="175"/>
        <v>0.45712832802668235</v>
      </c>
      <c r="DC173" s="5" t="str">
        <f t="shared" si="176"/>
        <v>OK</v>
      </c>
      <c r="DD173" s="5">
        <f t="shared" si="177"/>
        <v>2.9248163326364334</v>
      </c>
      <c r="DE173" s="5">
        <f t="shared" si="178"/>
        <v>1.6655104634982609</v>
      </c>
      <c r="DF173" s="5" t="str">
        <f t="shared" si="179"/>
        <v>-</v>
      </c>
      <c r="DG173" s="5" t="str">
        <f t="shared" si="180"/>
        <v>-</v>
      </c>
      <c r="DH173" s="203" t="str">
        <f t="shared" si="181"/>
        <v>-</v>
      </c>
      <c r="DI173" s="203">
        <f t="shared" si="182"/>
        <v>180</v>
      </c>
      <c r="DJ173" s="46">
        <f t="shared" si="183"/>
        <v>0</v>
      </c>
      <c r="DK173" s="5" t="str">
        <f t="shared" si="184"/>
        <v>OK</v>
      </c>
      <c r="EB173" s="18"/>
      <c r="EC173" s="77"/>
      <c r="ED173" s="77"/>
      <c r="EE173" s="18"/>
      <c r="EF173" s="18"/>
      <c r="EG173" s="18"/>
      <c r="EH173" s="5"/>
      <c r="EI173" s="5"/>
      <c r="EJ173" s="5"/>
      <c r="EK173" s="5"/>
      <c r="EL173" s="5"/>
      <c r="FE173" s="26"/>
      <c r="FF173" s="26"/>
      <c r="FG173" s="26"/>
      <c r="FH173" s="26"/>
      <c r="FI173" s="26"/>
      <c r="FJ173" s="26"/>
      <c r="FK173" s="26"/>
      <c r="FL173" s="26"/>
      <c r="FM173" s="26"/>
      <c r="FN173" s="205"/>
      <c r="FO173" s="205"/>
      <c r="FP173" s="205"/>
      <c r="FQ173" s="205"/>
      <c r="FR173" s="205"/>
      <c r="FS173" s="205"/>
      <c r="FT173" s="205"/>
      <c r="FU173" s="77"/>
      <c r="FV173" s="77"/>
      <c r="FW173" s="77"/>
      <c r="FX173" s="205"/>
      <c r="FY173" s="205"/>
      <c r="FZ173" s="205"/>
      <c r="GA173" s="205"/>
      <c r="GB173" s="205"/>
      <c r="GC173" s="205"/>
      <c r="GD173" s="205"/>
      <c r="GE173" s="205"/>
      <c r="GF173" s="205"/>
      <c r="GG173" s="205"/>
      <c r="GH173" s="205"/>
      <c r="GI173" s="205"/>
      <c r="GJ173" s="205"/>
      <c r="GK173" s="205"/>
      <c r="GL173" s="205"/>
      <c r="GM173" s="205"/>
      <c r="GN173" s="205"/>
      <c r="GO173" s="205"/>
      <c r="GP173" s="205"/>
      <c r="GQ173" s="205"/>
      <c r="GR173" s="205"/>
      <c r="GS173" s="205"/>
      <c r="GT173" s="205"/>
      <c r="GU173" s="205"/>
      <c r="GV173" s="18"/>
      <c r="GW173" s="5"/>
      <c r="GX173" s="5"/>
      <c r="GY173" s="77"/>
      <c r="GZ173" s="18"/>
      <c r="HA173" s="18"/>
      <c r="HB173" s="18"/>
      <c r="HC173" s="18"/>
      <c r="HD173" s="18"/>
      <c r="HE173" s="18"/>
      <c r="HF173" s="18"/>
      <c r="HG173" s="18"/>
      <c r="HH173" s="205"/>
      <c r="HI173" s="26"/>
      <c r="HJ173" s="26"/>
      <c r="HK173" s="5"/>
    </row>
    <row r="174" spans="27:219">
      <c r="AA174" s="18" t="s">
        <v>488</v>
      </c>
      <c r="AB174" s="22" t="s">
        <v>490</v>
      </c>
      <c r="AC174" s="59">
        <v>3.6405952380952398</v>
      </c>
      <c r="AD174" s="59">
        <v>8.6549999999999994</v>
      </c>
      <c r="AE174" s="22">
        <v>528</v>
      </c>
      <c r="AF174" s="22">
        <v>1528</v>
      </c>
      <c r="AG174" s="22">
        <v>948.63492063492095</v>
      </c>
      <c r="AH174" s="6">
        <v>10</v>
      </c>
      <c r="AI174" s="6">
        <v>300</v>
      </c>
      <c r="AJ174" s="6">
        <v>14</v>
      </c>
      <c r="AK174" s="24">
        <v>300</v>
      </c>
      <c r="AL174" s="24">
        <v>14</v>
      </c>
      <c r="AM174" s="5">
        <f t="shared" si="129"/>
        <v>920.63492063492095</v>
      </c>
      <c r="AN174" s="26">
        <f t="shared" si="130"/>
        <v>176.06349206349208</v>
      </c>
      <c r="AO174" s="26">
        <f t="shared" si="131"/>
        <v>248482.7399356656</v>
      </c>
      <c r="AP174" s="15">
        <f t="shared" si="132"/>
        <v>6307.6719576719579</v>
      </c>
      <c r="AQ174" s="5">
        <f t="shared" si="133"/>
        <v>5238.7432621467533</v>
      </c>
      <c r="AR174" s="26">
        <f t="shared" si="134"/>
        <v>420.51146384479722</v>
      </c>
      <c r="AS174" s="26">
        <f t="shared" si="135"/>
        <v>3022.1941546989178</v>
      </c>
      <c r="AT174" s="26">
        <f t="shared" si="136"/>
        <v>37.567600585756203</v>
      </c>
      <c r="AU174" s="26">
        <f t="shared" si="137"/>
        <v>5.9854925384629922</v>
      </c>
      <c r="AV174" s="95">
        <f t="shared" si="138"/>
        <v>8.6034497354497351E-7</v>
      </c>
      <c r="AW174" s="95">
        <f t="shared" si="139"/>
        <v>13758293.349206358</v>
      </c>
      <c r="AX174" s="95">
        <f t="shared" si="140"/>
        <v>1.3758293349206359E-5</v>
      </c>
      <c r="AY174" s="54">
        <f t="shared" si="141"/>
        <v>0.1548581140202015</v>
      </c>
      <c r="AZ174" s="54" t="str">
        <f>_xll.Dce_Name_SectI(AE174,AF174,AI174,AH174,AJ174,"x","-",$O$11)</f>
        <v>(528-1528)x300x10x14</v>
      </c>
      <c r="BA174" s="15">
        <f t="shared" si="142"/>
        <v>700.97619047619071</v>
      </c>
      <c r="BB174" s="54"/>
      <c r="BC174" s="54"/>
      <c r="BD174" s="22" t="s">
        <v>517</v>
      </c>
      <c r="BE174" s="23">
        <v>-54.586414050063183</v>
      </c>
      <c r="BF174" s="23">
        <v>-54.817840592808579</v>
      </c>
      <c r="BG174" s="23">
        <v>-1.0684307680148112E-3</v>
      </c>
      <c r="BH174" s="23">
        <v>1.4922887091571238E-5</v>
      </c>
      <c r="BI174" s="23">
        <v>3.899909090373398E-3</v>
      </c>
      <c r="BJ174" s="23">
        <v>225.81592144918579</v>
      </c>
      <c r="BK174" s="23">
        <v>199.71462519999716</v>
      </c>
      <c r="BL174" s="92">
        <v>2.25</v>
      </c>
      <c r="BM174" s="91">
        <v>2</v>
      </c>
      <c r="BN174" s="5">
        <f t="shared" si="143"/>
        <v>19.473749999999999</v>
      </c>
      <c r="BO174" s="54">
        <f>_xll.Bimoment(BH174,AY174,AC174,AD174,$O$101)</f>
        <v>-1.1476695067916898E-4</v>
      </c>
      <c r="BP174" s="5">
        <f t="shared" si="144"/>
        <v>0.45620689655172403</v>
      </c>
      <c r="BQ174" s="5">
        <f t="shared" si="145"/>
        <v>17.257124627452541</v>
      </c>
      <c r="BR174" s="24" t="str">
        <f t="shared" si="146"/>
        <v>Cal</v>
      </c>
      <c r="BS174" s="25">
        <f t="shared" si="147"/>
        <v>1.3564172712359055E-2</v>
      </c>
      <c r="BT174" s="25" t="str">
        <f t="shared" si="148"/>
        <v>CT.105</v>
      </c>
      <c r="BU174" s="25">
        <f t="shared" si="149"/>
        <v>1</v>
      </c>
      <c r="BV174" s="25" cm="1">
        <f t="array" ref="BV174">IF(BT174="CT.104",_xll.TCVN5575AnnexEHeSoCx(1,BP174),1)</f>
        <v>1</v>
      </c>
      <c r="BW174" s="25">
        <f t="shared" si="150"/>
        <v>1</v>
      </c>
      <c r="BX174" s="25">
        <f t="shared" si="151"/>
        <v>1.4278076539325321E-2</v>
      </c>
      <c r="BY174" s="25">
        <f t="shared" si="152"/>
        <v>0.19850977447782694</v>
      </c>
      <c r="BZ174" s="25">
        <f t="shared" si="153"/>
        <v>4.2710149894187241E-5</v>
      </c>
      <c r="CA174" s="25">
        <f t="shared" si="154"/>
        <v>2.6928365699536319E-6</v>
      </c>
      <c r="CB174" s="25">
        <f t="shared" si="155"/>
        <v>0.21283325400361638</v>
      </c>
      <c r="CC174" s="5" t="str">
        <f t="shared" si="156"/>
        <v>OK</v>
      </c>
      <c r="CD174" s="5">
        <f t="shared" si="157"/>
        <v>51.836555160202302</v>
      </c>
      <c r="CE174" s="5">
        <f t="shared" si="158"/>
        <v>33.414125690541383</v>
      </c>
      <c r="CF174" s="5">
        <f t="shared" si="159"/>
        <v>1.7266865002204341</v>
      </c>
      <c r="CG174" s="5">
        <f t="shared" si="160"/>
        <v>1.1130315193248546</v>
      </c>
      <c r="CH174" s="5">
        <f t="shared" si="161"/>
        <v>13.903117407382034</v>
      </c>
      <c r="CI174" s="68">
        <f>_xll.DCETCVN5575PhuLucD2Eta(BP174,CH174,CF174)</f>
        <v>1.2412413793103447</v>
      </c>
      <c r="CJ174" s="5">
        <f t="shared" si="162"/>
        <v>17.257124627452541</v>
      </c>
      <c r="CK174" s="5">
        <f>MIN(noisuy2chieu(CJ174,CF174,Data!$DA$2:$EB$24),1)</f>
        <v>7.9611390829086304E-2</v>
      </c>
      <c r="CL174" s="102">
        <f t="shared" si="163"/>
        <v>0.17934715611209717</v>
      </c>
      <c r="CM174" s="5" t="str">
        <f t="shared" si="164"/>
        <v>OK</v>
      </c>
      <c r="CN174" s="5">
        <f t="shared" si="165"/>
        <v>0.88472625978979058</v>
      </c>
      <c r="CO174" s="5">
        <f t="shared" si="166"/>
        <v>0.5370345235716667</v>
      </c>
      <c r="CP174" s="25">
        <f>_xll.DCETCVNPhuLucFHeSoOnDinh(1, 0.2, AG174, AH174, AI174, AJ174, AI174, AJ174, $D$28)</f>
        <v>1</v>
      </c>
      <c r="CQ174" s="68">
        <f t="shared" si="167"/>
        <v>0.9</v>
      </c>
      <c r="CR174" s="68">
        <f t="shared" si="168"/>
        <v>1</v>
      </c>
      <c r="CS174" s="5">
        <f t="shared" si="169"/>
        <v>0.18181818181818182</v>
      </c>
      <c r="CT174" s="5">
        <f t="shared" si="170"/>
        <v>0.10155106457844131</v>
      </c>
      <c r="CU174" s="26">
        <f t="shared" si="171"/>
        <v>12.29610323447311</v>
      </c>
      <c r="CV174" s="5"/>
      <c r="CW174" s="25"/>
      <c r="CX174" s="72">
        <f>MAX(_xll.Dce_c_925(CU174, CQ174, CR174, CN174, CP174, CS174, CT174),0.3)</f>
        <v>0.3</v>
      </c>
      <c r="CY174" s="102">
        <f t="shared" si="172"/>
        <v>5.379470535408986E-2</v>
      </c>
      <c r="CZ174" s="5" t="str">
        <f t="shared" si="173"/>
        <v>OK</v>
      </c>
      <c r="DA174" s="47">
        <f t="shared" si="174"/>
        <v>0.34499859601035404</v>
      </c>
      <c r="DB174" s="46">
        <f t="shared" si="175"/>
        <v>0.47130315193248545</v>
      </c>
      <c r="DC174" s="5" t="str">
        <f t="shared" si="176"/>
        <v>OK</v>
      </c>
      <c r="DD174" s="5">
        <f t="shared" si="177"/>
        <v>1.7266865002204341</v>
      </c>
      <c r="DE174" s="5">
        <f t="shared" si="178"/>
        <v>3.0666541867587034</v>
      </c>
      <c r="DF174" s="5" t="str">
        <f t="shared" si="179"/>
        <v>-</v>
      </c>
      <c r="DG174" s="5" t="str">
        <f t="shared" si="180"/>
        <v>-</v>
      </c>
      <c r="DH174" s="203">
        <f t="shared" si="181"/>
        <v>51.836555160202302</v>
      </c>
      <c r="DI174" s="203">
        <f t="shared" si="182"/>
        <v>180</v>
      </c>
      <c r="DJ174" s="46">
        <f t="shared" si="183"/>
        <v>0.28798086200112388</v>
      </c>
      <c r="DK174" s="5" t="str">
        <f t="shared" si="184"/>
        <v>OK</v>
      </c>
      <c r="EB174" s="18"/>
      <c r="EC174" s="77"/>
      <c r="ED174" s="77"/>
      <c r="EE174" s="18"/>
      <c r="EF174" s="18"/>
      <c r="EG174" s="18"/>
      <c r="EH174" s="5"/>
      <c r="EI174" s="5"/>
      <c r="EJ174" s="5"/>
      <c r="EK174" s="5"/>
      <c r="EL174" s="5"/>
      <c r="FE174" s="26"/>
      <c r="FF174" s="26"/>
      <c r="FG174" s="26"/>
      <c r="FH174" s="26"/>
      <c r="FI174" s="26"/>
      <c r="FJ174" s="26"/>
      <c r="FK174" s="26"/>
      <c r="FL174" s="26"/>
      <c r="FM174" s="26"/>
      <c r="FN174" s="205"/>
      <c r="FO174" s="205"/>
      <c r="FP174" s="205"/>
      <c r="FQ174" s="205"/>
      <c r="FR174" s="205"/>
      <c r="FS174" s="205"/>
      <c r="FT174" s="205"/>
      <c r="FU174" s="77"/>
      <c r="FV174" s="77"/>
      <c r="FW174" s="77"/>
      <c r="FX174" s="205"/>
      <c r="FY174" s="205"/>
      <c r="FZ174" s="205"/>
      <c r="GA174" s="205"/>
      <c r="GB174" s="205"/>
      <c r="GC174" s="205"/>
      <c r="GD174" s="205"/>
      <c r="GE174" s="205"/>
      <c r="GF174" s="205"/>
      <c r="GG174" s="205"/>
      <c r="GH174" s="205"/>
      <c r="GI174" s="205"/>
      <c r="GJ174" s="205"/>
      <c r="GK174" s="205"/>
      <c r="GL174" s="205"/>
      <c r="GM174" s="205"/>
      <c r="GN174" s="205"/>
      <c r="GO174" s="205"/>
      <c r="GP174" s="205"/>
      <c r="GQ174" s="205"/>
      <c r="GR174" s="205"/>
      <c r="GS174" s="205"/>
      <c r="GT174" s="205"/>
      <c r="GU174" s="205"/>
      <c r="GV174" s="18"/>
      <c r="GW174" s="5"/>
      <c r="GX174" s="5"/>
      <c r="GY174" s="77"/>
      <c r="GZ174" s="18"/>
      <c r="HA174" s="18"/>
      <c r="HB174" s="18"/>
      <c r="HC174" s="18"/>
      <c r="HD174" s="18"/>
      <c r="HE174" s="18"/>
      <c r="HF174" s="18"/>
      <c r="HG174" s="18"/>
      <c r="HH174" s="205"/>
      <c r="HI174" s="26"/>
      <c r="HJ174" s="26"/>
      <c r="HK174" s="5"/>
    </row>
    <row r="175" spans="27:219">
      <c r="AA175" s="18" t="s">
        <v>488</v>
      </c>
      <c r="AB175" s="22" t="s">
        <v>490</v>
      </c>
      <c r="AC175" s="59">
        <v>7.2811904761904795</v>
      </c>
      <c r="AD175" s="59">
        <v>8.6549999999999994</v>
      </c>
      <c r="AE175" s="22">
        <v>528</v>
      </c>
      <c r="AF175" s="22">
        <v>1528</v>
      </c>
      <c r="AG175" s="22">
        <v>1369.2698412698419</v>
      </c>
      <c r="AH175" s="6">
        <v>10</v>
      </c>
      <c r="AI175" s="6">
        <v>300</v>
      </c>
      <c r="AJ175" s="6">
        <v>14</v>
      </c>
      <c r="AK175" s="24">
        <v>300</v>
      </c>
      <c r="AL175" s="24">
        <v>14</v>
      </c>
      <c r="AM175" s="5">
        <f t="shared" si="129"/>
        <v>1341.2698412698419</v>
      </c>
      <c r="AN175" s="26">
        <f t="shared" si="130"/>
        <v>218.12698412698418</v>
      </c>
      <c r="AO175" s="26">
        <f t="shared" si="131"/>
        <v>586811.79072745051</v>
      </c>
      <c r="AP175" s="15">
        <f t="shared" si="132"/>
        <v>6311.1772486772488</v>
      </c>
      <c r="AQ175" s="5">
        <f t="shared" si="133"/>
        <v>8571.1635945074104</v>
      </c>
      <c r="AR175" s="26">
        <f t="shared" si="134"/>
        <v>420.74514991181661</v>
      </c>
      <c r="AS175" s="26">
        <f t="shared" si="135"/>
        <v>5094.8226505417015</v>
      </c>
      <c r="AT175" s="26">
        <f t="shared" si="136"/>
        <v>51.867428670398397</v>
      </c>
      <c r="AU175" s="26">
        <f t="shared" si="137"/>
        <v>5.3789869588463937</v>
      </c>
      <c r="AV175" s="95">
        <f t="shared" si="138"/>
        <v>1.0005566137566139E-6</v>
      </c>
      <c r="AW175" s="95">
        <f t="shared" si="139"/>
        <v>28928912.396825422</v>
      </c>
      <c r="AX175" s="95">
        <f t="shared" si="140"/>
        <v>2.8928912396825422E-5</v>
      </c>
      <c r="AY175" s="54">
        <f t="shared" si="141"/>
        <v>0.11516876660535029</v>
      </c>
      <c r="AZ175" s="54" t="str">
        <f>_xll.Dce_Name_SectI(AE175,AF175,AI175,AH175,AJ175,"x","-",$O$11)</f>
        <v>(528-1528)x300x10x14</v>
      </c>
      <c r="BA175" s="15">
        <f t="shared" si="142"/>
        <v>1016.4523809523813</v>
      </c>
      <c r="BB175" s="54"/>
      <c r="BC175" s="54"/>
      <c r="BD175" s="22" t="s">
        <v>517</v>
      </c>
      <c r="BE175" s="23">
        <v>-47.119462613004941</v>
      </c>
      <c r="BF175" s="23">
        <v>-40.352058310683162</v>
      </c>
      <c r="BG175" s="23">
        <v>-1.0684307680139233E-3</v>
      </c>
      <c r="BH175" s="23">
        <v>1.4922887091571238E-5</v>
      </c>
      <c r="BI175" s="23">
        <v>7.7987934247546586E-3</v>
      </c>
      <c r="BJ175" s="23">
        <v>399.42925039999432</v>
      </c>
      <c r="BK175" s="23">
        <v>199.71462519999716</v>
      </c>
      <c r="BL175" s="92">
        <v>2.25</v>
      </c>
      <c r="BM175" s="91">
        <v>2</v>
      </c>
      <c r="BN175" s="5">
        <f t="shared" si="143"/>
        <v>19.473749999999999</v>
      </c>
      <c r="BO175" s="54">
        <f>_xll.Bimoment(BH175,AY175,AC175,AD175,$O$101)</f>
        <v>-6.8267290077201763E-5</v>
      </c>
      <c r="BP175" s="5">
        <f t="shared" si="144"/>
        <v>0.31313609467455605</v>
      </c>
      <c r="BQ175" s="5">
        <f t="shared" si="145"/>
        <v>26.1599228695306</v>
      </c>
      <c r="BR175" s="24" t="str">
        <f t="shared" si="146"/>
        <v>Cal</v>
      </c>
      <c r="BS175" s="25">
        <f t="shared" si="147"/>
        <v>9.4508091127270301E-3</v>
      </c>
      <c r="BT175" s="25" t="str">
        <f t="shared" si="148"/>
        <v>CT.105</v>
      </c>
      <c r="BU175" s="25">
        <f t="shared" si="149"/>
        <v>1</v>
      </c>
      <c r="BV175" s="25" cm="1">
        <f t="array" ref="BV175">IF(BT175="CT.104",_xll.TCVN5575AnnexEHeSoCx(1,BP175),1)</f>
        <v>1</v>
      </c>
      <c r="BW175" s="25">
        <f t="shared" si="150"/>
        <v>1</v>
      </c>
      <c r="BX175" s="25">
        <f t="shared" si="151"/>
        <v>9.9482201186600321E-3</v>
      </c>
      <c r="BY175" s="25">
        <f t="shared" si="152"/>
        <v>0.21461226247406859</v>
      </c>
      <c r="BZ175" s="25">
        <f t="shared" si="153"/>
        <v>8.5361640039301315E-5</v>
      </c>
      <c r="CA175" s="25">
        <f t="shared" si="154"/>
        <v>1.1046432592883166E-6</v>
      </c>
      <c r="CB175" s="25">
        <f t="shared" si="155"/>
        <v>0.22464694887602721</v>
      </c>
      <c r="CC175" s="5" t="str">
        <f t="shared" si="156"/>
        <v>OK</v>
      </c>
      <c r="CD175" s="5">
        <f t="shared" si="157"/>
        <v>37.545238889226049</v>
      </c>
      <c r="CE175" s="5">
        <f t="shared" si="158"/>
        <v>37.181722419139881</v>
      </c>
      <c r="CF175" s="5">
        <f t="shared" si="159"/>
        <v>1.2506397644909562</v>
      </c>
      <c r="CG175" s="5">
        <f t="shared" si="160"/>
        <v>1.2385309547993069</v>
      </c>
      <c r="CH175" s="5">
        <f t="shared" si="161"/>
        <v>21.572930626204883</v>
      </c>
      <c r="CI175" s="68">
        <f>_xll.DCETCVN5575PhuLucD2Eta(BP175,CH175,CF175)</f>
        <v>1.2126272189349112</v>
      </c>
      <c r="CJ175" s="5">
        <f t="shared" si="162"/>
        <v>26.1599228695306</v>
      </c>
      <c r="CK175" s="5">
        <f>MIN(noisuy2chieu(CJ175,CF175,Data!$DA$2:$EB$24),1)</f>
        <v>7.1994885802268982E-2</v>
      </c>
      <c r="CL175" s="102">
        <f t="shared" si="163"/>
        <v>0.13817953883533357</v>
      </c>
      <c r="CM175" s="5" t="str">
        <f t="shared" si="164"/>
        <v>OK</v>
      </c>
      <c r="CN175" s="5">
        <f t="shared" si="165"/>
        <v>0.86643683692746631</v>
      </c>
      <c r="CO175" s="5">
        <f t="shared" si="166"/>
        <v>0.5370345235716667</v>
      </c>
      <c r="CP175" s="25">
        <f>_xll.DCETCVNPhuLucFHeSoOnDinh(1, 0.2, AG175, AH175, AI175, AJ175, AI175, AJ175, $D$28)</f>
        <v>1</v>
      </c>
      <c r="CQ175" s="68">
        <f t="shared" si="167"/>
        <v>0.9</v>
      </c>
      <c r="CR175" s="68">
        <f t="shared" si="168"/>
        <v>1</v>
      </c>
      <c r="CS175" s="5">
        <f t="shared" si="169"/>
        <v>0.18181818181818182</v>
      </c>
      <c r="CT175" s="5">
        <f t="shared" si="170"/>
        <v>0.10347287704587492</v>
      </c>
      <c r="CU175" s="26">
        <f t="shared" si="171"/>
        <v>10.786465313102441</v>
      </c>
      <c r="CV175" s="5"/>
      <c r="CW175" s="25"/>
      <c r="CX175" s="72">
        <f>MAX(_xll.Dce_c_925(CU175, CQ175, CR175, CN175, CP175, CS175, CT175),0.3)</f>
        <v>0.3</v>
      </c>
      <c r="CY175" s="102">
        <f t="shared" si="172"/>
        <v>3.827253449479414E-2</v>
      </c>
      <c r="CZ175" s="5" t="str">
        <f t="shared" si="173"/>
        <v>OK</v>
      </c>
      <c r="DA175" s="47">
        <f t="shared" si="174"/>
        <v>0.34499859601035404</v>
      </c>
      <c r="DB175" s="46">
        <f t="shared" si="175"/>
        <v>0.48385309547993066</v>
      </c>
      <c r="DC175" s="5" t="str">
        <f t="shared" si="176"/>
        <v>OK</v>
      </c>
      <c r="DD175" s="5">
        <f t="shared" si="177"/>
        <v>1.2506397644909562</v>
      </c>
      <c r="DE175" s="5">
        <f t="shared" si="178"/>
        <v>4.4677979100191463</v>
      </c>
      <c r="DF175" s="5" t="str">
        <f t="shared" si="179"/>
        <v>-</v>
      </c>
      <c r="DG175" s="5" t="str">
        <f t="shared" si="180"/>
        <v>-</v>
      </c>
      <c r="DH175" s="203">
        <f t="shared" si="181"/>
        <v>37.545238889226049</v>
      </c>
      <c r="DI175" s="203">
        <f t="shared" si="182"/>
        <v>180</v>
      </c>
      <c r="DJ175" s="46">
        <f t="shared" si="183"/>
        <v>0.20858466049570026</v>
      </c>
      <c r="DK175" s="5" t="str">
        <f t="shared" si="184"/>
        <v>OK</v>
      </c>
      <c r="EB175" s="18"/>
      <c r="EC175" s="77"/>
      <c r="ED175" s="77"/>
      <c r="EE175" s="18"/>
      <c r="EF175" s="18"/>
      <c r="EG175" s="18"/>
      <c r="EH175" s="5"/>
      <c r="EI175" s="5"/>
      <c r="EJ175" s="5"/>
      <c r="EK175" s="5"/>
      <c r="EL175" s="5"/>
      <c r="FE175" s="26"/>
      <c r="FF175" s="26"/>
      <c r="FG175" s="26"/>
      <c r="FH175" s="26"/>
      <c r="FI175" s="26"/>
      <c r="FJ175" s="26"/>
      <c r="FK175" s="26"/>
      <c r="FL175" s="26"/>
      <c r="FM175" s="26"/>
      <c r="FN175" s="205"/>
      <c r="FO175" s="205"/>
      <c r="FP175" s="205"/>
      <c r="FQ175" s="205"/>
      <c r="FR175" s="205"/>
      <c r="FS175" s="205"/>
      <c r="FT175" s="205"/>
      <c r="FU175" s="77"/>
      <c r="FV175" s="77"/>
      <c r="FW175" s="77"/>
      <c r="FX175" s="205"/>
      <c r="FY175" s="205"/>
      <c r="FZ175" s="205"/>
      <c r="GA175" s="205"/>
      <c r="GB175" s="205"/>
      <c r="GC175" s="205"/>
      <c r="GD175" s="205"/>
      <c r="GE175" s="205"/>
      <c r="GF175" s="205"/>
      <c r="GG175" s="205"/>
      <c r="GH175" s="205"/>
      <c r="GI175" s="205"/>
      <c r="GJ175" s="205"/>
      <c r="GK175" s="205"/>
      <c r="GL175" s="205"/>
      <c r="GM175" s="205"/>
      <c r="GN175" s="205"/>
      <c r="GO175" s="205"/>
      <c r="GP175" s="205"/>
      <c r="GQ175" s="205"/>
      <c r="GR175" s="205"/>
      <c r="GS175" s="205"/>
      <c r="GT175" s="205"/>
      <c r="GU175" s="205"/>
      <c r="GV175" s="18"/>
      <c r="GW175" s="5"/>
      <c r="GX175" s="5"/>
      <c r="GY175" s="77"/>
      <c r="GZ175" s="18"/>
      <c r="HA175" s="18"/>
      <c r="HB175" s="18"/>
      <c r="HC175" s="18"/>
      <c r="HD175" s="18"/>
      <c r="HE175" s="18"/>
      <c r="HF175" s="18"/>
      <c r="HG175" s="18"/>
      <c r="HH175" s="205"/>
      <c r="HI175" s="26"/>
      <c r="HJ175" s="26"/>
      <c r="HK175" s="5"/>
    </row>
    <row r="176" spans="27:219">
      <c r="AA176" s="18" t="s">
        <v>488</v>
      </c>
      <c r="AB176" s="22" t="s">
        <v>490</v>
      </c>
      <c r="AC176" s="59">
        <v>0</v>
      </c>
      <c r="AD176" s="59">
        <v>8.6549999999999994</v>
      </c>
      <c r="AE176" s="22">
        <v>528</v>
      </c>
      <c r="AF176" s="22">
        <v>1528</v>
      </c>
      <c r="AG176" s="22">
        <v>528</v>
      </c>
      <c r="AH176" s="6">
        <v>10</v>
      </c>
      <c r="AI176" s="6">
        <v>300</v>
      </c>
      <c r="AJ176" s="6">
        <v>14</v>
      </c>
      <c r="AK176" s="24">
        <v>300</v>
      </c>
      <c r="AL176" s="24">
        <v>14</v>
      </c>
      <c r="AM176" s="5">
        <f t="shared" si="129"/>
        <v>500</v>
      </c>
      <c r="AN176" s="26">
        <f t="shared" si="130"/>
        <v>134</v>
      </c>
      <c r="AO176" s="26">
        <f t="shared" si="131"/>
        <v>65911.546666666676</v>
      </c>
      <c r="AP176" s="15">
        <f t="shared" si="132"/>
        <v>6304.166666666667</v>
      </c>
      <c r="AQ176" s="5">
        <f t="shared" si="133"/>
        <v>2496.6494949494954</v>
      </c>
      <c r="AR176" s="26">
        <f t="shared" si="134"/>
        <v>420.27777777777777</v>
      </c>
      <c r="AS176" s="26">
        <f t="shared" si="135"/>
        <v>1391.9</v>
      </c>
      <c r="AT176" s="26">
        <f t="shared" si="136"/>
        <v>22.178305028345793</v>
      </c>
      <c r="AU176" s="26">
        <f t="shared" si="137"/>
        <v>6.8590101254115021</v>
      </c>
      <c r="AV176" s="95">
        <f t="shared" si="138"/>
        <v>7.201333333333334E-7</v>
      </c>
      <c r="AW176" s="95">
        <f t="shared" si="139"/>
        <v>4161087</v>
      </c>
      <c r="AX176" s="95">
        <f t="shared" si="140"/>
        <v>4.1610870000000001E-6</v>
      </c>
      <c r="AY176" s="54">
        <f t="shared" si="141"/>
        <v>0.25762202780669918</v>
      </c>
      <c r="AZ176" s="54" t="str">
        <f>_xll.Dce_Name_SectI(AE176,AF176,AI176,AH176,AJ176,"x","-",$O$11)</f>
        <v>(528-1528)x300x10x14</v>
      </c>
      <c r="BA176" s="15">
        <f t="shared" si="142"/>
        <v>385.5</v>
      </c>
      <c r="BB176" s="54"/>
      <c r="BC176" s="54"/>
      <c r="BD176" s="22" t="s">
        <v>518</v>
      </c>
      <c r="BE176" s="23">
        <v>-289.55769130389507</v>
      </c>
      <c r="BF176" s="23">
        <v>-297.94735503466671</v>
      </c>
      <c r="BG176" s="23">
        <v>1.4775530561229977E-3</v>
      </c>
      <c r="BH176" s="23">
        <v>-2.0637141954723376E-5</v>
      </c>
      <c r="BI176" s="23">
        <v>-1.4171543803130626E-6</v>
      </c>
      <c r="BJ176" s="23">
        <v>-3.7585153082733225</v>
      </c>
      <c r="BK176" s="23">
        <v>1075.7931350374074</v>
      </c>
      <c r="BL176" s="92">
        <v>2.25</v>
      </c>
      <c r="BM176" s="91">
        <v>2</v>
      </c>
      <c r="BN176" s="5">
        <f t="shared" si="143"/>
        <v>19.473749999999999</v>
      </c>
      <c r="BO176" s="54">
        <f>_xll.Bimoment(BH176,AY176,AC176,AD176,$O$101)</f>
        <v>0</v>
      </c>
      <c r="BP176" s="5">
        <f t="shared" si="144"/>
        <v>0.84</v>
      </c>
      <c r="BQ176" s="5">
        <f t="shared" si="145"/>
        <v>0.10567467242227831</v>
      </c>
      <c r="BR176" s="24" t="str">
        <f t="shared" si="146"/>
        <v>Cal</v>
      </c>
      <c r="BS176" s="25">
        <f t="shared" si="147"/>
        <v>9.4538425332428427E-2</v>
      </c>
      <c r="BT176" s="25" t="str">
        <f t="shared" si="148"/>
        <v>CT.105</v>
      </c>
      <c r="BU176" s="25">
        <f t="shared" si="149"/>
        <v>1</v>
      </c>
      <c r="BV176" s="25" cm="1">
        <f t="array" ref="BV176">IF(BT176="CT.104",_xll.TCVN5575AnnexEHeSoCx(1,BP176),1)</f>
        <v>1</v>
      </c>
      <c r="BW176" s="25">
        <f t="shared" si="150"/>
        <v>1</v>
      </c>
      <c r="BX176" s="25">
        <f t="shared" si="151"/>
        <v>9.9514131928872041E-2</v>
      </c>
      <c r="BY176" s="25">
        <f t="shared" si="152"/>
        <v>6.9328722804658854E-3</v>
      </c>
      <c r="BZ176" s="25">
        <f t="shared" si="153"/>
        <v>1.55287031620209E-8</v>
      </c>
      <c r="CA176" s="25">
        <f t="shared" si="154"/>
        <v>0</v>
      </c>
      <c r="CB176" s="25">
        <f t="shared" si="155"/>
        <v>0.10644701973804108</v>
      </c>
      <c r="CC176" s="5" t="str">
        <f t="shared" si="156"/>
        <v>OK</v>
      </c>
      <c r="CD176" s="5">
        <f t="shared" si="157"/>
        <v>87.805402509844015</v>
      </c>
      <c r="CE176" s="5">
        <f t="shared" si="158"/>
        <v>29.158726455153193</v>
      </c>
      <c r="CF176" s="5">
        <f t="shared" si="159"/>
        <v>2.9248163326364334</v>
      </c>
      <c r="CG176" s="5">
        <f t="shared" si="160"/>
        <v>0.97128328026682387</v>
      </c>
      <c r="CH176" s="5">
        <f t="shared" si="161"/>
        <v>6.9667213551349416E-2</v>
      </c>
      <c r="CI176" s="68">
        <f>_xll.DCETCVN5575PhuLucD2Eta(BP176,CH176,CF176)</f>
        <v>1.5168494193382511</v>
      </c>
      <c r="CJ176" s="5">
        <f t="shared" si="162"/>
        <v>0.10567467242227831</v>
      </c>
      <c r="CK176" s="5">
        <f>MIN(noisuy2chieu(CJ176,CF176,Data!$DA$2:$EB$24),1)</f>
        <v>0.6756293773651123</v>
      </c>
      <c r="CL176" s="102">
        <f t="shared" si="163"/>
        <v>0.14729100785547145</v>
      </c>
      <c r="CM176" s="5" t="str">
        <f t="shared" si="164"/>
        <v>OK</v>
      </c>
      <c r="CN176" s="5">
        <f t="shared" si="165"/>
        <v>0.90492218941026858</v>
      </c>
      <c r="CO176" s="5">
        <f t="shared" si="166"/>
        <v>0.5370345235716667</v>
      </c>
      <c r="CP176" s="25">
        <f>_xll.DCETCVNPhuLucFHeSoOnDinh(1, 0.2, AG176, AH176, AI176, AJ176, AI176, AJ176, $D$28)</f>
        <v>1</v>
      </c>
      <c r="CQ176" s="68">
        <f t="shared" si="167"/>
        <v>0.9</v>
      </c>
      <c r="CR176" s="68">
        <f t="shared" si="168"/>
        <v>1</v>
      </c>
      <c r="CS176" s="5">
        <f t="shared" si="169"/>
        <v>0.18181818181818182</v>
      </c>
      <c r="CT176" s="5">
        <f t="shared" si="170"/>
        <v>9.9510191986788829E-2</v>
      </c>
      <c r="CU176" s="26">
        <f t="shared" si="171"/>
        <v>19.940722314141095</v>
      </c>
      <c r="CV176" s="5"/>
      <c r="CW176" s="25"/>
      <c r="CX176" s="72">
        <f>MAX(_xll.Dce_c_925(CU176, CQ176, CR176, CN176, CP176, CS176, CT176),0.3)</f>
        <v>0.3</v>
      </c>
      <c r="CY176" s="102">
        <f t="shared" si="172"/>
        <v>0.36656607272766256</v>
      </c>
      <c r="CZ176" s="5" t="str">
        <f t="shared" si="173"/>
        <v>OK</v>
      </c>
      <c r="DA176" s="47">
        <f t="shared" si="174"/>
        <v>0.34499859601035404</v>
      </c>
      <c r="DB176" s="46">
        <f t="shared" si="175"/>
        <v>0.45712832802668235</v>
      </c>
      <c r="DC176" s="5" t="str">
        <f t="shared" si="176"/>
        <v>OK</v>
      </c>
      <c r="DD176" s="5">
        <f t="shared" si="177"/>
        <v>2.9248163326364334</v>
      </c>
      <c r="DE176" s="5">
        <f t="shared" si="178"/>
        <v>1.6655104634982609</v>
      </c>
      <c r="DF176" s="5" t="str">
        <f t="shared" si="179"/>
        <v>-</v>
      </c>
      <c r="DG176" s="5" t="str">
        <f t="shared" si="180"/>
        <v>-</v>
      </c>
      <c r="DH176" s="203" t="str">
        <f t="shared" si="181"/>
        <v>-</v>
      </c>
      <c r="DI176" s="203">
        <f t="shared" si="182"/>
        <v>180</v>
      </c>
      <c r="DJ176" s="46">
        <f t="shared" si="183"/>
        <v>0</v>
      </c>
      <c r="DK176" s="5" t="str">
        <f t="shared" si="184"/>
        <v>OK</v>
      </c>
      <c r="EB176" s="18"/>
      <c r="EC176" s="77"/>
      <c r="ED176" s="77"/>
      <c r="EE176" s="18"/>
      <c r="EF176" s="18"/>
      <c r="EG176" s="18"/>
      <c r="EH176" s="5"/>
      <c r="EI176" s="5"/>
      <c r="EJ176" s="5"/>
      <c r="EK176" s="5"/>
      <c r="EL176" s="5"/>
      <c r="FE176" s="26"/>
      <c r="FF176" s="26"/>
      <c r="FG176" s="26"/>
      <c r="FH176" s="26"/>
      <c r="FI176" s="26"/>
      <c r="FJ176" s="26"/>
      <c r="FK176" s="26"/>
      <c r="FL176" s="26"/>
      <c r="FM176" s="26"/>
      <c r="FN176" s="205"/>
      <c r="FO176" s="205"/>
      <c r="FP176" s="205"/>
      <c r="FQ176" s="205"/>
      <c r="FR176" s="205"/>
      <c r="FS176" s="205"/>
      <c r="FT176" s="205"/>
      <c r="FU176" s="77"/>
      <c r="FV176" s="77"/>
      <c r="FW176" s="77"/>
      <c r="FX176" s="205"/>
      <c r="FY176" s="205"/>
      <c r="FZ176" s="205"/>
      <c r="GA176" s="205"/>
      <c r="GB176" s="205"/>
      <c r="GC176" s="205"/>
      <c r="GD176" s="205"/>
      <c r="GE176" s="205"/>
      <c r="GF176" s="205"/>
      <c r="GG176" s="205"/>
      <c r="GH176" s="205"/>
      <c r="GI176" s="205"/>
      <c r="GJ176" s="205"/>
      <c r="GK176" s="205"/>
      <c r="GL176" s="205"/>
      <c r="GM176" s="205"/>
      <c r="GN176" s="205"/>
      <c r="GO176" s="205"/>
      <c r="GP176" s="205"/>
      <c r="GQ176" s="205"/>
      <c r="GR176" s="205"/>
      <c r="GS176" s="205"/>
      <c r="GT176" s="205"/>
      <c r="GU176" s="205"/>
      <c r="GV176" s="18"/>
      <c r="GW176" s="5"/>
      <c r="GX176" s="5"/>
      <c r="GY176" s="77"/>
      <c r="GZ176" s="18"/>
      <c r="HA176" s="18"/>
      <c r="HB176" s="18"/>
      <c r="HC176" s="18"/>
      <c r="HD176" s="18"/>
      <c r="HE176" s="18"/>
      <c r="HF176" s="18"/>
      <c r="HG176" s="18"/>
      <c r="HH176" s="205"/>
      <c r="HI176" s="26"/>
      <c r="HJ176" s="26"/>
      <c r="HK176" s="5"/>
    </row>
    <row r="177" spans="27:219">
      <c r="AA177" s="18" t="s">
        <v>488</v>
      </c>
      <c r="AB177" s="22" t="s">
        <v>490</v>
      </c>
      <c r="AC177" s="59">
        <v>3.6405952380952398</v>
      </c>
      <c r="AD177" s="59">
        <v>8.6549999999999994</v>
      </c>
      <c r="AE177" s="22">
        <v>528</v>
      </c>
      <c r="AF177" s="22">
        <v>1528</v>
      </c>
      <c r="AG177" s="22">
        <v>948.63492063492095</v>
      </c>
      <c r="AH177" s="6">
        <v>10</v>
      </c>
      <c r="AI177" s="6">
        <v>300</v>
      </c>
      <c r="AJ177" s="6">
        <v>14</v>
      </c>
      <c r="AK177" s="24">
        <v>300</v>
      </c>
      <c r="AL177" s="24">
        <v>14</v>
      </c>
      <c r="AM177" s="5">
        <f t="shared" si="129"/>
        <v>920.63492063492095</v>
      </c>
      <c r="AN177" s="26">
        <f t="shared" si="130"/>
        <v>176.06349206349208</v>
      </c>
      <c r="AO177" s="26">
        <f t="shared" si="131"/>
        <v>248482.7399356656</v>
      </c>
      <c r="AP177" s="15">
        <f t="shared" si="132"/>
        <v>6307.6719576719579</v>
      </c>
      <c r="AQ177" s="5">
        <f t="shared" si="133"/>
        <v>5238.7432621467533</v>
      </c>
      <c r="AR177" s="26">
        <f t="shared" si="134"/>
        <v>420.51146384479722</v>
      </c>
      <c r="AS177" s="26">
        <f t="shared" si="135"/>
        <v>3022.1941546989178</v>
      </c>
      <c r="AT177" s="26">
        <f t="shared" si="136"/>
        <v>37.567600585756203</v>
      </c>
      <c r="AU177" s="26">
        <f t="shared" si="137"/>
        <v>5.9854925384629922</v>
      </c>
      <c r="AV177" s="95">
        <f t="shared" si="138"/>
        <v>8.6034497354497351E-7</v>
      </c>
      <c r="AW177" s="95">
        <f t="shared" si="139"/>
        <v>13758293.349206358</v>
      </c>
      <c r="AX177" s="95">
        <f t="shared" si="140"/>
        <v>1.3758293349206359E-5</v>
      </c>
      <c r="AY177" s="54">
        <f t="shared" si="141"/>
        <v>0.1548581140202015</v>
      </c>
      <c r="AZ177" s="54" t="str">
        <f>_xll.Dce_Name_SectI(AE177,AF177,AI177,AH177,AJ177,"x","-",$O$11)</f>
        <v>(528-1528)x300x10x14</v>
      </c>
      <c r="BA177" s="15">
        <f t="shared" si="142"/>
        <v>700.97619047619071</v>
      </c>
      <c r="BB177" s="54"/>
      <c r="BC177" s="54"/>
      <c r="BD177" s="22" t="s">
        <v>518</v>
      </c>
      <c r="BE177" s="23">
        <v>-284.45117561732923</v>
      </c>
      <c r="BF177" s="23">
        <v>-295.30231222194931</v>
      </c>
      <c r="BG177" s="23">
        <v>1.4775530561231599E-3</v>
      </c>
      <c r="BH177" s="23">
        <v>-2.0637141954723376E-5</v>
      </c>
      <c r="BI177" s="23">
        <v>-5.3932578203334715E-3</v>
      </c>
      <c r="BJ177" s="23">
        <v>1078.6434147576476</v>
      </c>
      <c r="BK177" s="23">
        <v>1075.7931350374074</v>
      </c>
      <c r="BL177" s="92">
        <v>2.25</v>
      </c>
      <c r="BM177" s="91">
        <v>2</v>
      </c>
      <c r="BN177" s="5">
        <f t="shared" si="143"/>
        <v>19.473749999999999</v>
      </c>
      <c r="BO177" s="54">
        <f>_xll.Bimoment(BH177,AY177,AC177,AD177,$O$101)</f>
        <v>1.5871338021544796E-4</v>
      </c>
      <c r="BP177" s="5">
        <f t="shared" si="144"/>
        <v>0.45620689655172403</v>
      </c>
      <c r="BQ177" s="5">
        <f t="shared" si="145"/>
        <v>15.818620415028315</v>
      </c>
      <c r="BR177" s="24" t="str">
        <f t="shared" si="146"/>
        <v>Cal</v>
      </c>
      <c r="BS177" s="25">
        <f t="shared" si="147"/>
        <v>7.0683244932858241E-2</v>
      </c>
      <c r="BT177" s="25" t="str">
        <f t="shared" si="148"/>
        <v>CT.105</v>
      </c>
      <c r="BU177" s="25">
        <f t="shared" si="149"/>
        <v>1</v>
      </c>
      <c r="BV177" s="25" cm="1">
        <f t="array" ref="BV177">IF(BT177="CT.104",_xll.TCVN5575AnnexEHeSoCx(1,BP177),1)</f>
        <v>1</v>
      </c>
      <c r="BW177" s="25">
        <f t="shared" si="150"/>
        <v>1</v>
      </c>
      <c r="BX177" s="25">
        <f t="shared" si="151"/>
        <v>7.4403415718798147E-2</v>
      </c>
      <c r="BY177" s="25">
        <f t="shared" si="152"/>
        <v>0.94821153278918102</v>
      </c>
      <c r="BZ177" s="25">
        <f t="shared" si="153"/>
        <v>5.9064671659406677E-5</v>
      </c>
      <c r="CA177" s="25">
        <f t="shared" si="154"/>
        <v>3.7239744704891566E-6</v>
      </c>
      <c r="CB177" s="25">
        <f t="shared" si="155"/>
        <v>1.0226777371541091</v>
      </c>
      <c r="CC177" s="5" t="str">
        <f t="shared" si="156"/>
        <v>Check</v>
      </c>
      <c r="CD177" s="5">
        <f t="shared" si="157"/>
        <v>51.836555160202302</v>
      </c>
      <c r="CE177" s="5">
        <f t="shared" si="158"/>
        <v>33.414125690541383</v>
      </c>
      <c r="CF177" s="5">
        <f t="shared" si="159"/>
        <v>1.7266865002204341</v>
      </c>
      <c r="CG177" s="5">
        <f t="shared" si="160"/>
        <v>1.1130315193248546</v>
      </c>
      <c r="CH177" s="5">
        <f t="shared" si="161"/>
        <v>12.744193578059262</v>
      </c>
      <c r="CI177" s="68">
        <f>_xll.DCETCVN5575PhuLucD2Eta(BP177,CH177,CF177)</f>
        <v>1.2412413793103447</v>
      </c>
      <c r="CJ177" s="5">
        <f t="shared" si="162"/>
        <v>15.818620415028315</v>
      </c>
      <c r="CK177" s="5">
        <f>MIN(noisuy2chieu(CJ177,CF177,Data!$DA$2:$EB$24),1)</f>
        <v>8.6977295577526093E-2</v>
      </c>
      <c r="CL177" s="102">
        <f t="shared" si="163"/>
        <v>0.85543491809859307</v>
      </c>
      <c r="CM177" s="5" t="str">
        <f t="shared" si="164"/>
        <v>OK</v>
      </c>
      <c r="CN177" s="5">
        <f t="shared" si="165"/>
        <v>0.88472625978979058</v>
      </c>
      <c r="CO177" s="5">
        <f t="shared" si="166"/>
        <v>0.5370345235716667</v>
      </c>
      <c r="CP177" s="25">
        <f>_xll.DCETCVNPhuLucFHeSoOnDinh(1, 0.2, AG177, AH177, AI177, AJ177, AI177, AJ177, $D$28)</f>
        <v>1</v>
      </c>
      <c r="CQ177" s="68">
        <f t="shared" si="167"/>
        <v>0.9</v>
      </c>
      <c r="CR177" s="68">
        <f t="shared" si="168"/>
        <v>1</v>
      </c>
      <c r="CS177" s="5">
        <f t="shared" si="169"/>
        <v>0.18181818181818182</v>
      </c>
      <c r="CT177" s="5">
        <f t="shared" si="170"/>
        <v>0.10155106457844131</v>
      </c>
      <c r="CU177" s="26">
        <f t="shared" si="171"/>
        <v>12.710517466000931</v>
      </c>
      <c r="CV177" s="5"/>
      <c r="CW177" s="25"/>
      <c r="CX177" s="72">
        <f>MAX(_xll.Dce_c_925(CU177, CQ177, CR177, CN177, CP177, CS177, CT177),0.3)</f>
        <v>0.3</v>
      </c>
      <c r="CY177" s="102">
        <f t="shared" si="172"/>
        <v>0.28032556170340678</v>
      </c>
      <c r="CZ177" s="5" t="str">
        <f t="shared" si="173"/>
        <v>OK</v>
      </c>
      <c r="DA177" s="47">
        <f t="shared" si="174"/>
        <v>0.34499859601035404</v>
      </c>
      <c r="DB177" s="46">
        <f t="shared" si="175"/>
        <v>0.47130315193248545</v>
      </c>
      <c r="DC177" s="5" t="str">
        <f t="shared" si="176"/>
        <v>OK</v>
      </c>
      <c r="DD177" s="5">
        <f t="shared" si="177"/>
        <v>1.7266865002204341</v>
      </c>
      <c r="DE177" s="5">
        <f t="shared" si="178"/>
        <v>3.0666541867587034</v>
      </c>
      <c r="DF177" s="5" t="str">
        <f t="shared" si="179"/>
        <v>-</v>
      </c>
      <c r="DG177" s="5" t="str">
        <f t="shared" si="180"/>
        <v>-</v>
      </c>
      <c r="DH177" s="203">
        <f t="shared" si="181"/>
        <v>51.836555160202302</v>
      </c>
      <c r="DI177" s="203">
        <f t="shared" si="182"/>
        <v>158.6739049140844</v>
      </c>
      <c r="DJ177" s="46">
        <f t="shared" si="183"/>
        <v>0.3266860747409584</v>
      </c>
      <c r="DK177" s="5" t="str">
        <f t="shared" si="184"/>
        <v>OK</v>
      </c>
      <c r="EB177" s="18"/>
      <c r="EC177" s="77"/>
      <c r="ED177" s="77"/>
      <c r="EE177" s="18"/>
      <c r="EF177" s="18"/>
      <c r="EG177" s="18"/>
      <c r="EH177" s="5"/>
      <c r="EI177" s="5"/>
      <c r="EJ177" s="5"/>
      <c r="EK177" s="5"/>
      <c r="EL177" s="5"/>
      <c r="FE177" s="26"/>
      <c r="FF177" s="26"/>
      <c r="FG177" s="26"/>
      <c r="FH177" s="26"/>
      <c r="FI177" s="26"/>
      <c r="FJ177" s="26"/>
      <c r="FK177" s="26"/>
      <c r="FL177" s="26"/>
      <c r="FM177" s="26"/>
      <c r="FN177" s="205"/>
      <c r="FO177" s="205"/>
      <c r="FP177" s="205"/>
      <c r="FQ177" s="205"/>
      <c r="FR177" s="205"/>
      <c r="FS177" s="205"/>
      <c r="FT177" s="205"/>
      <c r="FU177" s="77"/>
      <c r="FV177" s="77"/>
      <c r="FW177" s="77"/>
      <c r="FX177" s="205"/>
      <c r="FY177" s="205"/>
      <c r="FZ177" s="205"/>
      <c r="GA177" s="205"/>
      <c r="GB177" s="205"/>
      <c r="GC177" s="205"/>
      <c r="GD177" s="205"/>
      <c r="GE177" s="205"/>
      <c r="GF177" s="205"/>
      <c r="GG177" s="205"/>
      <c r="GH177" s="205"/>
      <c r="GI177" s="205"/>
      <c r="GJ177" s="205"/>
      <c r="GK177" s="205"/>
      <c r="GL177" s="205"/>
      <c r="GM177" s="205"/>
      <c r="GN177" s="205"/>
      <c r="GO177" s="205"/>
      <c r="GP177" s="205"/>
      <c r="GQ177" s="205"/>
      <c r="GR177" s="205"/>
      <c r="GS177" s="205"/>
      <c r="GT177" s="205"/>
      <c r="GU177" s="205"/>
      <c r="GV177" s="18"/>
      <c r="GW177" s="5"/>
      <c r="GX177" s="5"/>
      <c r="GY177" s="77"/>
      <c r="GZ177" s="18"/>
      <c r="HA177" s="18"/>
      <c r="HB177" s="18"/>
      <c r="HC177" s="18"/>
      <c r="HD177" s="18"/>
      <c r="HE177" s="18"/>
      <c r="HF177" s="18"/>
      <c r="HG177" s="18"/>
      <c r="HH177" s="205"/>
      <c r="HI177" s="26"/>
      <c r="HJ177" s="26"/>
      <c r="HK177" s="5"/>
    </row>
    <row r="178" spans="27:219">
      <c r="AA178" s="18" t="s">
        <v>488</v>
      </c>
      <c r="AB178" s="22" t="s">
        <v>490</v>
      </c>
      <c r="AC178" s="59">
        <v>7.2811904761904795</v>
      </c>
      <c r="AD178" s="59">
        <v>8.6549999999999994</v>
      </c>
      <c r="AE178" s="22">
        <v>528</v>
      </c>
      <c r="AF178" s="22">
        <v>1528</v>
      </c>
      <c r="AG178" s="22">
        <v>1369.2698412698419</v>
      </c>
      <c r="AH178" s="6">
        <v>10</v>
      </c>
      <c r="AI178" s="6">
        <v>300</v>
      </c>
      <c r="AJ178" s="6">
        <v>14</v>
      </c>
      <c r="AK178" s="24">
        <v>300</v>
      </c>
      <c r="AL178" s="24">
        <v>14</v>
      </c>
      <c r="AM178" s="5">
        <f t="shared" si="129"/>
        <v>1341.2698412698419</v>
      </c>
      <c r="AN178" s="26">
        <f t="shared" si="130"/>
        <v>218.12698412698418</v>
      </c>
      <c r="AO178" s="26">
        <f t="shared" si="131"/>
        <v>586811.79072745051</v>
      </c>
      <c r="AP178" s="15">
        <f t="shared" si="132"/>
        <v>6311.1772486772488</v>
      </c>
      <c r="AQ178" s="5">
        <f t="shared" si="133"/>
        <v>8571.1635945074104</v>
      </c>
      <c r="AR178" s="26">
        <f t="shared" si="134"/>
        <v>420.74514991181661</v>
      </c>
      <c r="AS178" s="26">
        <f t="shared" si="135"/>
        <v>5094.8226505417015</v>
      </c>
      <c r="AT178" s="26">
        <f t="shared" si="136"/>
        <v>51.867428670398397</v>
      </c>
      <c r="AU178" s="26">
        <f t="shared" si="137"/>
        <v>5.3789869588463937</v>
      </c>
      <c r="AV178" s="95">
        <f t="shared" si="138"/>
        <v>1.0005566137566139E-6</v>
      </c>
      <c r="AW178" s="95">
        <f t="shared" si="139"/>
        <v>28928912.396825422</v>
      </c>
      <c r="AX178" s="95">
        <f t="shared" si="140"/>
        <v>2.8928912396825422E-5</v>
      </c>
      <c r="AY178" s="54">
        <f t="shared" si="141"/>
        <v>0.11516876660535029</v>
      </c>
      <c r="AZ178" s="54" t="str">
        <f>_xll.Dce_Name_SectI(AE178,AF178,AI178,AH178,AJ178,"x","-",$O$11)</f>
        <v>(528-1528)x300x10x14</v>
      </c>
      <c r="BA178" s="15">
        <f t="shared" si="142"/>
        <v>1016.4523809523813</v>
      </c>
      <c r="BB178" s="54"/>
      <c r="BC178" s="54"/>
      <c r="BD178" s="22" t="s">
        <v>518</v>
      </c>
      <c r="BE178" s="23">
        <v>-277.803224180271</v>
      </c>
      <c r="BF178" s="23">
        <v>-292.76311993982392</v>
      </c>
      <c r="BG178" s="23">
        <v>1.4775530561233158E-3</v>
      </c>
      <c r="BH178" s="23">
        <v>-2.0637141954723376E-5</v>
      </c>
      <c r="BI178" s="23">
        <v>-1.078509848628721E-2</v>
      </c>
      <c r="BJ178" s="23">
        <v>2151.5862700748148</v>
      </c>
      <c r="BK178" s="23">
        <v>1075.7931350374074</v>
      </c>
      <c r="BL178" s="92">
        <v>2.25</v>
      </c>
      <c r="BM178" s="91">
        <v>2</v>
      </c>
      <c r="BN178" s="5">
        <f t="shared" si="143"/>
        <v>19.473749999999999</v>
      </c>
      <c r="BO178" s="54">
        <f>_xll.Bimoment(BH178,AY178,AC178,AD178,$O$101)</f>
        <v>9.440812274075538E-5</v>
      </c>
      <c r="BP178" s="5">
        <f t="shared" si="144"/>
        <v>0.31313609467455605</v>
      </c>
      <c r="BQ178" s="5">
        <f t="shared" si="145"/>
        <v>23.901128404289107</v>
      </c>
      <c r="BR178" s="24" t="str">
        <f t="shared" si="146"/>
        <v>Cal</v>
      </c>
      <c r="BS178" s="25">
        <f t="shared" si="147"/>
        <v>5.5719337552530335E-2</v>
      </c>
      <c r="BT178" s="25" t="str">
        <f t="shared" si="148"/>
        <v>CT.105</v>
      </c>
      <c r="BU178" s="25">
        <f t="shared" si="149"/>
        <v>1</v>
      </c>
      <c r="BV178" s="25" cm="1">
        <f t="array" ref="BV178">IF(BT178="CT.104",_xll.TCVN5575AnnexEHeSoCx(1,BP178),1)</f>
        <v>1</v>
      </c>
      <c r="BW178" s="25">
        <f t="shared" si="150"/>
        <v>1</v>
      </c>
      <c r="BX178" s="25">
        <f t="shared" si="151"/>
        <v>5.8651934265821409E-2</v>
      </c>
      <c r="BY178" s="25">
        <f t="shared" si="152"/>
        <v>1.1560415189085134</v>
      </c>
      <c r="BZ178" s="25">
        <f t="shared" si="153"/>
        <v>1.1804822164575084E-4</v>
      </c>
      <c r="CA178" s="25">
        <f t="shared" si="154"/>
        <v>1.5276319931507984E-6</v>
      </c>
      <c r="CB178" s="25">
        <f t="shared" si="155"/>
        <v>1.2148130290279737</v>
      </c>
      <c r="CC178" s="5" t="str">
        <f t="shared" si="156"/>
        <v>Check</v>
      </c>
      <c r="CD178" s="5">
        <f t="shared" si="157"/>
        <v>37.545238889226049</v>
      </c>
      <c r="CE178" s="5">
        <f t="shared" si="158"/>
        <v>37.181722419139881</v>
      </c>
      <c r="CF178" s="5">
        <f t="shared" si="159"/>
        <v>1.2506397644909562</v>
      </c>
      <c r="CG178" s="5">
        <f t="shared" si="160"/>
        <v>1.2385309547993069</v>
      </c>
      <c r="CH178" s="5">
        <f t="shared" si="161"/>
        <v>19.710202798583246</v>
      </c>
      <c r="CI178" s="68">
        <f>_xll.DCETCVN5575PhuLucD2Eta(BP178,CH178,CF178)</f>
        <v>1.2126272189349112</v>
      </c>
      <c r="CJ178" s="5">
        <f t="shared" si="162"/>
        <v>23.901128404289107</v>
      </c>
      <c r="CK178" s="5">
        <f>MIN(noisuy2chieu(CJ178,CF178,Data!$DA$2:$EB$24),1)</f>
        <v>7.1994885802268982E-2</v>
      </c>
      <c r="CL178" s="102">
        <f t="shared" si="163"/>
        <v>0.81466806443594553</v>
      </c>
      <c r="CM178" s="5" t="str">
        <f t="shared" si="164"/>
        <v>OK</v>
      </c>
      <c r="CN178" s="5">
        <f t="shared" si="165"/>
        <v>0.86643683692746631</v>
      </c>
      <c r="CO178" s="5">
        <f t="shared" si="166"/>
        <v>0.5370345235716667</v>
      </c>
      <c r="CP178" s="25">
        <f>_xll.DCETCVNPhuLucFHeSoOnDinh(1, 0.2, AG178, AH178, AI178, AJ178, AI178, AJ178, $D$28)</f>
        <v>1</v>
      </c>
      <c r="CQ178" s="68">
        <f t="shared" si="167"/>
        <v>0.9</v>
      </c>
      <c r="CR178" s="68">
        <f t="shared" si="168"/>
        <v>1</v>
      </c>
      <c r="CS178" s="5">
        <f t="shared" si="169"/>
        <v>0.18181818181818182</v>
      </c>
      <c r="CT178" s="5">
        <f t="shared" si="170"/>
        <v>0.10347287704587492</v>
      </c>
      <c r="CU178" s="26">
        <f t="shared" si="171"/>
        <v>9.8551013992916232</v>
      </c>
      <c r="CV178" s="5"/>
      <c r="CW178" s="25"/>
      <c r="CX178" s="72">
        <f>MAX(_xll.Dce_c_925(CU178, CQ178, CR178, CN178, CP178, CS178, CT178),0.3)</f>
        <v>0.3</v>
      </c>
      <c r="CY178" s="102">
        <f t="shared" si="172"/>
        <v>0.22564420073139718</v>
      </c>
      <c r="CZ178" s="5" t="str">
        <f t="shared" si="173"/>
        <v>OK</v>
      </c>
      <c r="DA178" s="47">
        <f t="shared" si="174"/>
        <v>0.34499859601035404</v>
      </c>
      <c r="DB178" s="46">
        <f t="shared" si="175"/>
        <v>0.48385309547993066</v>
      </c>
      <c r="DC178" s="5" t="str">
        <f t="shared" si="176"/>
        <v>OK</v>
      </c>
      <c r="DD178" s="5">
        <f t="shared" si="177"/>
        <v>1.2506397644909562</v>
      </c>
      <c r="DE178" s="5">
        <f t="shared" si="178"/>
        <v>4.4677979100191463</v>
      </c>
      <c r="DF178" s="5" t="str">
        <f t="shared" si="179"/>
        <v>-</v>
      </c>
      <c r="DG178" s="5" t="str">
        <f t="shared" si="180"/>
        <v>-</v>
      </c>
      <c r="DH178" s="203">
        <f t="shared" si="181"/>
        <v>37.545238889226049</v>
      </c>
      <c r="DI178" s="203">
        <f t="shared" si="182"/>
        <v>161.11991613384328</v>
      </c>
      <c r="DJ178" s="46">
        <f t="shared" si="183"/>
        <v>0.23302667845256941</v>
      </c>
      <c r="DK178" s="5" t="str">
        <f t="shared" si="184"/>
        <v>OK</v>
      </c>
      <c r="EB178" s="18"/>
      <c r="EC178" s="77"/>
      <c r="ED178" s="77"/>
      <c r="EE178" s="18"/>
      <c r="EF178" s="18"/>
      <c r="EG178" s="18"/>
      <c r="EH178" s="5"/>
      <c r="EI178" s="5"/>
      <c r="EJ178" s="5"/>
      <c r="EK178" s="5"/>
      <c r="EL178" s="5"/>
      <c r="FE178" s="26"/>
      <c r="FF178" s="26"/>
      <c r="FG178" s="26"/>
      <c r="FH178" s="26"/>
      <c r="FI178" s="26"/>
      <c r="FJ178" s="26"/>
      <c r="FK178" s="26"/>
      <c r="FL178" s="26"/>
      <c r="FM178" s="26"/>
      <c r="FN178" s="205"/>
      <c r="FO178" s="205"/>
      <c r="FP178" s="205"/>
      <c r="FQ178" s="205"/>
      <c r="FR178" s="205"/>
      <c r="FS178" s="205"/>
      <c r="FT178" s="205"/>
      <c r="FU178" s="77"/>
      <c r="FV178" s="77"/>
      <c r="FW178" s="77"/>
      <c r="FX178" s="205"/>
      <c r="FY178" s="205"/>
      <c r="FZ178" s="205"/>
      <c r="GA178" s="205"/>
      <c r="GB178" s="205"/>
      <c r="GC178" s="205"/>
      <c r="GD178" s="205"/>
      <c r="GE178" s="205"/>
      <c r="GF178" s="205"/>
      <c r="GG178" s="205"/>
      <c r="GH178" s="205"/>
      <c r="GI178" s="205"/>
      <c r="GJ178" s="205"/>
      <c r="GK178" s="205"/>
      <c r="GL178" s="205"/>
      <c r="GM178" s="205"/>
      <c r="GN178" s="205"/>
      <c r="GO178" s="205"/>
      <c r="GP178" s="205"/>
      <c r="GQ178" s="205"/>
      <c r="GR178" s="205"/>
      <c r="GS178" s="205"/>
      <c r="GT178" s="205"/>
      <c r="GU178" s="205"/>
      <c r="GV178" s="18"/>
      <c r="GW178" s="5"/>
      <c r="GX178" s="5"/>
      <c r="GY178" s="77"/>
      <c r="GZ178" s="18"/>
      <c r="HA178" s="18"/>
      <c r="HB178" s="18"/>
      <c r="HC178" s="18"/>
      <c r="HD178" s="18"/>
      <c r="HE178" s="18"/>
      <c r="HF178" s="18"/>
      <c r="HG178" s="18"/>
      <c r="HH178" s="205"/>
      <c r="HI178" s="26"/>
      <c r="HJ178" s="26"/>
      <c r="HK178" s="5"/>
    </row>
    <row r="179" spans="27:219">
      <c r="AA179" s="18" t="s">
        <v>488</v>
      </c>
      <c r="AB179" s="22" t="s">
        <v>491</v>
      </c>
      <c r="AC179" s="59">
        <v>0</v>
      </c>
      <c r="AD179" s="59">
        <v>8.6549999999999994</v>
      </c>
      <c r="AE179" s="22">
        <v>528</v>
      </c>
      <c r="AF179" s="22">
        <v>1528</v>
      </c>
      <c r="AG179" s="22">
        <v>528</v>
      </c>
      <c r="AH179" s="6">
        <v>10</v>
      </c>
      <c r="AI179" s="6">
        <v>300</v>
      </c>
      <c r="AJ179" s="6">
        <v>14</v>
      </c>
      <c r="AK179" s="24">
        <v>300</v>
      </c>
      <c r="AL179" s="24">
        <v>14</v>
      </c>
      <c r="AM179" s="5">
        <f t="shared" si="129"/>
        <v>500</v>
      </c>
      <c r="AN179" s="26">
        <f t="shared" si="130"/>
        <v>134</v>
      </c>
      <c r="AO179" s="26">
        <f t="shared" si="131"/>
        <v>65911.546666666676</v>
      </c>
      <c r="AP179" s="15">
        <f t="shared" si="132"/>
        <v>6304.166666666667</v>
      </c>
      <c r="AQ179" s="5">
        <f t="shared" si="133"/>
        <v>2496.6494949494954</v>
      </c>
      <c r="AR179" s="26">
        <f t="shared" si="134"/>
        <v>420.27777777777777</v>
      </c>
      <c r="AS179" s="26">
        <f t="shared" si="135"/>
        <v>1391.9</v>
      </c>
      <c r="AT179" s="26">
        <f t="shared" si="136"/>
        <v>22.178305028345793</v>
      </c>
      <c r="AU179" s="26">
        <f t="shared" si="137"/>
        <v>6.8590101254115021</v>
      </c>
      <c r="AV179" s="95">
        <f t="shared" si="138"/>
        <v>7.201333333333334E-7</v>
      </c>
      <c r="AW179" s="95">
        <f t="shared" si="139"/>
        <v>4161087</v>
      </c>
      <c r="AX179" s="95">
        <f t="shared" si="140"/>
        <v>4.1610870000000001E-6</v>
      </c>
      <c r="AY179" s="54">
        <f t="shared" si="141"/>
        <v>0.25762202780669918</v>
      </c>
      <c r="AZ179" s="54" t="str">
        <f>_xll.Dce_Name_SectI(AE179,AF179,AI179,AH179,AJ179,"x","-",$O$11)</f>
        <v>(528-1528)x300x10x14</v>
      </c>
      <c r="BA179" s="15">
        <f t="shared" si="142"/>
        <v>385.5</v>
      </c>
      <c r="BB179" s="54"/>
      <c r="BC179" s="54"/>
      <c r="BD179" s="22" t="s">
        <v>492</v>
      </c>
      <c r="BE179" s="23">
        <v>-171.04431596254801</v>
      </c>
      <c r="BF179" s="23">
        <v>-145.22855897102494</v>
      </c>
      <c r="BG179" s="23">
        <v>4.3227573965318026E-4</v>
      </c>
      <c r="BH179" s="23">
        <v>1.0968454318646238E-4</v>
      </c>
      <c r="BI179" s="23">
        <v>7.5320473722710179E-6</v>
      </c>
      <c r="BJ179" s="23">
        <v>-2.2498069915326142</v>
      </c>
      <c r="BK179" s="23">
        <v>530.13134293046164</v>
      </c>
      <c r="BL179" s="92">
        <v>2.25</v>
      </c>
      <c r="BM179" s="91">
        <v>2</v>
      </c>
      <c r="BN179" s="5">
        <f t="shared" si="143"/>
        <v>19.473749999999999</v>
      </c>
      <c r="BO179" s="54">
        <f>_xll.Bimoment(BH179,AY179,AC179,AD179,$O$101)</f>
        <v>0</v>
      </c>
      <c r="BP179" s="5">
        <f t="shared" si="144"/>
        <v>0.84</v>
      </c>
      <c r="BQ179" s="5">
        <f t="shared" si="145"/>
        <v>0.10708170149275677</v>
      </c>
      <c r="BR179" s="24" t="str">
        <f t="shared" si="146"/>
        <v>Cal</v>
      </c>
      <c r="BS179" s="25">
        <f t="shared" si="147"/>
        <v>5.5844692711652801E-2</v>
      </c>
      <c r="BT179" s="25" t="str">
        <f t="shared" si="148"/>
        <v>CT.105</v>
      </c>
      <c r="BU179" s="25">
        <f t="shared" si="149"/>
        <v>1</v>
      </c>
      <c r="BV179" s="25" cm="1">
        <f t="array" ref="BV179">IF(BT179="CT.104",_xll.TCVN5575AnnexEHeSoCx(1,BP179),1)</f>
        <v>1</v>
      </c>
      <c r="BW179" s="25">
        <f t="shared" si="150"/>
        <v>1</v>
      </c>
      <c r="BX179" s="25">
        <f t="shared" si="151"/>
        <v>5.8783887064897691E-2</v>
      </c>
      <c r="BY179" s="25">
        <f t="shared" si="152"/>
        <v>4.1499430622674305E-3</v>
      </c>
      <c r="BZ179" s="25">
        <f t="shared" si="153"/>
        <v>8.253365298171534E-8</v>
      </c>
      <c r="CA179" s="25">
        <f t="shared" si="154"/>
        <v>0</v>
      </c>
      <c r="CB179" s="25">
        <f t="shared" si="155"/>
        <v>6.2933912660818103E-2</v>
      </c>
      <c r="CC179" s="5" t="str">
        <f t="shared" si="156"/>
        <v>OK</v>
      </c>
      <c r="CD179" s="5">
        <f t="shared" si="157"/>
        <v>87.805402509844015</v>
      </c>
      <c r="CE179" s="5">
        <f t="shared" si="158"/>
        <v>29.158726455153193</v>
      </c>
      <c r="CF179" s="5">
        <f t="shared" si="159"/>
        <v>2.9248163326364334</v>
      </c>
      <c r="CG179" s="5">
        <f t="shared" si="160"/>
        <v>0.97128328026682387</v>
      </c>
      <c r="CH179" s="5">
        <f t="shared" si="161"/>
        <v>7.0596608517668705E-2</v>
      </c>
      <c r="CI179" s="68">
        <f>_xll.DCETCVN5575PhuLucD2Eta(BP179,CH179,CF179)</f>
        <v>1.5168108460331586</v>
      </c>
      <c r="CJ179" s="5">
        <f t="shared" si="162"/>
        <v>0.10708170149275677</v>
      </c>
      <c r="CK179" s="5">
        <f>MIN(noisuy2chieu(CJ179,CF179,Data!$DA$2:$EB$24),1)</f>
        <v>0.6749727725982666</v>
      </c>
      <c r="CL179" s="102">
        <f t="shared" si="163"/>
        <v>8.7090753066398074E-2</v>
      </c>
      <c r="CM179" s="5" t="str">
        <f t="shared" si="164"/>
        <v>OK</v>
      </c>
      <c r="CN179" s="5">
        <f t="shared" si="165"/>
        <v>0.90492218941026858</v>
      </c>
      <c r="CO179" s="5">
        <f t="shared" si="166"/>
        <v>0.5370345235716667</v>
      </c>
      <c r="CP179" s="25">
        <f>_xll.DCETCVNPhuLucFHeSoOnDinh(1, 0.2, AG179, AH179, AI179, AJ179, AI179, AJ179, $D$28)</f>
        <v>1</v>
      </c>
      <c r="CQ179" s="68">
        <f t="shared" si="167"/>
        <v>0.9</v>
      </c>
      <c r="CR179" s="68">
        <f t="shared" si="168"/>
        <v>1</v>
      </c>
      <c r="CS179" s="5">
        <f t="shared" si="169"/>
        <v>0.18181818181818182</v>
      </c>
      <c r="CT179" s="5">
        <f t="shared" si="170"/>
        <v>9.9510191986788829E-2</v>
      </c>
      <c r="CU179" s="26">
        <f t="shared" si="171"/>
        <v>16.634971364504821</v>
      </c>
      <c r="CV179" s="5"/>
      <c r="CW179" s="25"/>
      <c r="CX179" s="72">
        <f>MAX(_xll.Dce_c_925(CU179, CQ179, CR179, CN179, CP179, CS179, CT179),0.3)</f>
        <v>0.3</v>
      </c>
      <c r="CY179" s="102">
        <f t="shared" si="172"/>
        <v>0.21653385507545403</v>
      </c>
      <c r="CZ179" s="5" t="str">
        <f t="shared" si="173"/>
        <v>OK</v>
      </c>
      <c r="DA179" s="47">
        <f t="shared" si="174"/>
        <v>0.34499859601035404</v>
      </c>
      <c r="DB179" s="46">
        <f t="shared" si="175"/>
        <v>0.45712832802668235</v>
      </c>
      <c r="DC179" s="5" t="str">
        <f t="shared" si="176"/>
        <v>OK</v>
      </c>
      <c r="DD179" s="5">
        <f t="shared" si="177"/>
        <v>2.9248163326364334</v>
      </c>
      <c r="DE179" s="5">
        <f t="shared" si="178"/>
        <v>1.6655104634982609</v>
      </c>
      <c r="DF179" s="5" t="str">
        <f t="shared" si="179"/>
        <v>-</v>
      </c>
      <c r="DG179" s="5" t="str">
        <f t="shared" si="180"/>
        <v>-</v>
      </c>
      <c r="DH179" s="203" t="str">
        <f t="shared" si="181"/>
        <v>-</v>
      </c>
      <c r="DI179" s="203">
        <f t="shared" si="182"/>
        <v>180</v>
      </c>
      <c r="DJ179" s="46">
        <f t="shared" si="183"/>
        <v>0</v>
      </c>
      <c r="DK179" s="5" t="str">
        <f t="shared" si="184"/>
        <v>OK</v>
      </c>
      <c r="EB179" s="18"/>
      <c r="EC179" s="77"/>
      <c r="ED179" s="77"/>
      <c r="EE179" s="18"/>
      <c r="EF179" s="18"/>
      <c r="EG179" s="18"/>
      <c r="EH179" s="5"/>
      <c r="EI179" s="5"/>
      <c r="EJ179" s="5"/>
      <c r="EK179" s="5"/>
      <c r="EL179" s="5"/>
      <c r="FE179" s="26"/>
      <c r="FF179" s="26"/>
      <c r="FG179" s="26"/>
      <c r="FH179" s="26"/>
      <c r="FI179" s="26"/>
      <c r="FJ179" s="26"/>
      <c r="FK179" s="26"/>
      <c r="FL179" s="26"/>
      <c r="FM179" s="26"/>
      <c r="FN179" s="205"/>
      <c r="FO179" s="205"/>
      <c r="FP179" s="205"/>
      <c r="FQ179" s="205"/>
      <c r="FR179" s="205"/>
      <c r="FS179" s="205"/>
      <c r="FT179" s="205"/>
      <c r="FU179" s="77"/>
      <c r="FV179" s="77"/>
      <c r="FW179" s="77"/>
      <c r="FX179" s="205"/>
      <c r="FY179" s="205"/>
      <c r="FZ179" s="205"/>
      <c r="GA179" s="205"/>
      <c r="GB179" s="205"/>
      <c r="GC179" s="205"/>
      <c r="GD179" s="205"/>
      <c r="GE179" s="205"/>
      <c r="GF179" s="205"/>
      <c r="GG179" s="205"/>
      <c r="GH179" s="205"/>
      <c r="GI179" s="205"/>
      <c r="GJ179" s="205"/>
      <c r="GK179" s="205"/>
      <c r="GL179" s="205"/>
      <c r="GM179" s="205"/>
      <c r="GN179" s="205"/>
      <c r="GO179" s="205"/>
      <c r="GP179" s="205"/>
      <c r="GQ179" s="205"/>
      <c r="GR179" s="205"/>
      <c r="GS179" s="205"/>
      <c r="GT179" s="205"/>
      <c r="GU179" s="205"/>
      <c r="GV179" s="18"/>
      <c r="GW179" s="5"/>
      <c r="GX179" s="5"/>
      <c r="GY179" s="77"/>
      <c r="GZ179" s="18"/>
      <c r="HA179" s="18"/>
      <c r="HB179" s="18"/>
      <c r="HC179" s="18"/>
      <c r="HD179" s="18"/>
      <c r="HE179" s="18"/>
      <c r="HF179" s="18"/>
      <c r="HG179" s="18"/>
      <c r="HH179" s="205"/>
      <c r="HI179" s="26"/>
      <c r="HJ179" s="26"/>
      <c r="HK179" s="5"/>
    </row>
    <row r="180" spans="27:219">
      <c r="AA180" s="18" t="s">
        <v>488</v>
      </c>
      <c r="AB180" s="22" t="s">
        <v>491</v>
      </c>
      <c r="AC180" s="59">
        <v>3.6405952380952398</v>
      </c>
      <c r="AD180" s="59">
        <v>8.6549999999999994</v>
      </c>
      <c r="AE180" s="22">
        <v>528</v>
      </c>
      <c r="AF180" s="22">
        <v>1528</v>
      </c>
      <c r="AG180" s="22">
        <v>948.63492063492095</v>
      </c>
      <c r="AH180" s="6">
        <v>10</v>
      </c>
      <c r="AI180" s="6">
        <v>300</v>
      </c>
      <c r="AJ180" s="6">
        <v>14</v>
      </c>
      <c r="AK180" s="24">
        <v>300</v>
      </c>
      <c r="AL180" s="24">
        <v>14</v>
      </c>
      <c r="AM180" s="5">
        <f t="shared" si="129"/>
        <v>920.63492063492095</v>
      </c>
      <c r="AN180" s="26">
        <f t="shared" si="130"/>
        <v>176.06349206349208</v>
      </c>
      <c r="AO180" s="26">
        <f t="shared" si="131"/>
        <v>248482.7399356656</v>
      </c>
      <c r="AP180" s="15">
        <f t="shared" si="132"/>
        <v>6307.6719576719579</v>
      </c>
      <c r="AQ180" s="5">
        <f t="shared" si="133"/>
        <v>5238.7432621467533</v>
      </c>
      <c r="AR180" s="26">
        <f t="shared" si="134"/>
        <v>420.51146384479722</v>
      </c>
      <c r="AS180" s="26">
        <f t="shared" si="135"/>
        <v>3022.1941546989178</v>
      </c>
      <c r="AT180" s="26">
        <f t="shared" si="136"/>
        <v>37.567600585756203</v>
      </c>
      <c r="AU180" s="26">
        <f t="shared" si="137"/>
        <v>5.9854925384629922</v>
      </c>
      <c r="AV180" s="95">
        <f t="shared" si="138"/>
        <v>8.6034497354497351E-7</v>
      </c>
      <c r="AW180" s="95">
        <f t="shared" si="139"/>
        <v>13758293.349206358</v>
      </c>
      <c r="AX180" s="95">
        <f t="shared" si="140"/>
        <v>1.3758293349206359E-5</v>
      </c>
      <c r="AY180" s="54">
        <f t="shared" si="141"/>
        <v>0.1548581140202015</v>
      </c>
      <c r="AZ180" s="54" t="str">
        <f>_xll.Dce_Name_SectI(AE180,AF180,AI180,AH180,AJ180,"x","-",$O$11)</f>
        <v>(528-1528)x300x10x14</v>
      </c>
      <c r="BA180" s="15">
        <f t="shared" si="142"/>
        <v>700.97619047619071</v>
      </c>
      <c r="BB180" s="54"/>
      <c r="BC180" s="54"/>
      <c r="BD180" s="22" t="s">
        <v>492</v>
      </c>
      <c r="BE180" s="23">
        <v>-166.14255027598216</v>
      </c>
      <c r="BF180" s="23">
        <v>-145.56516365830748</v>
      </c>
      <c r="BG180" s="23">
        <v>4.3227573965315961E-4</v>
      </c>
      <c r="BH180" s="23">
        <v>1.0968454318646238E-4</v>
      </c>
      <c r="BI180" s="23">
        <v>-1.5699151395887052E-3</v>
      </c>
      <c r="BJ180" s="23">
        <v>528.29570913969303</v>
      </c>
      <c r="BK180" s="23">
        <v>530.13134293046164</v>
      </c>
      <c r="BL180" s="92">
        <v>2.25</v>
      </c>
      <c r="BM180" s="91">
        <v>2</v>
      </c>
      <c r="BN180" s="5">
        <f t="shared" si="143"/>
        <v>19.473749999999999</v>
      </c>
      <c r="BO180" s="54">
        <f>_xll.Bimoment(BH180,AY180,AC180,AD180,$O$101)</f>
        <v>-8.4354726273161754E-4</v>
      </c>
      <c r="BP180" s="5">
        <f t="shared" si="144"/>
        <v>0.45620689655172403</v>
      </c>
      <c r="BQ180" s="5">
        <f t="shared" si="145"/>
        <v>13.264615088621486</v>
      </c>
      <c r="BR180" s="24" t="str">
        <f t="shared" si="146"/>
        <v>Cal</v>
      </c>
      <c r="BS180" s="25">
        <f t="shared" si="147"/>
        <v>4.1284746141198689E-2</v>
      </c>
      <c r="BT180" s="25" t="str">
        <f t="shared" si="148"/>
        <v>CT.105</v>
      </c>
      <c r="BU180" s="25">
        <f t="shared" si="149"/>
        <v>1</v>
      </c>
      <c r="BV180" s="25" cm="1">
        <f t="array" ref="BV180">IF(BT180="CT.104",_xll.TCVN5575AnnexEHeSoCx(1,BP180),1)</f>
        <v>1</v>
      </c>
      <c r="BW180" s="25">
        <f t="shared" si="150"/>
        <v>1</v>
      </c>
      <c r="BX180" s="25">
        <f t="shared" si="151"/>
        <v>4.3457627517051248E-2</v>
      </c>
      <c r="BY180" s="25">
        <f t="shared" si="152"/>
        <v>0.4644130555804184</v>
      </c>
      <c r="BZ180" s="25">
        <f t="shared" si="153"/>
        <v>1.7193044601603169E-5</v>
      </c>
      <c r="CA180" s="25">
        <f t="shared" si="154"/>
        <v>1.9792587536093558E-5</v>
      </c>
      <c r="CB180" s="25">
        <f t="shared" si="155"/>
        <v>0.50790766872960724</v>
      </c>
      <c r="CC180" s="5" t="str">
        <f t="shared" si="156"/>
        <v>OK</v>
      </c>
      <c r="CD180" s="5">
        <f t="shared" si="157"/>
        <v>51.836555160202302</v>
      </c>
      <c r="CE180" s="5">
        <f t="shared" si="158"/>
        <v>33.414125690541383</v>
      </c>
      <c r="CF180" s="5">
        <f t="shared" si="159"/>
        <v>1.7266865002204341</v>
      </c>
      <c r="CG180" s="5">
        <f t="shared" si="160"/>
        <v>1.1130315193248546</v>
      </c>
      <c r="CH180" s="5">
        <f t="shared" si="161"/>
        <v>10.686571773808843</v>
      </c>
      <c r="CI180" s="68">
        <f>_xll.DCETCVN5575PhuLucD2Eta(BP180,CH180,CF180)</f>
        <v>1.2412413793103447</v>
      </c>
      <c r="CJ180" s="5">
        <f t="shared" si="162"/>
        <v>13.264615088621486</v>
      </c>
      <c r="CK180" s="5">
        <f>MIN(noisuy2chieu(CJ180,CF180,Data!$DA$2:$EB$24),1)</f>
        <v>0.10191512107849121</v>
      </c>
      <c r="CL180" s="102">
        <f t="shared" si="163"/>
        <v>0.42641000724104339</v>
      </c>
      <c r="CM180" s="5" t="str">
        <f t="shared" si="164"/>
        <v>OK</v>
      </c>
      <c r="CN180" s="5">
        <f t="shared" si="165"/>
        <v>0.88472625978979058</v>
      </c>
      <c r="CO180" s="5">
        <f t="shared" si="166"/>
        <v>0.5370345235716667</v>
      </c>
      <c r="CP180" s="25">
        <f>_xll.DCETCVNPhuLucFHeSoOnDinh(1, 0.2, AG180, AH180, AI180, AJ180, AI180, AJ180, $D$28)</f>
        <v>1</v>
      </c>
      <c r="CQ180" s="68">
        <f t="shared" si="167"/>
        <v>0.9</v>
      </c>
      <c r="CR180" s="68">
        <f t="shared" si="168"/>
        <v>1</v>
      </c>
      <c r="CS180" s="5">
        <f t="shared" si="169"/>
        <v>0.18181818181818182</v>
      </c>
      <c r="CT180" s="5">
        <f t="shared" si="170"/>
        <v>0.10155106457844131</v>
      </c>
      <c r="CU180" s="26">
        <f t="shared" si="171"/>
        <v>10.723703690491307</v>
      </c>
      <c r="CV180" s="5"/>
      <c r="CW180" s="25"/>
      <c r="CX180" s="72">
        <f>MAX(_xll.Dce_c_925(CU180, CQ180, CR180, CN180, CP180, CS180, CT180),0.3)</f>
        <v>0.3</v>
      </c>
      <c r="CY180" s="102">
        <f t="shared" si="172"/>
        <v>0.16373285723946865</v>
      </c>
      <c r="CZ180" s="5" t="str">
        <f t="shared" si="173"/>
        <v>OK</v>
      </c>
      <c r="DA180" s="47">
        <f t="shared" si="174"/>
        <v>0.34499859601035404</v>
      </c>
      <c r="DB180" s="46">
        <f t="shared" si="175"/>
        <v>0.47130315193248545</v>
      </c>
      <c r="DC180" s="5" t="str">
        <f t="shared" si="176"/>
        <v>OK</v>
      </c>
      <c r="DD180" s="5">
        <f t="shared" si="177"/>
        <v>1.7266865002204341</v>
      </c>
      <c r="DE180" s="5">
        <f t="shared" si="178"/>
        <v>3.0666541867587034</v>
      </c>
      <c r="DF180" s="5" t="str">
        <f t="shared" si="179"/>
        <v>-</v>
      </c>
      <c r="DG180" s="5" t="str">
        <f t="shared" si="180"/>
        <v>-</v>
      </c>
      <c r="DH180" s="203">
        <f t="shared" si="181"/>
        <v>51.836555160202302</v>
      </c>
      <c r="DI180" s="203">
        <f t="shared" si="182"/>
        <v>180</v>
      </c>
      <c r="DJ180" s="46">
        <f t="shared" si="183"/>
        <v>0.28798086200112388</v>
      </c>
      <c r="DK180" s="5" t="str">
        <f t="shared" si="184"/>
        <v>OK</v>
      </c>
      <c r="EB180" s="18"/>
      <c r="EC180" s="77"/>
      <c r="ED180" s="77"/>
      <c r="EE180" s="18"/>
      <c r="EF180" s="18"/>
      <c r="EG180" s="18"/>
      <c r="EH180" s="5"/>
      <c r="EI180" s="5"/>
      <c r="EJ180" s="5"/>
      <c r="EK180" s="5"/>
      <c r="EL180" s="5"/>
      <c r="FE180" s="26"/>
      <c r="FF180" s="26"/>
      <c r="FG180" s="26"/>
      <c r="FH180" s="26"/>
      <c r="FI180" s="26"/>
      <c r="FJ180" s="26"/>
      <c r="FK180" s="26"/>
      <c r="FL180" s="26"/>
      <c r="FM180" s="26"/>
      <c r="FN180" s="205"/>
      <c r="FO180" s="205"/>
      <c r="FP180" s="205"/>
      <c r="FQ180" s="205"/>
      <c r="FR180" s="205"/>
      <c r="FS180" s="205"/>
      <c r="FT180" s="205"/>
      <c r="FU180" s="77"/>
      <c r="FV180" s="77"/>
      <c r="FW180" s="77"/>
      <c r="FX180" s="205"/>
      <c r="FY180" s="205"/>
      <c r="FZ180" s="205"/>
      <c r="GA180" s="205"/>
      <c r="GB180" s="205"/>
      <c r="GC180" s="205"/>
      <c r="GD180" s="205"/>
      <c r="GE180" s="205"/>
      <c r="GF180" s="205"/>
      <c r="GG180" s="205"/>
      <c r="GH180" s="205"/>
      <c r="GI180" s="205"/>
      <c r="GJ180" s="205"/>
      <c r="GK180" s="205"/>
      <c r="GL180" s="205"/>
      <c r="GM180" s="205"/>
      <c r="GN180" s="205"/>
      <c r="GO180" s="205"/>
      <c r="GP180" s="205"/>
      <c r="GQ180" s="205"/>
      <c r="GR180" s="205"/>
      <c r="GS180" s="205"/>
      <c r="GT180" s="205"/>
      <c r="GU180" s="205"/>
      <c r="GV180" s="18"/>
      <c r="GW180" s="5"/>
      <c r="GX180" s="5"/>
      <c r="GY180" s="77"/>
      <c r="GZ180" s="18"/>
      <c r="HA180" s="18"/>
      <c r="HB180" s="18"/>
      <c r="HC180" s="18"/>
      <c r="HD180" s="18"/>
      <c r="HE180" s="18"/>
      <c r="HF180" s="18"/>
      <c r="HG180" s="18"/>
      <c r="HH180" s="205"/>
      <c r="HI180" s="26"/>
      <c r="HJ180" s="26"/>
      <c r="HK180" s="5"/>
    </row>
    <row r="181" spans="27:219">
      <c r="AA181" s="18" t="s">
        <v>488</v>
      </c>
      <c r="AB181" s="22" t="s">
        <v>491</v>
      </c>
      <c r="AC181" s="59">
        <v>7.2811904761904795</v>
      </c>
      <c r="AD181" s="59">
        <v>8.6549999999999994</v>
      </c>
      <c r="AE181" s="22">
        <v>528</v>
      </c>
      <c r="AF181" s="22">
        <v>1528</v>
      </c>
      <c r="AG181" s="22">
        <v>1369.2698412698419</v>
      </c>
      <c r="AH181" s="6">
        <v>10</v>
      </c>
      <c r="AI181" s="6">
        <v>300</v>
      </c>
      <c r="AJ181" s="6">
        <v>14</v>
      </c>
      <c r="AK181" s="24">
        <v>300</v>
      </c>
      <c r="AL181" s="24">
        <v>14</v>
      </c>
      <c r="AM181" s="5">
        <f t="shared" si="129"/>
        <v>1341.2698412698419</v>
      </c>
      <c r="AN181" s="26">
        <f t="shared" si="130"/>
        <v>218.12698412698418</v>
      </c>
      <c r="AO181" s="26">
        <f t="shared" si="131"/>
        <v>586811.79072745051</v>
      </c>
      <c r="AP181" s="15">
        <f t="shared" si="132"/>
        <v>6311.1772486772488</v>
      </c>
      <c r="AQ181" s="5">
        <f t="shared" si="133"/>
        <v>8571.1635945074104</v>
      </c>
      <c r="AR181" s="26">
        <f t="shared" si="134"/>
        <v>420.74514991181661</v>
      </c>
      <c r="AS181" s="26">
        <f t="shared" si="135"/>
        <v>5094.8226505417015</v>
      </c>
      <c r="AT181" s="26">
        <f t="shared" si="136"/>
        <v>51.867428670398397</v>
      </c>
      <c r="AU181" s="26">
        <f t="shared" si="137"/>
        <v>5.3789869588463937</v>
      </c>
      <c r="AV181" s="95">
        <f t="shared" si="138"/>
        <v>1.0005566137566139E-6</v>
      </c>
      <c r="AW181" s="95">
        <f t="shared" si="139"/>
        <v>28928912.396825422</v>
      </c>
      <c r="AX181" s="95">
        <f t="shared" si="140"/>
        <v>2.8928912396825422E-5</v>
      </c>
      <c r="AY181" s="54">
        <f t="shared" si="141"/>
        <v>0.11516876660535029</v>
      </c>
      <c r="AZ181" s="54" t="str">
        <f>_xll.Dce_Name_SectI(AE181,AF181,AI181,AH181,AJ181,"x","-",$O$11)</f>
        <v>(528-1528)x300x10x14</v>
      </c>
      <c r="BA181" s="15">
        <f t="shared" si="142"/>
        <v>1016.4523809523813</v>
      </c>
      <c r="BB181" s="54"/>
      <c r="BC181" s="54"/>
      <c r="BD181" s="22" t="s">
        <v>492</v>
      </c>
      <c r="BE181" s="23">
        <v>-159.69934883892392</v>
      </c>
      <c r="BF181" s="23">
        <v>-146.00761887618205</v>
      </c>
      <c r="BG181" s="23">
        <v>4.3227573965313245E-4</v>
      </c>
      <c r="BH181" s="23">
        <v>1.0968454318646238E-4</v>
      </c>
      <c r="BI181" s="23">
        <v>-3.1473623265495946E-3</v>
      </c>
      <c r="BJ181" s="23">
        <v>1060.2626858609233</v>
      </c>
      <c r="BK181" s="23">
        <v>530.13134293046164</v>
      </c>
      <c r="BL181" s="92">
        <v>2.25</v>
      </c>
      <c r="BM181" s="91">
        <v>2</v>
      </c>
      <c r="BN181" s="5">
        <f t="shared" si="143"/>
        <v>19.473749999999999</v>
      </c>
      <c r="BO181" s="54">
        <f>_xll.Bimoment(BH181,AY181,AC181,AD181,$O$101)</f>
        <v>-5.0177063464648859E-4</v>
      </c>
      <c r="BP181" s="5">
        <f t="shared" si="144"/>
        <v>0.31313609467455605</v>
      </c>
      <c r="BQ181" s="5">
        <f t="shared" si="145"/>
        <v>20.488362747257327</v>
      </c>
      <c r="BR181" s="24" t="str">
        <f t="shared" si="146"/>
        <v>Cal</v>
      </c>
      <c r="BS181" s="25">
        <f t="shared" si="147"/>
        <v>3.2031096655311016E-2</v>
      </c>
      <c r="BT181" s="25" t="str">
        <f t="shared" si="148"/>
        <v>CT.105</v>
      </c>
      <c r="BU181" s="25">
        <f t="shared" si="149"/>
        <v>1</v>
      </c>
      <c r="BV181" s="25" cm="1">
        <f t="array" ref="BV181">IF(BT181="CT.104",_xll.TCVN5575AnnexEHeSoCx(1,BP181),1)</f>
        <v>1</v>
      </c>
      <c r="BW181" s="25">
        <f t="shared" si="150"/>
        <v>1</v>
      </c>
      <c r="BX181" s="25">
        <f t="shared" si="151"/>
        <v>3.3716943847695809E-2</v>
      </c>
      <c r="BY181" s="25">
        <f t="shared" si="152"/>
        <v>0.5696762908614682</v>
      </c>
      <c r="BZ181" s="25">
        <f t="shared" si="153"/>
        <v>3.4449432798078797E-5</v>
      </c>
      <c r="CA181" s="25">
        <f t="shared" si="154"/>
        <v>8.1192258934585742E-6</v>
      </c>
      <c r="CB181" s="25">
        <f t="shared" si="155"/>
        <v>0.60343580336785563</v>
      </c>
      <c r="CC181" s="5" t="str">
        <f t="shared" si="156"/>
        <v>OK</v>
      </c>
      <c r="CD181" s="5">
        <f t="shared" si="157"/>
        <v>37.545238889226049</v>
      </c>
      <c r="CE181" s="5">
        <f t="shared" si="158"/>
        <v>37.181722419139881</v>
      </c>
      <c r="CF181" s="5">
        <f t="shared" si="159"/>
        <v>1.2506397644909562</v>
      </c>
      <c r="CG181" s="5">
        <f t="shared" si="160"/>
        <v>1.2385309547993069</v>
      </c>
      <c r="CH181" s="5">
        <f t="shared" si="161"/>
        <v>16.895846000597697</v>
      </c>
      <c r="CI181" s="68">
        <f>_xll.DCETCVN5575PhuLucD2Eta(BP181,CH181,CF181)</f>
        <v>1.2126272189349112</v>
      </c>
      <c r="CJ181" s="5">
        <f t="shared" si="162"/>
        <v>20.488362747257327</v>
      </c>
      <c r="CK181" s="5">
        <f>MIN(noisuy2chieu(CJ181,CF181,Data!$DA$2:$EB$24),1)</f>
        <v>7.1994885802268982E-2</v>
      </c>
      <c r="CL181" s="102">
        <f t="shared" si="163"/>
        <v>0.46832415208349687</v>
      </c>
      <c r="CM181" s="5" t="str">
        <f t="shared" si="164"/>
        <v>OK</v>
      </c>
      <c r="CN181" s="5">
        <f t="shared" si="165"/>
        <v>0.86643683692746631</v>
      </c>
      <c r="CO181" s="5">
        <f t="shared" si="166"/>
        <v>0.5370345235716667</v>
      </c>
      <c r="CP181" s="25">
        <f>_xll.DCETCVNPhuLucFHeSoOnDinh(1, 0.2, AG181, AH181, AI181, AJ181, AI181, AJ181, $D$28)</f>
        <v>1</v>
      </c>
      <c r="CQ181" s="68">
        <f t="shared" si="167"/>
        <v>0.9</v>
      </c>
      <c r="CR181" s="68">
        <f t="shared" si="168"/>
        <v>1</v>
      </c>
      <c r="CS181" s="5">
        <f t="shared" si="169"/>
        <v>0.18181818181818182</v>
      </c>
      <c r="CT181" s="5">
        <f t="shared" si="170"/>
        <v>0.10347287704587492</v>
      </c>
      <c r="CU181" s="26">
        <f t="shared" si="171"/>
        <v>8.4479230002988484</v>
      </c>
      <c r="CV181" s="5"/>
      <c r="CW181" s="25"/>
      <c r="CX181" s="72">
        <f>MAX(_xll.Dce_c_925(CU181, CQ181, CR181, CN181, CP181, CS181, CT181),0.3)</f>
        <v>0.3</v>
      </c>
      <c r="CY181" s="102">
        <f t="shared" si="172"/>
        <v>0.1297149521299282</v>
      </c>
      <c r="CZ181" s="5" t="str">
        <f t="shared" si="173"/>
        <v>OK</v>
      </c>
      <c r="DA181" s="47">
        <f t="shared" si="174"/>
        <v>0.34499859601035404</v>
      </c>
      <c r="DB181" s="46">
        <f t="shared" si="175"/>
        <v>0.48385309547993066</v>
      </c>
      <c r="DC181" s="5" t="str">
        <f t="shared" si="176"/>
        <v>OK</v>
      </c>
      <c r="DD181" s="5">
        <f t="shared" si="177"/>
        <v>1.2506397644909562</v>
      </c>
      <c r="DE181" s="5">
        <f t="shared" si="178"/>
        <v>4.4677979100191463</v>
      </c>
      <c r="DF181" s="5" t="str">
        <f t="shared" si="179"/>
        <v>-</v>
      </c>
      <c r="DG181" s="5" t="str">
        <f t="shared" si="180"/>
        <v>-</v>
      </c>
      <c r="DH181" s="203">
        <f t="shared" si="181"/>
        <v>37.545238889226049</v>
      </c>
      <c r="DI181" s="203">
        <f t="shared" si="182"/>
        <v>180</v>
      </c>
      <c r="DJ181" s="46">
        <f t="shared" si="183"/>
        <v>0.20858466049570026</v>
      </c>
      <c r="DK181" s="5" t="str">
        <f t="shared" si="184"/>
        <v>OK</v>
      </c>
      <c r="EB181" s="18"/>
      <c r="EC181" s="77"/>
      <c r="ED181" s="77"/>
      <c r="EE181" s="18"/>
      <c r="EF181" s="18"/>
      <c r="EG181" s="18"/>
      <c r="EH181" s="5"/>
      <c r="EI181" s="5"/>
      <c r="EJ181" s="5"/>
      <c r="EK181" s="5"/>
      <c r="EL181" s="5"/>
      <c r="FE181" s="26"/>
      <c r="FF181" s="26"/>
      <c r="FG181" s="26"/>
      <c r="FH181" s="26"/>
      <c r="FI181" s="26"/>
      <c r="FJ181" s="26"/>
      <c r="FK181" s="26"/>
      <c r="FL181" s="26"/>
      <c r="FM181" s="26"/>
      <c r="FN181" s="205"/>
      <c r="FO181" s="205"/>
      <c r="FP181" s="205"/>
      <c r="FQ181" s="205"/>
      <c r="FR181" s="205"/>
      <c r="FS181" s="205"/>
      <c r="FT181" s="205"/>
      <c r="FU181" s="77"/>
      <c r="FV181" s="77"/>
      <c r="FW181" s="77"/>
      <c r="FX181" s="205"/>
      <c r="FY181" s="205"/>
      <c r="FZ181" s="205"/>
      <c r="GA181" s="205"/>
      <c r="GB181" s="205"/>
      <c r="GC181" s="205"/>
      <c r="GD181" s="205"/>
      <c r="GE181" s="205"/>
      <c r="GF181" s="205"/>
      <c r="GG181" s="205"/>
      <c r="GH181" s="205"/>
      <c r="GI181" s="205"/>
      <c r="GJ181" s="205"/>
      <c r="GK181" s="205"/>
      <c r="GL181" s="205"/>
      <c r="GM181" s="205"/>
      <c r="GN181" s="205"/>
      <c r="GO181" s="205"/>
      <c r="GP181" s="205"/>
      <c r="GQ181" s="205"/>
      <c r="GR181" s="205"/>
      <c r="GS181" s="205"/>
      <c r="GT181" s="205"/>
      <c r="GU181" s="205"/>
      <c r="GV181" s="18"/>
      <c r="GW181" s="5"/>
      <c r="GX181" s="5"/>
      <c r="GY181" s="77"/>
      <c r="GZ181" s="18"/>
      <c r="HA181" s="18"/>
      <c r="HB181" s="18"/>
      <c r="HC181" s="18"/>
      <c r="HD181" s="18"/>
      <c r="HE181" s="18"/>
      <c r="HF181" s="18"/>
      <c r="HG181" s="18"/>
      <c r="HH181" s="205"/>
      <c r="HI181" s="26"/>
      <c r="HJ181" s="26"/>
      <c r="HK181" s="5"/>
    </row>
    <row r="182" spans="27:219">
      <c r="AA182" s="18" t="s">
        <v>488</v>
      </c>
      <c r="AB182" s="22" t="s">
        <v>491</v>
      </c>
      <c r="AC182" s="59">
        <v>0</v>
      </c>
      <c r="AD182" s="59">
        <v>8.6549999999999994</v>
      </c>
      <c r="AE182" s="22">
        <v>528</v>
      </c>
      <c r="AF182" s="22">
        <v>1528</v>
      </c>
      <c r="AG182" s="22">
        <v>528</v>
      </c>
      <c r="AH182" s="6">
        <v>10</v>
      </c>
      <c r="AI182" s="6">
        <v>300</v>
      </c>
      <c r="AJ182" s="6">
        <v>14</v>
      </c>
      <c r="AK182" s="24">
        <v>300</v>
      </c>
      <c r="AL182" s="24">
        <v>14</v>
      </c>
      <c r="AM182" s="5">
        <f t="shared" si="129"/>
        <v>500</v>
      </c>
      <c r="AN182" s="26">
        <f t="shared" si="130"/>
        <v>134</v>
      </c>
      <c r="AO182" s="26">
        <f t="shared" si="131"/>
        <v>65911.546666666676</v>
      </c>
      <c r="AP182" s="15">
        <f t="shared" si="132"/>
        <v>6304.166666666667</v>
      </c>
      <c r="AQ182" s="5">
        <f t="shared" si="133"/>
        <v>2496.6494949494954</v>
      </c>
      <c r="AR182" s="26">
        <f t="shared" si="134"/>
        <v>420.27777777777777</v>
      </c>
      <c r="AS182" s="26">
        <f t="shared" si="135"/>
        <v>1391.9</v>
      </c>
      <c r="AT182" s="26">
        <f t="shared" si="136"/>
        <v>22.178305028345793</v>
      </c>
      <c r="AU182" s="26">
        <f t="shared" si="137"/>
        <v>6.8590101254115021</v>
      </c>
      <c r="AV182" s="95">
        <f t="shared" si="138"/>
        <v>7.201333333333334E-7</v>
      </c>
      <c r="AW182" s="95">
        <f t="shared" si="139"/>
        <v>4161087</v>
      </c>
      <c r="AX182" s="95">
        <f t="shared" si="140"/>
        <v>4.1610870000000001E-6</v>
      </c>
      <c r="AY182" s="54">
        <f t="shared" si="141"/>
        <v>0.25762202780669918</v>
      </c>
      <c r="AZ182" s="54" t="str">
        <f>_xll.Dce_Name_SectI(AE182,AF182,AI182,AH182,AJ182,"x","-",$O$11)</f>
        <v>(528-1528)x300x10x14</v>
      </c>
      <c r="BA182" s="15">
        <f t="shared" si="142"/>
        <v>385.5</v>
      </c>
      <c r="BB182" s="54"/>
      <c r="BC182" s="54"/>
      <c r="BD182" s="22" t="s">
        <v>495</v>
      </c>
      <c r="BE182" s="23">
        <v>-276.84227449071324</v>
      </c>
      <c r="BF182" s="23">
        <v>-249.03287078998929</v>
      </c>
      <c r="BG182" s="23">
        <v>7.6484066492072615E-4</v>
      </c>
      <c r="BH182" s="23">
        <v>1.8786062939500119E-4</v>
      </c>
      <c r="BI182" s="23">
        <v>1.2900406191079231E-5</v>
      </c>
      <c r="BJ182" s="23">
        <v>-3.6280122818201903</v>
      </c>
      <c r="BK182" s="23">
        <v>908.24170704379048</v>
      </c>
      <c r="BL182" s="92">
        <v>2.25</v>
      </c>
      <c r="BM182" s="91">
        <v>2</v>
      </c>
      <c r="BN182" s="5">
        <f t="shared" si="143"/>
        <v>19.473749999999999</v>
      </c>
      <c r="BO182" s="54">
        <f>_xll.Bimoment(BH182,AY182,AC182,AD182,$O$101)</f>
        <v>0</v>
      </c>
      <c r="BP182" s="5">
        <f t="shared" si="144"/>
        <v>0.84</v>
      </c>
      <c r="BQ182" s="5">
        <f t="shared" si="145"/>
        <v>0.10668861402885052</v>
      </c>
      <c r="BR182" s="24" t="str">
        <f t="shared" si="146"/>
        <v>Cal</v>
      </c>
      <c r="BS182" s="25">
        <f t="shared" si="147"/>
        <v>9.0386936634094805E-2</v>
      </c>
      <c r="BT182" s="25" t="str">
        <f t="shared" si="148"/>
        <v>CT.105</v>
      </c>
      <c r="BU182" s="25">
        <f t="shared" si="149"/>
        <v>1</v>
      </c>
      <c r="BV182" s="25" cm="1">
        <f t="array" ref="BV182">IF(BT182="CT.104",_xll.TCVN5575AnnexEHeSoCx(1,BP182),1)</f>
        <v>1</v>
      </c>
      <c r="BW182" s="25">
        <f t="shared" si="150"/>
        <v>1</v>
      </c>
      <c r="BX182" s="25">
        <f t="shared" si="151"/>
        <v>9.5144143825362959E-2</v>
      </c>
      <c r="BY182" s="25">
        <f t="shared" si="152"/>
        <v>6.6921493512224562E-3</v>
      </c>
      <c r="BZ182" s="25">
        <f t="shared" si="153"/>
        <v>1.4135833131074401E-7</v>
      </c>
      <c r="CA182" s="25">
        <f t="shared" si="154"/>
        <v>0</v>
      </c>
      <c r="CB182" s="25">
        <f t="shared" si="155"/>
        <v>0.10183643453491673</v>
      </c>
      <c r="CC182" s="5" t="str">
        <f t="shared" si="156"/>
        <v>OK</v>
      </c>
      <c r="CD182" s="5">
        <f t="shared" si="157"/>
        <v>87.805402509844015</v>
      </c>
      <c r="CE182" s="5">
        <f t="shared" si="158"/>
        <v>29.158726455153193</v>
      </c>
      <c r="CF182" s="5">
        <f t="shared" si="159"/>
        <v>2.9248163326364334</v>
      </c>
      <c r="CG182" s="5">
        <f t="shared" si="160"/>
        <v>0.97128328026682387</v>
      </c>
      <c r="CH182" s="5">
        <f t="shared" si="161"/>
        <v>7.0336954878756325E-2</v>
      </c>
      <c r="CI182" s="68">
        <f>_xll.DCETCVN5575PhuLucD2Eta(BP182,CH182,CF182)</f>
        <v>1.5168216226129714</v>
      </c>
      <c r="CJ182" s="5">
        <f t="shared" si="162"/>
        <v>0.10668861402885052</v>
      </c>
      <c r="CK182" s="5">
        <f>MIN(noisuy2chieu(CJ182,CF182,Data!$DA$2:$EB$24),1)</f>
        <v>0.67515617609024048</v>
      </c>
      <c r="CL182" s="102">
        <f t="shared" si="163"/>
        <v>0.14092168181935749</v>
      </c>
      <c r="CM182" s="5" t="str">
        <f t="shared" si="164"/>
        <v>OK</v>
      </c>
      <c r="CN182" s="5">
        <f t="shared" si="165"/>
        <v>0.90492218941026858</v>
      </c>
      <c r="CO182" s="5">
        <f t="shared" si="166"/>
        <v>0.5370345235716667</v>
      </c>
      <c r="CP182" s="25">
        <f>_xll.DCETCVNPhuLucFHeSoOnDinh(1, 0.2, AG182, AH182, AI182, AJ182, AI182, AJ182, $D$28)</f>
        <v>1</v>
      </c>
      <c r="CQ182" s="68">
        <f t="shared" si="167"/>
        <v>0.9</v>
      </c>
      <c r="CR182" s="68">
        <f t="shared" si="168"/>
        <v>1</v>
      </c>
      <c r="CS182" s="5">
        <f t="shared" si="169"/>
        <v>0.18181818181818182</v>
      </c>
      <c r="CT182" s="5">
        <f t="shared" si="170"/>
        <v>9.9510191986788829E-2</v>
      </c>
      <c r="CU182" s="26">
        <f t="shared" si="171"/>
        <v>17.608252399656521</v>
      </c>
      <c r="CV182" s="5"/>
      <c r="CW182" s="25"/>
      <c r="CX182" s="72">
        <f>MAX(_xll.Dce_c_925(CU182, CQ182, CR182, CN182, CP182, CS182, CT182),0.3)</f>
        <v>0.3</v>
      </c>
      <c r="CY182" s="102">
        <f t="shared" si="172"/>
        <v>0.35046896826701285</v>
      </c>
      <c r="CZ182" s="5" t="str">
        <f t="shared" si="173"/>
        <v>OK</v>
      </c>
      <c r="DA182" s="47">
        <f t="shared" si="174"/>
        <v>0.34499859601035404</v>
      </c>
      <c r="DB182" s="46">
        <f t="shared" si="175"/>
        <v>0.45712832802668235</v>
      </c>
      <c r="DC182" s="5" t="str">
        <f t="shared" si="176"/>
        <v>OK</v>
      </c>
      <c r="DD182" s="5">
        <f t="shared" si="177"/>
        <v>2.9248163326364334</v>
      </c>
      <c r="DE182" s="5">
        <f t="shared" si="178"/>
        <v>1.6655104634982609</v>
      </c>
      <c r="DF182" s="5" t="str">
        <f t="shared" si="179"/>
        <v>-</v>
      </c>
      <c r="DG182" s="5" t="str">
        <f t="shared" si="180"/>
        <v>-</v>
      </c>
      <c r="DH182" s="203" t="str">
        <f t="shared" si="181"/>
        <v>-</v>
      </c>
      <c r="DI182" s="203">
        <f t="shared" si="182"/>
        <v>180</v>
      </c>
      <c r="DJ182" s="46">
        <f t="shared" si="183"/>
        <v>0</v>
      </c>
      <c r="DK182" s="5" t="str">
        <f t="shared" si="184"/>
        <v>OK</v>
      </c>
      <c r="EB182" s="18"/>
      <c r="EC182" s="77"/>
      <c r="ED182" s="77"/>
      <c r="EE182" s="18"/>
      <c r="EF182" s="18"/>
      <c r="EG182" s="18"/>
      <c r="EH182" s="5"/>
      <c r="EI182" s="5"/>
      <c r="EJ182" s="5"/>
      <c r="EK182" s="5"/>
      <c r="EL182" s="5"/>
      <c r="FE182" s="26"/>
      <c r="FF182" s="26"/>
      <c r="FG182" s="26"/>
      <c r="FH182" s="26"/>
      <c r="FI182" s="26"/>
      <c r="FJ182" s="26"/>
      <c r="FK182" s="26"/>
      <c r="FL182" s="26"/>
      <c r="FM182" s="26"/>
      <c r="FN182" s="205"/>
      <c r="FO182" s="205"/>
      <c r="FP182" s="205"/>
      <c r="FQ182" s="205"/>
      <c r="FR182" s="205"/>
      <c r="FS182" s="205"/>
      <c r="FT182" s="205"/>
      <c r="FU182" s="77"/>
      <c r="FV182" s="77"/>
      <c r="FW182" s="77"/>
      <c r="FX182" s="205"/>
      <c r="FY182" s="205"/>
      <c r="FZ182" s="205"/>
      <c r="GA182" s="205"/>
      <c r="GB182" s="205"/>
      <c r="GC182" s="205"/>
      <c r="GD182" s="205"/>
      <c r="GE182" s="205"/>
      <c r="GF182" s="205"/>
      <c r="GG182" s="205"/>
      <c r="GH182" s="205"/>
      <c r="GI182" s="205"/>
      <c r="GJ182" s="205"/>
      <c r="GK182" s="205"/>
      <c r="GL182" s="205"/>
      <c r="GM182" s="205"/>
      <c r="GN182" s="205"/>
      <c r="GO182" s="205"/>
      <c r="GP182" s="205"/>
      <c r="GQ182" s="205"/>
      <c r="GR182" s="205"/>
      <c r="GS182" s="205"/>
      <c r="GT182" s="205"/>
      <c r="GU182" s="205"/>
      <c r="GV182" s="18"/>
      <c r="GW182" s="5"/>
      <c r="GX182" s="5"/>
      <c r="GY182" s="77"/>
      <c r="GZ182" s="18"/>
      <c r="HA182" s="18"/>
      <c r="HB182" s="18"/>
      <c r="HC182" s="18"/>
      <c r="HD182" s="18"/>
      <c r="HE182" s="18"/>
      <c r="HF182" s="18"/>
      <c r="HG182" s="18"/>
      <c r="HH182" s="205"/>
      <c r="HI182" s="26"/>
      <c r="HJ182" s="26"/>
      <c r="HK182" s="5"/>
    </row>
    <row r="183" spans="27:219">
      <c r="AA183" s="18" t="s">
        <v>488</v>
      </c>
      <c r="AB183" s="22" t="s">
        <v>491</v>
      </c>
      <c r="AC183" s="59">
        <v>3.6405952380952398</v>
      </c>
      <c r="AD183" s="59">
        <v>8.6549999999999994</v>
      </c>
      <c r="AE183" s="22">
        <v>528</v>
      </c>
      <c r="AF183" s="22">
        <v>1528</v>
      </c>
      <c r="AG183" s="22">
        <v>948.63492063492095</v>
      </c>
      <c r="AH183" s="6">
        <v>10</v>
      </c>
      <c r="AI183" s="6">
        <v>300</v>
      </c>
      <c r="AJ183" s="6">
        <v>14</v>
      </c>
      <c r="AK183" s="24">
        <v>300</v>
      </c>
      <c r="AL183" s="24">
        <v>14</v>
      </c>
      <c r="AM183" s="5">
        <f t="shared" si="129"/>
        <v>920.63492063492095</v>
      </c>
      <c r="AN183" s="26">
        <f t="shared" si="130"/>
        <v>176.06349206349208</v>
      </c>
      <c r="AO183" s="26">
        <f t="shared" si="131"/>
        <v>248482.7399356656</v>
      </c>
      <c r="AP183" s="15">
        <f t="shared" si="132"/>
        <v>6307.6719576719579</v>
      </c>
      <c r="AQ183" s="5">
        <f t="shared" si="133"/>
        <v>5238.7432621467533</v>
      </c>
      <c r="AR183" s="26">
        <f t="shared" si="134"/>
        <v>420.51146384479722</v>
      </c>
      <c r="AS183" s="26">
        <f t="shared" si="135"/>
        <v>3022.1941546989178</v>
      </c>
      <c r="AT183" s="26">
        <f t="shared" si="136"/>
        <v>37.567600585756203</v>
      </c>
      <c r="AU183" s="26">
        <f t="shared" si="137"/>
        <v>5.9854925384629922</v>
      </c>
      <c r="AV183" s="95">
        <f t="shared" si="138"/>
        <v>8.6034497354497351E-7</v>
      </c>
      <c r="AW183" s="95">
        <f t="shared" si="139"/>
        <v>13758293.349206358</v>
      </c>
      <c r="AX183" s="95">
        <f t="shared" si="140"/>
        <v>1.3758293349206359E-5</v>
      </c>
      <c r="AY183" s="54">
        <f t="shared" si="141"/>
        <v>0.1548581140202015</v>
      </c>
      <c r="AZ183" s="54" t="str">
        <f>_xll.Dce_Name_SectI(AE183,AF183,AI183,AH183,AJ183,"x","-",$O$11)</f>
        <v>(528-1528)x300x10x14</v>
      </c>
      <c r="BA183" s="15">
        <f t="shared" si="142"/>
        <v>700.97619047619071</v>
      </c>
      <c r="BB183" s="54"/>
      <c r="BC183" s="54"/>
      <c r="BD183" s="22" t="s">
        <v>495</v>
      </c>
      <c r="BE183" s="23">
        <v>-271.94050880414738</v>
      </c>
      <c r="BF183" s="23">
        <v>-249.36947547727183</v>
      </c>
      <c r="BG183" s="23">
        <v>7.6484066492070544E-4</v>
      </c>
      <c r="BH183" s="23">
        <v>1.8786062939500119E-4</v>
      </c>
      <c r="BI183" s="23">
        <v>-2.7781323645134698E-3</v>
      </c>
      <c r="BJ183" s="23">
        <v>905.71697060787812</v>
      </c>
      <c r="BK183" s="23">
        <v>908.24170704379048</v>
      </c>
      <c r="BL183" s="92">
        <v>2.25</v>
      </c>
      <c r="BM183" s="91">
        <v>2</v>
      </c>
      <c r="BN183" s="5">
        <f t="shared" si="143"/>
        <v>19.473749999999999</v>
      </c>
      <c r="BO183" s="54">
        <f>_xll.Bimoment(BH183,AY183,AC183,AD183,$O$101)</f>
        <v>-1.4447734849184373E-3</v>
      </c>
      <c r="BP183" s="5">
        <f t="shared" si="144"/>
        <v>0.45620689655172403</v>
      </c>
      <c r="BQ183" s="5">
        <f t="shared" si="145"/>
        <v>13.893671969145911</v>
      </c>
      <c r="BR183" s="24" t="str">
        <f t="shared" si="146"/>
        <v>Cal</v>
      </c>
      <c r="BS183" s="25">
        <f t="shared" si="147"/>
        <v>6.7574470554582683E-2</v>
      </c>
      <c r="BT183" s="25" t="str">
        <f t="shared" si="148"/>
        <v>CT.105</v>
      </c>
      <c r="BU183" s="25">
        <f t="shared" si="149"/>
        <v>1</v>
      </c>
      <c r="BV183" s="25" cm="1">
        <f t="array" ref="BV183">IF(BT183="CT.104",_xll.TCVN5575AnnexEHeSoCx(1,BP183),1)</f>
        <v>1</v>
      </c>
      <c r="BW183" s="25">
        <f t="shared" si="150"/>
        <v>1</v>
      </c>
      <c r="BX183" s="25">
        <f t="shared" si="151"/>
        <v>7.1131021636402836E-2</v>
      </c>
      <c r="BY183" s="25">
        <f t="shared" si="152"/>
        <v>0.79619572624585089</v>
      </c>
      <c r="BZ183" s="25">
        <f t="shared" si="153"/>
        <v>3.0424927085390731E-5</v>
      </c>
      <c r="CA183" s="25">
        <f t="shared" si="154"/>
        <v>3.3899470644329676E-5</v>
      </c>
      <c r="CB183" s="25">
        <f t="shared" si="155"/>
        <v>0.86739107227998347</v>
      </c>
      <c r="CC183" s="5" t="str">
        <f t="shared" si="156"/>
        <v>OK</v>
      </c>
      <c r="CD183" s="5">
        <f t="shared" si="157"/>
        <v>51.836555160202302</v>
      </c>
      <c r="CE183" s="5">
        <f t="shared" si="158"/>
        <v>33.414125690541383</v>
      </c>
      <c r="CF183" s="5">
        <f t="shared" si="159"/>
        <v>1.7266865002204341</v>
      </c>
      <c r="CG183" s="5">
        <f t="shared" si="160"/>
        <v>1.1130315193248546</v>
      </c>
      <c r="CH183" s="5">
        <f t="shared" si="161"/>
        <v>11.193368349406363</v>
      </c>
      <c r="CI183" s="68">
        <f>_xll.DCETCVN5575PhuLucD2Eta(BP183,CH183,CF183)</f>
        <v>1.2412413793103447</v>
      </c>
      <c r="CJ183" s="5">
        <f t="shared" si="162"/>
        <v>13.893671969145911</v>
      </c>
      <c r="CK183" s="5">
        <f>MIN(noisuy2chieu(CJ183,CF183,Data!$DA$2:$EB$24),1)</f>
        <v>9.7482383251190186E-2</v>
      </c>
      <c r="CL183" s="102">
        <f t="shared" si="163"/>
        <v>0.72968078194307351</v>
      </c>
      <c r="CM183" s="5" t="str">
        <f t="shared" si="164"/>
        <v>OK</v>
      </c>
      <c r="CN183" s="5">
        <f t="shared" si="165"/>
        <v>0.88472625978979058</v>
      </c>
      <c r="CO183" s="5">
        <f t="shared" si="166"/>
        <v>0.5370345235716667</v>
      </c>
      <c r="CP183" s="25">
        <f>_xll.DCETCVNPhuLucFHeSoOnDinh(1, 0.2, AG183, AH183, AI183, AJ183, AI183, AJ183, $D$28)</f>
        <v>1</v>
      </c>
      <c r="CQ183" s="68">
        <f t="shared" si="167"/>
        <v>0.9</v>
      </c>
      <c r="CR183" s="68">
        <f t="shared" si="168"/>
        <v>1</v>
      </c>
      <c r="CS183" s="5">
        <f t="shared" si="169"/>
        <v>0.18181818181818182</v>
      </c>
      <c r="CT183" s="5">
        <f t="shared" si="170"/>
        <v>0.10155106457844131</v>
      </c>
      <c r="CU183" s="26">
        <f t="shared" si="171"/>
        <v>11.224570486309426</v>
      </c>
      <c r="CV183" s="5"/>
      <c r="CW183" s="25"/>
      <c r="CX183" s="72">
        <f>MAX(_xll.Dce_c_925(CU183, CQ183, CR183, CN183, CP183, CS183, CT183),0.3)</f>
        <v>0.3</v>
      </c>
      <c r="CY183" s="102">
        <f t="shared" si="172"/>
        <v>0.26799634670164701</v>
      </c>
      <c r="CZ183" s="5" t="str">
        <f t="shared" si="173"/>
        <v>OK</v>
      </c>
      <c r="DA183" s="47">
        <f t="shared" si="174"/>
        <v>0.34499859601035404</v>
      </c>
      <c r="DB183" s="46">
        <f t="shared" si="175"/>
        <v>0.47130315193248545</v>
      </c>
      <c r="DC183" s="5" t="str">
        <f t="shared" si="176"/>
        <v>OK</v>
      </c>
      <c r="DD183" s="5">
        <f t="shared" si="177"/>
        <v>1.7266865002204341</v>
      </c>
      <c r="DE183" s="5">
        <f t="shared" si="178"/>
        <v>3.0666541867587034</v>
      </c>
      <c r="DF183" s="5" t="str">
        <f t="shared" si="179"/>
        <v>-</v>
      </c>
      <c r="DG183" s="5" t="str">
        <f t="shared" si="180"/>
        <v>-</v>
      </c>
      <c r="DH183" s="203">
        <f t="shared" si="181"/>
        <v>51.836555160202302</v>
      </c>
      <c r="DI183" s="203">
        <f t="shared" si="182"/>
        <v>166.21915308341559</v>
      </c>
      <c r="DJ183" s="46">
        <f t="shared" si="183"/>
        <v>0.31185669159431101</v>
      </c>
      <c r="DK183" s="5" t="str">
        <f t="shared" si="184"/>
        <v>OK</v>
      </c>
      <c r="EB183" s="18"/>
      <c r="EC183" s="77"/>
      <c r="ED183" s="77"/>
      <c r="EE183" s="18"/>
      <c r="EF183" s="18"/>
      <c r="EG183" s="18"/>
      <c r="EH183" s="5"/>
      <c r="EI183" s="5"/>
      <c r="EJ183" s="5"/>
      <c r="EK183" s="5"/>
      <c r="EL183" s="5"/>
      <c r="FE183" s="26"/>
      <c r="FF183" s="26"/>
      <c r="FG183" s="26"/>
      <c r="FH183" s="26"/>
      <c r="FI183" s="26"/>
      <c r="FJ183" s="26"/>
      <c r="FK183" s="26"/>
      <c r="FL183" s="26"/>
      <c r="FM183" s="26"/>
      <c r="FN183" s="205"/>
      <c r="FO183" s="205"/>
      <c r="FP183" s="205"/>
      <c r="FQ183" s="205"/>
      <c r="FR183" s="205"/>
      <c r="FS183" s="205"/>
      <c r="FT183" s="205"/>
      <c r="FU183" s="77"/>
      <c r="FV183" s="77"/>
      <c r="FW183" s="77"/>
      <c r="FX183" s="205"/>
      <c r="FY183" s="205"/>
      <c r="FZ183" s="205"/>
      <c r="GA183" s="205"/>
      <c r="GB183" s="205"/>
      <c r="GC183" s="205"/>
      <c r="GD183" s="205"/>
      <c r="GE183" s="205"/>
      <c r="GF183" s="205"/>
      <c r="GG183" s="205"/>
      <c r="GH183" s="205"/>
      <c r="GI183" s="205"/>
      <c r="GJ183" s="205"/>
      <c r="GK183" s="205"/>
      <c r="GL183" s="205"/>
      <c r="GM183" s="205"/>
      <c r="GN183" s="205"/>
      <c r="GO183" s="205"/>
      <c r="GP183" s="205"/>
      <c r="GQ183" s="205"/>
      <c r="GR183" s="205"/>
      <c r="GS183" s="205"/>
      <c r="GT183" s="205"/>
      <c r="GU183" s="205"/>
      <c r="GV183" s="18"/>
      <c r="GW183" s="5"/>
      <c r="GX183" s="5"/>
      <c r="GY183" s="77"/>
      <c r="GZ183" s="18"/>
      <c r="HA183" s="18"/>
      <c r="HB183" s="18"/>
      <c r="HC183" s="18"/>
      <c r="HD183" s="18"/>
      <c r="HE183" s="18"/>
      <c r="HF183" s="18"/>
      <c r="HG183" s="18"/>
      <c r="HH183" s="205"/>
      <c r="HI183" s="26"/>
      <c r="HJ183" s="26"/>
      <c r="HK183" s="5"/>
    </row>
    <row r="184" spans="27:219">
      <c r="AA184" s="18" t="s">
        <v>488</v>
      </c>
      <c r="AB184" s="22" t="s">
        <v>491</v>
      </c>
      <c r="AC184" s="59">
        <v>7.2811904761904795</v>
      </c>
      <c r="AD184" s="59">
        <v>8.6549999999999994</v>
      </c>
      <c r="AE184" s="22">
        <v>528</v>
      </c>
      <c r="AF184" s="22">
        <v>1528</v>
      </c>
      <c r="AG184" s="22">
        <v>1369.2698412698419</v>
      </c>
      <c r="AH184" s="6">
        <v>10</v>
      </c>
      <c r="AI184" s="6">
        <v>300</v>
      </c>
      <c r="AJ184" s="6">
        <v>14</v>
      </c>
      <c r="AK184" s="24">
        <v>300</v>
      </c>
      <c r="AL184" s="24">
        <v>14</v>
      </c>
      <c r="AM184" s="5">
        <f t="shared" si="129"/>
        <v>1341.2698412698419</v>
      </c>
      <c r="AN184" s="26">
        <f t="shared" si="130"/>
        <v>218.12698412698418</v>
      </c>
      <c r="AO184" s="26">
        <f t="shared" si="131"/>
        <v>586811.79072745051</v>
      </c>
      <c r="AP184" s="15">
        <f t="shared" si="132"/>
        <v>6311.1772486772488</v>
      </c>
      <c r="AQ184" s="5">
        <f t="shared" si="133"/>
        <v>8571.1635945074104</v>
      </c>
      <c r="AR184" s="26">
        <f t="shared" si="134"/>
        <v>420.74514991181661</v>
      </c>
      <c r="AS184" s="26">
        <f t="shared" si="135"/>
        <v>5094.8226505417015</v>
      </c>
      <c r="AT184" s="26">
        <f t="shared" si="136"/>
        <v>51.867428670398397</v>
      </c>
      <c r="AU184" s="26">
        <f t="shared" si="137"/>
        <v>5.3789869588463937</v>
      </c>
      <c r="AV184" s="95">
        <f t="shared" si="138"/>
        <v>1.0005566137566139E-6</v>
      </c>
      <c r="AW184" s="95">
        <f t="shared" si="139"/>
        <v>28928912.396825422</v>
      </c>
      <c r="AX184" s="95">
        <f t="shared" si="140"/>
        <v>2.8928912396825422E-5</v>
      </c>
      <c r="AY184" s="54">
        <f t="shared" si="141"/>
        <v>0.11516876660535029</v>
      </c>
      <c r="AZ184" s="54" t="str">
        <f>_xll.Dce_Name_SectI(AE184,AF184,AI184,AH184,AJ184,"x","-",$O$11)</f>
        <v>(528-1528)x300x10x14</v>
      </c>
      <c r="BA184" s="15">
        <f t="shared" si="142"/>
        <v>1016.4523809523813</v>
      </c>
      <c r="BB184" s="54"/>
      <c r="BC184" s="54"/>
      <c r="BD184" s="22" t="s">
        <v>495</v>
      </c>
      <c r="BE184" s="23">
        <v>-265.49730736708915</v>
      </c>
      <c r="BF184" s="23">
        <v>-249.8119306951464</v>
      </c>
      <c r="BG184" s="23">
        <v>7.6484066492067833E-4</v>
      </c>
      <c r="BH184" s="23">
        <v>1.8786062939500119E-4</v>
      </c>
      <c r="BI184" s="23">
        <v>-5.5691651352179315E-3</v>
      </c>
      <c r="BJ184" s="23">
        <v>1816.483414087581</v>
      </c>
      <c r="BK184" s="23">
        <v>908.24170704379048</v>
      </c>
      <c r="BL184" s="92">
        <v>2.25</v>
      </c>
      <c r="BM184" s="91">
        <v>2</v>
      </c>
      <c r="BN184" s="5">
        <f t="shared" si="143"/>
        <v>19.473749999999999</v>
      </c>
      <c r="BO184" s="54">
        <f>_xll.Bimoment(BH184,AY184,AC184,AD184,$O$101)</f>
        <v>-8.5940046334853843E-4</v>
      </c>
      <c r="BP184" s="5">
        <f t="shared" si="144"/>
        <v>0.31313609467455605</v>
      </c>
      <c r="BQ184" s="5">
        <f t="shared" si="145"/>
        <v>21.11388921758947</v>
      </c>
      <c r="BR184" s="24" t="str">
        <f t="shared" si="146"/>
        <v>Cal</v>
      </c>
      <c r="BS184" s="25">
        <f t="shared" si="147"/>
        <v>5.3251124540135308E-2</v>
      </c>
      <c r="BT184" s="25" t="str">
        <f t="shared" si="148"/>
        <v>CT.105</v>
      </c>
      <c r="BU184" s="25">
        <f t="shared" si="149"/>
        <v>1</v>
      </c>
      <c r="BV184" s="25" cm="1">
        <f t="array" ref="BV184">IF(BT184="CT.104",_xll.TCVN5575AnnexEHeSoCx(1,BP184),1)</f>
        <v>1</v>
      </c>
      <c r="BW184" s="25">
        <f t="shared" si="150"/>
        <v>1</v>
      </c>
      <c r="BX184" s="25">
        <f t="shared" si="151"/>
        <v>5.6053815305405583E-2</v>
      </c>
      <c r="BY184" s="25">
        <f t="shared" si="152"/>
        <v>0.97599165522696452</v>
      </c>
      <c r="BZ184" s="25">
        <f t="shared" si="153"/>
        <v>6.0957258860444194E-5</v>
      </c>
      <c r="CA184" s="25">
        <f t="shared" si="154"/>
        <v>1.3906087788070162E-5</v>
      </c>
      <c r="CB184" s="25">
        <f t="shared" si="155"/>
        <v>1.0321203338790186</v>
      </c>
      <c r="CC184" s="5" t="str">
        <f t="shared" si="156"/>
        <v>Check</v>
      </c>
      <c r="CD184" s="5">
        <f t="shared" si="157"/>
        <v>37.545238889226049</v>
      </c>
      <c r="CE184" s="5">
        <f t="shared" si="158"/>
        <v>37.181722419139881</v>
      </c>
      <c r="CF184" s="5">
        <f t="shared" si="159"/>
        <v>1.2506397644909562</v>
      </c>
      <c r="CG184" s="5">
        <f t="shared" si="160"/>
        <v>1.2385309547993069</v>
      </c>
      <c r="CH184" s="5">
        <f t="shared" si="161"/>
        <v>17.411689996645851</v>
      </c>
      <c r="CI184" s="68">
        <f>_xll.DCETCVN5575PhuLucD2Eta(BP184,CH184,CF184)</f>
        <v>1.2126272189349112</v>
      </c>
      <c r="CJ184" s="5">
        <f t="shared" si="162"/>
        <v>21.11388921758947</v>
      </c>
      <c r="CK184" s="5">
        <f>MIN(noisuy2chieu(CJ184,CF184,Data!$DA$2:$EB$24),1)</f>
        <v>7.1994885802268982E-2</v>
      </c>
      <c r="CL184" s="102">
        <f t="shared" si="163"/>
        <v>0.77858051555710639</v>
      </c>
      <c r="CM184" s="5" t="str">
        <f t="shared" si="164"/>
        <v>OK</v>
      </c>
      <c r="CN184" s="5">
        <f t="shared" si="165"/>
        <v>0.86643683692746631</v>
      </c>
      <c r="CO184" s="5">
        <f t="shared" si="166"/>
        <v>0.5370345235716667</v>
      </c>
      <c r="CP184" s="25">
        <f>_xll.DCETCVNPhuLucFHeSoOnDinh(1, 0.2, AG184, AH184, AI184, AJ184, AI184, AJ184, $D$28)</f>
        <v>1</v>
      </c>
      <c r="CQ184" s="68">
        <f t="shared" si="167"/>
        <v>0.9</v>
      </c>
      <c r="CR184" s="68">
        <f t="shared" si="168"/>
        <v>1</v>
      </c>
      <c r="CS184" s="5">
        <f t="shared" si="169"/>
        <v>0.18181818181818182</v>
      </c>
      <c r="CT184" s="5">
        <f t="shared" si="170"/>
        <v>0.10347287704587492</v>
      </c>
      <c r="CU184" s="26">
        <f t="shared" si="171"/>
        <v>8.7058449983229256</v>
      </c>
      <c r="CV184" s="5"/>
      <c r="CW184" s="25"/>
      <c r="CX184" s="72">
        <f>MAX(_xll.Dce_c_925(CU184, CQ184, CR184, CN184, CP184, CS184, CT184),0.3)</f>
        <v>0.3</v>
      </c>
      <c r="CY184" s="102">
        <f t="shared" si="172"/>
        <v>0.21564878483307195</v>
      </c>
      <c r="CZ184" s="5" t="str">
        <f t="shared" si="173"/>
        <v>OK</v>
      </c>
      <c r="DA184" s="47">
        <f t="shared" si="174"/>
        <v>0.34499859601035404</v>
      </c>
      <c r="DB184" s="46">
        <f t="shared" si="175"/>
        <v>0.48385309547993066</v>
      </c>
      <c r="DC184" s="5" t="str">
        <f t="shared" si="176"/>
        <v>OK</v>
      </c>
      <c r="DD184" s="5">
        <f t="shared" si="177"/>
        <v>1.2506397644909562</v>
      </c>
      <c r="DE184" s="5">
        <f t="shared" si="178"/>
        <v>4.4677979100191463</v>
      </c>
      <c r="DF184" s="5" t="str">
        <f t="shared" si="179"/>
        <v>-</v>
      </c>
      <c r="DG184" s="5" t="str">
        <f t="shared" si="180"/>
        <v>-</v>
      </c>
      <c r="DH184" s="203">
        <f t="shared" si="181"/>
        <v>37.545238889226049</v>
      </c>
      <c r="DI184" s="203">
        <f t="shared" si="182"/>
        <v>163.28516906657362</v>
      </c>
      <c r="DJ184" s="46">
        <f t="shared" si="183"/>
        <v>0.22993661398555026</v>
      </c>
      <c r="DK184" s="5" t="str">
        <f t="shared" si="184"/>
        <v>OK</v>
      </c>
      <c r="EB184" s="18"/>
      <c r="EC184" s="77"/>
      <c r="ED184" s="77"/>
      <c r="EE184" s="18"/>
      <c r="EF184" s="18"/>
      <c r="EG184" s="18"/>
      <c r="EH184" s="5"/>
      <c r="EI184" s="5"/>
      <c r="EJ184" s="5"/>
      <c r="EK184" s="5"/>
      <c r="EL184" s="5"/>
      <c r="FE184" s="26"/>
      <c r="FF184" s="26"/>
      <c r="FG184" s="26"/>
      <c r="FH184" s="26"/>
      <c r="FI184" s="26"/>
      <c r="FJ184" s="26"/>
      <c r="FK184" s="26"/>
      <c r="FL184" s="26"/>
      <c r="FM184" s="26"/>
      <c r="FN184" s="205"/>
      <c r="FO184" s="205"/>
      <c r="FP184" s="205"/>
      <c r="FQ184" s="205"/>
      <c r="FR184" s="205"/>
      <c r="FS184" s="205"/>
      <c r="FT184" s="205"/>
      <c r="FU184" s="77"/>
      <c r="FV184" s="77"/>
      <c r="FW184" s="77"/>
      <c r="FX184" s="205"/>
      <c r="FY184" s="205"/>
      <c r="FZ184" s="205"/>
      <c r="GA184" s="205"/>
      <c r="GB184" s="205"/>
      <c r="GC184" s="205"/>
      <c r="GD184" s="205"/>
      <c r="GE184" s="205"/>
      <c r="GF184" s="205"/>
      <c r="GG184" s="205"/>
      <c r="GH184" s="205"/>
      <c r="GI184" s="205"/>
      <c r="GJ184" s="205"/>
      <c r="GK184" s="205"/>
      <c r="GL184" s="205"/>
      <c r="GM184" s="205"/>
      <c r="GN184" s="205"/>
      <c r="GO184" s="205"/>
      <c r="GP184" s="205"/>
      <c r="GQ184" s="205"/>
      <c r="GR184" s="205"/>
      <c r="GS184" s="205"/>
      <c r="GT184" s="205"/>
      <c r="GU184" s="205"/>
      <c r="GV184" s="18"/>
      <c r="GW184" s="5"/>
      <c r="GX184" s="5"/>
      <c r="GY184" s="77"/>
      <c r="GZ184" s="18"/>
      <c r="HA184" s="18"/>
      <c r="HB184" s="18"/>
      <c r="HC184" s="18"/>
      <c r="HD184" s="18"/>
      <c r="HE184" s="18"/>
      <c r="HF184" s="18"/>
      <c r="HG184" s="18"/>
      <c r="HH184" s="205"/>
      <c r="HI184" s="26"/>
      <c r="HJ184" s="26"/>
      <c r="HK184" s="5"/>
    </row>
    <row r="185" spans="27:219">
      <c r="AA185" s="18" t="s">
        <v>488</v>
      </c>
      <c r="AB185" s="22" t="s">
        <v>491</v>
      </c>
      <c r="AC185" s="59">
        <v>0</v>
      </c>
      <c r="AD185" s="59">
        <v>8.6549999999999994</v>
      </c>
      <c r="AE185" s="22">
        <v>528</v>
      </c>
      <c r="AF185" s="22">
        <v>1528</v>
      </c>
      <c r="AG185" s="22">
        <v>528</v>
      </c>
      <c r="AH185" s="6">
        <v>10</v>
      </c>
      <c r="AI185" s="6">
        <v>300</v>
      </c>
      <c r="AJ185" s="6">
        <v>14</v>
      </c>
      <c r="AK185" s="24">
        <v>300</v>
      </c>
      <c r="AL185" s="24">
        <v>14</v>
      </c>
      <c r="AM185" s="5">
        <f t="shared" si="129"/>
        <v>500</v>
      </c>
      <c r="AN185" s="26">
        <f t="shared" si="130"/>
        <v>134</v>
      </c>
      <c r="AO185" s="26">
        <f t="shared" si="131"/>
        <v>65911.546666666676</v>
      </c>
      <c r="AP185" s="15">
        <f t="shared" si="132"/>
        <v>6304.166666666667</v>
      </c>
      <c r="AQ185" s="5">
        <f t="shared" si="133"/>
        <v>2496.6494949494954</v>
      </c>
      <c r="AR185" s="26">
        <f t="shared" si="134"/>
        <v>420.27777777777777</v>
      </c>
      <c r="AS185" s="26">
        <f t="shared" si="135"/>
        <v>1391.9</v>
      </c>
      <c r="AT185" s="26">
        <f t="shared" si="136"/>
        <v>22.178305028345793</v>
      </c>
      <c r="AU185" s="26">
        <f t="shared" si="137"/>
        <v>6.8590101254115021</v>
      </c>
      <c r="AV185" s="95">
        <f t="shared" si="138"/>
        <v>7.201333333333334E-7</v>
      </c>
      <c r="AW185" s="95">
        <f t="shared" si="139"/>
        <v>4161087</v>
      </c>
      <c r="AX185" s="95">
        <f t="shared" si="140"/>
        <v>4.1610870000000001E-6</v>
      </c>
      <c r="AY185" s="54">
        <f t="shared" si="141"/>
        <v>0.25762202780669918</v>
      </c>
      <c r="AZ185" s="54" t="str">
        <f>_xll.Dce_Name_SectI(AE185,AF185,AI185,AH185,AJ185,"x","-",$O$11)</f>
        <v>(528-1528)x300x10x14</v>
      </c>
      <c r="BA185" s="15">
        <f t="shared" si="142"/>
        <v>385.5</v>
      </c>
      <c r="BB185" s="54"/>
      <c r="BC185" s="54"/>
      <c r="BD185" s="22" t="s">
        <v>496</v>
      </c>
      <c r="BE185" s="23">
        <v>64.893969147306109</v>
      </c>
      <c r="BF185" s="23">
        <v>44.36356354932596</v>
      </c>
      <c r="BG185" s="23">
        <v>-2.0999817079947209E-3</v>
      </c>
      <c r="BH185" s="23">
        <v>-1.5984493276524758E-5</v>
      </c>
      <c r="BI185" s="23">
        <v>-1.0976565791639015E-6</v>
      </c>
      <c r="BJ185" s="23">
        <v>0.86387192018277137</v>
      </c>
      <c r="BK185" s="23">
        <v>-236.42688870037694</v>
      </c>
      <c r="BL185" s="92">
        <v>2.25</v>
      </c>
      <c r="BM185" s="91">
        <v>2</v>
      </c>
      <c r="BN185" s="5">
        <f t="shared" si="143"/>
        <v>19.473749999999999</v>
      </c>
      <c r="BO185" s="54">
        <f>_xll.Bimoment(BH185,AY185,AC185,AD185,$O$101)</f>
        <v>0</v>
      </c>
      <c r="BP185" s="5">
        <f t="shared" si="144"/>
        <v>0.84</v>
      </c>
      <c r="BQ185" s="5">
        <f t="shared" si="145"/>
        <v>0.10837111601707453</v>
      </c>
      <c r="BR185" s="24" t="str">
        <f t="shared" si="146"/>
        <v>Cal</v>
      </c>
      <c r="BS185" s="25">
        <f t="shared" si="147"/>
        <v>2.1187396643243601E-2</v>
      </c>
      <c r="BT185" s="25" t="str">
        <f t="shared" si="148"/>
        <v>CT.105</v>
      </c>
      <c r="BU185" s="25">
        <f t="shared" si="149"/>
        <v>1</v>
      </c>
      <c r="BV185" s="25" cm="1">
        <f t="array" ref="BV185">IF(BT185="CT.104",_xll.TCVN5575AnnexEHeSoCx(1,BP185),1)</f>
        <v>1</v>
      </c>
      <c r="BW185" s="25">
        <f t="shared" si="150"/>
        <v>1</v>
      </c>
      <c r="BX185" s="25">
        <f t="shared" si="151"/>
        <v>2.2302522782361684E-2</v>
      </c>
      <c r="BY185" s="25">
        <f t="shared" si="152"/>
        <v>1.5934785940939528E-3</v>
      </c>
      <c r="BZ185" s="25">
        <f t="shared" si="153"/>
        <v>1.2027753241612308E-8</v>
      </c>
      <c r="CA185" s="25">
        <f t="shared" si="154"/>
        <v>0</v>
      </c>
      <c r="CB185" s="25">
        <f t="shared" si="155"/>
        <v>2.3896013404208879E-2</v>
      </c>
      <c r="CC185" s="5" t="str">
        <f t="shared" si="156"/>
        <v>OK</v>
      </c>
      <c r="CD185" s="5">
        <f t="shared" si="157"/>
        <v>87.805402509844015</v>
      </c>
      <c r="CE185" s="5">
        <f t="shared" si="158"/>
        <v>29.158726455153193</v>
      </c>
      <c r="CF185" s="5">
        <f t="shared" si="159"/>
        <v>2.9248163326364334</v>
      </c>
      <c r="CG185" s="5">
        <f t="shared" si="160"/>
        <v>0.97128328026682387</v>
      </c>
      <c r="CH185" s="5">
        <f t="shared" si="161"/>
        <v>7.1448356297798832E-2</v>
      </c>
      <c r="CI185" s="68">
        <f>_xll.DCETCVN5575PhuLucD2Eta(BP185,CH185,CF185)</f>
        <v>1.5167754953715178</v>
      </c>
      <c r="CJ185" s="5">
        <f t="shared" si="162"/>
        <v>0.10837111601707453</v>
      </c>
      <c r="CK185" s="5">
        <f>MIN(noisuy2chieu(CJ185,CF185,Data!$DA$2:$EB$24),1)</f>
        <v>0.67437100410461426</v>
      </c>
      <c r="CL185" s="102" t="str">
        <f t="shared" si="163"/>
        <v>-</v>
      </c>
      <c r="CM185" s="5" t="str">
        <f t="shared" si="164"/>
        <v>OK</v>
      </c>
      <c r="CN185" s="5">
        <f t="shared" si="165"/>
        <v>0.90492218941026858</v>
      </c>
      <c r="CO185" s="5">
        <f t="shared" si="166"/>
        <v>0.5370345235716667</v>
      </c>
      <c r="CP185" s="25">
        <f>_xll.DCETCVNPhuLucFHeSoOnDinh(1, 0.2, AG185, AH185, AI185, AJ185, AI185, AJ185, $D$28)</f>
        <v>1</v>
      </c>
      <c r="CQ185" s="68">
        <f t="shared" si="167"/>
        <v>0.9</v>
      </c>
      <c r="CR185" s="68">
        <f t="shared" si="168"/>
        <v>1</v>
      </c>
      <c r="CS185" s="5">
        <f t="shared" si="169"/>
        <v>0.18181818181818182</v>
      </c>
      <c r="CT185" s="5">
        <f t="shared" si="170"/>
        <v>9.9510191986788829E-2</v>
      </c>
      <c r="CU185" s="26">
        <f t="shared" si="171"/>
        <v>19.554186433876229</v>
      </c>
      <c r="CV185" s="5"/>
      <c r="CW185" s="25"/>
      <c r="CX185" s="72">
        <f>MAX(_xll.Dce_c_925(CU185, CQ185, CR185, CN185, CP185, CS185, CT185),0.3)</f>
        <v>0.3</v>
      </c>
      <c r="CY185" s="102" t="str">
        <f t="shared" si="172"/>
        <v>-</v>
      </c>
      <c r="CZ185" s="5" t="str">
        <f t="shared" si="173"/>
        <v>OK</v>
      </c>
      <c r="DA185" s="47">
        <f t="shared" si="174"/>
        <v>0.34499859601035404</v>
      </c>
      <c r="DB185" s="46">
        <f t="shared" si="175"/>
        <v>12.85089708957965</v>
      </c>
      <c r="DC185" s="5" t="str">
        <f t="shared" si="176"/>
        <v>OK</v>
      </c>
      <c r="DD185" s="5">
        <f t="shared" si="177"/>
        <v>2.9248163326364334</v>
      </c>
      <c r="DE185" s="5">
        <f t="shared" si="178"/>
        <v>1.6655104634982609</v>
      </c>
      <c r="DF185" s="5">
        <f t="shared" si="179"/>
        <v>3.2</v>
      </c>
      <c r="DG185" s="5" t="str">
        <f t="shared" si="180"/>
        <v>OK</v>
      </c>
      <c r="DH185" s="203" t="str">
        <f t="shared" si="181"/>
        <v>-</v>
      </c>
      <c r="DI185" s="203" t="str">
        <f t="shared" si="182"/>
        <v>-</v>
      </c>
      <c r="DJ185" s="46">
        <f t="shared" si="183"/>
        <v>0</v>
      </c>
      <c r="DK185" s="5" t="str">
        <f t="shared" si="184"/>
        <v>OK</v>
      </c>
      <c r="EB185" s="18"/>
      <c r="EC185" s="77"/>
      <c r="ED185" s="77"/>
      <c r="EE185" s="18"/>
      <c r="EF185" s="18"/>
      <c r="EG185" s="18"/>
      <c r="EH185" s="5"/>
      <c r="EI185" s="5"/>
      <c r="EJ185" s="5"/>
      <c r="EK185" s="5"/>
      <c r="EL185" s="5"/>
      <c r="FE185" s="26"/>
      <c r="FF185" s="26"/>
      <c r="FG185" s="26"/>
      <c r="FH185" s="26"/>
      <c r="FI185" s="26"/>
      <c r="FJ185" s="26"/>
      <c r="FK185" s="26"/>
      <c r="FL185" s="26"/>
      <c r="FM185" s="26"/>
      <c r="FN185" s="205"/>
      <c r="FO185" s="205"/>
      <c r="FP185" s="205"/>
      <c r="FQ185" s="205"/>
      <c r="FR185" s="205"/>
      <c r="FS185" s="205"/>
      <c r="FT185" s="205"/>
      <c r="FU185" s="77"/>
      <c r="FV185" s="77"/>
      <c r="FW185" s="77"/>
      <c r="FX185" s="205"/>
      <c r="FY185" s="205"/>
      <c r="FZ185" s="205"/>
      <c r="GA185" s="205"/>
      <c r="GB185" s="205"/>
      <c r="GC185" s="205"/>
      <c r="GD185" s="205"/>
      <c r="GE185" s="205"/>
      <c r="GF185" s="205"/>
      <c r="GG185" s="205"/>
      <c r="GH185" s="205"/>
      <c r="GI185" s="205"/>
      <c r="GJ185" s="205"/>
      <c r="GK185" s="205"/>
      <c r="GL185" s="205"/>
      <c r="GM185" s="205"/>
      <c r="GN185" s="205"/>
      <c r="GO185" s="205"/>
      <c r="GP185" s="205"/>
      <c r="GQ185" s="205"/>
      <c r="GR185" s="205"/>
      <c r="GS185" s="205"/>
      <c r="GT185" s="205"/>
      <c r="GU185" s="205"/>
      <c r="GV185" s="18"/>
      <c r="GW185" s="5"/>
      <c r="GX185" s="5"/>
      <c r="GY185" s="77"/>
      <c r="GZ185" s="18"/>
      <c r="HA185" s="18"/>
      <c r="HB185" s="18"/>
      <c r="HC185" s="18"/>
      <c r="HD185" s="18"/>
      <c r="HE185" s="18"/>
      <c r="HF185" s="18"/>
      <c r="HG185" s="18"/>
      <c r="HH185" s="205"/>
      <c r="HI185" s="26"/>
      <c r="HJ185" s="26"/>
      <c r="HK185" s="5"/>
    </row>
    <row r="186" spans="27:219">
      <c r="AA186" s="18" t="s">
        <v>488</v>
      </c>
      <c r="AB186" s="22" t="s">
        <v>491</v>
      </c>
      <c r="AC186" s="59">
        <v>3.6405952380952398</v>
      </c>
      <c r="AD186" s="59">
        <v>8.6549999999999994</v>
      </c>
      <c r="AE186" s="22">
        <v>528</v>
      </c>
      <c r="AF186" s="22">
        <v>1528</v>
      </c>
      <c r="AG186" s="22">
        <v>948.63492063492095</v>
      </c>
      <c r="AH186" s="6">
        <v>10</v>
      </c>
      <c r="AI186" s="6">
        <v>300</v>
      </c>
      <c r="AJ186" s="6">
        <v>14</v>
      </c>
      <c r="AK186" s="24">
        <v>300</v>
      </c>
      <c r="AL186" s="24">
        <v>14</v>
      </c>
      <c r="AM186" s="5">
        <f t="shared" si="129"/>
        <v>920.63492063492095</v>
      </c>
      <c r="AN186" s="26">
        <f t="shared" si="130"/>
        <v>176.06349206349208</v>
      </c>
      <c r="AO186" s="26">
        <f t="shared" si="131"/>
        <v>248482.7399356656</v>
      </c>
      <c r="AP186" s="15">
        <f t="shared" si="132"/>
        <v>6307.6719576719579</v>
      </c>
      <c r="AQ186" s="5">
        <f t="shared" si="133"/>
        <v>5238.7432621467533</v>
      </c>
      <c r="AR186" s="26">
        <f t="shared" si="134"/>
        <v>420.51146384479722</v>
      </c>
      <c r="AS186" s="26">
        <f t="shared" si="135"/>
        <v>3022.1941546989178</v>
      </c>
      <c r="AT186" s="26">
        <f t="shared" si="136"/>
        <v>37.567600585756203</v>
      </c>
      <c r="AU186" s="26">
        <f t="shared" si="137"/>
        <v>5.9854925384629922</v>
      </c>
      <c r="AV186" s="95">
        <f t="shared" si="138"/>
        <v>8.6034497354497351E-7</v>
      </c>
      <c r="AW186" s="95">
        <f t="shared" si="139"/>
        <v>13758293.349206358</v>
      </c>
      <c r="AX186" s="95">
        <f t="shared" si="140"/>
        <v>1.3758293349206359E-5</v>
      </c>
      <c r="AY186" s="54">
        <f t="shared" si="141"/>
        <v>0.1548581140202015</v>
      </c>
      <c r="AZ186" s="54" t="str">
        <f>_xll.Dce_Name_SectI(AE186,AF186,AI186,AH186,AJ186,"x","-",$O$11)</f>
        <v>(528-1528)x300x10x14</v>
      </c>
      <c r="BA186" s="15">
        <f t="shared" si="142"/>
        <v>700.97619047619071</v>
      </c>
      <c r="BB186" s="54"/>
      <c r="BC186" s="54"/>
      <c r="BD186" s="22" t="s">
        <v>496</v>
      </c>
      <c r="BE186" s="23">
        <v>71.23082233387197</v>
      </c>
      <c r="BF186" s="23">
        <v>64.92524973704343</v>
      </c>
      <c r="BG186" s="23">
        <v>-2.0999817079934585E-3</v>
      </c>
      <c r="BH186" s="23">
        <v>-1.5984493276524758E-5</v>
      </c>
      <c r="BI186" s="23">
        <v>7.6620902905459778E-3</v>
      </c>
      <c r="BJ186" s="23">
        <v>-198.57498643465192</v>
      </c>
      <c r="BK186" s="23">
        <v>-236.42688870037694</v>
      </c>
      <c r="BL186" s="92">
        <v>2.25</v>
      </c>
      <c r="BM186" s="91">
        <v>2</v>
      </c>
      <c r="BN186" s="5">
        <f t="shared" si="143"/>
        <v>19.473749999999999</v>
      </c>
      <c r="BO186" s="54">
        <f>_xll.Bimoment(BH186,AY186,AC186,AD186,$O$101)</f>
        <v>1.229314100040725E-4</v>
      </c>
      <c r="BP186" s="5">
        <f t="shared" si="144"/>
        <v>0.45620689655172403</v>
      </c>
      <c r="BQ186" s="5">
        <f t="shared" si="145"/>
        <v>11.629338846531157</v>
      </c>
      <c r="BR186" s="24" t="str">
        <f t="shared" si="146"/>
        <v>Cal</v>
      </c>
      <c r="BS186" s="25">
        <f t="shared" si="147"/>
        <v>1.7700140106178743E-2</v>
      </c>
      <c r="BT186" s="25" t="str">
        <f t="shared" si="148"/>
        <v>CT.105</v>
      </c>
      <c r="BU186" s="25">
        <f t="shared" si="149"/>
        <v>1</v>
      </c>
      <c r="BV186" s="25" cm="1">
        <f t="array" ref="BV186">IF(BT186="CT.104",_xll.TCVN5575AnnexEHeSoCx(1,BP186),1)</f>
        <v>1</v>
      </c>
      <c r="BW186" s="25">
        <f t="shared" si="150"/>
        <v>1</v>
      </c>
      <c r="BX186" s="25">
        <f t="shared" si="151"/>
        <v>1.8631726427556571E-2</v>
      </c>
      <c r="BY186" s="25">
        <f t="shared" si="152"/>
        <v>0.17456287192287534</v>
      </c>
      <c r="BZ186" s="25">
        <f t="shared" si="153"/>
        <v>8.3911962363379813E-5</v>
      </c>
      <c r="CA186" s="25">
        <f t="shared" si="154"/>
        <v>2.8844035194446902E-6</v>
      </c>
      <c r="CB186" s="25">
        <f t="shared" si="155"/>
        <v>0.19328139471631473</v>
      </c>
      <c r="CC186" s="5" t="str">
        <f t="shared" si="156"/>
        <v>OK</v>
      </c>
      <c r="CD186" s="5">
        <f t="shared" si="157"/>
        <v>51.836555160202302</v>
      </c>
      <c r="CE186" s="5">
        <f t="shared" si="158"/>
        <v>33.414125690541383</v>
      </c>
      <c r="CF186" s="5">
        <f t="shared" si="159"/>
        <v>1.7266865002204341</v>
      </c>
      <c r="CG186" s="5">
        <f t="shared" si="160"/>
        <v>1.1130315193248546</v>
      </c>
      <c r="CH186" s="5">
        <f t="shared" si="161"/>
        <v>9.3691195285421589</v>
      </c>
      <c r="CI186" s="68">
        <f>_xll.DCETCVN5575PhuLucD2Eta(BP186,CH186,CF186)</f>
        <v>1.2412413793103447</v>
      </c>
      <c r="CJ186" s="5">
        <f t="shared" si="162"/>
        <v>11.629338846531157</v>
      </c>
      <c r="CK186" s="5">
        <f>MIN(noisuy2chieu(CJ186,CF186,Data!$DA$2:$EB$24),1)</f>
        <v>0.11436495184898376</v>
      </c>
      <c r="CL186" s="102" t="str">
        <f t="shared" si="163"/>
        <v>-</v>
      </c>
      <c r="CM186" s="5" t="str">
        <f t="shared" si="164"/>
        <v>OK</v>
      </c>
      <c r="CN186" s="5">
        <f t="shared" si="165"/>
        <v>0.88472625978979058</v>
      </c>
      <c r="CO186" s="5">
        <f t="shared" si="166"/>
        <v>0.5370345235716667</v>
      </c>
      <c r="CP186" s="25">
        <f>_xll.DCETCVNPhuLucFHeSoOnDinh(1, 0.2, AG186, AH186, AI186, AJ186, AI186, AJ186, $D$28)</f>
        <v>1</v>
      </c>
      <c r="CQ186" s="68">
        <f t="shared" si="167"/>
        <v>0.9</v>
      </c>
      <c r="CR186" s="68">
        <f t="shared" si="168"/>
        <v>1</v>
      </c>
      <c r="CS186" s="5">
        <f t="shared" si="169"/>
        <v>0.18181818181818182</v>
      </c>
      <c r="CT186" s="5">
        <f t="shared" si="170"/>
        <v>0.10155106457844131</v>
      </c>
      <c r="CU186" s="26">
        <f t="shared" si="171"/>
        <v>11.155039311681511</v>
      </c>
      <c r="CV186" s="5"/>
      <c r="CW186" s="25"/>
      <c r="CX186" s="72">
        <f>MAX(_xll.Dce_c_925(CU186, CQ186, CR186, CN186, CP186, CS186, CT186),0.3)</f>
        <v>0.3</v>
      </c>
      <c r="CY186" s="102" t="str">
        <f t="shared" si="172"/>
        <v>-</v>
      </c>
      <c r="CZ186" s="5" t="str">
        <f t="shared" si="173"/>
        <v>OK</v>
      </c>
      <c r="DA186" s="47">
        <f t="shared" si="174"/>
        <v>0.34499859601035404</v>
      </c>
      <c r="DB186" s="46">
        <f t="shared" si="175"/>
        <v>1.2275181023345656</v>
      </c>
      <c r="DC186" s="5" t="str">
        <f t="shared" si="176"/>
        <v>OK</v>
      </c>
      <c r="DD186" s="5">
        <f t="shared" si="177"/>
        <v>1.7266865002204341</v>
      </c>
      <c r="DE186" s="5">
        <f t="shared" si="178"/>
        <v>3.0666541867587034</v>
      </c>
      <c r="DF186" s="5">
        <f t="shared" si="179"/>
        <v>3.2</v>
      </c>
      <c r="DG186" s="5" t="str">
        <f t="shared" si="180"/>
        <v>OK</v>
      </c>
      <c r="DH186" s="203">
        <f t="shared" si="181"/>
        <v>51.836555160202302</v>
      </c>
      <c r="DI186" s="203" t="str">
        <f t="shared" si="182"/>
        <v>-</v>
      </c>
      <c r="DJ186" s="46">
        <f t="shared" si="183"/>
        <v>0</v>
      </c>
      <c r="DK186" s="5" t="str">
        <f t="shared" si="184"/>
        <v>OK</v>
      </c>
      <c r="EB186" s="18"/>
      <c r="EC186" s="77"/>
      <c r="ED186" s="77"/>
      <c r="EE186" s="18"/>
      <c r="EF186" s="18"/>
      <c r="EG186" s="18"/>
      <c r="EH186" s="5"/>
      <c r="EI186" s="5"/>
      <c r="EJ186" s="5"/>
      <c r="EK186" s="5"/>
      <c r="EL186" s="5"/>
      <c r="FE186" s="26"/>
      <c r="FF186" s="26"/>
      <c r="FG186" s="26"/>
      <c r="FH186" s="26"/>
      <c r="FI186" s="26"/>
      <c r="FJ186" s="26"/>
      <c r="FK186" s="26"/>
      <c r="FL186" s="26"/>
      <c r="FM186" s="26"/>
      <c r="FN186" s="205"/>
      <c r="FO186" s="205"/>
      <c r="FP186" s="205"/>
      <c r="FQ186" s="205"/>
      <c r="FR186" s="205"/>
      <c r="FS186" s="205"/>
      <c r="FT186" s="205"/>
      <c r="FU186" s="77"/>
      <c r="FV186" s="77"/>
      <c r="FW186" s="77"/>
      <c r="FX186" s="205"/>
      <c r="FY186" s="205"/>
      <c r="FZ186" s="205"/>
      <c r="GA186" s="205"/>
      <c r="GB186" s="205"/>
      <c r="GC186" s="205"/>
      <c r="GD186" s="205"/>
      <c r="GE186" s="205"/>
      <c r="GF186" s="205"/>
      <c r="GG186" s="205"/>
      <c r="GH186" s="205"/>
      <c r="GI186" s="205"/>
      <c r="GJ186" s="205"/>
      <c r="GK186" s="205"/>
      <c r="GL186" s="205"/>
      <c r="GM186" s="205"/>
      <c r="GN186" s="205"/>
      <c r="GO186" s="205"/>
      <c r="GP186" s="205"/>
      <c r="GQ186" s="205"/>
      <c r="GR186" s="205"/>
      <c r="GS186" s="205"/>
      <c r="GT186" s="205"/>
      <c r="GU186" s="205"/>
      <c r="GV186" s="18"/>
      <c r="GW186" s="5"/>
      <c r="GX186" s="5"/>
      <c r="GY186" s="77"/>
      <c r="GZ186" s="18"/>
      <c r="HA186" s="18"/>
      <c r="HB186" s="18"/>
      <c r="HC186" s="18"/>
      <c r="HD186" s="18"/>
      <c r="HE186" s="18"/>
      <c r="HF186" s="18"/>
      <c r="HG186" s="18"/>
      <c r="HH186" s="205"/>
      <c r="HI186" s="26"/>
      <c r="HJ186" s="26"/>
      <c r="HK186" s="5"/>
    </row>
    <row r="187" spans="27:219">
      <c r="AA187" s="18" t="s">
        <v>488</v>
      </c>
      <c r="AB187" s="22" t="s">
        <v>491</v>
      </c>
      <c r="AC187" s="59">
        <v>7.2811904761904795</v>
      </c>
      <c r="AD187" s="59">
        <v>8.6549999999999994</v>
      </c>
      <c r="AE187" s="22">
        <v>528</v>
      </c>
      <c r="AF187" s="22">
        <v>1528</v>
      </c>
      <c r="AG187" s="22">
        <v>1369.2698412698419</v>
      </c>
      <c r="AH187" s="6">
        <v>10</v>
      </c>
      <c r="AI187" s="6">
        <v>300</v>
      </c>
      <c r="AJ187" s="6">
        <v>14</v>
      </c>
      <c r="AK187" s="24">
        <v>300</v>
      </c>
      <c r="AL187" s="24">
        <v>14</v>
      </c>
      <c r="AM187" s="5">
        <f t="shared" si="129"/>
        <v>1341.2698412698419</v>
      </c>
      <c r="AN187" s="26">
        <f t="shared" si="130"/>
        <v>218.12698412698418</v>
      </c>
      <c r="AO187" s="26">
        <f t="shared" si="131"/>
        <v>586811.79072745051</v>
      </c>
      <c r="AP187" s="15">
        <f t="shared" si="132"/>
        <v>6311.1772486772488</v>
      </c>
      <c r="AQ187" s="5">
        <f t="shared" si="133"/>
        <v>8571.1635945074104</v>
      </c>
      <c r="AR187" s="26">
        <f t="shared" si="134"/>
        <v>420.74514991181661</v>
      </c>
      <c r="AS187" s="26">
        <f t="shared" si="135"/>
        <v>5094.8226505417015</v>
      </c>
      <c r="AT187" s="26">
        <f t="shared" si="136"/>
        <v>51.867428670398397</v>
      </c>
      <c r="AU187" s="26">
        <f t="shared" si="137"/>
        <v>5.3789869588463937</v>
      </c>
      <c r="AV187" s="95">
        <f t="shared" si="138"/>
        <v>1.0005566137566139E-6</v>
      </c>
      <c r="AW187" s="95">
        <f t="shared" si="139"/>
        <v>28928912.396825422</v>
      </c>
      <c r="AX187" s="95">
        <f t="shared" si="140"/>
        <v>2.8928912396825422E-5</v>
      </c>
      <c r="AY187" s="54">
        <f t="shared" si="141"/>
        <v>0.11516876660535029</v>
      </c>
      <c r="AZ187" s="54" t="str">
        <f>_xll.Dce_Name_SectI(AE187,AF187,AI187,AH187,AJ187,"x","-",$O$11)</f>
        <v>(528-1528)x300x10x14</v>
      </c>
      <c r="BA187" s="15">
        <f t="shared" si="142"/>
        <v>1016.4523809523813</v>
      </c>
      <c r="BB187" s="54"/>
      <c r="BC187" s="54"/>
      <c r="BD187" s="22" t="s">
        <v>496</v>
      </c>
      <c r="BE187" s="23">
        <v>79.109111270930185</v>
      </c>
      <c r="BF187" s="23">
        <v>85.381085394168878</v>
      </c>
      <c r="BG187" s="23">
        <v>-2.0999817079922034E-3</v>
      </c>
      <c r="BH187" s="23">
        <v>-1.5984493276524758E-5</v>
      </c>
      <c r="BI187" s="23">
        <v>1.532527823766653E-2</v>
      </c>
      <c r="BJ187" s="23">
        <v>-472.85377740075387</v>
      </c>
      <c r="BK187" s="23">
        <v>-236.42688870037694</v>
      </c>
      <c r="BL187" s="92">
        <v>2.25</v>
      </c>
      <c r="BM187" s="91">
        <v>2</v>
      </c>
      <c r="BN187" s="5">
        <f t="shared" si="143"/>
        <v>19.473749999999999</v>
      </c>
      <c r="BO187" s="54">
        <f>_xll.Bimoment(BH187,AY187,AC187,AD187,$O$101)</f>
        <v>7.3123788483392074E-5</v>
      </c>
      <c r="BP187" s="5">
        <f t="shared" si="144"/>
        <v>0.31313609467455605</v>
      </c>
      <c r="BQ187" s="5">
        <f t="shared" si="145"/>
        <v>18.4457908414211</v>
      </c>
      <c r="BR187" s="24" t="str">
        <f t="shared" si="146"/>
        <v>Cal</v>
      </c>
      <c r="BS187" s="25">
        <f t="shared" si="147"/>
        <v>1.5867012657582686E-2</v>
      </c>
      <c r="BT187" s="25" t="str">
        <f t="shared" si="148"/>
        <v>CT.105</v>
      </c>
      <c r="BU187" s="25">
        <f t="shared" si="149"/>
        <v>1</v>
      </c>
      <c r="BV187" s="25" cm="1">
        <f t="array" ref="BV187">IF(BT187="CT.104",_xll.TCVN5575AnnexEHeSoCx(1,BP187),1)</f>
        <v>1</v>
      </c>
      <c r="BW187" s="25">
        <f t="shared" si="150"/>
        <v>1</v>
      </c>
      <c r="BX187" s="25">
        <f t="shared" si="151"/>
        <v>1.6702118586929146E-2</v>
      </c>
      <c r="BY187" s="25">
        <f t="shared" si="152"/>
        <v>0.25406306344806151</v>
      </c>
      <c r="BZ187" s="25">
        <f t="shared" si="153"/>
        <v>1.6774272803193044E-4</v>
      </c>
      <c r="CA187" s="25">
        <f t="shared" si="154"/>
        <v>1.1832269883637753E-6</v>
      </c>
      <c r="CB187" s="25">
        <f t="shared" si="155"/>
        <v>0.270934107990011</v>
      </c>
      <c r="CC187" s="5" t="str">
        <f t="shared" si="156"/>
        <v>OK</v>
      </c>
      <c r="CD187" s="5">
        <f t="shared" si="157"/>
        <v>37.545238889226049</v>
      </c>
      <c r="CE187" s="5">
        <f t="shared" si="158"/>
        <v>37.181722419139881</v>
      </c>
      <c r="CF187" s="5">
        <f t="shared" si="159"/>
        <v>1.2506397644909562</v>
      </c>
      <c r="CG187" s="5">
        <f t="shared" si="160"/>
        <v>1.2385309547993069</v>
      </c>
      <c r="CH187" s="5">
        <f t="shared" si="161"/>
        <v>15.211427348317828</v>
      </c>
      <c r="CI187" s="68">
        <f>_xll.DCETCVN5575PhuLucD2Eta(BP187,CH187,CF187)</f>
        <v>1.2126272189349112</v>
      </c>
      <c r="CJ187" s="5">
        <f t="shared" si="162"/>
        <v>18.4457908414211</v>
      </c>
      <c r="CK187" s="5">
        <f>MIN(noisuy2chieu(CJ187,CF187,Data!$DA$2:$EB$24),1)</f>
        <v>7.8211724758148193E-2</v>
      </c>
      <c r="CL187" s="102" t="str">
        <f t="shared" si="163"/>
        <v>-</v>
      </c>
      <c r="CM187" s="5" t="str">
        <f t="shared" si="164"/>
        <v>OK</v>
      </c>
      <c r="CN187" s="5">
        <f t="shared" si="165"/>
        <v>0.86643683692746631</v>
      </c>
      <c r="CO187" s="5">
        <f t="shared" si="166"/>
        <v>0.5370345235716667</v>
      </c>
      <c r="CP187" s="25">
        <f>_xll.DCETCVNPhuLucFHeSoOnDinh(1, 0.2, AG187, AH187, AI187, AJ187, AI187, AJ187, $D$28)</f>
        <v>1</v>
      </c>
      <c r="CQ187" s="68">
        <f t="shared" si="167"/>
        <v>0.9</v>
      </c>
      <c r="CR187" s="68">
        <f t="shared" si="168"/>
        <v>1</v>
      </c>
      <c r="CS187" s="5">
        <f t="shared" si="169"/>
        <v>0.18181818181818182</v>
      </c>
      <c r="CT187" s="5">
        <f t="shared" si="170"/>
        <v>0.10347287704587492</v>
      </c>
      <c r="CU187" s="26">
        <f t="shared" si="171"/>
        <v>7.6057136741589142</v>
      </c>
      <c r="CV187" s="5"/>
      <c r="CW187" s="25"/>
      <c r="CX187" s="72">
        <f>MAX(_xll.Dce_c_925(CU187, CQ187, CR187, CN187, CP187, CS187, CT187),0.3)</f>
        <v>0.3</v>
      </c>
      <c r="CY187" s="102" t="str">
        <f t="shared" si="172"/>
        <v>-</v>
      </c>
      <c r="CZ187" s="5" t="str">
        <f t="shared" si="173"/>
        <v>OK</v>
      </c>
      <c r="DA187" s="47">
        <f t="shared" si="174"/>
        <v>0.34499859601035404</v>
      </c>
      <c r="DB187" s="46">
        <f t="shared" si="175"/>
        <v>1.0174055780585691</v>
      </c>
      <c r="DC187" s="5" t="str">
        <f t="shared" si="176"/>
        <v>OK</v>
      </c>
      <c r="DD187" s="5">
        <f t="shared" si="177"/>
        <v>1.2506397644909562</v>
      </c>
      <c r="DE187" s="5">
        <f t="shared" si="178"/>
        <v>4.4677979100191463</v>
      </c>
      <c r="DF187" s="5">
        <f t="shared" si="179"/>
        <v>3.2</v>
      </c>
      <c r="DG187" s="5" t="str">
        <f t="shared" si="180"/>
        <v>Gia cường</v>
      </c>
      <c r="DH187" s="203">
        <f t="shared" si="181"/>
        <v>37.545238889226049</v>
      </c>
      <c r="DI187" s="203" t="str">
        <f t="shared" si="182"/>
        <v>-</v>
      </c>
      <c r="DJ187" s="46">
        <f t="shared" si="183"/>
        <v>0</v>
      </c>
      <c r="DK187" s="5" t="str">
        <f t="shared" si="184"/>
        <v>OK</v>
      </c>
      <c r="EB187" s="18"/>
      <c r="EC187" s="77"/>
      <c r="ED187" s="77"/>
      <c r="EE187" s="18"/>
      <c r="EF187" s="18"/>
      <c r="EG187" s="18"/>
      <c r="EH187" s="5"/>
      <c r="EI187" s="5"/>
      <c r="EJ187" s="5"/>
      <c r="EK187" s="5"/>
      <c r="EL187" s="5"/>
      <c r="FE187" s="26"/>
      <c r="FF187" s="26"/>
      <c r="FG187" s="26"/>
      <c r="FH187" s="26"/>
      <c r="FI187" s="26"/>
      <c r="FJ187" s="26"/>
      <c r="FK187" s="26"/>
      <c r="FL187" s="26"/>
      <c r="FM187" s="26"/>
      <c r="FN187" s="205"/>
      <c r="FO187" s="205"/>
      <c r="FP187" s="205"/>
      <c r="FQ187" s="205"/>
      <c r="FR187" s="205"/>
      <c r="FS187" s="205"/>
      <c r="FT187" s="205"/>
      <c r="FU187" s="77"/>
      <c r="FV187" s="77"/>
      <c r="FW187" s="77"/>
      <c r="FX187" s="205"/>
      <c r="FY187" s="205"/>
      <c r="FZ187" s="205"/>
      <c r="GA187" s="205"/>
      <c r="GB187" s="205"/>
      <c r="GC187" s="205"/>
      <c r="GD187" s="205"/>
      <c r="GE187" s="205"/>
      <c r="GF187" s="205"/>
      <c r="GG187" s="205"/>
      <c r="GH187" s="205"/>
      <c r="GI187" s="205"/>
      <c r="GJ187" s="205"/>
      <c r="GK187" s="205"/>
      <c r="GL187" s="205"/>
      <c r="GM187" s="205"/>
      <c r="GN187" s="205"/>
      <c r="GO187" s="205"/>
      <c r="GP187" s="205"/>
      <c r="GQ187" s="205"/>
      <c r="GR187" s="205"/>
      <c r="GS187" s="205"/>
      <c r="GT187" s="205"/>
      <c r="GU187" s="205"/>
      <c r="GV187" s="18"/>
      <c r="GW187" s="5"/>
      <c r="GX187" s="5"/>
      <c r="GY187" s="77"/>
      <c r="GZ187" s="18"/>
      <c r="HA187" s="18"/>
      <c r="HB187" s="18"/>
      <c r="HC187" s="18"/>
      <c r="HD187" s="18"/>
      <c r="HE187" s="18"/>
      <c r="HF187" s="18"/>
      <c r="HG187" s="18"/>
      <c r="HH187" s="205"/>
      <c r="HI187" s="26"/>
      <c r="HJ187" s="26"/>
      <c r="HK187" s="5"/>
    </row>
    <row r="188" spans="27:219">
      <c r="AA188" s="18" t="s">
        <v>488</v>
      </c>
      <c r="AB188" s="22" t="s">
        <v>491</v>
      </c>
      <c r="AC188" s="59">
        <v>0</v>
      </c>
      <c r="AD188" s="59">
        <v>8.6549999999999994</v>
      </c>
      <c r="AE188" s="22">
        <v>528</v>
      </c>
      <c r="AF188" s="22">
        <v>1528</v>
      </c>
      <c r="AG188" s="22">
        <v>528</v>
      </c>
      <c r="AH188" s="6">
        <v>10</v>
      </c>
      <c r="AI188" s="6">
        <v>300</v>
      </c>
      <c r="AJ188" s="6">
        <v>14</v>
      </c>
      <c r="AK188" s="24">
        <v>300</v>
      </c>
      <c r="AL188" s="24">
        <v>14</v>
      </c>
      <c r="AM188" s="5">
        <f t="shared" si="129"/>
        <v>500</v>
      </c>
      <c r="AN188" s="26">
        <f t="shared" si="130"/>
        <v>134</v>
      </c>
      <c r="AO188" s="26">
        <f t="shared" si="131"/>
        <v>65911.546666666676</v>
      </c>
      <c r="AP188" s="15">
        <f t="shared" si="132"/>
        <v>6304.166666666667</v>
      </c>
      <c r="AQ188" s="5">
        <f t="shared" si="133"/>
        <v>2496.6494949494954</v>
      </c>
      <c r="AR188" s="26">
        <f t="shared" si="134"/>
        <v>420.27777777777777</v>
      </c>
      <c r="AS188" s="26">
        <f t="shared" si="135"/>
        <v>1391.9</v>
      </c>
      <c r="AT188" s="26">
        <f t="shared" si="136"/>
        <v>22.178305028345793</v>
      </c>
      <c r="AU188" s="26">
        <f t="shared" si="137"/>
        <v>6.8590101254115021</v>
      </c>
      <c r="AV188" s="95">
        <f t="shared" si="138"/>
        <v>7.201333333333334E-7</v>
      </c>
      <c r="AW188" s="95">
        <f t="shared" si="139"/>
        <v>4161087</v>
      </c>
      <c r="AX188" s="95">
        <f t="shared" si="140"/>
        <v>4.1610870000000001E-6</v>
      </c>
      <c r="AY188" s="54">
        <f t="shared" si="141"/>
        <v>0.25762202780669918</v>
      </c>
      <c r="AZ188" s="54" t="str">
        <f>_xll.Dce_Name_SectI(AE188,AF188,AI188,AH188,AJ188,"x","-",$O$11)</f>
        <v>(528-1528)x300x10x14</v>
      </c>
      <c r="BA188" s="15">
        <f t="shared" si="142"/>
        <v>385.5</v>
      </c>
      <c r="BB188" s="54"/>
      <c r="BC188" s="54"/>
      <c r="BD188" s="22" t="s">
        <v>497</v>
      </c>
      <c r="BE188" s="23">
        <v>-46.45612817001728</v>
      </c>
      <c r="BF188" s="23">
        <v>-49.321176470220195</v>
      </c>
      <c r="BG188" s="23">
        <v>-1.4510324097986543E-3</v>
      </c>
      <c r="BH188" s="23">
        <v>5.5476178242698483E-5</v>
      </c>
      <c r="BI188" s="23">
        <v>3.8095541094344383E-6</v>
      </c>
      <c r="BJ188" s="23">
        <v>-0.60158451974303939</v>
      </c>
      <c r="BK188" s="23">
        <v>148.28976208121554</v>
      </c>
      <c r="BL188" s="92">
        <v>2.25</v>
      </c>
      <c r="BM188" s="91">
        <v>2</v>
      </c>
      <c r="BN188" s="5">
        <f t="shared" si="143"/>
        <v>19.473749999999999</v>
      </c>
      <c r="BO188" s="54">
        <f>_xll.Bimoment(BH188,AY188,AC188,AD188,$O$101)</f>
        <v>0</v>
      </c>
      <c r="BP188" s="5">
        <f t="shared" si="144"/>
        <v>0.84</v>
      </c>
      <c r="BQ188" s="5">
        <f t="shared" si="145"/>
        <v>0.10542540778990613</v>
      </c>
      <c r="BR188" s="24" t="str">
        <f t="shared" si="146"/>
        <v>Cal</v>
      </c>
      <c r="BS188" s="25">
        <f t="shared" si="147"/>
        <v>1.5167579159986986E-2</v>
      </c>
      <c r="BT188" s="25" t="str">
        <f t="shared" si="148"/>
        <v>CT.105</v>
      </c>
      <c r="BU188" s="25">
        <f t="shared" si="149"/>
        <v>1</v>
      </c>
      <c r="BV188" s="25" cm="1">
        <f t="array" ref="BV188">IF(BT188="CT.104",_xll.TCVN5575AnnexEHeSoCx(1,BP188),1)</f>
        <v>1</v>
      </c>
      <c r="BW188" s="25">
        <f t="shared" si="150"/>
        <v>1</v>
      </c>
      <c r="BX188" s="25">
        <f t="shared" si="151"/>
        <v>1.5965872799986302E-2</v>
      </c>
      <c r="BY188" s="25">
        <f t="shared" si="152"/>
        <v>1.1096691909444267E-3</v>
      </c>
      <c r="BZ188" s="25">
        <f t="shared" si="153"/>
        <v>4.1743818293103563E-8</v>
      </c>
      <c r="CA188" s="25">
        <f t="shared" si="154"/>
        <v>0</v>
      </c>
      <c r="CB188" s="25">
        <f t="shared" si="155"/>
        <v>1.7075583734749024E-2</v>
      </c>
      <c r="CC188" s="5" t="str">
        <f t="shared" si="156"/>
        <v>OK</v>
      </c>
      <c r="CD188" s="5">
        <f t="shared" si="157"/>
        <v>87.805402509844015</v>
      </c>
      <c r="CE188" s="5">
        <f t="shared" si="158"/>
        <v>29.158726455153193</v>
      </c>
      <c r="CF188" s="5">
        <f t="shared" si="159"/>
        <v>2.9248163326364334</v>
      </c>
      <c r="CG188" s="5">
        <f t="shared" si="160"/>
        <v>0.97128328026682387</v>
      </c>
      <c r="CH188" s="5">
        <f t="shared" si="161"/>
        <v>6.9502569940641065E-2</v>
      </c>
      <c r="CI188" s="68">
        <f>_xll.DCETCVN5575PhuLucD2Eta(BP188,CH188,CF188)</f>
        <v>1.5168562526528888</v>
      </c>
      <c r="CJ188" s="5">
        <f t="shared" si="162"/>
        <v>0.10542540778990613</v>
      </c>
      <c r="CK188" s="5">
        <f>MIN(noisuy2chieu(CJ188,CF188,Data!$DA$2:$EB$24),1)</f>
        <v>0.67574566602706909</v>
      </c>
      <c r="CL188" s="102">
        <f t="shared" si="163"/>
        <v>2.3627044319580941E-2</v>
      </c>
      <c r="CM188" s="5" t="str">
        <f t="shared" si="164"/>
        <v>OK</v>
      </c>
      <c r="CN188" s="5">
        <f t="shared" si="165"/>
        <v>0.90492218941026858</v>
      </c>
      <c r="CO188" s="5">
        <f t="shared" si="166"/>
        <v>0.5370345235716667</v>
      </c>
      <c r="CP188" s="25">
        <f>_xll.DCETCVNPhuLucFHeSoOnDinh(1, 0.2, AG188, AH188, AI188, AJ188, AI188, AJ188, $D$28)</f>
        <v>1</v>
      </c>
      <c r="CQ188" s="68">
        <f t="shared" si="167"/>
        <v>0.9</v>
      </c>
      <c r="CR188" s="68">
        <f t="shared" si="168"/>
        <v>1</v>
      </c>
      <c r="CS188" s="5">
        <f t="shared" si="169"/>
        <v>0.18181818181818182</v>
      </c>
      <c r="CT188" s="5">
        <f t="shared" si="170"/>
        <v>9.9510191986788829E-2</v>
      </c>
      <c r="CU188" s="26">
        <f t="shared" si="171"/>
        <v>17.132288518549366</v>
      </c>
      <c r="CV188" s="5"/>
      <c r="CW188" s="25"/>
      <c r="CX188" s="72">
        <f>MAX(_xll.Dce_c_925(CU188, CQ188, CR188, CN188, CP188, CS188, CT188),0.3)</f>
        <v>0.3</v>
      </c>
      <c r="CY188" s="102">
        <f t="shared" si="172"/>
        <v>5.8811217829277854E-2</v>
      </c>
      <c r="CZ188" s="5" t="str">
        <f t="shared" si="173"/>
        <v>OK</v>
      </c>
      <c r="DA188" s="47">
        <f t="shared" si="174"/>
        <v>0.34499859601035404</v>
      </c>
      <c r="DB188" s="46">
        <f t="shared" si="175"/>
        <v>0.45712832802668235</v>
      </c>
      <c r="DC188" s="5" t="str">
        <f t="shared" si="176"/>
        <v>OK</v>
      </c>
      <c r="DD188" s="5">
        <f t="shared" si="177"/>
        <v>2.9248163326364334</v>
      </c>
      <c r="DE188" s="5">
        <f t="shared" si="178"/>
        <v>1.6655104634982609</v>
      </c>
      <c r="DF188" s="5" t="str">
        <f t="shared" si="179"/>
        <v>-</v>
      </c>
      <c r="DG188" s="5" t="str">
        <f t="shared" si="180"/>
        <v>-</v>
      </c>
      <c r="DH188" s="203" t="str">
        <f t="shared" si="181"/>
        <v>-</v>
      </c>
      <c r="DI188" s="203">
        <f t="shared" si="182"/>
        <v>180</v>
      </c>
      <c r="DJ188" s="46">
        <f t="shared" si="183"/>
        <v>0</v>
      </c>
      <c r="DK188" s="5" t="str">
        <f t="shared" si="184"/>
        <v>OK</v>
      </c>
      <c r="EB188" s="18"/>
      <c r="EC188" s="77"/>
      <c r="ED188" s="77"/>
      <c r="EE188" s="18"/>
      <c r="EF188" s="18"/>
      <c r="EG188" s="18"/>
      <c r="EH188" s="5"/>
      <c r="EI188" s="5"/>
      <c r="EJ188" s="5"/>
      <c r="EK188" s="5"/>
      <c r="EL188" s="5"/>
      <c r="FE188" s="26"/>
      <c r="FF188" s="26"/>
      <c r="FG188" s="26"/>
      <c r="FH188" s="26"/>
      <c r="FI188" s="26"/>
      <c r="FJ188" s="26"/>
      <c r="FK188" s="26"/>
      <c r="FL188" s="26"/>
      <c r="FM188" s="26"/>
      <c r="FN188" s="205"/>
      <c r="FO188" s="205"/>
      <c r="FP188" s="205"/>
      <c r="FQ188" s="205"/>
      <c r="FR188" s="205"/>
      <c r="FS188" s="205"/>
      <c r="FT188" s="205"/>
      <c r="FU188" s="77"/>
      <c r="FV188" s="77"/>
      <c r="FW188" s="77"/>
      <c r="FX188" s="205"/>
      <c r="FY188" s="205"/>
      <c r="FZ188" s="205"/>
      <c r="GA188" s="205"/>
      <c r="GB188" s="205"/>
      <c r="GC188" s="205"/>
      <c r="GD188" s="205"/>
      <c r="GE188" s="205"/>
      <c r="GF188" s="205"/>
      <c r="GG188" s="205"/>
      <c r="GH188" s="205"/>
      <c r="GI188" s="205"/>
      <c r="GJ188" s="205"/>
      <c r="GK188" s="205"/>
      <c r="GL188" s="205"/>
      <c r="GM188" s="205"/>
      <c r="GN188" s="205"/>
      <c r="GO188" s="205"/>
      <c r="GP188" s="205"/>
      <c r="GQ188" s="205"/>
      <c r="GR188" s="205"/>
      <c r="GS188" s="205"/>
      <c r="GT188" s="205"/>
      <c r="GU188" s="205"/>
      <c r="GV188" s="18"/>
      <c r="GW188" s="5"/>
      <c r="GX188" s="5"/>
      <c r="GY188" s="77"/>
      <c r="GZ188" s="18"/>
      <c r="HA188" s="18"/>
      <c r="HB188" s="18"/>
      <c r="HC188" s="18"/>
      <c r="HD188" s="18"/>
      <c r="HE188" s="18"/>
      <c r="HF188" s="18"/>
      <c r="HG188" s="18"/>
      <c r="HH188" s="205"/>
      <c r="HI188" s="26"/>
      <c r="HJ188" s="26"/>
      <c r="HK188" s="5"/>
    </row>
    <row r="189" spans="27:219">
      <c r="AA189" s="18" t="s">
        <v>488</v>
      </c>
      <c r="AB189" s="22" t="s">
        <v>491</v>
      </c>
      <c r="AC189" s="59">
        <v>3.6405952380952398</v>
      </c>
      <c r="AD189" s="59">
        <v>8.6549999999999994</v>
      </c>
      <c r="AE189" s="22">
        <v>528</v>
      </c>
      <c r="AF189" s="22">
        <v>1528</v>
      </c>
      <c r="AG189" s="22">
        <v>948.63492063492095</v>
      </c>
      <c r="AH189" s="6">
        <v>10</v>
      </c>
      <c r="AI189" s="6">
        <v>300</v>
      </c>
      <c r="AJ189" s="6">
        <v>14</v>
      </c>
      <c r="AK189" s="24">
        <v>300</v>
      </c>
      <c r="AL189" s="24">
        <v>14</v>
      </c>
      <c r="AM189" s="5">
        <f t="shared" si="129"/>
        <v>920.63492063492095</v>
      </c>
      <c r="AN189" s="26">
        <f t="shared" si="130"/>
        <v>176.06349206349208</v>
      </c>
      <c r="AO189" s="26">
        <f t="shared" si="131"/>
        <v>248482.7399356656</v>
      </c>
      <c r="AP189" s="15">
        <f t="shared" si="132"/>
        <v>6307.6719576719579</v>
      </c>
      <c r="AQ189" s="5">
        <f t="shared" si="133"/>
        <v>5238.7432621467533</v>
      </c>
      <c r="AR189" s="26">
        <f t="shared" si="134"/>
        <v>420.51146384479722</v>
      </c>
      <c r="AS189" s="26">
        <f t="shared" si="135"/>
        <v>3022.1941546989178</v>
      </c>
      <c r="AT189" s="26">
        <f t="shared" si="136"/>
        <v>37.567600585756203</v>
      </c>
      <c r="AU189" s="26">
        <f t="shared" si="137"/>
        <v>5.9854925384629922</v>
      </c>
      <c r="AV189" s="95">
        <f t="shared" si="138"/>
        <v>8.6034497354497351E-7</v>
      </c>
      <c r="AW189" s="95">
        <f t="shared" si="139"/>
        <v>13758293.349206358</v>
      </c>
      <c r="AX189" s="95">
        <f t="shared" si="140"/>
        <v>1.3758293349206359E-5</v>
      </c>
      <c r="AY189" s="54">
        <f t="shared" si="141"/>
        <v>0.1548581140202015</v>
      </c>
      <c r="AZ189" s="54" t="str">
        <f>_xll.Dce_Name_SectI(AE189,AF189,AI189,AH189,AJ189,"x","-",$O$11)</f>
        <v>(528-1528)x300x10x14</v>
      </c>
      <c r="BA189" s="15">
        <f t="shared" si="142"/>
        <v>700.97619047619071</v>
      </c>
      <c r="BB189" s="54"/>
      <c r="BC189" s="54"/>
      <c r="BD189" s="22" t="s">
        <v>497</v>
      </c>
      <c r="BE189" s="23">
        <v>-40.939324983451414</v>
      </c>
      <c r="BF189" s="23">
        <v>-40.701370782502735</v>
      </c>
      <c r="BG189" s="23">
        <v>-1.4510324097981252E-3</v>
      </c>
      <c r="BH189" s="23">
        <v>5.5476178242698483E-5</v>
      </c>
      <c r="BI189" s="23">
        <v>5.2988719021888333E-3</v>
      </c>
      <c r="BJ189" s="23">
        <v>163.61996664089992</v>
      </c>
      <c r="BK189" s="23">
        <v>148.28976208121554</v>
      </c>
      <c r="BL189" s="92">
        <v>2.25</v>
      </c>
      <c r="BM189" s="91">
        <v>2</v>
      </c>
      <c r="BN189" s="5">
        <f t="shared" si="143"/>
        <v>19.473749999999999</v>
      </c>
      <c r="BO189" s="54">
        <f>_xll.Bimoment(BH189,AY189,AC189,AD189,$O$101)</f>
        <v>-4.2664879611966538E-4</v>
      </c>
      <c r="BP189" s="5">
        <f t="shared" si="144"/>
        <v>0.45620689655172403</v>
      </c>
      <c r="BQ189" s="5">
        <f t="shared" si="145"/>
        <v>16.672244228556981</v>
      </c>
      <c r="BR189" s="24" t="str">
        <f t="shared" si="146"/>
        <v>Cal</v>
      </c>
      <c r="BS189" s="25">
        <f t="shared" si="147"/>
        <v>1.017300887897926E-2</v>
      </c>
      <c r="BT189" s="25" t="str">
        <f t="shared" si="148"/>
        <v>CT.105</v>
      </c>
      <c r="BU189" s="25">
        <f t="shared" si="149"/>
        <v>1</v>
      </c>
      <c r="BV189" s="25" cm="1">
        <f t="array" ref="BV189">IF(BT189="CT.104",_xll.TCVN5575AnnexEHeSoCx(1,BP189),1)</f>
        <v>1</v>
      </c>
      <c r="BW189" s="25">
        <f t="shared" si="150"/>
        <v>1</v>
      </c>
      <c r="BX189" s="25">
        <f t="shared" si="151"/>
        <v>1.0708430398925536E-2</v>
      </c>
      <c r="BY189" s="25">
        <f t="shared" si="152"/>
        <v>0.14383468831387719</v>
      </c>
      <c r="BZ189" s="25">
        <f t="shared" si="153"/>
        <v>5.8030997125349267E-5</v>
      </c>
      <c r="CA189" s="25">
        <f t="shared" si="154"/>
        <v>1.0010682290666269E-5</v>
      </c>
      <c r="CB189" s="25">
        <f t="shared" si="155"/>
        <v>0.15461116039221875</v>
      </c>
      <c r="CC189" s="5" t="str">
        <f t="shared" si="156"/>
        <v>OK</v>
      </c>
      <c r="CD189" s="5">
        <f t="shared" si="157"/>
        <v>51.836555160202302</v>
      </c>
      <c r="CE189" s="5">
        <f t="shared" si="158"/>
        <v>33.414125690541383</v>
      </c>
      <c r="CF189" s="5">
        <f t="shared" si="159"/>
        <v>1.7266865002204341</v>
      </c>
      <c r="CG189" s="5">
        <f t="shared" si="160"/>
        <v>1.1130315193248546</v>
      </c>
      <c r="CH189" s="5">
        <f t="shared" si="161"/>
        <v>13.431911396492733</v>
      </c>
      <c r="CI189" s="68">
        <f>_xll.DCETCVN5575PhuLucD2Eta(BP189,CH189,CF189)</f>
        <v>1.2412413793103447</v>
      </c>
      <c r="CJ189" s="5">
        <f t="shared" si="162"/>
        <v>16.672244228556981</v>
      </c>
      <c r="CK189" s="5">
        <f>MIN(noisuy2chieu(CJ189,CF189,Data!$DA$2:$EB$24),1)</f>
        <v>8.2398101687431335E-2</v>
      </c>
      <c r="CL189" s="102">
        <f t="shared" si="163"/>
        <v>0.12995967358018584</v>
      </c>
      <c r="CM189" s="5" t="str">
        <f t="shared" si="164"/>
        <v>OK</v>
      </c>
      <c r="CN189" s="5">
        <f t="shared" si="165"/>
        <v>0.88472625978979058</v>
      </c>
      <c r="CO189" s="5">
        <f t="shared" si="166"/>
        <v>0.5370345235716667</v>
      </c>
      <c r="CP189" s="25">
        <f>_xll.DCETCVNPhuLucFHeSoOnDinh(1, 0.2, AG189, AH189, AI189, AJ189, AI189, AJ189, $D$28)</f>
        <v>1</v>
      </c>
      <c r="CQ189" s="68">
        <f t="shared" si="167"/>
        <v>0.9</v>
      </c>
      <c r="CR189" s="68">
        <f t="shared" si="168"/>
        <v>1</v>
      </c>
      <c r="CS189" s="5">
        <f t="shared" si="169"/>
        <v>0.18181818181818182</v>
      </c>
      <c r="CT189" s="5">
        <f t="shared" si="170"/>
        <v>0.10155106457844131</v>
      </c>
      <c r="CU189" s="26">
        <f t="shared" si="171"/>
        <v>12.173422267304041</v>
      </c>
      <c r="CV189" s="5"/>
      <c r="CW189" s="25"/>
      <c r="CX189" s="72">
        <f>MAX(_xll.Dce_c_925(CU189, CQ189, CR189, CN189, CP189, CS189, CT189),0.3)</f>
        <v>0.3</v>
      </c>
      <c r="CY189" s="102">
        <f t="shared" si="172"/>
        <v>4.0345550503835474E-2</v>
      </c>
      <c r="CZ189" s="5" t="str">
        <f t="shared" si="173"/>
        <v>OK</v>
      </c>
      <c r="DA189" s="47">
        <f t="shared" si="174"/>
        <v>0.34499859601035404</v>
      </c>
      <c r="DB189" s="46">
        <f t="shared" si="175"/>
        <v>0.47130315193248545</v>
      </c>
      <c r="DC189" s="5" t="str">
        <f t="shared" si="176"/>
        <v>OK</v>
      </c>
      <c r="DD189" s="5">
        <f t="shared" si="177"/>
        <v>1.7266865002204341</v>
      </c>
      <c r="DE189" s="5">
        <f t="shared" si="178"/>
        <v>3.0666541867587034</v>
      </c>
      <c r="DF189" s="5" t="str">
        <f t="shared" si="179"/>
        <v>-</v>
      </c>
      <c r="DG189" s="5" t="str">
        <f t="shared" si="180"/>
        <v>-</v>
      </c>
      <c r="DH189" s="203">
        <f t="shared" si="181"/>
        <v>51.836555160202302</v>
      </c>
      <c r="DI189" s="203">
        <f t="shared" si="182"/>
        <v>180</v>
      </c>
      <c r="DJ189" s="46">
        <f t="shared" si="183"/>
        <v>0.28798086200112388</v>
      </c>
      <c r="DK189" s="5" t="str">
        <f t="shared" si="184"/>
        <v>OK</v>
      </c>
      <c r="EB189" s="18"/>
      <c r="EC189" s="77"/>
      <c r="ED189" s="77"/>
      <c r="EE189" s="18"/>
      <c r="EF189" s="18"/>
      <c r="EG189" s="18"/>
      <c r="EH189" s="5"/>
      <c r="EI189" s="5"/>
      <c r="EJ189" s="5"/>
      <c r="EK189" s="5"/>
      <c r="EL189" s="5"/>
      <c r="FE189" s="26"/>
      <c r="FF189" s="26"/>
      <c r="FG189" s="26"/>
      <c r="FH189" s="26"/>
      <c r="FI189" s="26"/>
      <c r="FJ189" s="26"/>
      <c r="FK189" s="26"/>
      <c r="FL189" s="26"/>
      <c r="FM189" s="26"/>
      <c r="FN189" s="205"/>
      <c r="FO189" s="205"/>
      <c r="FP189" s="205"/>
      <c r="FQ189" s="205"/>
      <c r="FR189" s="205"/>
      <c r="FS189" s="205"/>
      <c r="FT189" s="205"/>
      <c r="FU189" s="77"/>
      <c r="FV189" s="77"/>
      <c r="FW189" s="77"/>
      <c r="FX189" s="205"/>
      <c r="FY189" s="205"/>
      <c r="FZ189" s="205"/>
      <c r="GA189" s="205"/>
      <c r="GB189" s="205"/>
      <c r="GC189" s="205"/>
      <c r="GD189" s="205"/>
      <c r="GE189" s="205"/>
      <c r="GF189" s="205"/>
      <c r="GG189" s="205"/>
      <c r="GH189" s="205"/>
      <c r="GI189" s="205"/>
      <c r="GJ189" s="205"/>
      <c r="GK189" s="205"/>
      <c r="GL189" s="205"/>
      <c r="GM189" s="205"/>
      <c r="GN189" s="205"/>
      <c r="GO189" s="205"/>
      <c r="GP189" s="205"/>
      <c r="GQ189" s="205"/>
      <c r="GR189" s="205"/>
      <c r="GS189" s="205"/>
      <c r="GT189" s="205"/>
      <c r="GU189" s="205"/>
      <c r="GV189" s="18"/>
      <c r="GW189" s="5"/>
      <c r="GX189" s="5"/>
      <c r="GY189" s="77"/>
      <c r="GZ189" s="18"/>
      <c r="HA189" s="18"/>
      <c r="HB189" s="18"/>
      <c r="HC189" s="18"/>
      <c r="HD189" s="18"/>
      <c r="HE189" s="18"/>
      <c r="HF189" s="18"/>
      <c r="HG189" s="18"/>
      <c r="HH189" s="205"/>
      <c r="HI189" s="26"/>
      <c r="HJ189" s="26"/>
      <c r="HK189" s="5"/>
    </row>
    <row r="190" spans="27:219">
      <c r="AA190" s="18" t="s">
        <v>488</v>
      </c>
      <c r="AB190" s="22" t="s">
        <v>491</v>
      </c>
      <c r="AC190" s="59">
        <v>7.2811904761904795</v>
      </c>
      <c r="AD190" s="59">
        <v>8.6549999999999994</v>
      </c>
      <c r="AE190" s="22">
        <v>528</v>
      </c>
      <c r="AF190" s="22">
        <v>1528</v>
      </c>
      <c r="AG190" s="22">
        <v>1369.2698412698419</v>
      </c>
      <c r="AH190" s="6">
        <v>10</v>
      </c>
      <c r="AI190" s="6">
        <v>300</v>
      </c>
      <c r="AJ190" s="6">
        <v>14</v>
      </c>
      <c r="AK190" s="24">
        <v>300</v>
      </c>
      <c r="AL190" s="24">
        <v>14</v>
      </c>
      <c r="AM190" s="5">
        <f t="shared" si="129"/>
        <v>1341.2698412698419</v>
      </c>
      <c r="AN190" s="26">
        <f t="shared" si="130"/>
        <v>218.12698412698418</v>
      </c>
      <c r="AO190" s="26">
        <f t="shared" si="131"/>
        <v>586811.79072745051</v>
      </c>
      <c r="AP190" s="15">
        <f t="shared" si="132"/>
        <v>6311.1772486772488</v>
      </c>
      <c r="AQ190" s="5">
        <f t="shared" si="133"/>
        <v>8571.1635945074104</v>
      </c>
      <c r="AR190" s="26">
        <f t="shared" si="134"/>
        <v>420.74514991181661</v>
      </c>
      <c r="AS190" s="26">
        <f t="shared" si="135"/>
        <v>5094.8226505417015</v>
      </c>
      <c r="AT190" s="26">
        <f t="shared" si="136"/>
        <v>51.867428670398397</v>
      </c>
      <c r="AU190" s="26">
        <f t="shared" si="137"/>
        <v>5.3789869588463937</v>
      </c>
      <c r="AV190" s="95">
        <f t="shared" si="138"/>
        <v>1.0005566137566139E-6</v>
      </c>
      <c r="AW190" s="95">
        <f t="shared" si="139"/>
        <v>28928912.396825422</v>
      </c>
      <c r="AX190" s="95">
        <f t="shared" si="140"/>
        <v>2.8928912396825422E-5</v>
      </c>
      <c r="AY190" s="54">
        <f t="shared" si="141"/>
        <v>0.11516876660535029</v>
      </c>
      <c r="AZ190" s="54" t="str">
        <f>_xll.Dce_Name_SectI(AE190,AF190,AI190,AH190,AJ190,"x","-",$O$11)</f>
        <v>(528-1528)x300x10x14</v>
      </c>
      <c r="BA190" s="15">
        <f t="shared" si="142"/>
        <v>1016.4523809523813</v>
      </c>
      <c r="BB190" s="54"/>
      <c r="BC190" s="54"/>
      <c r="BD190" s="22" t="s">
        <v>497</v>
      </c>
      <c r="BE190" s="23">
        <v>-33.881086046393179</v>
      </c>
      <c r="BF190" s="23">
        <v>-32.187415625377284</v>
      </c>
      <c r="BG190" s="23">
        <v>-1.4510324097976026E-3</v>
      </c>
      <c r="BH190" s="23">
        <v>5.5476178242698483E-5</v>
      </c>
      <c r="BI190" s="23">
        <v>1.059393425026631E-2</v>
      </c>
      <c r="BJ190" s="23">
        <v>296.57952416243108</v>
      </c>
      <c r="BK190" s="23">
        <v>148.28976208121554</v>
      </c>
      <c r="BL190" s="92">
        <v>2.25</v>
      </c>
      <c r="BM190" s="91">
        <v>2</v>
      </c>
      <c r="BN190" s="5">
        <f t="shared" si="143"/>
        <v>19.473749999999999</v>
      </c>
      <c r="BO190" s="54">
        <f>_xll.Bimoment(BH190,AY190,AC190,AD190,$O$101)</f>
        <v>-2.5378523131813698E-4</v>
      </c>
      <c r="BP190" s="5">
        <f t="shared" si="144"/>
        <v>0.31313609467455605</v>
      </c>
      <c r="BQ190" s="5">
        <f t="shared" si="145"/>
        <v>27.01349418627353</v>
      </c>
      <c r="BR190" s="24" t="str">
        <f t="shared" si="146"/>
        <v>Cal</v>
      </c>
      <c r="BS190" s="25">
        <f t="shared" si="147"/>
        <v>6.7955714899848047E-3</v>
      </c>
      <c r="BT190" s="25" t="str">
        <f t="shared" si="148"/>
        <v>CT.105</v>
      </c>
      <c r="BU190" s="25">
        <f t="shared" si="149"/>
        <v>1</v>
      </c>
      <c r="BV190" s="25" cm="1">
        <f t="array" ref="BV190">IF(BT190="CT.104",_xll.TCVN5575AnnexEHeSoCx(1,BP190),1)</f>
        <v>1</v>
      </c>
      <c r="BW190" s="25">
        <f t="shared" si="150"/>
        <v>1</v>
      </c>
      <c r="BX190" s="25">
        <f t="shared" si="151"/>
        <v>7.1532331473524256E-3</v>
      </c>
      <c r="BY190" s="25">
        <f t="shared" si="152"/>
        <v>0.15935138105244517</v>
      </c>
      <c r="BZ190" s="25">
        <f t="shared" si="153"/>
        <v>1.1595583480911433E-4</v>
      </c>
      <c r="CA190" s="25">
        <f t="shared" si="154"/>
        <v>4.1065368900021406E-6</v>
      </c>
      <c r="CB190" s="25">
        <f t="shared" si="155"/>
        <v>0.16662467657149671</v>
      </c>
      <c r="CC190" s="5" t="str">
        <f t="shared" si="156"/>
        <v>OK</v>
      </c>
      <c r="CD190" s="5">
        <f t="shared" si="157"/>
        <v>37.545238889226049</v>
      </c>
      <c r="CE190" s="5">
        <f t="shared" si="158"/>
        <v>37.181722419139881</v>
      </c>
      <c r="CF190" s="5">
        <f t="shared" si="159"/>
        <v>1.2506397644909562</v>
      </c>
      <c r="CG190" s="5">
        <f t="shared" si="160"/>
        <v>1.2385309547993069</v>
      </c>
      <c r="CH190" s="5">
        <f t="shared" si="161"/>
        <v>22.276833114467227</v>
      </c>
      <c r="CI190" s="68">
        <f>_xll.DCETCVN5575PhuLucD2Eta(BP190,CH190,CF190)</f>
        <v>1.2126272189349112</v>
      </c>
      <c r="CJ190" s="5">
        <f t="shared" si="162"/>
        <v>27.01349418627353</v>
      </c>
      <c r="CK190" s="5">
        <f>MIN(noisuy2chieu(CJ190,CF190,Data!$DA$2:$EB$24),1)</f>
        <v>7.1994885802268982E-2</v>
      </c>
      <c r="CL190" s="102">
        <f t="shared" si="163"/>
        <v>9.9357517796451397E-2</v>
      </c>
      <c r="CM190" s="5" t="str">
        <f t="shared" si="164"/>
        <v>OK</v>
      </c>
      <c r="CN190" s="5">
        <f t="shared" si="165"/>
        <v>0.86643683692746631</v>
      </c>
      <c r="CO190" s="5">
        <f t="shared" si="166"/>
        <v>0.5370345235716667</v>
      </c>
      <c r="CP190" s="25">
        <f>_xll.DCETCVNPhuLucFHeSoOnDinh(1, 0.2, AG190, AH190, AI190, AJ190, AI190, AJ190, $D$28)</f>
        <v>1</v>
      </c>
      <c r="CQ190" s="68">
        <f t="shared" si="167"/>
        <v>0.9</v>
      </c>
      <c r="CR190" s="68">
        <f t="shared" si="168"/>
        <v>1</v>
      </c>
      <c r="CS190" s="5">
        <f t="shared" si="169"/>
        <v>0.18181818181818182</v>
      </c>
      <c r="CT190" s="5">
        <f t="shared" si="170"/>
        <v>0.10347287704587492</v>
      </c>
      <c r="CU190" s="26">
        <f t="shared" si="171"/>
        <v>11.138416557233613</v>
      </c>
      <c r="CV190" s="5"/>
      <c r="CW190" s="25"/>
      <c r="CX190" s="72">
        <f>MAX(_xll.Dce_c_925(CU190, CQ190, CR190, CN190, CP190, CS190, CT190),0.3)</f>
        <v>0.3</v>
      </c>
      <c r="CY190" s="102">
        <f t="shared" si="172"/>
        <v>2.7519733089523369E-2</v>
      </c>
      <c r="CZ190" s="5" t="str">
        <f t="shared" si="173"/>
        <v>OK</v>
      </c>
      <c r="DA190" s="47">
        <f t="shared" si="174"/>
        <v>0.34499859601035404</v>
      </c>
      <c r="DB190" s="46">
        <f t="shared" si="175"/>
        <v>0.48385309547993066</v>
      </c>
      <c r="DC190" s="5" t="str">
        <f t="shared" si="176"/>
        <v>OK</v>
      </c>
      <c r="DD190" s="5">
        <f t="shared" si="177"/>
        <v>1.2506397644909562</v>
      </c>
      <c r="DE190" s="5">
        <f t="shared" si="178"/>
        <v>4.4677979100191463</v>
      </c>
      <c r="DF190" s="5" t="str">
        <f t="shared" si="179"/>
        <v>-</v>
      </c>
      <c r="DG190" s="5" t="str">
        <f t="shared" si="180"/>
        <v>-</v>
      </c>
      <c r="DH190" s="203">
        <f t="shared" si="181"/>
        <v>37.545238889226049</v>
      </c>
      <c r="DI190" s="203">
        <f t="shared" si="182"/>
        <v>180</v>
      </c>
      <c r="DJ190" s="46">
        <f t="shared" si="183"/>
        <v>0.20858466049570026</v>
      </c>
      <c r="DK190" s="5" t="str">
        <f t="shared" si="184"/>
        <v>OK</v>
      </c>
      <c r="EB190" s="18"/>
      <c r="EC190" s="77"/>
      <c r="ED190" s="77"/>
      <c r="EE190" s="18"/>
      <c r="EF190" s="18"/>
      <c r="EG190" s="18"/>
      <c r="EH190" s="5"/>
      <c r="EI190" s="5"/>
      <c r="EJ190" s="5"/>
      <c r="EK190" s="5"/>
      <c r="EL190" s="5"/>
      <c r="FE190" s="26"/>
      <c r="FF190" s="26"/>
      <c r="FG190" s="26"/>
      <c r="FH190" s="26"/>
      <c r="FI190" s="26"/>
      <c r="FJ190" s="26"/>
      <c r="FK190" s="26"/>
      <c r="FL190" s="26"/>
      <c r="FM190" s="26"/>
      <c r="FN190" s="205"/>
      <c r="FO190" s="205"/>
      <c r="FP190" s="205"/>
      <c r="FQ190" s="205"/>
      <c r="FR190" s="205"/>
      <c r="FS190" s="205"/>
      <c r="FT190" s="205"/>
      <c r="FU190" s="77"/>
      <c r="FV190" s="77"/>
      <c r="FW190" s="77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18"/>
      <c r="GW190" s="5"/>
      <c r="GX190" s="5"/>
      <c r="GY190" s="77"/>
      <c r="GZ190" s="18"/>
      <c r="HA190" s="18"/>
      <c r="HB190" s="18"/>
      <c r="HC190" s="18"/>
      <c r="HD190" s="18"/>
      <c r="HE190" s="18"/>
      <c r="HF190" s="18"/>
      <c r="HG190" s="18"/>
      <c r="HH190" s="205"/>
      <c r="HI190" s="26"/>
      <c r="HJ190" s="26"/>
      <c r="HK190" s="5"/>
    </row>
    <row r="191" spans="27:219">
      <c r="AA191" s="18" t="s">
        <v>488</v>
      </c>
      <c r="AB191" s="22" t="s">
        <v>491</v>
      </c>
      <c r="AC191" s="59">
        <v>0</v>
      </c>
      <c r="AD191" s="59">
        <v>8.6549999999999994</v>
      </c>
      <c r="AE191" s="22">
        <v>528</v>
      </c>
      <c r="AF191" s="22">
        <v>1528</v>
      </c>
      <c r="AG191" s="22">
        <v>528</v>
      </c>
      <c r="AH191" s="6">
        <v>10</v>
      </c>
      <c r="AI191" s="6">
        <v>300</v>
      </c>
      <c r="AJ191" s="6">
        <v>14</v>
      </c>
      <c r="AK191" s="24">
        <v>300</v>
      </c>
      <c r="AL191" s="24">
        <v>14</v>
      </c>
      <c r="AM191" s="5">
        <f t="shared" si="129"/>
        <v>500</v>
      </c>
      <c r="AN191" s="26">
        <f t="shared" si="130"/>
        <v>134</v>
      </c>
      <c r="AO191" s="26">
        <f t="shared" si="131"/>
        <v>65911.546666666676</v>
      </c>
      <c r="AP191" s="15">
        <f t="shared" si="132"/>
        <v>6304.166666666667</v>
      </c>
      <c r="AQ191" s="5">
        <f t="shared" si="133"/>
        <v>2496.6494949494954</v>
      </c>
      <c r="AR191" s="26">
        <f t="shared" si="134"/>
        <v>420.27777777777777</v>
      </c>
      <c r="AS191" s="26">
        <f t="shared" si="135"/>
        <v>1391.9</v>
      </c>
      <c r="AT191" s="26">
        <f t="shared" si="136"/>
        <v>22.178305028345793</v>
      </c>
      <c r="AU191" s="26">
        <f t="shared" si="137"/>
        <v>6.8590101254115021</v>
      </c>
      <c r="AV191" s="95">
        <f t="shared" si="138"/>
        <v>7.201333333333334E-7</v>
      </c>
      <c r="AW191" s="95">
        <f t="shared" si="139"/>
        <v>4161087</v>
      </c>
      <c r="AX191" s="95">
        <f t="shared" si="140"/>
        <v>4.1610870000000001E-6</v>
      </c>
      <c r="AY191" s="54">
        <f t="shared" si="141"/>
        <v>0.25762202780669918</v>
      </c>
      <c r="AZ191" s="54" t="str">
        <f>_xll.Dce_Name_SectI(AE191,AF191,AI191,AH191,AJ191,"x","-",$O$11)</f>
        <v>(528-1528)x300x10x14</v>
      </c>
      <c r="BA191" s="15">
        <f t="shared" si="142"/>
        <v>385.5</v>
      </c>
      <c r="BB191" s="54"/>
      <c r="BC191" s="54"/>
      <c r="BD191" s="22" t="s">
        <v>498</v>
      </c>
      <c r="BE191" s="23">
        <v>29.306860894112873</v>
      </c>
      <c r="BF191" s="23">
        <v>37.010188713009711</v>
      </c>
      <c r="BG191" s="23">
        <v>1.6996710631500586E-3</v>
      </c>
      <c r="BH191" s="23">
        <v>-6.2478673970757561E-5</v>
      </c>
      <c r="BI191" s="23">
        <v>-4.2904161195130463E-6</v>
      </c>
      <c r="BJ191" s="23">
        <v>0.37386980296572014</v>
      </c>
      <c r="BK191" s="23">
        <v>-209.83818296914012</v>
      </c>
      <c r="BL191" s="92">
        <v>2.25</v>
      </c>
      <c r="BM191" s="91">
        <v>2</v>
      </c>
      <c r="BN191" s="5">
        <f t="shared" si="143"/>
        <v>19.473749999999999</v>
      </c>
      <c r="BO191" s="54">
        <f>_xll.Bimoment(BH191,AY191,AC191,AD191,$O$101)</f>
        <v>0</v>
      </c>
      <c r="BP191" s="5">
        <f t="shared" si="144"/>
        <v>0.84</v>
      </c>
      <c r="BQ191" s="5">
        <f t="shared" si="145"/>
        <v>0.10386159992198751</v>
      </c>
      <c r="BR191" s="24" t="str">
        <f t="shared" si="146"/>
        <v>Cal</v>
      </c>
      <c r="BS191" s="25">
        <f t="shared" si="147"/>
        <v>9.5684713740107324E-3</v>
      </c>
      <c r="BT191" s="25" t="str">
        <f t="shared" si="148"/>
        <v>CT.105</v>
      </c>
      <c r="BU191" s="25">
        <f t="shared" si="149"/>
        <v>1</v>
      </c>
      <c r="BV191" s="25" cm="1">
        <f t="array" ref="BV191">IF(BT191="CT.104",_xll.TCVN5575AnnexEHeSoCx(1,BP191),1)</f>
        <v>1</v>
      </c>
      <c r="BW191" s="25">
        <f t="shared" si="150"/>
        <v>1</v>
      </c>
      <c r="BX191" s="25">
        <f t="shared" si="151"/>
        <v>1.0072075130537613E-2</v>
      </c>
      <c r="BY191" s="25">
        <f t="shared" si="152"/>
        <v>6.8963177768060103E-4</v>
      </c>
      <c r="BZ191" s="25">
        <f t="shared" si="153"/>
        <v>4.7012943181779303E-8</v>
      </c>
      <c r="CA191" s="25">
        <f t="shared" si="154"/>
        <v>0</v>
      </c>
      <c r="CB191" s="25">
        <f t="shared" si="155"/>
        <v>1.0761753921161398E-2</v>
      </c>
      <c r="CC191" s="5" t="str">
        <f t="shared" si="156"/>
        <v>OK</v>
      </c>
      <c r="CD191" s="5">
        <f t="shared" si="157"/>
        <v>87.805402509844015</v>
      </c>
      <c r="CE191" s="5">
        <f t="shared" si="158"/>
        <v>29.158726455153193</v>
      </c>
      <c r="CF191" s="5">
        <f t="shared" si="159"/>
        <v>2.9248163326364334</v>
      </c>
      <c r="CG191" s="5">
        <f t="shared" si="160"/>
        <v>0.97128328026682387</v>
      </c>
      <c r="CH191" s="5">
        <f t="shared" si="161"/>
        <v>6.8469681643825359E-2</v>
      </c>
      <c r="CI191" s="68">
        <f>_xll.DCETCVN5575PhuLucD2Eta(BP191,CH191,CF191)</f>
        <v>1.5168991213113641</v>
      </c>
      <c r="CJ191" s="5">
        <f t="shared" si="162"/>
        <v>0.10386159992198751</v>
      </c>
      <c r="CK191" s="5">
        <f>MIN(noisuy2chieu(CJ191,CF191,Data!$DA$2:$EB$24),1)</f>
        <v>0.67647546529769897</v>
      </c>
      <c r="CL191" s="102" t="str">
        <f t="shared" si="163"/>
        <v>-</v>
      </c>
      <c r="CM191" s="5" t="str">
        <f t="shared" si="164"/>
        <v>OK</v>
      </c>
      <c r="CN191" s="5">
        <f t="shared" si="165"/>
        <v>0.90492218941026858</v>
      </c>
      <c r="CO191" s="5">
        <f t="shared" si="166"/>
        <v>0.5370345235716667</v>
      </c>
      <c r="CP191" s="25">
        <f>_xll.DCETCVNPhuLucFHeSoOnDinh(1, 0.2, AG191, AH191, AI191, AJ191, AI191, AJ191, $D$28)</f>
        <v>1</v>
      </c>
      <c r="CQ191" s="68">
        <f t="shared" si="167"/>
        <v>0.9</v>
      </c>
      <c r="CR191" s="68">
        <f t="shared" si="168"/>
        <v>1</v>
      </c>
      <c r="CS191" s="5">
        <f t="shared" si="169"/>
        <v>0.18181818181818182</v>
      </c>
      <c r="CT191" s="5">
        <f t="shared" si="170"/>
        <v>9.9510191986788829E-2</v>
      </c>
      <c r="CU191" s="26">
        <f t="shared" si="171"/>
        <v>38.42929669806243</v>
      </c>
      <c r="CV191" s="5"/>
      <c r="CW191" s="25"/>
      <c r="CX191" s="72">
        <f>MAX(_xll.Dce_c_925(CU191, CQ191, CR191, CN191, CP191, CS191, CT191),0.3)</f>
        <v>0.3</v>
      </c>
      <c r="CY191" s="102" t="str">
        <f t="shared" si="172"/>
        <v>-</v>
      </c>
      <c r="CZ191" s="5" t="str">
        <f t="shared" si="173"/>
        <v>OK</v>
      </c>
      <c r="DA191" s="47">
        <f t="shared" si="174"/>
        <v>0.34499859601035404</v>
      </c>
      <c r="DB191" s="46">
        <f t="shared" si="175"/>
        <v>19.533711375694917</v>
      </c>
      <c r="DC191" s="5" t="str">
        <f t="shared" si="176"/>
        <v>OK</v>
      </c>
      <c r="DD191" s="5">
        <f t="shared" si="177"/>
        <v>2.9248163326364334</v>
      </c>
      <c r="DE191" s="5">
        <f t="shared" si="178"/>
        <v>1.6655104634982609</v>
      </c>
      <c r="DF191" s="5">
        <f t="shared" si="179"/>
        <v>3.2</v>
      </c>
      <c r="DG191" s="5" t="str">
        <f t="shared" si="180"/>
        <v>OK</v>
      </c>
      <c r="DH191" s="203" t="str">
        <f t="shared" si="181"/>
        <v>-</v>
      </c>
      <c r="DI191" s="203" t="str">
        <f t="shared" si="182"/>
        <v>-</v>
      </c>
      <c r="DJ191" s="46">
        <f t="shared" si="183"/>
        <v>0</v>
      </c>
      <c r="DK191" s="5" t="str">
        <f t="shared" si="184"/>
        <v>OK</v>
      </c>
      <c r="EB191" s="18"/>
      <c r="EC191" s="77"/>
      <c r="ED191" s="77"/>
      <c r="EE191" s="18"/>
      <c r="EF191" s="18"/>
      <c r="EG191" s="18"/>
      <c r="EH191" s="5"/>
      <c r="EI191" s="5"/>
      <c r="EJ191" s="5"/>
      <c r="EK191" s="5"/>
      <c r="EL191" s="5"/>
      <c r="FE191" s="26"/>
      <c r="FF191" s="26"/>
      <c r="FG191" s="26"/>
      <c r="FH191" s="26"/>
      <c r="FI191" s="26"/>
      <c r="FJ191" s="26"/>
      <c r="FK191" s="26"/>
      <c r="FL191" s="26"/>
      <c r="FM191" s="26"/>
      <c r="FN191" s="205"/>
      <c r="FO191" s="205"/>
      <c r="FP191" s="205"/>
      <c r="FQ191" s="205"/>
      <c r="FR191" s="205"/>
      <c r="FS191" s="205"/>
      <c r="FT191" s="205"/>
      <c r="FU191" s="77"/>
      <c r="FV191" s="77"/>
      <c r="FW191" s="77"/>
      <c r="FX191" s="205"/>
      <c r="FY191" s="205"/>
      <c r="FZ191" s="205"/>
      <c r="GA191" s="205"/>
      <c r="GB191" s="205"/>
      <c r="GC191" s="205"/>
      <c r="GD191" s="205"/>
      <c r="GE191" s="205"/>
      <c r="GF191" s="205"/>
      <c r="GG191" s="205"/>
      <c r="GH191" s="205"/>
      <c r="GI191" s="205"/>
      <c r="GJ191" s="205"/>
      <c r="GK191" s="205"/>
      <c r="GL191" s="205"/>
      <c r="GM191" s="205"/>
      <c r="GN191" s="205"/>
      <c r="GO191" s="205"/>
      <c r="GP191" s="205"/>
      <c r="GQ191" s="205"/>
      <c r="GR191" s="205"/>
      <c r="GS191" s="205"/>
      <c r="GT191" s="205"/>
      <c r="GU191" s="205"/>
      <c r="GV191" s="18"/>
      <c r="GW191" s="5"/>
      <c r="GX191" s="5"/>
      <c r="GY191" s="77"/>
      <c r="GZ191" s="18"/>
      <c r="HA191" s="18"/>
      <c r="HB191" s="18"/>
      <c r="HC191" s="18"/>
      <c r="HD191" s="18"/>
      <c r="HE191" s="18"/>
      <c r="HF191" s="18"/>
      <c r="HG191" s="18"/>
      <c r="HH191" s="205"/>
      <c r="HI191" s="26"/>
      <c r="HJ191" s="26"/>
      <c r="HK191" s="5"/>
    </row>
    <row r="192" spans="27:219">
      <c r="AA192" s="18" t="s">
        <v>488</v>
      </c>
      <c r="AB192" s="22" t="s">
        <v>491</v>
      </c>
      <c r="AC192" s="59">
        <v>3.6405952380952398</v>
      </c>
      <c r="AD192" s="59">
        <v>8.6549999999999994</v>
      </c>
      <c r="AE192" s="22">
        <v>528</v>
      </c>
      <c r="AF192" s="22">
        <v>1528</v>
      </c>
      <c r="AG192" s="22">
        <v>948.63492063492095</v>
      </c>
      <c r="AH192" s="6">
        <v>10</v>
      </c>
      <c r="AI192" s="6">
        <v>300</v>
      </c>
      <c r="AJ192" s="6">
        <v>14</v>
      </c>
      <c r="AK192" s="24">
        <v>300</v>
      </c>
      <c r="AL192" s="24">
        <v>14</v>
      </c>
      <c r="AM192" s="5">
        <f t="shared" si="129"/>
        <v>920.63492063492095</v>
      </c>
      <c r="AN192" s="26">
        <f t="shared" si="130"/>
        <v>176.06349206349208</v>
      </c>
      <c r="AO192" s="26">
        <f t="shared" si="131"/>
        <v>248482.7399356656</v>
      </c>
      <c r="AP192" s="15">
        <f t="shared" si="132"/>
        <v>6307.6719576719579</v>
      </c>
      <c r="AQ192" s="5">
        <f t="shared" si="133"/>
        <v>5238.7432621467533</v>
      </c>
      <c r="AR192" s="26">
        <f t="shared" si="134"/>
        <v>420.51146384479722</v>
      </c>
      <c r="AS192" s="26">
        <f t="shared" si="135"/>
        <v>3022.1941546989178</v>
      </c>
      <c r="AT192" s="26">
        <f t="shared" si="136"/>
        <v>37.567600585756203</v>
      </c>
      <c r="AU192" s="26">
        <f t="shared" si="137"/>
        <v>5.9854925384629922</v>
      </c>
      <c r="AV192" s="95">
        <f t="shared" si="138"/>
        <v>8.6034497354497351E-7</v>
      </c>
      <c r="AW192" s="95">
        <f t="shared" si="139"/>
        <v>13758293.349206358</v>
      </c>
      <c r="AX192" s="95">
        <f t="shared" si="140"/>
        <v>1.3758293349206359E-5</v>
      </c>
      <c r="AY192" s="54">
        <f t="shared" si="141"/>
        <v>0.1548581140202015</v>
      </c>
      <c r="AZ192" s="54" t="str">
        <f>_xll.Dce_Name_SectI(AE192,AF192,AI192,AH192,AJ192,"x","-",$O$11)</f>
        <v>(528-1528)x300x10x14</v>
      </c>
      <c r="BA192" s="15">
        <f t="shared" si="142"/>
        <v>700.97619047619071</v>
      </c>
      <c r="BB192" s="54"/>
      <c r="BC192" s="54"/>
      <c r="BD192" s="22" t="s">
        <v>498</v>
      </c>
      <c r="BE192" s="23">
        <v>35.643714080678734</v>
      </c>
      <c r="BF192" s="23">
        <v>57.571874900727209</v>
      </c>
      <c r="BG192" s="23">
        <v>1.6996710631513208E-3</v>
      </c>
      <c r="BH192" s="23">
        <v>-6.2478673970757561E-5</v>
      </c>
      <c r="BI192" s="23">
        <v>-6.2066772062669287E-3</v>
      </c>
      <c r="BJ192" s="23">
        <v>-172.23128176202374</v>
      </c>
      <c r="BK192" s="23">
        <v>-209.83818296914012</v>
      </c>
      <c r="BL192" s="92">
        <v>2.25</v>
      </c>
      <c r="BM192" s="91">
        <v>2</v>
      </c>
      <c r="BN192" s="5">
        <f t="shared" si="143"/>
        <v>19.473749999999999</v>
      </c>
      <c r="BO192" s="54">
        <f>_xll.Bimoment(BH192,AY192,AC192,AD192,$O$101)</f>
        <v>4.8050265676484639E-4</v>
      </c>
      <c r="BP192" s="5">
        <f t="shared" si="144"/>
        <v>0.45620689655172403</v>
      </c>
      <c r="BQ192" s="5">
        <f t="shared" si="145"/>
        <v>20.15707556090651</v>
      </c>
      <c r="BR192" s="24" t="str">
        <f t="shared" si="146"/>
        <v>Cal</v>
      </c>
      <c r="BS192" s="25">
        <f t="shared" si="147"/>
        <v>8.857103041369524E-3</v>
      </c>
      <c r="BT192" s="25" t="str">
        <f t="shared" si="148"/>
        <v>CT.105</v>
      </c>
      <c r="BU192" s="25">
        <f t="shared" si="149"/>
        <v>1</v>
      </c>
      <c r="BV192" s="25" cm="1">
        <f t="array" ref="BV192">IF(BT192="CT.104",_xll.TCVN5575AnnexEHeSoCx(1,BP192),1)</f>
        <v>1</v>
      </c>
      <c r="BW192" s="25">
        <f t="shared" si="150"/>
        <v>1</v>
      </c>
      <c r="BX192" s="25">
        <f t="shared" si="151"/>
        <v>9.3232663593363404E-3</v>
      </c>
      <c r="BY192" s="25">
        <f t="shared" si="152"/>
        <v>0.15140470468686554</v>
      </c>
      <c r="BZ192" s="25">
        <f t="shared" si="153"/>
        <v>6.7972895696169909E-5</v>
      </c>
      <c r="CA192" s="25">
        <f t="shared" si="154"/>
        <v>1.1274283392902858E-5</v>
      </c>
      <c r="CB192" s="25">
        <f t="shared" si="155"/>
        <v>0.16080721822529095</v>
      </c>
      <c r="CC192" s="5" t="str">
        <f t="shared" si="156"/>
        <v>OK</v>
      </c>
      <c r="CD192" s="5">
        <f t="shared" si="157"/>
        <v>51.836555160202302</v>
      </c>
      <c r="CE192" s="5">
        <f t="shared" si="158"/>
        <v>33.414125690541383</v>
      </c>
      <c r="CF192" s="5">
        <f t="shared" si="159"/>
        <v>1.7266865002204341</v>
      </c>
      <c r="CG192" s="5">
        <f t="shared" si="160"/>
        <v>1.1130315193248546</v>
      </c>
      <c r="CH192" s="5">
        <f t="shared" si="161"/>
        <v>16.23944858501747</v>
      </c>
      <c r="CI192" s="68">
        <f>_xll.DCETCVN5575PhuLucD2Eta(BP192,CH192,CF192)</f>
        <v>1.2412413793103447</v>
      </c>
      <c r="CJ192" s="5">
        <f t="shared" si="162"/>
        <v>20.15707556090651</v>
      </c>
      <c r="CK192" s="5">
        <f>MIN(noisuy2chieu(CJ192,CF192,Data!$DA$2:$EB$24),1)</f>
        <v>6.8639881908893585E-2</v>
      </c>
      <c r="CL192" s="102" t="str">
        <f t="shared" si="163"/>
        <v>-</v>
      </c>
      <c r="CM192" s="5" t="str">
        <f t="shared" si="164"/>
        <v>OK</v>
      </c>
      <c r="CN192" s="5">
        <f t="shared" si="165"/>
        <v>0.88472625978979058</v>
      </c>
      <c r="CO192" s="5">
        <f t="shared" si="166"/>
        <v>0.5370345235716667</v>
      </c>
      <c r="CP192" s="25">
        <f>_xll.DCETCVNPhuLucFHeSoOnDinh(1, 0.2, AG192, AH192, AI192, AJ192, AI192, AJ192, $D$28)</f>
        <v>1</v>
      </c>
      <c r="CQ192" s="68">
        <f t="shared" si="167"/>
        <v>0.9</v>
      </c>
      <c r="CR192" s="68">
        <f t="shared" si="168"/>
        <v>1</v>
      </c>
      <c r="CS192" s="5">
        <f t="shared" si="169"/>
        <v>0.18181818181818182</v>
      </c>
      <c r="CT192" s="5">
        <f t="shared" si="170"/>
        <v>0.10155106457844131</v>
      </c>
      <c r="CU192" s="26">
        <f t="shared" si="171"/>
        <v>19.785351119950924</v>
      </c>
      <c r="CV192" s="5"/>
      <c r="CW192" s="25"/>
      <c r="CX192" s="72">
        <f>MAX(_xll.Dce_c_925(CU192, CQ192, CR192, CN192, CP192, CS192, CT192),0.3)</f>
        <v>0.3</v>
      </c>
      <c r="CY192" s="102" t="str">
        <f t="shared" si="172"/>
        <v>-</v>
      </c>
      <c r="CZ192" s="5" t="str">
        <f t="shared" si="173"/>
        <v>OK</v>
      </c>
      <c r="DA192" s="47">
        <f t="shared" si="174"/>
        <v>0.34499859601035404</v>
      </c>
      <c r="DB192" s="46">
        <f t="shared" si="175"/>
        <v>1.3180778152995007</v>
      </c>
      <c r="DC192" s="5" t="str">
        <f t="shared" si="176"/>
        <v>OK</v>
      </c>
      <c r="DD192" s="5">
        <f t="shared" si="177"/>
        <v>1.7266865002204341</v>
      </c>
      <c r="DE192" s="5">
        <f t="shared" si="178"/>
        <v>3.0666541867587034</v>
      </c>
      <c r="DF192" s="5">
        <f t="shared" si="179"/>
        <v>3.2</v>
      </c>
      <c r="DG192" s="5" t="str">
        <f t="shared" si="180"/>
        <v>OK</v>
      </c>
      <c r="DH192" s="203">
        <f t="shared" si="181"/>
        <v>51.836555160202302</v>
      </c>
      <c r="DI192" s="203" t="str">
        <f t="shared" si="182"/>
        <v>-</v>
      </c>
      <c r="DJ192" s="46">
        <f t="shared" si="183"/>
        <v>0</v>
      </c>
      <c r="DK192" s="5" t="str">
        <f t="shared" si="184"/>
        <v>OK</v>
      </c>
      <c r="EB192" s="18"/>
      <c r="EC192" s="77"/>
      <c r="ED192" s="77"/>
      <c r="EE192" s="18"/>
      <c r="EF192" s="18"/>
      <c r="EG192" s="18"/>
      <c r="EH192" s="5"/>
      <c r="EI192" s="5"/>
      <c r="EJ192" s="5"/>
      <c r="EK192" s="5"/>
      <c r="EL192" s="5"/>
      <c r="FE192" s="26"/>
      <c r="FF192" s="26"/>
      <c r="FG192" s="26"/>
      <c r="FH192" s="26"/>
      <c r="FI192" s="26"/>
      <c r="FJ192" s="26"/>
      <c r="FK192" s="26"/>
      <c r="FL192" s="26"/>
      <c r="FM192" s="26"/>
      <c r="FN192" s="205"/>
      <c r="FO192" s="205"/>
      <c r="FP192" s="205"/>
      <c r="FQ192" s="205"/>
      <c r="FR192" s="205"/>
      <c r="FS192" s="205"/>
      <c r="FT192" s="205"/>
      <c r="FU192" s="77"/>
      <c r="FV192" s="77"/>
      <c r="FW192" s="77"/>
      <c r="FX192" s="205"/>
      <c r="FY192" s="205"/>
      <c r="FZ192" s="205"/>
      <c r="GA192" s="205"/>
      <c r="GB192" s="205"/>
      <c r="GC192" s="205"/>
      <c r="GD192" s="205"/>
      <c r="GE192" s="205"/>
      <c r="GF192" s="205"/>
      <c r="GG192" s="205"/>
      <c r="GH192" s="205"/>
      <c r="GI192" s="205"/>
      <c r="GJ192" s="205"/>
      <c r="GK192" s="205"/>
      <c r="GL192" s="205"/>
      <c r="GM192" s="205"/>
      <c r="GN192" s="205"/>
      <c r="GO192" s="205"/>
      <c r="GP192" s="205"/>
      <c r="GQ192" s="205"/>
      <c r="GR192" s="205"/>
      <c r="GS192" s="205"/>
      <c r="GT192" s="205"/>
      <c r="GU192" s="205"/>
      <c r="GV192" s="18"/>
      <c r="GW192" s="5"/>
      <c r="GX192" s="5"/>
      <c r="GY192" s="77"/>
      <c r="GZ192" s="18"/>
      <c r="HA192" s="18"/>
      <c r="HB192" s="18"/>
      <c r="HC192" s="18"/>
      <c r="HD192" s="18"/>
      <c r="HE192" s="18"/>
      <c r="HF192" s="18"/>
      <c r="HG192" s="18"/>
      <c r="HH192" s="205"/>
      <c r="HI192" s="26"/>
      <c r="HJ192" s="26"/>
      <c r="HK192" s="5"/>
    </row>
    <row r="193" spans="27:219">
      <c r="AA193" s="18" t="s">
        <v>488</v>
      </c>
      <c r="AB193" s="22" t="s">
        <v>491</v>
      </c>
      <c r="AC193" s="59">
        <v>7.2811904761904795</v>
      </c>
      <c r="AD193" s="59">
        <v>8.6549999999999994</v>
      </c>
      <c r="AE193" s="22">
        <v>528</v>
      </c>
      <c r="AF193" s="22">
        <v>1528</v>
      </c>
      <c r="AG193" s="22">
        <v>1369.2698412698419</v>
      </c>
      <c r="AH193" s="6">
        <v>10</v>
      </c>
      <c r="AI193" s="6">
        <v>300</v>
      </c>
      <c r="AJ193" s="6">
        <v>14</v>
      </c>
      <c r="AK193" s="24">
        <v>300</v>
      </c>
      <c r="AL193" s="24">
        <v>14</v>
      </c>
      <c r="AM193" s="5">
        <f t="shared" si="129"/>
        <v>1341.2698412698419</v>
      </c>
      <c r="AN193" s="26">
        <f t="shared" si="130"/>
        <v>218.12698412698418</v>
      </c>
      <c r="AO193" s="26">
        <f t="shared" si="131"/>
        <v>586811.79072745051</v>
      </c>
      <c r="AP193" s="15">
        <f t="shared" si="132"/>
        <v>6311.1772486772488</v>
      </c>
      <c r="AQ193" s="5">
        <f t="shared" si="133"/>
        <v>8571.1635945074104</v>
      </c>
      <c r="AR193" s="26">
        <f t="shared" si="134"/>
        <v>420.74514991181661</v>
      </c>
      <c r="AS193" s="26">
        <f t="shared" si="135"/>
        <v>5094.8226505417015</v>
      </c>
      <c r="AT193" s="26">
        <f t="shared" si="136"/>
        <v>51.867428670398397</v>
      </c>
      <c r="AU193" s="26">
        <f t="shared" si="137"/>
        <v>5.3789869588463937</v>
      </c>
      <c r="AV193" s="95">
        <f t="shared" si="138"/>
        <v>1.0005566137566139E-6</v>
      </c>
      <c r="AW193" s="95">
        <f t="shared" si="139"/>
        <v>28928912.396825422</v>
      </c>
      <c r="AX193" s="95">
        <f t="shared" si="140"/>
        <v>2.8928912396825422E-5</v>
      </c>
      <c r="AY193" s="54">
        <f t="shared" si="141"/>
        <v>0.11516876660535029</v>
      </c>
      <c r="AZ193" s="54" t="str">
        <f>_xll.Dce_Name_SectI(AE193,AF193,AI193,AH193,AJ193,"x","-",$O$11)</f>
        <v>(528-1528)x300x10x14</v>
      </c>
      <c r="BA193" s="15">
        <f t="shared" si="142"/>
        <v>1016.4523809523813</v>
      </c>
      <c r="BB193" s="54"/>
      <c r="BC193" s="54"/>
      <c r="BD193" s="22" t="s">
        <v>498</v>
      </c>
      <c r="BE193" s="23">
        <v>43.522003017736949</v>
      </c>
      <c r="BF193" s="23">
        <v>78.027710557852657</v>
      </c>
      <c r="BG193" s="23">
        <v>1.6996710631525763E-3</v>
      </c>
      <c r="BH193" s="23">
        <v>-6.2478673970757561E-5</v>
      </c>
      <c r="BI193" s="23">
        <v>-1.2409063996418938E-2</v>
      </c>
      <c r="BJ193" s="23">
        <v>-419.67636593828024</v>
      </c>
      <c r="BK193" s="23">
        <v>-209.83818296914012</v>
      </c>
      <c r="BL193" s="92">
        <v>2.25</v>
      </c>
      <c r="BM193" s="91">
        <v>2</v>
      </c>
      <c r="BN193" s="5">
        <f t="shared" si="143"/>
        <v>19.473749999999999</v>
      </c>
      <c r="BO193" s="54">
        <f>_xll.Bimoment(BH193,AY193,AC193,AD193,$O$101)</f>
        <v>2.8581934135317054E-4</v>
      </c>
      <c r="BP193" s="5">
        <f t="shared" si="144"/>
        <v>0.31313609467455605</v>
      </c>
      <c r="BQ193" s="5">
        <f t="shared" si="145"/>
        <v>29.757919221631202</v>
      </c>
      <c r="BR193" s="24" t="str">
        <f t="shared" si="146"/>
        <v>Cal</v>
      </c>
      <c r="BS193" s="25">
        <f t="shared" si="147"/>
        <v>8.7292621756394594E-3</v>
      </c>
      <c r="BT193" s="25" t="str">
        <f t="shared" si="148"/>
        <v>CT.105</v>
      </c>
      <c r="BU193" s="25">
        <f t="shared" si="149"/>
        <v>1</v>
      </c>
      <c r="BV193" s="25" cm="1">
        <f t="array" ref="BV193">IF(BT193="CT.104",_xll.TCVN5575AnnexEHeSoCx(1,BP193),1)</f>
        <v>1</v>
      </c>
      <c r="BW193" s="25">
        <f t="shared" si="150"/>
        <v>1</v>
      </c>
      <c r="BX193" s="25">
        <f t="shared" si="151"/>
        <v>9.188697026988905E-3</v>
      </c>
      <c r="BY193" s="25">
        <f t="shared" si="152"/>
        <v>0.22549098322347286</v>
      </c>
      <c r="BZ193" s="25">
        <f t="shared" si="153"/>
        <v>1.358233250190609E-4</v>
      </c>
      <c r="CA193" s="25">
        <f t="shared" si="154"/>
        <v>4.6248856288708231E-6</v>
      </c>
      <c r="CB193" s="25">
        <f t="shared" si="155"/>
        <v>0.23482012846110972</v>
      </c>
      <c r="CC193" s="5" t="str">
        <f t="shared" si="156"/>
        <v>OK</v>
      </c>
      <c r="CD193" s="5">
        <f t="shared" si="157"/>
        <v>37.545238889226049</v>
      </c>
      <c r="CE193" s="5">
        <f t="shared" si="158"/>
        <v>37.181722419139881</v>
      </c>
      <c r="CF193" s="5">
        <f t="shared" si="159"/>
        <v>1.2506397644909562</v>
      </c>
      <c r="CG193" s="5">
        <f t="shared" si="160"/>
        <v>1.2385309547993069</v>
      </c>
      <c r="CH193" s="5">
        <f t="shared" si="161"/>
        <v>24.540038980626314</v>
      </c>
      <c r="CI193" s="68">
        <f>_xll.DCETCVN5575PhuLucD2Eta(BP193,CH193,CF193)</f>
        <v>1.2126272189349112</v>
      </c>
      <c r="CJ193" s="5">
        <f t="shared" si="162"/>
        <v>29.757919221631202</v>
      </c>
      <c r="CK193" s="5">
        <f>MIN(noisuy2chieu(CJ193,CF193,Data!$DA$2:$EB$24),1)</f>
        <v>7.1994885802268982E-2</v>
      </c>
      <c r="CL193" s="102" t="str">
        <f t="shared" si="163"/>
        <v>-</v>
      </c>
      <c r="CM193" s="5" t="str">
        <f t="shared" si="164"/>
        <v>OK</v>
      </c>
      <c r="CN193" s="5">
        <f t="shared" si="165"/>
        <v>0.86643683692746631</v>
      </c>
      <c r="CO193" s="5">
        <f t="shared" si="166"/>
        <v>0.5370345235716667</v>
      </c>
      <c r="CP193" s="25">
        <f>_xll.DCETCVNPhuLucFHeSoOnDinh(1, 0.2, AG193, AH193, AI193, AJ193, AI193, AJ193, $D$28)</f>
        <v>1</v>
      </c>
      <c r="CQ193" s="68">
        <f t="shared" si="167"/>
        <v>0.9</v>
      </c>
      <c r="CR193" s="68">
        <f t="shared" si="168"/>
        <v>1</v>
      </c>
      <c r="CS193" s="5">
        <f t="shared" si="169"/>
        <v>0.18181818181818182</v>
      </c>
      <c r="CT193" s="5">
        <f t="shared" si="170"/>
        <v>0.10347287704587492</v>
      </c>
      <c r="CU193" s="26">
        <f t="shared" si="171"/>
        <v>12.270019490313157</v>
      </c>
      <c r="CV193" s="5"/>
      <c r="CW193" s="25"/>
      <c r="CX193" s="72">
        <f>MAX(_xll.Dce_c_925(CU193, CQ193, CR193, CN193, CP193, CS193, CT193),0.3)</f>
        <v>0.3</v>
      </c>
      <c r="CY193" s="102" t="str">
        <f t="shared" si="172"/>
        <v>-</v>
      </c>
      <c r="CZ193" s="5" t="str">
        <f t="shared" si="173"/>
        <v>OK</v>
      </c>
      <c r="DA193" s="47">
        <f t="shared" si="174"/>
        <v>0.34499859601035404</v>
      </c>
      <c r="DB193" s="46">
        <f t="shared" si="175"/>
        <v>1.0799728891323199</v>
      </c>
      <c r="DC193" s="5" t="str">
        <f t="shared" si="176"/>
        <v>OK</v>
      </c>
      <c r="DD193" s="5">
        <f t="shared" si="177"/>
        <v>1.2506397644909562</v>
      </c>
      <c r="DE193" s="5">
        <f t="shared" si="178"/>
        <v>4.4677979100191463</v>
      </c>
      <c r="DF193" s="5">
        <f t="shared" si="179"/>
        <v>3.2</v>
      </c>
      <c r="DG193" s="5" t="str">
        <f t="shared" si="180"/>
        <v>Gia cường</v>
      </c>
      <c r="DH193" s="203">
        <f t="shared" si="181"/>
        <v>37.545238889226049</v>
      </c>
      <c r="DI193" s="203" t="str">
        <f t="shared" si="182"/>
        <v>-</v>
      </c>
      <c r="DJ193" s="46">
        <f t="shared" si="183"/>
        <v>0</v>
      </c>
      <c r="DK193" s="5" t="str">
        <f t="shared" si="184"/>
        <v>OK</v>
      </c>
      <c r="EB193" s="18"/>
      <c r="EC193" s="77"/>
      <c r="ED193" s="77"/>
      <c r="EE193" s="18"/>
      <c r="EF193" s="18"/>
      <c r="EG193" s="18"/>
      <c r="EH193" s="5"/>
      <c r="EI193" s="5"/>
      <c r="EJ193" s="5"/>
      <c r="EK193" s="5"/>
      <c r="EL193" s="5"/>
      <c r="FE193" s="26"/>
      <c r="FF193" s="26"/>
      <c r="FG193" s="26"/>
      <c r="FH193" s="26"/>
      <c r="FI193" s="26"/>
      <c r="FJ193" s="26"/>
      <c r="FK193" s="26"/>
      <c r="FL193" s="26"/>
      <c r="FM193" s="26"/>
      <c r="FN193" s="205"/>
      <c r="FO193" s="205"/>
      <c r="FP193" s="205"/>
      <c r="FQ193" s="205"/>
      <c r="FR193" s="205"/>
      <c r="FS193" s="205"/>
      <c r="FT193" s="205"/>
      <c r="FU193" s="77"/>
      <c r="FV193" s="77"/>
      <c r="FW193" s="77"/>
      <c r="FX193" s="205"/>
      <c r="FY193" s="205"/>
      <c r="FZ193" s="205"/>
      <c r="GA193" s="205"/>
      <c r="GB193" s="205"/>
      <c r="GC193" s="205"/>
      <c r="GD193" s="205"/>
      <c r="GE193" s="205"/>
      <c r="GF193" s="205"/>
      <c r="GG193" s="205"/>
      <c r="GH193" s="205"/>
      <c r="GI193" s="205"/>
      <c r="GJ193" s="205"/>
      <c r="GK193" s="205"/>
      <c r="GL193" s="205"/>
      <c r="GM193" s="205"/>
      <c r="GN193" s="205"/>
      <c r="GO193" s="205"/>
      <c r="GP193" s="205"/>
      <c r="GQ193" s="205"/>
      <c r="GR193" s="205"/>
      <c r="GS193" s="205"/>
      <c r="GT193" s="205"/>
      <c r="GU193" s="205"/>
      <c r="GV193" s="18"/>
      <c r="GW193" s="5"/>
      <c r="GX193" s="5"/>
      <c r="GY193" s="77"/>
      <c r="GZ193" s="18"/>
      <c r="HA193" s="18"/>
      <c r="HB193" s="18"/>
      <c r="HC193" s="18"/>
      <c r="HD193" s="18"/>
      <c r="HE193" s="18"/>
      <c r="HF193" s="18"/>
      <c r="HG193" s="18"/>
      <c r="HH193" s="205"/>
      <c r="HI193" s="26"/>
      <c r="HJ193" s="26"/>
      <c r="HK193" s="5"/>
    </row>
    <row r="194" spans="27:219">
      <c r="AA194" s="18" t="s">
        <v>488</v>
      </c>
      <c r="AB194" s="22" t="s">
        <v>491</v>
      </c>
      <c r="AC194" s="59">
        <v>0</v>
      </c>
      <c r="AD194" s="59">
        <v>8.6549999999999994</v>
      </c>
      <c r="AE194" s="22">
        <v>528</v>
      </c>
      <c r="AF194" s="22">
        <v>1528</v>
      </c>
      <c r="AG194" s="22">
        <v>528</v>
      </c>
      <c r="AH194" s="6">
        <v>10</v>
      </c>
      <c r="AI194" s="6">
        <v>300</v>
      </c>
      <c r="AJ194" s="6">
        <v>14</v>
      </c>
      <c r="AK194" s="24">
        <v>300</v>
      </c>
      <c r="AL194" s="24">
        <v>14</v>
      </c>
      <c r="AM194" s="5">
        <f t="shared" si="129"/>
        <v>500</v>
      </c>
      <c r="AN194" s="26">
        <f t="shared" si="130"/>
        <v>134</v>
      </c>
      <c r="AO194" s="26">
        <f t="shared" si="131"/>
        <v>65911.546666666676</v>
      </c>
      <c r="AP194" s="15">
        <f t="shared" si="132"/>
        <v>6304.166666666667</v>
      </c>
      <c r="AQ194" s="5">
        <f t="shared" si="133"/>
        <v>2496.6494949494954</v>
      </c>
      <c r="AR194" s="26">
        <f t="shared" si="134"/>
        <v>420.27777777777777</v>
      </c>
      <c r="AS194" s="26">
        <f t="shared" si="135"/>
        <v>1391.9</v>
      </c>
      <c r="AT194" s="26">
        <f t="shared" si="136"/>
        <v>22.178305028345793</v>
      </c>
      <c r="AU194" s="26">
        <f t="shared" si="137"/>
        <v>6.8590101254115021</v>
      </c>
      <c r="AV194" s="95">
        <f t="shared" si="138"/>
        <v>7.201333333333334E-7</v>
      </c>
      <c r="AW194" s="95">
        <f t="shared" si="139"/>
        <v>4161087</v>
      </c>
      <c r="AX194" s="95">
        <f t="shared" si="140"/>
        <v>4.1610870000000001E-6</v>
      </c>
      <c r="AY194" s="54">
        <f t="shared" si="141"/>
        <v>0.25762202780669918</v>
      </c>
      <c r="AZ194" s="54" t="str">
        <f>_xll.Dce_Name_SectI(AE194,AF194,AI194,AH194,AJ194,"x","-",$O$11)</f>
        <v>(528-1528)x300x10x14</v>
      </c>
      <c r="BA194" s="15">
        <f t="shared" si="142"/>
        <v>385.5</v>
      </c>
      <c r="BB194" s="54"/>
      <c r="BC194" s="54"/>
      <c r="BD194" s="22" t="s">
        <v>499</v>
      </c>
      <c r="BE194" s="23">
        <v>-82.050399272085315</v>
      </c>
      <c r="BF194" s="23">
        <v>-56.677188296064841</v>
      </c>
      <c r="BG194" s="23">
        <v>2.3589902755755052E-3</v>
      </c>
      <c r="BH194" s="23">
        <v>8.8411221621235623E-6</v>
      </c>
      <c r="BI194" s="23">
        <v>6.0712064662220098E-7</v>
      </c>
      <c r="BJ194" s="23">
        <v>-1.0916841556264785</v>
      </c>
      <c r="BK194" s="23">
        <v>174.88804187330555</v>
      </c>
      <c r="BL194" s="92">
        <v>2.25</v>
      </c>
      <c r="BM194" s="91">
        <v>2</v>
      </c>
      <c r="BN194" s="5">
        <f t="shared" si="143"/>
        <v>19.473749999999999</v>
      </c>
      <c r="BO194" s="54">
        <f>_xll.Bimoment(BH194,AY194,AC194,AD194,$O$101)</f>
        <v>0</v>
      </c>
      <c r="BP194" s="5">
        <f t="shared" si="144"/>
        <v>0.84</v>
      </c>
      <c r="BQ194" s="5">
        <f t="shared" si="145"/>
        <v>0.10831417134916453</v>
      </c>
      <c r="BR194" s="24" t="str">
        <f t="shared" si="146"/>
        <v>Cal</v>
      </c>
      <c r="BS194" s="25">
        <f t="shared" si="147"/>
        <v>2.6788843045923376E-2</v>
      </c>
      <c r="BT194" s="25" t="str">
        <f t="shared" si="148"/>
        <v>CT.105</v>
      </c>
      <c r="BU194" s="25">
        <f t="shared" si="149"/>
        <v>1</v>
      </c>
      <c r="BV194" s="25" cm="1">
        <f t="array" ref="BV194">IF(BT194="CT.104",_xll.TCVN5575AnnexEHeSoCx(1,BP194),1)</f>
        <v>1</v>
      </c>
      <c r="BW194" s="25">
        <f t="shared" si="150"/>
        <v>1</v>
      </c>
      <c r="BX194" s="25">
        <f t="shared" si="151"/>
        <v>2.8198782153603556E-2</v>
      </c>
      <c r="BY194" s="25">
        <f t="shared" si="152"/>
        <v>2.0136958880828987E-3</v>
      </c>
      <c r="BZ194" s="25">
        <f t="shared" si="153"/>
        <v>6.6526247499214985E-9</v>
      </c>
      <c r="CA194" s="25">
        <f t="shared" si="154"/>
        <v>0</v>
      </c>
      <c r="CB194" s="25">
        <f t="shared" si="155"/>
        <v>3.0212484694311204E-2</v>
      </c>
      <c r="CC194" s="5" t="str">
        <f t="shared" si="156"/>
        <v>OK</v>
      </c>
      <c r="CD194" s="5">
        <f t="shared" si="157"/>
        <v>87.805402509844015</v>
      </c>
      <c r="CE194" s="5">
        <f t="shared" si="158"/>
        <v>29.158726455153193</v>
      </c>
      <c r="CF194" s="5">
        <f t="shared" si="159"/>
        <v>2.9248163326364334</v>
      </c>
      <c r="CG194" s="5">
        <f t="shared" si="160"/>
        <v>0.97128328026682387</v>
      </c>
      <c r="CH194" s="5">
        <f t="shared" si="161"/>
        <v>7.1410739553004657E-2</v>
      </c>
      <c r="CI194" s="68">
        <f>_xll.DCETCVN5575PhuLucD2Eta(BP194,CH194,CF194)</f>
        <v>1.5167770566046062</v>
      </c>
      <c r="CJ194" s="5">
        <f t="shared" si="162"/>
        <v>0.10831417134916453</v>
      </c>
      <c r="CK194" s="5">
        <f>MIN(noisuy2chieu(CJ194,CF194,Data!$DA$2:$EB$24),1)</f>
        <v>0.67439758777618408</v>
      </c>
      <c r="CL194" s="102">
        <f t="shared" si="163"/>
        <v>4.1813290356788817E-2</v>
      </c>
      <c r="CM194" s="5" t="str">
        <f t="shared" si="164"/>
        <v>OK</v>
      </c>
      <c r="CN194" s="5">
        <f t="shared" si="165"/>
        <v>0.90492218941026858</v>
      </c>
      <c r="CO194" s="5">
        <f t="shared" si="166"/>
        <v>0.5370345235716667</v>
      </c>
      <c r="CP194" s="25">
        <f>_xll.DCETCVNPhuLucFHeSoOnDinh(1, 0.2, AG194, AH194, AI194, AJ194, AI194, AJ194, $D$28)</f>
        <v>1</v>
      </c>
      <c r="CQ194" s="68">
        <f t="shared" si="167"/>
        <v>0.9</v>
      </c>
      <c r="CR194" s="68">
        <f t="shared" si="168"/>
        <v>1</v>
      </c>
      <c r="CS194" s="5">
        <f t="shared" si="169"/>
        <v>0.18181818181818182</v>
      </c>
      <c r="CT194" s="5">
        <f t="shared" si="170"/>
        <v>9.9510191986788829E-2</v>
      </c>
      <c r="CU194" s="26">
        <f t="shared" si="171"/>
        <v>11.440016184885152</v>
      </c>
      <c r="CV194" s="5"/>
      <c r="CW194" s="25"/>
      <c r="CX194" s="72">
        <f>MAX(_xll.Dce_c_925(CU194, CQ194, CR194, CN194, CP194, CS194, CT194),0.3)</f>
        <v>0.3</v>
      </c>
      <c r="CY194" s="102">
        <f t="shared" si="172"/>
        <v>0.10387184844397324</v>
      </c>
      <c r="CZ194" s="5" t="str">
        <f t="shared" si="173"/>
        <v>OK</v>
      </c>
      <c r="DA194" s="47">
        <f t="shared" si="174"/>
        <v>0.34499859601035404</v>
      </c>
      <c r="DB194" s="46">
        <f t="shared" si="175"/>
        <v>0.45712832802668235</v>
      </c>
      <c r="DC194" s="5" t="str">
        <f t="shared" si="176"/>
        <v>OK</v>
      </c>
      <c r="DD194" s="5">
        <f t="shared" si="177"/>
        <v>2.9248163326364334</v>
      </c>
      <c r="DE194" s="5">
        <f t="shared" si="178"/>
        <v>1.6655104634982609</v>
      </c>
      <c r="DF194" s="5" t="str">
        <f t="shared" si="179"/>
        <v>-</v>
      </c>
      <c r="DG194" s="5" t="str">
        <f t="shared" si="180"/>
        <v>-</v>
      </c>
      <c r="DH194" s="203" t="str">
        <f t="shared" si="181"/>
        <v>-</v>
      </c>
      <c r="DI194" s="203">
        <f t="shared" si="182"/>
        <v>180</v>
      </c>
      <c r="DJ194" s="46">
        <f t="shared" si="183"/>
        <v>0</v>
      </c>
      <c r="DK194" s="5" t="str">
        <f t="shared" si="184"/>
        <v>OK</v>
      </c>
      <c r="EB194" s="18"/>
      <c r="EC194" s="77"/>
      <c r="ED194" s="77"/>
      <c r="EE194" s="18"/>
      <c r="EF194" s="18"/>
      <c r="EG194" s="18"/>
      <c r="EH194" s="5"/>
      <c r="EI194" s="5"/>
      <c r="EJ194" s="5"/>
      <c r="EK194" s="5"/>
      <c r="EL194" s="5"/>
      <c r="FE194" s="26"/>
      <c r="FF194" s="26"/>
      <c r="FG194" s="26"/>
      <c r="FH194" s="26"/>
      <c r="FI194" s="26"/>
      <c r="FJ194" s="26"/>
      <c r="FK194" s="26"/>
      <c r="FL194" s="26"/>
      <c r="FM194" s="26"/>
      <c r="FN194" s="205"/>
      <c r="FO194" s="205"/>
      <c r="FP194" s="205"/>
      <c r="FQ194" s="205"/>
      <c r="FR194" s="205"/>
      <c r="FS194" s="205"/>
      <c r="FT194" s="205"/>
      <c r="FU194" s="77"/>
      <c r="FV194" s="77"/>
      <c r="FW194" s="77"/>
      <c r="FX194" s="205"/>
      <c r="FY194" s="205"/>
      <c r="FZ194" s="205"/>
      <c r="GA194" s="205"/>
      <c r="GB194" s="205"/>
      <c r="GC194" s="205"/>
      <c r="GD194" s="205"/>
      <c r="GE194" s="205"/>
      <c r="GF194" s="205"/>
      <c r="GG194" s="205"/>
      <c r="GH194" s="205"/>
      <c r="GI194" s="205"/>
      <c r="GJ194" s="205"/>
      <c r="GK194" s="205"/>
      <c r="GL194" s="205"/>
      <c r="GM194" s="205"/>
      <c r="GN194" s="205"/>
      <c r="GO194" s="205"/>
      <c r="GP194" s="205"/>
      <c r="GQ194" s="205"/>
      <c r="GR194" s="205"/>
      <c r="GS194" s="205"/>
      <c r="GT194" s="205"/>
      <c r="GU194" s="205"/>
      <c r="GV194" s="18"/>
      <c r="GW194" s="5"/>
      <c r="GX194" s="5"/>
      <c r="GY194" s="77"/>
      <c r="GZ194" s="18"/>
      <c r="HA194" s="18"/>
      <c r="HB194" s="18"/>
      <c r="HC194" s="18"/>
      <c r="HD194" s="18"/>
      <c r="HE194" s="18"/>
      <c r="HF194" s="18"/>
      <c r="HG194" s="18"/>
      <c r="HH194" s="205"/>
      <c r="HI194" s="26"/>
      <c r="HJ194" s="26"/>
      <c r="HK194" s="5"/>
    </row>
    <row r="195" spans="27:219">
      <c r="AA195" s="18" t="s">
        <v>488</v>
      </c>
      <c r="AB195" s="22" t="s">
        <v>491</v>
      </c>
      <c r="AC195" s="59">
        <v>3.6405952380952398</v>
      </c>
      <c r="AD195" s="59">
        <v>8.6549999999999994</v>
      </c>
      <c r="AE195" s="22">
        <v>528</v>
      </c>
      <c r="AF195" s="22">
        <v>1528</v>
      </c>
      <c r="AG195" s="22">
        <v>948.63492063492095</v>
      </c>
      <c r="AH195" s="6">
        <v>10</v>
      </c>
      <c r="AI195" s="6">
        <v>300</v>
      </c>
      <c r="AJ195" s="6">
        <v>14</v>
      </c>
      <c r="AK195" s="24">
        <v>300</v>
      </c>
      <c r="AL195" s="24">
        <v>14</v>
      </c>
      <c r="AM195" s="5">
        <f t="shared" si="129"/>
        <v>920.63492063492095</v>
      </c>
      <c r="AN195" s="26">
        <f t="shared" si="130"/>
        <v>176.06349206349208</v>
      </c>
      <c r="AO195" s="26">
        <f t="shared" si="131"/>
        <v>248482.7399356656</v>
      </c>
      <c r="AP195" s="15">
        <f t="shared" si="132"/>
        <v>6307.6719576719579</v>
      </c>
      <c r="AQ195" s="5">
        <f t="shared" si="133"/>
        <v>5238.7432621467533</v>
      </c>
      <c r="AR195" s="26">
        <f t="shared" si="134"/>
        <v>420.51146384479722</v>
      </c>
      <c r="AS195" s="26">
        <f t="shared" si="135"/>
        <v>3022.1941546989178</v>
      </c>
      <c r="AT195" s="26">
        <f t="shared" si="136"/>
        <v>37.567600585756203</v>
      </c>
      <c r="AU195" s="26">
        <f t="shared" si="137"/>
        <v>5.9854925384629922</v>
      </c>
      <c r="AV195" s="95">
        <f t="shared" si="138"/>
        <v>8.6034497354497351E-7</v>
      </c>
      <c r="AW195" s="95">
        <f t="shared" si="139"/>
        <v>13758293.349206358</v>
      </c>
      <c r="AX195" s="95">
        <f t="shared" si="140"/>
        <v>1.3758293349206359E-5</v>
      </c>
      <c r="AY195" s="54">
        <f t="shared" si="141"/>
        <v>0.1548581140202015</v>
      </c>
      <c r="AZ195" s="54" t="str">
        <f>_xll.Dce_Name_SectI(AE195,AF195,AI195,AH195,AJ195,"x","-",$O$11)</f>
        <v>(528-1528)x300x10x14</v>
      </c>
      <c r="BA195" s="15">
        <f t="shared" si="142"/>
        <v>700.97619047619071</v>
      </c>
      <c r="BB195" s="54"/>
      <c r="BC195" s="54"/>
      <c r="BD195" s="22" t="s">
        <v>499</v>
      </c>
      <c r="BE195" s="23">
        <v>-76.533596085519449</v>
      </c>
      <c r="BF195" s="23">
        <v>-48.057382608347368</v>
      </c>
      <c r="BG195" s="23">
        <v>2.3589902755760338E-3</v>
      </c>
      <c r="BH195" s="23">
        <v>8.8411221621235623E-6</v>
      </c>
      <c r="BI195" s="23">
        <v>-8.6077468370863008E-3</v>
      </c>
      <c r="BJ195" s="23">
        <v>189.97319661504821</v>
      </c>
      <c r="BK195" s="23">
        <v>174.88804187330555</v>
      </c>
      <c r="BL195" s="92">
        <v>2.25</v>
      </c>
      <c r="BM195" s="91">
        <v>2</v>
      </c>
      <c r="BN195" s="5">
        <f t="shared" si="143"/>
        <v>19.473749999999999</v>
      </c>
      <c r="BO195" s="54">
        <f>_xll.Bimoment(BH195,AY195,AC195,AD195,$O$101)</f>
        <v>-6.7994123717658419E-5</v>
      </c>
      <c r="BP195" s="5">
        <f t="shared" si="144"/>
        <v>0.45620689655172403</v>
      </c>
      <c r="BQ195" s="5">
        <f t="shared" si="145"/>
        <v>10.354726967159099</v>
      </c>
      <c r="BR195" s="24" t="str">
        <f t="shared" si="146"/>
        <v>Cal</v>
      </c>
      <c r="BS195" s="25">
        <f t="shared" si="147"/>
        <v>1.9017825839407948E-2</v>
      </c>
      <c r="BT195" s="25" t="str">
        <f t="shared" si="148"/>
        <v>CT.105</v>
      </c>
      <c r="BU195" s="25">
        <f t="shared" si="149"/>
        <v>1</v>
      </c>
      <c r="BV195" s="25" cm="1">
        <f t="array" ref="BV195">IF(BT195="CT.104",_xll.TCVN5575AnnexEHeSoCx(1,BP195),1)</f>
        <v>1</v>
      </c>
      <c r="BW195" s="25">
        <f t="shared" si="150"/>
        <v>1</v>
      </c>
      <c r="BX195" s="25">
        <f t="shared" si="151"/>
        <v>2.0018764041482048E-2</v>
      </c>
      <c r="BY195" s="25">
        <f t="shared" si="152"/>
        <v>0.16700122903145753</v>
      </c>
      <c r="BZ195" s="25">
        <f t="shared" si="153"/>
        <v>9.4268391683964193E-5</v>
      </c>
      <c r="CA195" s="25">
        <f t="shared" si="154"/>
        <v>1.5953814386923116E-6</v>
      </c>
      <c r="CB195" s="25">
        <f t="shared" si="155"/>
        <v>0.18711585684606225</v>
      </c>
      <c r="CC195" s="5" t="str">
        <f t="shared" si="156"/>
        <v>OK</v>
      </c>
      <c r="CD195" s="5">
        <f t="shared" si="157"/>
        <v>51.836555160202302</v>
      </c>
      <c r="CE195" s="5">
        <f t="shared" si="158"/>
        <v>33.414125690541383</v>
      </c>
      <c r="CF195" s="5">
        <f t="shared" si="159"/>
        <v>1.7266865002204341</v>
      </c>
      <c r="CG195" s="5">
        <f t="shared" si="160"/>
        <v>1.1130315193248546</v>
      </c>
      <c r="CH195" s="5">
        <f t="shared" si="161"/>
        <v>8.3422347496281226</v>
      </c>
      <c r="CI195" s="68">
        <f>_xll.DCETCVN5575PhuLucD2Eta(BP195,CH195,CF195)</f>
        <v>1.2412413793103447</v>
      </c>
      <c r="CJ195" s="5">
        <f t="shared" si="162"/>
        <v>10.354726967159099</v>
      </c>
      <c r="CK195" s="5">
        <f>MIN(noisuy2chieu(CJ195,CF195,Data!$DA$2:$EB$24),1)</f>
        <v>0.12653319537639618</v>
      </c>
      <c r="CL195" s="102">
        <f t="shared" si="163"/>
        <v>0.15820958272596036</v>
      </c>
      <c r="CM195" s="5" t="str">
        <f t="shared" si="164"/>
        <v>OK</v>
      </c>
      <c r="CN195" s="5">
        <f t="shared" si="165"/>
        <v>0.88472625978979058</v>
      </c>
      <c r="CO195" s="5">
        <f t="shared" si="166"/>
        <v>0.5370345235716667</v>
      </c>
      <c r="CP195" s="25">
        <f>_xll.DCETCVNPhuLucFHeSoOnDinh(1, 0.2, AG195, AH195, AI195, AJ195, AI195, AJ195, $D$28)</f>
        <v>1</v>
      </c>
      <c r="CQ195" s="68">
        <f t="shared" si="167"/>
        <v>0.9</v>
      </c>
      <c r="CR195" s="68">
        <f t="shared" si="168"/>
        <v>1</v>
      </c>
      <c r="CS195" s="5">
        <f t="shared" si="169"/>
        <v>0.18181818181818182</v>
      </c>
      <c r="CT195" s="5">
        <f t="shared" si="170"/>
        <v>0.10155106457844131</v>
      </c>
      <c r="CU195" s="26">
        <f t="shared" si="171"/>
        <v>7.6798049735735221</v>
      </c>
      <c r="CV195" s="5"/>
      <c r="CW195" s="25"/>
      <c r="CX195" s="72">
        <f>MAX(_xll.Dce_c_925(CU195, CQ195, CR195, CN195, CP195, CS195, CT195),0.3)</f>
        <v>0.3</v>
      </c>
      <c r="CY195" s="102">
        <f t="shared" si="172"/>
        <v>7.5423570548772439E-2</v>
      </c>
      <c r="CZ195" s="5" t="str">
        <f t="shared" si="173"/>
        <v>OK</v>
      </c>
      <c r="DA195" s="47">
        <f t="shared" si="174"/>
        <v>0.34499859601035404</v>
      </c>
      <c r="DB195" s="46">
        <f t="shared" si="175"/>
        <v>0.47130315193248545</v>
      </c>
      <c r="DC195" s="5" t="str">
        <f t="shared" si="176"/>
        <v>OK</v>
      </c>
      <c r="DD195" s="5">
        <f t="shared" si="177"/>
        <v>1.7266865002204341</v>
      </c>
      <c r="DE195" s="5">
        <f t="shared" si="178"/>
        <v>3.0666541867587034</v>
      </c>
      <c r="DF195" s="5">
        <f t="shared" si="179"/>
        <v>1.7472169405065237</v>
      </c>
      <c r="DG195" s="5" t="str">
        <f t="shared" si="180"/>
        <v>Gia cường</v>
      </c>
      <c r="DH195" s="203">
        <f t="shared" si="181"/>
        <v>51.836555160202302</v>
      </c>
      <c r="DI195" s="203">
        <f t="shared" si="182"/>
        <v>180</v>
      </c>
      <c r="DJ195" s="46">
        <f t="shared" si="183"/>
        <v>0.28798086200112388</v>
      </c>
      <c r="DK195" s="5" t="str">
        <f t="shared" si="184"/>
        <v>OK</v>
      </c>
      <c r="EB195" s="18"/>
      <c r="EC195" s="77"/>
      <c r="ED195" s="77"/>
      <c r="EE195" s="18"/>
      <c r="EF195" s="18"/>
      <c r="EG195" s="18"/>
      <c r="EH195" s="5"/>
      <c r="EI195" s="5"/>
      <c r="EJ195" s="5"/>
      <c r="EK195" s="5"/>
      <c r="EL195" s="5"/>
      <c r="FE195" s="26"/>
      <c r="FF195" s="26"/>
      <c r="FG195" s="26"/>
      <c r="FH195" s="26"/>
      <c r="FI195" s="26"/>
      <c r="FJ195" s="26"/>
      <c r="FK195" s="26"/>
      <c r="FL195" s="26"/>
      <c r="FM195" s="26"/>
      <c r="FN195" s="205"/>
      <c r="FO195" s="205"/>
      <c r="FP195" s="205"/>
      <c r="FQ195" s="205"/>
      <c r="FR195" s="205"/>
      <c r="FS195" s="205"/>
      <c r="FT195" s="205"/>
      <c r="FU195" s="77"/>
      <c r="FV195" s="77"/>
      <c r="FW195" s="77"/>
      <c r="FX195" s="205"/>
      <c r="FY195" s="205"/>
      <c r="FZ195" s="205"/>
      <c r="GA195" s="205"/>
      <c r="GB195" s="205"/>
      <c r="GC195" s="205"/>
      <c r="GD195" s="205"/>
      <c r="GE195" s="205"/>
      <c r="GF195" s="205"/>
      <c r="GG195" s="205"/>
      <c r="GH195" s="205"/>
      <c r="GI195" s="205"/>
      <c r="GJ195" s="205"/>
      <c r="GK195" s="205"/>
      <c r="GL195" s="205"/>
      <c r="GM195" s="205"/>
      <c r="GN195" s="205"/>
      <c r="GO195" s="205"/>
      <c r="GP195" s="205"/>
      <c r="GQ195" s="205"/>
      <c r="GR195" s="205"/>
      <c r="GS195" s="205"/>
      <c r="GT195" s="205"/>
      <c r="GU195" s="205"/>
      <c r="GV195" s="18"/>
      <c r="GW195" s="5"/>
      <c r="GX195" s="5"/>
      <c r="GY195" s="77"/>
      <c r="GZ195" s="18"/>
      <c r="HA195" s="18"/>
      <c r="HB195" s="18"/>
      <c r="HC195" s="18"/>
      <c r="HD195" s="18"/>
      <c r="HE195" s="18"/>
      <c r="HF195" s="18"/>
      <c r="HG195" s="18"/>
      <c r="HH195" s="205"/>
      <c r="HI195" s="26"/>
      <c r="HJ195" s="26"/>
      <c r="HK195" s="5"/>
    </row>
    <row r="196" spans="27:219">
      <c r="AA196" s="18" t="s">
        <v>488</v>
      </c>
      <c r="AB196" s="22" t="s">
        <v>491</v>
      </c>
      <c r="AC196" s="59">
        <v>7.2811904761904795</v>
      </c>
      <c r="AD196" s="59">
        <v>8.6549999999999994</v>
      </c>
      <c r="AE196" s="22">
        <v>528</v>
      </c>
      <c r="AF196" s="22">
        <v>1528</v>
      </c>
      <c r="AG196" s="22">
        <v>1369.2698412698419</v>
      </c>
      <c r="AH196" s="6">
        <v>10</v>
      </c>
      <c r="AI196" s="6">
        <v>300</v>
      </c>
      <c r="AJ196" s="6">
        <v>14</v>
      </c>
      <c r="AK196" s="24">
        <v>300</v>
      </c>
      <c r="AL196" s="24">
        <v>14</v>
      </c>
      <c r="AM196" s="5">
        <f t="shared" si="129"/>
        <v>1341.2698412698419</v>
      </c>
      <c r="AN196" s="26">
        <f t="shared" si="130"/>
        <v>218.12698412698418</v>
      </c>
      <c r="AO196" s="26">
        <f t="shared" si="131"/>
        <v>586811.79072745051</v>
      </c>
      <c r="AP196" s="15">
        <f t="shared" si="132"/>
        <v>6311.1772486772488</v>
      </c>
      <c r="AQ196" s="5">
        <f t="shared" si="133"/>
        <v>8571.1635945074104</v>
      </c>
      <c r="AR196" s="26">
        <f t="shared" si="134"/>
        <v>420.74514991181661</v>
      </c>
      <c r="AS196" s="26">
        <f t="shared" si="135"/>
        <v>5094.8226505417015</v>
      </c>
      <c r="AT196" s="26">
        <f t="shared" si="136"/>
        <v>51.867428670398397</v>
      </c>
      <c r="AU196" s="26">
        <f t="shared" si="137"/>
        <v>5.3789869588463937</v>
      </c>
      <c r="AV196" s="95">
        <f t="shared" si="138"/>
        <v>1.0005566137566139E-6</v>
      </c>
      <c r="AW196" s="95">
        <f t="shared" si="139"/>
        <v>28928912.396825422</v>
      </c>
      <c r="AX196" s="95">
        <f t="shared" si="140"/>
        <v>2.8928912396825422E-5</v>
      </c>
      <c r="AY196" s="54">
        <f t="shared" si="141"/>
        <v>0.11516876660535029</v>
      </c>
      <c r="AZ196" s="54" t="str">
        <f>_xll.Dce_Name_SectI(AE196,AF196,AI196,AH196,AJ196,"x","-",$O$11)</f>
        <v>(528-1528)x300x10x14</v>
      </c>
      <c r="BA196" s="15">
        <f t="shared" si="142"/>
        <v>1016.4523809523813</v>
      </c>
      <c r="BB196" s="54"/>
      <c r="BC196" s="54"/>
      <c r="BD196" s="22" t="s">
        <v>499</v>
      </c>
      <c r="BE196" s="23">
        <v>-69.475357148461214</v>
      </c>
      <c r="BF196" s="23">
        <v>-39.54342745122193</v>
      </c>
      <c r="BG196" s="23">
        <v>2.3589902755765564E-3</v>
      </c>
      <c r="BH196" s="23">
        <v>8.8411221621235623E-6</v>
      </c>
      <c r="BI196" s="23">
        <v>-1.7216100794821144E-2</v>
      </c>
      <c r="BJ196" s="23">
        <v>349.77608374661111</v>
      </c>
      <c r="BK196" s="23">
        <v>174.88804187330555</v>
      </c>
      <c r="BL196" s="92">
        <v>2.25</v>
      </c>
      <c r="BM196" s="91">
        <v>2</v>
      </c>
      <c r="BN196" s="5">
        <f t="shared" si="143"/>
        <v>19.473749999999999</v>
      </c>
      <c r="BO196" s="54">
        <f>_xll.Bimoment(BH196,AY196,AC196,AD196,$O$101)</f>
        <v>-4.044521998632354E-5</v>
      </c>
      <c r="BP196" s="5">
        <f t="shared" si="144"/>
        <v>0.31313609467455605</v>
      </c>
      <c r="BQ196" s="5">
        <f t="shared" si="145"/>
        <v>15.53660933129061</v>
      </c>
      <c r="BR196" s="24" t="str">
        <f t="shared" si="146"/>
        <v>Cal</v>
      </c>
      <c r="BS196" s="25">
        <f t="shared" si="147"/>
        <v>1.3934758633419168E-2</v>
      </c>
      <c r="BT196" s="25" t="str">
        <f t="shared" si="148"/>
        <v>CT.105</v>
      </c>
      <c r="BU196" s="25">
        <f t="shared" si="149"/>
        <v>1</v>
      </c>
      <c r="BV196" s="25" cm="1">
        <f t="array" ref="BV196">IF(BT196="CT.104",_xll.TCVN5575AnnexEHeSoCx(1,BP196),1)</f>
        <v>1</v>
      </c>
      <c r="BW196" s="25">
        <f t="shared" si="150"/>
        <v>1</v>
      </c>
      <c r="BX196" s="25">
        <f t="shared" si="151"/>
        <v>1.4668166982546492E-2</v>
      </c>
      <c r="BY196" s="25">
        <f t="shared" si="152"/>
        <v>0.18793374951135169</v>
      </c>
      <c r="BZ196" s="25">
        <f t="shared" si="153"/>
        <v>1.8843871338649845E-4</v>
      </c>
      <c r="CA196" s="25">
        <f t="shared" si="154"/>
        <v>6.5445017046671528E-7</v>
      </c>
      <c r="CB196" s="25">
        <f t="shared" si="155"/>
        <v>0.20279100965745517</v>
      </c>
      <c r="CC196" s="5" t="str">
        <f t="shared" si="156"/>
        <v>OK</v>
      </c>
      <c r="CD196" s="5">
        <f t="shared" si="157"/>
        <v>37.545238889226049</v>
      </c>
      <c r="CE196" s="5">
        <f t="shared" si="158"/>
        <v>37.181722419139881</v>
      </c>
      <c r="CF196" s="5">
        <f t="shared" si="159"/>
        <v>1.2506397644909562</v>
      </c>
      <c r="CG196" s="5">
        <f t="shared" si="160"/>
        <v>1.2385309547993069</v>
      </c>
      <c r="CH196" s="5">
        <f t="shared" si="161"/>
        <v>12.812354109069814</v>
      </c>
      <c r="CI196" s="68">
        <f>_xll.DCETCVN5575PhuLucD2Eta(BP196,CH196,CF196)</f>
        <v>1.2126272189349112</v>
      </c>
      <c r="CJ196" s="5">
        <f t="shared" si="162"/>
        <v>15.53660933129061</v>
      </c>
      <c r="CK196" s="5">
        <f>MIN(noisuy2chieu(CJ196,CF196,Data!$DA$2:$EB$24),1)</f>
        <v>9.2287428677082062E-2</v>
      </c>
      <c r="CL196" s="102">
        <f t="shared" si="163"/>
        <v>0.15894003325058584</v>
      </c>
      <c r="CM196" s="5" t="str">
        <f t="shared" si="164"/>
        <v>OK</v>
      </c>
      <c r="CN196" s="5">
        <f t="shared" si="165"/>
        <v>0.86643683692746631</v>
      </c>
      <c r="CO196" s="5">
        <f t="shared" si="166"/>
        <v>0.5370345235716667</v>
      </c>
      <c r="CP196" s="25">
        <f>_xll.DCETCVNPhuLucFHeSoOnDinh(1, 0.2, AG196, AH196, AI196, AJ196, AI196, AJ196, $D$28)</f>
        <v>1</v>
      </c>
      <c r="CQ196" s="68">
        <f t="shared" si="167"/>
        <v>0.9</v>
      </c>
      <c r="CR196" s="68">
        <f t="shared" si="168"/>
        <v>1</v>
      </c>
      <c r="CS196" s="5">
        <f t="shared" si="169"/>
        <v>0.18181818181818182</v>
      </c>
      <c r="CT196" s="5">
        <f t="shared" si="170"/>
        <v>0.10347287704587492</v>
      </c>
      <c r="CU196" s="26">
        <f t="shared" si="171"/>
        <v>6.4061770545349068</v>
      </c>
      <c r="CV196" s="5"/>
      <c r="CW196" s="25"/>
      <c r="CX196" s="72">
        <f>MAX(_xll.Dce_c_925(CU196, CQ196, CR196, CN196, CP196, CS196, CT196),0.3)</f>
        <v>0.3</v>
      </c>
      <c r="CY196" s="102">
        <f t="shared" si="172"/>
        <v>5.6430991686835213E-2</v>
      </c>
      <c r="CZ196" s="5" t="str">
        <f t="shared" si="173"/>
        <v>OK</v>
      </c>
      <c r="DA196" s="47">
        <f t="shared" si="174"/>
        <v>0.34499859601035404</v>
      </c>
      <c r="DB196" s="46">
        <f t="shared" si="175"/>
        <v>0.48385309547993066</v>
      </c>
      <c r="DC196" s="5" t="str">
        <f t="shared" si="176"/>
        <v>OK</v>
      </c>
      <c r="DD196" s="5">
        <f t="shared" si="177"/>
        <v>1.2506397644909562</v>
      </c>
      <c r="DE196" s="5">
        <f t="shared" si="178"/>
        <v>4.4677979100191463</v>
      </c>
      <c r="DF196" s="5" t="str">
        <f t="shared" si="179"/>
        <v>-</v>
      </c>
      <c r="DG196" s="5" t="str">
        <f t="shared" si="180"/>
        <v>-</v>
      </c>
      <c r="DH196" s="203">
        <f t="shared" si="181"/>
        <v>37.545238889226049</v>
      </c>
      <c r="DI196" s="203">
        <f t="shared" si="182"/>
        <v>180</v>
      </c>
      <c r="DJ196" s="46">
        <f t="shared" si="183"/>
        <v>0.20858466049570026</v>
      </c>
      <c r="DK196" s="5" t="str">
        <f t="shared" si="184"/>
        <v>OK</v>
      </c>
      <c r="EB196" s="18"/>
      <c r="EC196" s="77"/>
      <c r="ED196" s="77"/>
      <c r="EE196" s="18"/>
      <c r="EF196" s="18"/>
      <c r="EG196" s="18"/>
      <c r="EH196" s="5"/>
      <c r="EI196" s="5"/>
      <c r="EJ196" s="5"/>
      <c r="EK196" s="5"/>
      <c r="EL196" s="5"/>
      <c r="FE196" s="26"/>
      <c r="FF196" s="26"/>
      <c r="FG196" s="26"/>
      <c r="FH196" s="26"/>
      <c r="FI196" s="26"/>
      <c r="FJ196" s="26"/>
      <c r="FK196" s="26"/>
      <c r="FL196" s="26"/>
      <c r="FM196" s="26"/>
      <c r="FN196" s="205"/>
      <c r="FO196" s="205"/>
      <c r="FP196" s="205"/>
      <c r="FQ196" s="205"/>
      <c r="FR196" s="205"/>
      <c r="FS196" s="205"/>
      <c r="FT196" s="205"/>
      <c r="FU196" s="77"/>
      <c r="FV196" s="77"/>
      <c r="FW196" s="77"/>
      <c r="FX196" s="205"/>
      <c r="FY196" s="205"/>
      <c r="FZ196" s="205"/>
      <c r="GA196" s="205"/>
      <c r="GB196" s="205"/>
      <c r="GC196" s="205"/>
      <c r="GD196" s="205"/>
      <c r="GE196" s="205"/>
      <c r="GF196" s="205"/>
      <c r="GG196" s="205"/>
      <c r="GH196" s="205"/>
      <c r="GI196" s="205"/>
      <c r="GJ196" s="205"/>
      <c r="GK196" s="205"/>
      <c r="GL196" s="205"/>
      <c r="GM196" s="205"/>
      <c r="GN196" s="205"/>
      <c r="GO196" s="205"/>
      <c r="GP196" s="205"/>
      <c r="GQ196" s="205"/>
      <c r="GR196" s="205"/>
      <c r="GS196" s="205"/>
      <c r="GT196" s="205"/>
      <c r="GU196" s="205"/>
      <c r="GV196" s="18"/>
      <c r="GW196" s="5"/>
      <c r="GX196" s="5"/>
      <c r="GY196" s="77"/>
      <c r="GZ196" s="18"/>
      <c r="HA196" s="18"/>
      <c r="HB196" s="18"/>
      <c r="HC196" s="18"/>
      <c r="HD196" s="18"/>
      <c r="HE196" s="18"/>
      <c r="HF196" s="18"/>
      <c r="HG196" s="18"/>
      <c r="HH196" s="205"/>
      <c r="HI196" s="26"/>
      <c r="HJ196" s="26"/>
      <c r="HK196" s="5"/>
    </row>
    <row r="197" spans="27:219">
      <c r="AA197" s="18" t="s">
        <v>488</v>
      </c>
      <c r="AB197" s="22" t="s">
        <v>491</v>
      </c>
      <c r="AC197" s="59">
        <v>0</v>
      </c>
      <c r="AD197" s="59">
        <v>8.6549999999999994</v>
      </c>
      <c r="AE197" s="22">
        <v>528</v>
      </c>
      <c r="AF197" s="22">
        <v>1528</v>
      </c>
      <c r="AG197" s="22">
        <v>528</v>
      </c>
      <c r="AH197" s="6">
        <v>10</v>
      </c>
      <c r="AI197" s="6">
        <v>300</v>
      </c>
      <c r="AJ197" s="6">
        <v>14</v>
      </c>
      <c r="AK197" s="24">
        <v>300</v>
      </c>
      <c r="AL197" s="24">
        <v>14</v>
      </c>
      <c r="AM197" s="5">
        <f t="shared" si="129"/>
        <v>500</v>
      </c>
      <c r="AN197" s="26">
        <f t="shared" si="130"/>
        <v>134</v>
      </c>
      <c r="AO197" s="26">
        <f t="shared" si="131"/>
        <v>65911.546666666676</v>
      </c>
      <c r="AP197" s="15">
        <f t="shared" si="132"/>
        <v>6304.166666666667</v>
      </c>
      <c r="AQ197" s="5">
        <f t="shared" si="133"/>
        <v>2496.6494949494954</v>
      </c>
      <c r="AR197" s="26">
        <f t="shared" si="134"/>
        <v>420.27777777777777</v>
      </c>
      <c r="AS197" s="26">
        <f t="shared" si="135"/>
        <v>1391.9</v>
      </c>
      <c r="AT197" s="26">
        <f t="shared" si="136"/>
        <v>22.178305028345793</v>
      </c>
      <c r="AU197" s="26">
        <f t="shared" si="137"/>
        <v>6.8590101254115021</v>
      </c>
      <c r="AV197" s="95">
        <f t="shared" si="138"/>
        <v>7.201333333333334E-7</v>
      </c>
      <c r="AW197" s="95">
        <f t="shared" si="139"/>
        <v>4161087</v>
      </c>
      <c r="AX197" s="95">
        <f t="shared" si="140"/>
        <v>4.1610870000000001E-6</v>
      </c>
      <c r="AY197" s="54">
        <f t="shared" si="141"/>
        <v>0.25762202780669918</v>
      </c>
      <c r="AZ197" s="54" t="str">
        <f>_xll.Dce_Name_SectI(AE197,AF197,AI197,AH197,AJ197,"x","-",$O$11)</f>
        <v>(528-1528)x300x10x14</v>
      </c>
      <c r="BA197" s="15">
        <f t="shared" si="142"/>
        <v>385.5</v>
      </c>
      <c r="BB197" s="54"/>
      <c r="BC197" s="54"/>
      <c r="BD197" s="22" t="s">
        <v>500</v>
      </c>
      <c r="BE197" s="23">
        <v>48.954531473712422</v>
      </c>
      <c r="BF197" s="23">
        <v>99.334455017393253</v>
      </c>
      <c r="BG197" s="23">
        <v>-9.1887915095458395E-4</v>
      </c>
      <c r="BH197" s="23">
        <v>-5.9983526567044455E-5</v>
      </c>
      <c r="BI197" s="23">
        <v>-4.1190741239712388E-6</v>
      </c>
      <c r="BJ197" s="23">
        <v>0.58854514217085807</v>
      </c>
      <c r="BK197" s="23">
        <v>-306.4985499475855</v>
      </c>
      <c r="BL197" s="92">
        <v>2.25</v>
      </c>
      <c r="BM197" s="91">
        <v>2</v>
      </c>
      <c r="BN197" s="5">
        <f t="shared" si="143"/>
        <v>19.473749999999999</v>
      </c>
      <c r="BO197" s="54">
        <f>_xll.Bimoment(BH197,AY197,AC197,AD197,$O$101)</f>
        <v>0</v>
      </c>
      <c r="BP197" s="5">
        <f t="shared" si="144"/>
        <v>0.84</v>
      </c>
      <c r="BQ197" s="5">
        <f t="shared" si="145"/>
        <v>9.788985004242777E-2</v>
      </c>
      <c r="BR197" s="24" t="str">
        <f t="shared" si="146"/>
        <v>Cal</v>
      </c>
      <c r="BS197" s="25">
        <f t="shared" si="147"/>
        <v>1.5983289193842676E-2</v>
      </c>
      <c r="BT197" s="25" t="str">
        <f t="shared" si="148"/>
        <v>CT.105</v>
      </c>
      <c r="BU197" s="25">
        <f t="shared" si="149"/>
        <v>1</v>
      </c>
      <c r="BV197" s="25" cm="1">
        <f t="array" ref="BV197">IF(BT197="CT.104",_xll.TCVN5575AnnexEHeSoCx(1,BP197),1)</f>
        <v>1</v>
      </c>
      <c r="BW197" s="25">
        <f t="shared" si="150"/>
        <v>1</v>
      </c>
      <c r="BX197" s="25">
        <f t="shared" si="151"/>
        <v>1.6824514940887027E-2</v>
      </c>
      <c r="BY197" s="25">
        <f t="shared" si="152"/>
        <v>1.0856170501627425E-3</v>
      </c>
      <c r="BZ197" s="25">
        <f t="shared" si="153"/>
        <v>4.5135434968899025E-8</v>
      </c>
      <c r="CA197" s="25">
        <f t="shared" si="154"/>
        <v>0</v>
      </c>
      <c r="CB197" s="25">
        <f t="shared" si="155"/>
        <v>1.7910177126484739E-2</v>
      </c>
      <c r="CC197" s="5" t="str">
        <f t="shared" si="156"/>
        <v>OK</v>
      </c>
      <c r="CD197" s="5">
        <f t="shared" si="157"/>
        <v>87.805402509844015</v>
      </c>
      <c r="CE197" s="5">
        <f t="shared" si="158"/>
        <v>29.158726455153193</v>
      </c>
      <c r="CF197" s="5">
        <f t="shared" si="159"/>
        <v>2.9248163326364334</v>
      </c>
      <c r="CG197" s="5">
        <f t="shared" si="160"/>
        <v>0.97128328026682387</v>
      </c>
      <c r="CH197" s="5">
        <f t="shared" si="161"/>
        <v>6.4525904846413767E-2</v>
      </c>
      <c r="CI197" s="68">
        <f>_xll.DCETCVN5575PhuLucD2Eta(BP197,CH197,CF197)</f>
        <v>1.5170628025353186</v>
      </c>
      <c r="CJ197" s="5">
        <f t="shared" si="162"/>
        <v>9.788985004242777E-2</v>
      </c>
      <c r="CK197" s="5">
        <f>MIN(noisuy2chieu(CJ197,CF197,Data!$DA$2:$EB$24),1)</f>
        <v>0.72568291425704956</v>
      </c>
      <c r="CL197" s="102" t="str">
        <f t="shared" si="163"/>
        <v>-</v>
      </c>
      <c r="CM197" s="5" t="str">
        <f t="shared" si="164"/>
        <v>OK</v>
      </c>
      <c r="CN197" s="5">
        <f t="shared" si="165"/>
        <v>0.90492218941026858</v>
      </c>
      <c r="CO197" s="5">
        <f t="shared" si="166"/>
        <v>0.5370345235716667</v>
      </c>
      <c r="CP197" s="25">
        <f>_xll.DCETCVNPhuLucFHeSoOnDinh(1, 0.2, AG197, AH197, AI197, AJ197, AI197, AJ197, $D$28)</f>
        <v>1</v>
      </c>
      <c r="CQ197" s="68">
        <f t="shared" si="167"/>
        <v>0.9</v>
      </c>
      <c r="CR197" s="68">
        <f t="shared" si="168"/>
        <v>1</v>
      </c>
      <c r="CS197" s="5">
        <f t="shared" si="169"/>
        <v>0.18181818181818182</v>
      </c>
      <c r="CT197" s="5">
        <f t="shared" si="170"/>
        <v>9.9510191986788829E-2</v>
      </c>
      <c r="CU197" s="26">
        <f t="shared" si="171"/>
        <v>33.603363365694534</v>
      </c>
      <c r="CV197" s="5"/>
      <c r="CW197" s="25"/>
      <c r="CX197" s="72">
        <f>MAX(_xll.Dce_c_925(CU197, CQ197, CR197, CN197, CP197, CS197, CT197),0.3)</f>
        <v>0.3</v>
      </c>
      <c r="CY197" s="102" t="str">
        <f t="shared" si="172"/>
        <v>-</v>
      </c>
      <c r="CZ197" s="5" t="str">
        <f t="shared" si="173"/>
        <v>OK</v>
      </c>
      <c r="DA197" s="47">
        <f t="shared" si="174"/>
        <v>0.34499859601035404</v>
      </c>
      <c r="DB197" s="46">
        <f t="shared" si="175"/>
        <v>15.569004567156204</v>
      </c>
      <c r="DC197" s="5" t="str">
        <f t="shared" si="176"/>
        <v>OK</v>
      </c>
      <c r="DD197" s="5">
        <f t="shared" si="177"/>
        <v>2.9248163326364334</v>
      </c>
      <c r="DE197" s="5">
        <f t="shared" si="178"/>
        <v>1.6655104634982609</v>
      </c>
      <c r="DF197" s="5">
        <f t="shared" si="179"/>
        <v>3.2</v>
      </c>
      <c r="DG197" s="5" t="str">
        <f t="shared" si="180"/>
        <v>OK</v>
      </c>
      <c r="DH197" s="203" t="str">
        <f t="shared" si="181"/>
        <v>-</v>
      </c>
      <c r="DI197" s="203" t="str">
        <f t="shared" si="182"/>
        <v>-</v>
      </c>
      <c r="DJ197" s="46">
        <f t="shared" si="183"/>
        <v>0</v>
      </c>
      <c r="DK197" s="5" t="str">
        <f t="shared" si="184"/>
        <v>OK</v>
      </c>
      <c r="EB197" s="18"/>
      <c r="EC197" s="77"/>
      <c r="ED197" s="77"/>
      <c r="EE197" s="18"/>
      <c r="EF197" s="18"/>
      <c r="EG197" s="18"/>
      <c r="EH197" s="5"/>
      <c r="EI197" s="5"/>
      <c r="EJ197" s="5"/>
      <c r="EK197" s="5"/>
      <c r="EL197" s="5"/>
      <c r="FE197" s="26"/>
      <c r="FF197" s="26"/>
      <c r="FG197" s="26"/>
      <c r="FH197" s="26"/>
      <c r="FI197" s="26"/>
      <c r="FJ197" s="26"/>
      <c r="FK197" s="26"/>
      <c r="FL197" s="26"/>
      <c r="FM197" s="26"/>
      <c r="FN197" s="205"/>
      <c r="FO197" s="205"/>
      <c r="FP197" s="205"/>
      <c r="FQ197" s="205"/>
      <c r="FR197" s="205"/>
      <c r="FS197" s="205"/>
      <c r="FT197" s="205"/>
      <c r="FU197" s="77"/>
      <c r="FV197" s="77"/>
      <c r="FW197" s="77"/>
      <c r="FX197" s="205"/>
      <c r="FY197" s="205"/>
      <c r="FZ197" s="205"/>
      <c r="GA197" s="205"/>
      <c r="GB197" s="205"/>
      <c r="GC197" s="205"/>
      <c r="GD197" s="205"/>
      <c r="GE197" s="205"/>
      <c r="GF197" s="205"/>
      <c r="GG197" s="205"/>
      <c r="GH197" s="205"/>
      <c r="GI197" s="205"/>
      <c r="GJ197" s="205"/>
      <c r="GK197" s="205"/>
      <c r="GL197" s="205"/>
      <c r="GM197" s="205"/>
      <c r="GN197" s="205"/>
      <c r="GO197" s="205"/>
      <c r="GP197" s="205"/>
      <c r="GQ197" s="205"/>
      <c r="GR197" s="205"/>
      <c r="GS197" s="205"/>
      <c r="GT197" s="205"/>
      <c r="GU197" s="205"/>
      <c r="GV197" s="18"/>
      <c r="GW197" s="5"/>
      <c r="GX197" s="5"/>
      <c r="GY197" s="77"/>
      <c r="GZ197" s="18"/>
      <c r="HA197" s="18"/>
      <c r="HB197" s="18"/>
      <c r="HC197" s="18"/>
      <c r="HD197" s="18"/>
      <c r="HE197" s="18"/>
      <c r="HF197" s="18"/>
      <c r="HG197" s="18"/>
      <c r="HH197" s="205"/>
      <c r="HI197" s="26"/>
      <c r="HJ197" s="26"/>
      <c r="HK197" s="5"/>
    </row>
    <row r="198" spans="27:219">
      <c r="AA198" s="18" t="s">
        <v>488</v>
      </c>
      <c r="AB198" s="22" t="s">
        <v>491</v>
      </c>
      <c r="AC198" s="59">
        <v>3.6405952380952398</v>
      </c>
      <c r="AD198" s="59">
        <v>8.6549999999999994</v>
      </c>
      <c r="AE198" s="22">
        <v>528</v>
      </c>
      <c r="AF198" s="22">
        <v>1528</v>
      </c>
      <c r="AG198" s="22">
        <v>948.63492063492095</v>
      </c>
      <c r="AH198" s="6">
        <v>10</v>
      </c>
      <c r="AI198" s="6">
        <v>300</v>
      </c>
      <c r="AJ198" s="6">
        <v>14</v>
      </c>
      <c r="AK198" s="24">
        <v>300</v>
      </c>
      <c r="AL198" s="24">
        <v>14</v>
      </c>
      <c r="AM198" s="5">
        <f t="shared" si="129"/>
        <v>920.63492063492095</v>
      </c>
      <c r="AN198" s="26">
        <f t="shared" si="130"/>
        <v>176.06349206349208</v>
      </c>
      <c r="AO198" s="26">
        <f t="shared" si="131"/>
        <v>248482.7399356656</v>
      </c>
      <c r="AP198" s="15">
        <f t="shared" si="132"/>
        <v>6307.6719576719579</v>
      </c>
      <c r="AQ198" s="5">
        <f t="shared" si="133"/>
        <v>5238.7432621467533</v>
      </c>
      <c r="AR198" s="26">
        <f t="shared" si="134"/>
        <v>420.51146384479722</v>
      </c>
      <c r="AS198" s="26">
        <f t="shared" si="135"/>
        <v>3022.1941546989178</v>
      </c>
      <c r="AT198" s="26">
        <f t="shared" si="136"/>
        <v>37.567600585756203</v>
      </c>
      <c r="AU198" s="26">
        <f t="shared" si="137"/>
        <v>5.9854925384629922</v>
      </c>
      <c r="AV198" s="95">
        <f t="shared" si="138"/>
        <v>8.6034497354497351E-7</v>
      </c>
      <c r="AW198" s="95">
        <f t="shared" si="139"/>
        <v>13758293.349206358</v>
      </c>
      <c r="AX198" s="95">
        <f t="shared" si="140"/>
        <v>1.3758293349206359E-5</v>
      </c>
      <c r="AY198" s="54">
        <f t="shared" si="141"/>
        <v>0.1548581140202015</v>
      </c>
      <c r="AZ198" s="54" t="str">
        <f>_xll.Dce_Name_SectI(AE198,AF198,AI198,AH198,AJ198,"x","-",$O$11)</f>
        <v>(528-1528)x300x10x14</v>
      </c>
      <c r="BA198" s="15">
        <f t="shared" si="142"/>
        <v>700.97619047619071</v>
      </c>
      <c r="BB198" s="54"/>
      <c r="BC198" s="54"/>
      <c r="BD198" s="22" t="s">
        <v>500</v>
      </c>
      <c r="BE198" s="23">
        <v>52.832547160278267</v>
      </c>
      <c r="BF198" s="23">
        <v>84.089612830110724</v>
      </c>
      <c r="BG198" s="23">
        <v>-9.1887915095551962E-4</v>
      </c>
      <c r="BH198" s="23">
        <v>-5.9983526567044455E-5</v>
      </c>
      <c r="BI198" s="23">
        <v>3.3490261497882137E-3</v>
      </c>
      <c r="BJ198" s="23">
        <v>-334.11634601839808</v>
      </c>
      <c r="BK198" s="23">
        <v>-306.4985499475855</v>
      </c>
      <c r="BL198" s="92">
        <v>2.25</v>
      </c>
      <c r="BM198" s="91">
        <v>2</v>
      </c>
      <c r="BN198" s="5">
        <f t="shared" si="143"/>
        <v>19.473749999999999</v>
      </c>
      <c r="BO198" s="54">
        <f>_xll.Bimoment(BH198,AY198,AC198,AD198,$O$101)</f>
        <v>4.6131330973956861E-4</v>
      </c>
      <c r="BP198" s="5">
        <f t="shared" si="144"/>
        <v>0.45620689655172403</v>
      </c>
      <c r="BQ198" s="5">
        <f t="shared" si="145"/>
        <v>26.381204183405355</v>
      </c>
      <c r="BR198" s="24" t="str">
        <f t="shared" si="146"/>
        <v>Cal</v>
      </c>
      <c r="BS198" s="25">
        <f t="shared" si="147"/>
        <v>1.3128354499685987E-2</v>
      </c>
      <c r="BT198" s="25" t="str">
        <f t="shared" si="148"/>
        <v>CT.105</v>
      </c>
      <c r="BU198" s="25">
        <f t="shared" si="149"/>
        <v>1</v>
      </c>
      <c r="BV198" s="25" cm="1">
        <f t="array" ref="BV198">IF(BT198="CT.104",_xll.TCVN5575AnnexEHeSoCx(1,BP198),1)</f>
        <v>1</v>
      </c>
      <c r="BW198" s="25">
        <f t="shared" si="150"/>
        <v>1</v>
      </c>
      <c r="BX198" s="25">
        <f t="shared" si="151"/>
        <v>1.381932052598525E-2</v>
      </c>
      <c r="BY198" s="25">
        <f t="shared" si="152"/>
        <v>0.2937142787444802</v>
      </c>
      <c r="BZ198" s="25">
        <f t="shared" si="153"/>
        <v>3.6677113630695485E-5</v>
      </c>
      <c r="CA198" s="25">
        <f t="shared" si="154"/>
        <v>1.082403377733493E-5</v>
      </c>
      <c r="CB198" s="25">
        <f t="shared" si="155"/>
        <v>0.30758110041787345</v>
      </c>
      <c r="CC198" s="5" t="str">
        <f t="shared" si="156"/>
        <v>OK</v>
      </c>
      <c r="CD198" s="5">
        <f t="shared" si="157"/>
        <v>51.836555160202302</v>
      </c>
      <c r="CE198" s="5">
        <f t="shared" si="158"/>
        <v>33.414125690541383</v>
      </c>
      <c r="CF198" s="5">
        <f t="shared" si="159"/>
        <v>1.7266865002204341</v>
      </c>
      <c r="CG198" s="5">
        <f t="shared" si="160"/>
        <v>1.1130315193248546</v>
      </c>
      <c r="CH198" s="5">
        <f t="shared" si="161"/>
        <v>21.253887135202671</v>
      </c>
      <c r="CI198" s="68">
        <f>_xll.DCETCVN5575PhuLucD2Eta(BP198,CH198,CF198)</f>
        <v>1.2412413793103447</v>
      </c>
      <c r="CJ198" s="5">
        <f t="shared" si="162"/>
        <v>26.381204183405355</v>
      </c>
      <c r="CK198" s="5">
        <f>MIN(noisuy2chieu(CJ198,CF198,Data!$DA$2:$EB$24),1)</f>
        <v>6.8639881908893585E-2</v>
      </c>
      <c r="CL198" s="102" t="str">
        <f t="shared" si="163"/>
        <v>-</v>
      </c>
      <c r="CM198" s="5" t="str">
        <f t="shared" si="164"/>
        <v>OK</v>
      </c>
      <c r="CN198" s="5">
        <f t="shared" si="165"/>
        <v>0.88472625978979058</v>
      </c>
      <c r="CO198" s="5">
        <f t="shared" si="166"/>
        <v>0.5370345235716667</v>
      </c>
      <c r="CP198" s="25">
        <f>_xll.DCETCVNPhuLucFHeSoOnDinh(1, 0.2, AG198, AH198, AI198, AJ198, AI198, AJ198, $D$28)</f>
        <v>1</v>
      </c>
      <c r="CQ198" s="68">
        <f t="shared" si="167"/>
        <v>0.9</v>
      </c>
      <c r="CR198" s="68">
        <f t="shared" si="168"/>
        <v>1</v>
      </c>
      <c r="CS198" s="5">
        <f t="shared" si="169"/>
        <v>0.18181818181818182</v>
      </c>
      <c r="CT198" s="5">
        <f t="shared" si="170"/>
        <v>0.10155106457844131</v>
      </c>
      <c r="CU198" s="26">
        <f t="shared" si="171"/>
        <v>19.497057433192904</v>
      </c>
      <c r="CV198" s="5"/>
      <c r="CW198" s="25"/>
      <c r="CX198" s="72">
        <f>MAX(_xll.Dce_c_925(CU198, CQ198, CR198, CN198, CP198, CS198, CT198),0.3)</f>
        <v>0.3</v>
      </c>
      <c r="CY198" s="102" t="str">
        <f t="shared" si="172"/>
        <v>-</v>
      </c>
      <c r="CZ198" s="5" t="str">
        <f t="shared" si="173"/>
        <v>OK</v>
      </c>
      <c r="DA198" s="47">
        <f t="shared" si="174"/>
        <v>0.34499859601035404</v>
      </c>
      <c r="DB198" s="46">
        <f t="shared" si="175"/>
        <v>0.94649550862073339</v>
      </c>
      <c r="DC198" s="5" t="str">
        <f t="shared" si="176"/>
        <v>OK</v>
      </c>
      <c r="DD198" s="5">
        <f t="shared" si="177"/>
        <v>1.7266865002204341</v>
      </c>
      <c r="DE198" s="5">
        <f t="shared" si="178"/>
        <v>3.0666541867587034</v>
      </c>
      <c r="DF198" s="5">
        <f t="shared" si="179"/>
        <v>3.2</v>
      </c>
      <c r="DG198" s="5" t="str">
        <f t="shared" si="180"/>
        <v>OK</v>
      </c>
      <c r="DH198" s="203">
        <f t="shared" si="181"/>
        <v>51.836555160202302</v>
      </c>
      <c r="DI198" s="203" t="str">
        <f t="shared" si="182"/>
        <v>-</v>
      </c>
      <c r="DJ198" s="46">
        <f t="shared" si="183"/>
        <v>0</v>
      </c>
      <c r="DK198" s="5" t="str">
        <f t="shared" si="184"/>
        <v>OK</v>
      </c>
      <c r="EB198" s="18"/>
      <c r="EC198" s="77"/>
      <c r="ED198" s="77"/>
      <c r="EE198" s="18"/>
      <c r="EF198" s="18"/>
      <c r="EG198" s="18"/>
      <c r="EH198" s="5"/>
      <c r="EI198" s="5"/>
      <c r="EJ198" s="5"/>
      <c r="EK198" s="5"/>
      <c r="EL198" s="5"/>
      <c r="FE198" s="26"/>
      <c r="FF198" s="26"/>
      <c r="FG198" s="26"/>
      <c r="FH198" s="26"/>
      <c r="FI198" s="26"/>
      <c r="FJ198" s="26"/>
      <c r="FK198" s="26"/>
      <c r="FL198" s="26"/>
      <c r="FM198" s="26"/>
      <c r="FN198" s="205"/>
      <c r="FO198" s="205"/>
      <c r="FP198" s="205"/>
      <c r="FQ198" s="205"/>
      <c r="FR198" s="205"/>
      <c r="FS198" s="205"/>
      <c r="FT198" s="205"/>
      <c r="FU198" s="77"/>
      <c r="FV198" s="77"/>
      <c r="FW198" s="77"/>
      <c r="FX198" s="205"/>
      <c r="FY198" s="205"/>
      <c r="FZ198" s="205"/>
      <c r="GA198" s="205"/>
      <c r="GB198" s="205"/>
      <c r="GC198" s="205"/>
      <c r="GD198" s="205"/>
      <c r="GE198" s="205"/>
      <c r="GF198" s="205"/>
      <c r="GG198" s="205"/>
      <c r="GH198" s="205"/>
      <c r="GI198" s="205"/>
      <c r="GJ198" s="205"/>
      <c r="GK198" s="205"/>
      <c r="GL198" s="205"/>
      <c r="GM198" s="205"/>
      <c r="GN198" s="205"/>
      <c r="GO198" s="205"/>
      <c r="GP198" s="205"/>
      <c r="GQ198" s="205"/>
      <c r="GR198" s="205"/>
      <c r="GS198" s="205"/>
      <c r="GT198" s="205"/>
      <c r="GU198" s="205"/>
      <c r="GV198" s="18"/>
      <c r="GW198" s="5"/>
      <c r="GX198" s="5"/>
      <c r="GY198" s="77"/>
      <c r="GZ198" s="18"/>
      <c r="HA198" s="18"/>
      <c r="HB198" s="18"/>
      <c r="HC198" s="18"/>
      <c r="HD198" s="18"/>
      <c r="HE198" s="18"/>
      <c r="HF198" s="18"/>
      <c r="HG198" s="18"/>
      <c r="HH198" s="205"/>
      <c r="HI198" s="26"/>
      <c r="HJ198" s="26"/>
      <c r="HK198" s="5"/>
    </row>
    <row r="199" spans="27:219">
      <c r="AA199" s="18" t="s">
        <v>488</v>
      </c>
      <c r="AB199" s="22" t="s">
        <v>491</v>
      </c>
      <c r="AC199" s="59">
        <v>7.2811904761904795</v>
      </c>
      <c r="AD199" s="59">
        <v>8.6549999999999994</v>
      </c>
      <c r="AE199" s="22">
        <v>528</v>
      </c>
      <c r="AF199" s="22">
        <v>1528</v>
      </c>
      <c r="AG199" s="22">
        <v>1369.2698412698419</v>
      </c>
      <c r="AH199" s="6">
        <v>10</v>
      </c>
      <c r="AI199" s="6">
        <v>300</v>
      </c>
      <c r="AJ199" s="6">
        <v>14</v>
      </c>
      <c r="AK199" s="24">
        <v>300</v>
      </c>
      <c r="AL199" s="24">
        <v>14</v>
      </c>
      <c r="AM199" s="5">
        <f t="shared" si="129"/>
        <v>1341.2698412698419</v>
      </c>
      <c r="AN199" s="26">
        <f t="shared" si="130"/>
        <v>218.12698412698418</v>
      </c>
      <c r="AO199" s="26">
        <f t="shared" si="131"/>
        <v>586811.79072745051</v>
      </c>
      <c r="AP199" s="15">
        <f t="shared" si="132"/>
        <v>6311.1772486772488</v>
      </c>
      <c r="AQ199" s="5">
        <f t="shared" si="133"/>
        <v>8571.1635945074104</v>
      </c>
      <c r="AR199" s="26">
        <f t="shared" si="134"/>
        <v>420.74514991181661</v>
      </c>
      <c r="AS199" s="26">
        <f t="shared" si="135"/>
        <v>5094.8226505417015</v>
      </c>
      <c r="AT199" s="26">
        <f t="shared" si="136"/>
        <v>51.867428670398397</v>
      </c>
      <c r="AU199" s="26">
        <f t="shared" si="137"/>
        <v>5.3789869588463937</v>
      </c>
      <c r="AV199" s="95">
        <f t="shared" si="138"/>
        <v>1.0005566137566139E-6</v>
      </c>
      <c r="AW199" s="95">
        <f t="shared" si="139"/>
        <v>28928912.396825422</v>
      </c>
      <c r="AX199" s="95">
        <f t="shared" si="140"/>
        <v>2.8928912396825422E-5</v>
      </c>
      <c r="AY199" s="54">
        <f t="shared" si="141"/>
        <v>0.11516876660535029</v>
      </c>
      <c r="AZ199" s="54" t="str">
        <f>_xll.Dce_Name_SectI(AE199,AF199,AI199,AH199,AJ199,"x","-",$O$11)</f>
        <v>(528-1528)x300x10x14</v>
      </c>
      <c r="BA199" s="15">
        <f t="shared" si="142"/>
        <v>1016.4523809523813</v>
      </c>
      <c r="BB199" s="54"/>
      <c r="BC199" s="54"/>
      <c r="BD199" s="22" t="s">
        <v>500</v>
      </c>
      <c r="BE199" s="23">
        <v>58.251998597336524</v>
      </c>
      <c r="BF199" s="23">
        <v>68.738920112236144</v>
      </c>
      <c r="BG199" s="23">
        <v>-9.188791509564619E-4</v>
      </c>
      <c r="BH199" s="23">
        <v>-5.9983526567044455E-5</v>
      </c>
      <c r="BI199" s="23">
        <v>6.7021713737038255E-3</v>
      </c>
      <c r="BJ199" s="23">
        <v>-612.997099895171</v>
      </c>
      <c r="BK199" s="23">
        <v>-306.4985499475855</v>
      </c>
      <c r="BL199" s="92">
        <v>2.25</v>
      </c>
      <c r="BM199" s="91">
        <v>2</v>
      </c>
      <c r="BN199" s="5">
        <f t="shared" si="143"/>
        <v>19.473749999999999</v>
      </c>
      <c r="BO199" s="54">
        <f>_xll.Bimoment(BH199,AY199,AC199,AD199,$O$101)</f>
        <v>2.7440486434550967E-4</v>
      </c>
      <c r="BP199" s="5">
        <f t="shared" si="144"/>
        <v>0.31313609467455605</v>
      </c>
      <c r="BQ199" s="5">
        <f t="shared" si="145"/>
        <v>32.474652469780381</v>
      </c>
      <c r="BR199" s="24" t="str">
        <f t="shared" si="146"/>
        <v>Cal</v>
      </c>
      <c r="BS199" s="25">
        <f t="shared" si="147"/>
        <v>1.1683675675586433E-2</v>
      </c>
      <c r="BT199" s="25" t="str">
        <f t="shared" si="148"/>
        <v>CT.105</v>
      </c>
      <c r="BU199" s="25">
        <f t="shared" si="149"/>
        <v>1</v>
      </c>
      <c r="BV199" s="25" cm="1">
        <f t="array" ref="BV199">IF(BT199="CT.104",_xll.TCVN5575AnnexEHeSoCx(1,BP199),1)</f>
        <v>1</v>
      </c>
      <c r="BW199" s="25">
        <f t="shared" si="150"/>
        <v>1</v>
      </c>
      <c r="BX199" s="25">
        <f t="shared" si="151"/>
        <v>1.2298605974301508E-2</v>
      </c>
      <c r="BY199" s="25">
        <f t="shared" si="152"/>
        <v>0.32936169388396691</v>
      </c>
      <c r="BZ199" s="25">
        <f t="shared" si="153"/>
        <v>7.3358570887113012E-5</v>
      </c>
      <c r="CA199" s="25">
        <f t="shared" si="154"/>
        <v>4.4401862644965388E-6</v>
      </c>
      <c r="CB199" s="25">
        <f t="shared" si="155"/>
        <v>0.34173809861542004</v>
      </c>
      <c r="CC199" s="5" t="str">
        <f t="shared" si="156"/>
        <v>OK</v>
      </c>
      <c r="CD199" s="5">
        <f t="shared" si="157"/>
        <v>37.545238889226049</v>
      </c>
      <c r="CE199" s="5">
        <f t="shared" si="158"/>
        <v>37.181722419139881</v>
      </c>
      <c r="CF199" s="5">
        <f t="shared" si="159"/>
        <v>1.2506397644909562</v>
      </c>
      <c r="CG199" s="5">
        <f t="shared" si="160"/>
        <v>1.2385309547993069</v>
      </c>
      <c r="CH199" s="5">
        <f t="shared" si="161"/>
        <v>26.780408655434844</v>
      </c>
      <c r="CI199" s="68">
        <f>_xll.DCETCVN5575PhuLucD2Eta(BP199,CH199,CF199)</f>
        <v>1.2126272189349112</v>
      </c>
      <c r="CJ199" s="5">
        <f t="shared" si="162"/>
        <v>32.474652469780381</v>
      </c>
      <c r="CK199" s="5">
        <f>MIN(noisuy2chieu(CJ199,CF199,Data!$DA$2:$EB$24),1)</f>
        <v>7.1994885802268982E-2</v>
      </c>
      <c r="CL199" s="102" t="str">
        <f t="shared" si="163"/>
        <v>-</v>
      </c>
      <c r="CM199" s="5" t="str">
        <f t="shared" si="164"/>
        <v>OK</v>
      </c>
      <c r="CN199" s="5">
        <f t="shared" si="165"/>
        <v>0.86643683692746631</v>
      </c>
      <c r="CO199" s="5">
        <f t="shared" si="166"/>
        <v>0.5370345235716667</v>
      </c>
      <c r="CP199" s="25">
        <f>_xll.DCETCVNPhuLucFHeSoOnDinh(1, 0.2, AG199, AH199, AI199, AJ199, AI199, AJ199, $D$28)</f>
        <v>1</v>
      </c>
      <c r="CQ199" s="68">
        <f t="shared" si="167"/>
        <v>0.9</v>
      </c>
      <c r="CR199" s="68">
        <f t="shared" si="168"/>
        <v>1</v>
      </c>
      <c r="CS199" s="5">
        <f t="shared" si="169"/>
        <v>0.18181818181818182</v>
      </c>
      <c r="CT199" s="5">
        <f t="shared" si="170"/>
        <v>0.10347287704587492</v>
      </c>
      <c r="CU199" s="26">
        <f t="shared" si="171"/>
        <v>13.390204327717422</v>
      </c>
      <c r="CV199" s="5"/>
      <c r="CW199" s="25"/>
      <c r="CX199" s="72">
        <f>MAX(_xll.Dce_c_925(CU199, CQ199, CR199, CN199, CP199, CS199, CT199),0.3)</f>
        <v>0.3</v>
      </c>
      <c r="CY199" s="102" t="str">
        <f t="shared" si="172"/>
        <v>-</v>
      </c>
      <c r="CZ199" s="5" t="str">
        <f t="shared" si="173"/>
        <v>OK</v>
      </c>
      <c r="DA199" s="47">
        <f t="shared" si="174"/>
        <v>0.34499859601035404</v>
      </c>
      <c r="DB199" s="46">
        <f t="shared" si="175"/>
        <v>0.89376490656815955</v>
      </c>
      <c r="DC199" s="5" t="str">
        <f t="shared" si="176"/>
        <v>OK</v>
      </c>
      <c r="DD199" s="5">
        <f t="shared" si="177"/>
        <v>1.2506397644909562</v>
      </c>
      <c r="DE199" s="5">
        <f t="shared" si="178"/>
        <v>4.4677979100191463</v>
      </c>
      <c r="DF199" s="5">
        <f t="shared" si="179"/>
        <v>3.2</v>
      </c>
      <c r="DG199" s="5" t="str">
        <f t="shared" si="180"/>
        <v>Gia cường</v>
      </c>
      <c r="DH199" s="203">
        <f t="shared" si="181"/>
        <v>37.545238889226049</v>
      </c>
      <c r="DI199" s="203" t="str">
        <f t="shared" si="182"/>
        <v>-</v>
      </c>
      <c r="DJ199" s="46">
        <f t="shared" si="183"/>
        <v>0</v>
      </c>
      <c r="DK199" s="5" t="str">
        <f t="shared" si="184"/>
        <v>OK</v>
      </c>
      <c r="EB199" s="18"/>
      <c r="EC199" s="77"/>
      <c r="ED199" s="77"/>
      <c r="EE199" s="18"/>
      <c r="EF199" s="18"/>
      <c r="EG199" s="18"/>
      <c r="EH199" s="5"/>
      <c r="EI199" s="5"/>
      <c r="EJ199" s="5"/>
      <c r="EK199" s="5"/>
      <c r="EL199" s="5"/>
      <c r="FE199" s="26"/>
      <c r="FF199" s="26"/>
      <c r="FG199" s="26"/>
      <c r="FH199" s="26"/>
      <c r="FI199" s="26"/>
      <c r="FJ199" s="26"/>
      <c r="FK199" s="26"/>
      <c r="FL199" s="26"/>
      <c r="FM199" s="26"/>
      <c r="FN199" s="205"/>
      <c r="FO199" s="205"/>
      <c r="FP199" s="205"/>
      <c r="FQ199" s="205"/>
      <c r="FR199" s="205"/>
      <c r="FS199" s="205"/>
      <c r="FT199" s="205"/>
      <c r="FU199" s="77"/>
      <c r="FV199" s="77"/>
      <c r="FW199" s="77"/>
      <c r="FX199" s="205"/>
      <c r="FY199" s="205"/>
      <c r="FZ199" s="205"/>
      <c r="GA199" s="205"/>
      <c r="GB199" s="205"/>
      <c r="GC199" s="205"/>
      <c r="GD199" s="205"/>
      <c r="GE199" s="205"/>
      <c r="GF199" s="205"/>
      <c r="GG199" s="205"/>
      <c r="GH199" s="205"/>
      <c r="GI199" s="205"/>
      <c r="GJ199" s="205"/>
      <c r="GK199" s="205"/>
      <c r="GL199" s="205"/>
      <c r="GM199" s="205"/>
      <c r="GN199" s="205"/>
      <c r="GO199" s="205"/>
      <c r="GP199" s="205"/>
      <c r="GQ199" s="205"/>
      <c r="GR199" s="205"/>
      <c r="GS199" s="205"/>
      <c r="GT199" s="205"/>
      <c r="GU199" s="205"/>
      <c r="GV199" s="18"/>
      <c r="GW199" s="5"/>
      <c r="GX199" s="5"/>
      <c r="GY199" s="77"/>
      <c r="GZ199" s="18"/>
      <c r="HA199" s="18"/>
      <c r="HB199" s="18"/>
      <c r="HC199" s="18"/>
      <c r="HD199" s="18"/>
      <c r="HE199" s="18"/>
      <c r="HF199" s="18"/>
      <c r="HG199" s="18"/>
      <c r="HH199" s="205"/>
      <c r="HI199" s="26"/>
      <c r="HJ199" s="26"/>
      <c r="HK199" s="5"/>
    </row>
    <row r="200" spans="27:219">
      <c r="AA200" s="18" t="s">
        <v>488</v>
      </c>
      <c r="AB200" s="22" t="s">
        <v>491</v>
      </c>
      <c r="AC200" s="59">
        <v>0</v>
      </c>
      <c r="AD200" s="59">
        <v>8.6549999999999994</v>
      </c>
      <c r="AE200" s="22">
        <v>528</v>
      </c>
      <c r="AF200" s="22">
        <v>1528</v>
      </c>
      <c r="AG200" s="22">
        <v>528</v>
      </c>
      <c r="AH200" s="6">
        <v>10</v>
      </c>
      <c r="AI200" s="6">
        <v>300</v>
      </c>
      <c r="AJ200" s="6">
        <v>14</v>
      </c>
      <c r="AK200" s="24">
        <v>300</v>
      </c>
      <c r="AL200" s="24">
        <v>14</v>
      </c>
      <c r="AM200" s="5">
        <f t="shared" si="129"/>
        <v>500</v>
      </c>
      <c r="AN200" s="26">
        <f t="shared" si="130"/>
        <v>134</v>
      </c>
      <c r="AO200" s="26">
        <f t="shared" si="131"/>
        <v>65911.546666666676</v>
      </c>
      <c r="AP200" s="15">
        <f t="shared" si="132"/>
        <v>6304.166666666667</v>
      </c>
      <c r="AQ200" s="5">
        <f t="shared" si="133"/>
        <v>2496.6494949494954</v>
      </c>
      <c r="AR200" s="26">
        <f t="shared" si="134"/>
        <v>420.27777777777777</v>
      </c>
      <c r="AS200" s="26">
        <f t="shared" si="135"/>
        <v>1391.9</v>
      </c>
      <c r="AT200" s="26">
        <f t="shared" si="136"/>
        <v>22.178305028345793</v>
      </c>
      <c r="AU200" s="26">
        <f t="shared" si="137"/>
        <v>6.8590101254115021</v>
      </c>
      <c r="AV200" s="95">
        <f t="shared" si="138"/>
        <v>7.201333333333334E-7</v>
      </c>
      <c r="AW200" s="95">
        <f t="shared" si="139"/>
        <v>4161087</v>
      </c>
      <c r="AX200" s="95">
        <f t="shared" si="140"/>
        <v>4.1610870000000001E-6</v>
      </c>
      <c r="AY200" s="54">
        <f t="shared" si="141"/>
        <v>0.25762202780669918</v>
      </c>
      <c r="AZ200" s="54" t="str">
        <f>_xll.Dce_Name_SectI(AE200,AF200,AI200,AH200,AJ200,"x","-",$O$11)</f>
        <v>(528-1528)x300x10x14</v>
      </c>
      <c r="BA200" s="15">
        <f t="shared" si="142"/>
        <v>385.5</v>
      </c>
      <c r="BB200" s="54"/>
      <c r="BC200" s="54"/>
      <c r="BD200" s="22" t="s">
        <v>501</v>
      </c>
      <c r="BE200" s="23">
        <v>-206.96337686605793</v>
      </c>
      <c r="BF200" s="23">
        <v>-118.85032690959237</v>
      </c>
      <c r="BG200" s="23">
        <v>1.0721316675144142E-4</v>
      </c>
      <c r="BH200" s="23">
        <v>1.0544339800880621E-4</v>
      </c>
      <c r="BI200" s="23">
        <v>7.2408075542963314E-6</v>
      </c>
      <c r="BJ200" s="23">
        <v>-2.7767843795420561</v>
      </c>
      <c r="BK200" s="23">
        <v>531.53404811244286</v>
      </c>
      <c r="BL200" s="92">
        <v>2.25</v>
      </c>
      <c r="BM200" s="91">
        <v>2</v>
      </c>
      <c r="BN200" s="5">
        <f t="shared" si="143"/>
        <v>19.473749999999999</v>
      </c>
      <c r="BO200" s="54">
        <f>_xll.Bimoment(BH200,AY200,AC200,AD200,$O$101)</f>
        <v>0</v>
      </c>
      <c r="BP200" s="5">
        <f t="shared" si="144"/>
        <v>0.84</v>
      </c>
      <c r="BQ200" s="5">
        <f t="shared" si="145"/>
        <v>0.10922209472258189</v>
      </c>
      <c r="BR200" s="24" t="str">
        <f t="shared" si="146"/>
        <v>Cal</v>
      </c>
      <c r="BS200" s="25">
        <f t="shared" si="147"/>
        <v>6.7571998043955486E-2</v>
      </c>
      <c r="BT200" s="25" t="str">
        <f t="shared" si="148"/>
        <v>CT.105</v>
      </c>
      <c r="BU200" s="25">
        <f t="shared" si="149"/>
        <v>1</v>
      </c>
      <c r="BV200" s="25" cm="1">
        <f t="array" ref="BV200">IF(BT200="CT.104",_xll.TCVN5575AnnexEHeSoCx(1,BP200),1)</f>
        <v>1</v>
      </c>
      <c r="BW200" s="25">
        <f t="shared" si="150"/>
        <v>1</v>
      </c>
      <c r="BX200" s="25">
        <f t="shared" si="151"/>
        <v>7.1128418993637352E-2</v>
      </c>
      <c r="BY200" s="25">
        <f t="shared" si="152"/>
        <v>5.1219936264146329E-3</v>
      </c>
      <c r="BZ200" s="25">
        <f t="shared" si="153"/>
        <v>7.9342344578681065E-8</v>
      </c>
      <c r="CA200" s="25">
        <f t="shared" si="154"/>
        <v>0</v>
      </c>
      <c r="CB200" s="25">
        <f t="shared" si="155"/>
        <v>7.6250491962396569E-2</v>
      </c>
      <c r="CC200" s="5" t="str">
        <f t="shared" si="156"/>
        <v>OK</v>
      </c>
      <c r="CD200" s="5">
        <f t="shared" si="157"/>
        <v>87.805402509844015</v>
      </c>
      <c r="CE200" s="5">
        <f t="shared" si="158"/>
        <v>29.158726455153193</v>
      </c>
      <c r="CF200" s="5">
        <f t="shared" si="159"/>
        <v>2.9248163326364334</v>
      </c>
      <c r="CG200" s="5">
        <f t="shared" si="160"/>
        <v>0.97128328026682387</v>
      </c>
      <c r="CH200" s="5">
        <f t="shared" si="161"/>
        <v>7.2010508582691965E-2</v>
      </c>
      <c r="CI200" s="68">
        <f>_xll.DCETCVN5575PhuLucD2Eta(BP200,CH200,CF200)</f>
        <v>1.5167521639867141</v>
      </c>
      <c r="CJ200" s="5">
        <f t="shared" si="162"/>
        <v>0.10922209472258189</v>
      </c>
      <c r="CK200" s="5">
        <f>MIN(noisuy2chieu(CJ200,CF200,Data!$DA$2:$EB$24),1)</f>
        <v>0.67397391796112061</v>
      </c>
      <c r="CL200" s="102">
        <f t="shared" si="163"/>
        <v>0.10553586288444551</v>
      </c>
      <c r="CM200" s="5" t="str">
        <f t="shared" si="164"/>
        <v>OK</v>
      </c>
      <c r="CN200" s="5">
        <f t="shared" si="165"/>
        <v>0.90492218941026858</v>
      </c>
      <c r="CO200" s="5">
        <f t="shared" si="166"/>
        <v>0.5370345235716667</v>
      </c>
      <c r="CP200" s="25">
        <f>_xll.DCETCVNPhuLucFHeSoOnDinh(1, 0.2, AG200, AH200, AI200, AJ200, AI200, AJ200, $D$28)</f>
        <v>1</v>
      </c>
      <c r="CQ200" s="68">
        <f t="shared" si="167"/>
        <v>0.9</v>
      </c>
      <c r="CR200" s="68">
        <f t="shared" si="168"/>
        <v>1</v>
      </c>
      <c r="CS200" s="5">
        <f t="shared" si="169"/>
        <v>0.18181818181818182</v>
      </c>
      <c r="CT200" s="5">
        <f t="shared" si="170"/>
        <v>9.9510191986788829E-2</v>
      </c>
      <c r="CU200" s="26">
        <f t="shared" si="171"/>
        <v>13.784302956899559</v>
      </c>
      <c r="CV200" s="5"/>
      <c r="CW200" s="25"/>
      <c r="CX200" s="72">
        <f>MAX(_xll.Dce_c_925(CU200, CQ200, CR200, CN200, CP200, CS200, CT200),0.3)</f>
        <v>0.3</v>
      </c>
      <c r="CY200" s="102">
        <f t="shared" si="172"/>
        <v>0.26200565391517711</v>
      </c>
      <c r="CZ200" s="5" t="str">
        <f t="shared" si="173"/>
        <v>OK</v>
      </c>
      <c r="DA200" s="47">
        <f t="shared" si="174"/>
        <v>0.34499859601035404</v>
      </c>
      <c r="DB200" s="46">
        <f t="shared" si="175"/>
        <v>0.45712832802668235</v>
      </c>
      <c r="DC200" s="5" t="str">
        <f t="shared" si="176"/>
        <v>OK</v>
      </c>
      <c r="DD200" s="5">
        <f t="shared" si="177"/>
        <v>2.9248163326364334</v>
      </c>
      <c r="DE200" s="5">
        <f t="shared" si="178"/>
        <v>1.6655104634982609</v>
      </c>
      <c r="DF200" s="5" t="str">
        <f t="shared" si="179"/>
        <v>-</v>
      </c>
      <c r="DG200" s="5" t="str">
        <f t="shared" si="180"/>
        <v>-</v>
      </c>
      <c r="DH200" s="203" t="str">
        <f t="shared" si="181"/>
        <v>-</v>
      </c>
      <c r="DI200" s="203">
        <f t="shared" si="182"/>
        <v>180</v>
      </c>
      <c r="DJ200" s="46">
        <f t="shared" si="183"/>
        <v>0</v>
      </c>
      <c r="DK200" s="5" t="str">
        <f t="shared" si="184"/>
        <v>OK</v>
      </c>
      <c r="EB200" s="18"/>
      <c r="EC200" s="77"/>
      <c r="ED200" s="77"/>
      <c r="EE200" s="18"/>
      <c r="EF200" s="18"/>
      <c r="EG200" s="18"/>
      <c r="EH200" s="5"/>
      <c r="EI200" s="5"/>
      <c r="EJ200" s="5"/>
      <c r="EK200" s="5"/>
      <c r="EL200" s="5"/>
      <c r="FE200" s="26"/>
      <c r="FF200" s="26"/>
      <c r="FG200" s="26"/>
      <c r="FH200" s="26"/>
      <c r="FI200" s="26"/>
      <c r="FJ200" s="26"/>
      <c r="FK200" s="26"/>
      <c r="FL200" s="26"/>
      <c r="FM200" s="26"/>
      <c r="FN200" s="205"/>
      <c r="FO200" s="205"/>
      <c r="FP200" s="205"/>
      <c r="FQ200" s="205"/>
      <c r="FR200" s="205"/>
      <c r="FS200" s="205"/>
      <c r="FT200" s="205"/>
      <c r="FU200" s="77"/>
      <c r="FV200" s="77"/>
      <c r="FW200" s="77"/>
      <c r="FX200" s="205"/>
      <c r="FY200" s="205"/>
      <c r="FZ200" s="205"/>
      <c r="GA200" s="205"/>
      <c r="GB200" s="205"/>
      <c r="GC200" s="205"/>
      <c r="GD200" s="205"/>
      <c r="GE200" s="205"/>
      <c r="GF200" s="205"/>
      <c r="GG200" s="205"/>
      <c r="GH200" s="205"/>
      <c r="GI200" s="205"/>
      <c r="GJ200" s="205"/>
      <c r="GK200" s="205"/>
      <c r="GL200" s="205"/>
      <c r="GM200" s="205"/>
      <c r="GN200" s="205"/>
      <c r="GO200" s="205"/>
      <c r="GP200" s="205"/>
      <c r="GQ200" s="205"/>
      <c r="GR200" s="205"/>
      <c r="GS200" s="205"/>
      <c r="GT200" s="205"/>
      <c r="GU200" s="205"/>
      <c r="GV200" s="18"/>
      <c r="GW200" s="5"/>
      <c r="GX200" s="5"/>
      <c r="GY200" s="77"/>
      <c r="GZ200" s="18"/>
      <c r="HA200" s="18"/>
      <c r="HB200" s="18"/>
      <c r="HC200" s="18"/>
      <c r="HD200" s="18"/>
      <c r="HE200" s="18"/>
      <c r="HF200" s="18"/>
      <c r="HG200" s="18"/>
      <c r="HH200" s="205"/>
      <c r="HI200" s="26"/>
      <c r="HJ200" s="26"/>
      <c r="HK200" s="5"/>
    </row>
    <row r="201" spans="27:219">
      <c r="AA201" s="18" t="s">
        <v>488</v>
      </c>
      <c r="AB201" s="22" t="s">
        <v>491</v>
      </c>
      <c r="AC201" s="59">
        <v>3.6405952380952398</v>
      </c>
      <c r="AD201" s="59">
        <v>8.6549999999999994</v>
      </c>
      <c r="AE201" s="22">
        <v>528</v>
      </c>
      <c r="AF201" s="22">
        <v>1528</v>
      </c>
      <c r="AG201" s="22">
        <v>948.63492063492095</v>
      </c>
      <c r="AH201" s="6">
        <v>10</v>
      </c>
      <c r="AI201" s="6">
        <v>300</v>
      </c>
      <c r="AJ201" s="6">
        <v>14</v>
      </c>
      <c r="AK201" s="24">
        <v>300</v>
      </c>
      <c r="AL201" s="24">
        <v>14</v>
      </c>
      <c r="AM201" s="5">
        <f t="shared" si="129"/>
        <v>920.63492063492095</v>
      </c>
      <c r="AN201" s="26">
        <f t="shared" si="130"/>
        <v>176.06349206349208</v>
      </c>
      <c r="AO201" s="26">
        <f t="shared" si="131"/>
        <v>248482.7399356656</v>
      </c>
      <c r="AP201" s="15">
        <f t="shared" si="132"/>
        <v>6307.6719576719579</v>
      </c>
      <c r="AQ201" s="5">
        <f t="shared" si="133"/>
        <v>5238.7432621467533</v>
      </c>
      <c r="AR201" s="26">
        <f t="shared" si="134"/>
        <v>420.51146384479722</v>
      </c>
      <c r="AS201" s="26">
        <f t="shared" si="135"/>
        <v>3022.1941546989178</v>
      </c>
      <c r="AT201" s="26">
        <f t="shared" si="136"/>
        <v>37.567600585756203</v>
      </c>
      <c r="AU201" s="26">
        <f t="shared" si="137"/>
        <v>5.9854925384629922</v>
      </c>
      <c r="AV201" s="95">
        <f t="shared" si="138"/>
        <v>8.6034497354497351E-7</v>
      </c>
      <c r="AW201" s="95">
        <f t="shared" si="139"/>
        <v>13758293.349206358</v>
      </c>
      <c r="AX201" s="95">
        <f t="shared" si="140"/>
        <v>1.3758293349206359E-5</v>
      </c>
      <c r="AY201" s="54">
        <f t="shared" si="141"/>
        <v>0.1548581140202015</v>
      </c>
      <c r="AZ201" s="54" t="str">
        <f>_xll.Dce_Name_SectI(AE201,AF201,AI201,AH201,AJ201,"x","-",$O$11)</f>
        <v>(528-1528)x300x10x14</v>
      </c>
      <c r="BA201" s="15">
        <f t="shared" si="142"/>
        <v>700.97619047619071</v>
      </c>
      <c r="BB201" s="54"/>
      <c r="BC201" s="54"/>
      <c r="BD201" s="22" t="s">
        <v>501</v>
      </c>
      <c r="BE201" s="23">
        <v>-203.90436117949207</v>
      </c>
      <c r="BF201" s="23">
        <v>-146.02175909687492</v>
      </c>
      <c r="BG201" s="23">
        <v>1.072131667497737E-4</v>
      </c>
      <c r="BH201" s="23">
        <v>1.0544339800880621E-4</v>
      </c>
      <c r="BI201" s="23">
        <v>-3.8399814661791353E-4</v>
      </c>
      <c r="BJ201" s="23">
        <v>480.47251660325696</v>
      </c>
      <c r="BK201" s="23">
        <v>531.53404811244286</v>
      </c>
      <c r="BL201" s="92">
        <v>2.25</v>
      </c>
      <c r="BM201" s="91">
        <v>2</v>
      </c>
      <c r="BN201" s="5">
        <f t="shared" si="143"/>
        <v>19.473749999999999</v>
      </c>
      <c r="BO201" s="54">
        <f>_xll.Bimoment(BH201,AY201,AC201,AD201,$O$101)</f>
        <v>-8.1093002878483093E-4</v>
      </c>
      <c r="BP201" s="5">
        <f t="shared" si="144"/>
        <v>0.45620689655172403</v>
      </c>
      <c r="BQ201" s="5">
        <f t="shared" si="145"/>
        <v>9.8297048428358433</v>
      </c>
      <c r="BR201" s="24" t="str">
        <f t="shared" si="146"/>
        <v>Cal</v>
      </c>
      <c r="BS201" s="25">
        <f t="shared" si="147"/>
        <v>5.0668174855839798E-2</v>
      </c>
      <c r="BT201" s="25" t="str">
        <f t="shared" si="148"/>
        <v>CT.105</v>
      </c>
      <c r="BU201" s="25">
        <f t="shared" si="149"/>
        <v>1</v>
      </c>
      <c r="BV201" s="25" cm="1">
        <f t="array" ref="BV201">IF(BT201="CT.104",_xll.TCVN5575AnnexEHeSoCx(1,BP201),1)</f>
        <v>1</v>
      </c>
      <c r="BW201" s="25">
        <f t="shared" si="150"/>
        <v>1</v>
      </c>
      <c r="BX201" s="25">
        <f t="shared" si="151"/>
        <v>5.3334920900883986E-2</v>
      </c>
      <c r="BY201" s="25">
        <f t="shared" si="152"/>
        <v>0.4223727463573424</v>
      </c>
      <c r="BZ201" s="25">
        <f t="shared" si="153"/>
        <v>4.2053847977186806E-6</v>
      </c>
      <c r="CA201" s="25">
        <f t="shared" si="154"/>
        <v>1.9027272435684759E-5</v>
      </c>
      <c r="CB201" s="25">
        <f t="shared" si="155"/>
        <v>0.4757308999154598</v>
      </c>
      <c r="CC201" s="5" t="str">
        <f t="shared" si="156"/>
        <v>OK</v>
      </c>
      <c r="CD201" s="5">
        <f t="shared" si="157"/>
        <v>51.836555160202302</v>
      </c>
      <c r="CE201" s="5">
        <f t="shared" si="158"/>
        <v>33.414125690541383</v>
      </c>
      <c r="CF201" s="5">
        <f t="shared" si="159"/>
        <v>1.7266865002204341</v>
      </c>
      <c r="CG201" s="5">
        <f t="shared" si="160"/>
        <v>1.1130315193248546</v>
      </c>
      <c r="CH201" s="5">
        <f t="shared" si="161"/>
        <v>7.9192532626469463</v>
      </c>
      <c r="CI201" s="68">
        <f>_xll.DCETCVN5575PhuLucD2Eta(BP201,CH201,CF201)</f>
        <v>1.2412413793103447</v>
      </c>
      <c r="CJ201" s="5">
        <f t="shared" si="162"/>
        <v>9.8297048428358433</v>
      </c>
      <c r="CK201" s="5">
        <f>MIN(noisuy2chieu(CJ201,CF201,Data!$DA$2:$EB$24),1)</f>
        <v>0.13222657144069672</v>
      </c>
      <c r="CL201" s="102">
        <f t="shared" si="163"/>
        <v>0.4033600835275728</v>
      </c>
      <c r="CM201" s="5" t="str">
        <f t="shared" si="164"/>
        <v>OK</v>
      </c>
      <c r="CN201" s="5">
        <f t="shared" si="165"/>
        <v>0.88472625978979058</v>
      </c>
      <c r="CO201" s="5">
        <f t="shared" si="166"/>
        <v>0.5370345235716667</v>
      </c>
      <c r="CP201" s="25">
        <f>_xll.DCETCVNPhuLucFHeSoOnDinh(1, 0.2, AG201, AH201, AI201, AJ201, AI201, AJ201, $D$28)</f>
        <v>1</v>
      </c>
      <c r="CQ201" s="68">
        <f t="shared" si="167"/>
        <v>0.9</v>
      </c>
      <c r="CR201" s="68">
        <f t="shared" si="168"/>
        <v>1</v>
      </c>
      <c r="CS201" s="5">
        <f t="shared" si="169"/>
        <v>0.18181818181818182</v>
      </c>
      <c r="CT201" s="5">
        <f t="shared" si="170"/>
        <v>0.10155106457844131</v>
      </c>
      <c r="CU201" s="26">
        <f t="shared" si="171"/>
        <v>8.7608606096365165</v>
      </c>
      <c r="CV201" s="5"/>
      <c r="CW201" s="25"/>
      <c r="CX201" s="72">
        <f>MAX(_xll.Dce_c_925(CU201, CQ201, CR201, CN201, CP201, CS201, CT201),0.3)</f>
        <v>0.3</v>
      </c>
      <c r="CY201" s="102">
        <f t="shared" si="172"/>
        <v>0.20094697959101415</v>
      </c>
      <c r="CZ201" s="5" t="str">
        <f t="shared" si="173"/>
        <v>OK</v>
      </c>
      <c r="DA201" s="47">
        <f t="shared" si="174"/>
        <v>0.34499859601035404</v>
      </c>
      <c r="DB201" s="46">
        <f t="shared" si="175"/>
        <v>0.47130315193248545</v>
      </c>
      <c r="DC201" s="5" t="str">
        <f t="shared" si="176"/>
        <v>OK</v>
      </c>
      <c r="DD201" s="5">
        <f t="shared" si="177"/>
        <v>1.7266865002204341</v>
      </c>
      <c r="DE201" s="5">
        <f t="shared" si="178"/>
        <v>3.0666541867587034</v>
      </c>
      <c r="DF201" s="5">
        <f t="shared" si="179"/>
        <v>1.7472169405065237</v>
      </c>
      <c r="DG201" s="5" t="str">
        <f t="shared" si="180"/>
        <v>Gia cường</v>
      </c>
      <c r="DH201" s="203">
        <f t="shared" si="181"/>
        <v>51.836555160202302</v>
      </c>
      <c r="DI201" s="203">
        <f t="shared" si="182"/>
        <v>180</v>
      </c>
      <c r="DJ201" s="46">
        <f t="shared" si="183"/>
        <v>0.28798086200112388</v>
      </c>
      <c r="DK201" s="5" t="str">
        <f t="shared" si="184"/>
        <v>OK</v>
      </c>
      <c r="EB201" s="18"/>
      <c r="EC201" s="77"/>
      <c r="ED201" s="77"/>
      <c r="EE201" s="18"/>
      <c r="EF201" s="18"/>
      <c r="EG201" s="18"/>
      <c r="EH201" s="5"/>
      <c r="EI201" s="5"/>
      <c r="EJ201" s="5"/>
      <c r="EK201" s="5"/>
      <c r="EL201" s="5"/>
      <c r="FE201" s="26"/>
      <c r="FF201" s="26"/>
      <c r="FG201" s="26"/>
      <c r="FH201" s="26"/>
      <c r="FI201" s="26"/>
      <c r="FJ201" s="26"/>
      <c r="FK201" s="26"/>
      <c r="FL201" s="26"/>
      <c r="FM201" s="26"/>
      <c r="FN201" s="205"/>
      <c r="FO201" s="205"/>
      <c r="FP201" s="205"/>
      <c r="FQ201" s="205"/>
      <c r="FR201" s="205"/>
      <c r="FS201" s="205"/>
      <c r="FT201" s="205"/>
      <c r="FU201" s="77"/>
      <c r="FV201" s="77"/>
      <c r="FW201" s="77"/>
      <c r="FX201" s="205"/>
      <c r="FY201" s="205"/>
      <c r="FZ201" s="205"/>
      <c r="GA201" s="205"/>
      <c r="GB201" s="205"/>
      <c r="GC201" s="205"/>
      <c r="GD201" s="205"/>
      <c r="GE201" s="205"/>
      <c r="GF201" s="205"/>
      <c r="GG201" s="205"/>
      <c r="GH201" s="205"/>
      <c r="GI201" s="205"/>
      <c r="GJ201" s="205"/>
      <c r="GK201" s="205"/>
      <c r="GL201" s="205"/>
      <c r="GM201" s="205"/>
      <c r="GN201" s="205"/>
      <c r="GO201" s="205"/>
      <c r="GP201" s="205"/>
      <c r="GQ201" s="205"/>
      <c r="GR201" s="205"/>
      <c r="GS201" s="205"/>
      <c r="GT201" s="205"/>
      <c r="GU201" s="205"/>
      <c r="GV201" s="18"/>
      <c r="GW201" s="5"/>
      <c r="GX201" s="5"/>
      <c r="GY201" s="77"/>
      <c r="GZ201" s="18"/>
      <c r="HA201" s="18"/>
      <c r="HB201" s="18"/>
      <c r="HC201" s="18"/>
      <c r="HD201" s="18"/>
      <c r="HE201" s="18"/>
      <c r="HF201" s="18"/>
      <c r="HG201" s="18"/>
      <c r="HH201" s="205"/>
      <c r="HI201" s="26"/>
      <c r="HJ201" s="26"/>
      <c r="HK201" s="5"/>
    </row>
    <row r="202" spans="27:219">
      <c r="AA202" s="18" t="s">
        <v>488</v>
      </c>
      <c r="AB202" s="22" t="s">
        <v>491</v>
      </c>
      <c r="AC202" s="59">
        <v>7.2811904761904795</v>
      </c>
      <c r="AD202" s="59">
        <v>8.6549999999999994</v>
      </c>
      <c r="AE202" s="22">
        <v>528</v>
      </c>
      <c r="AF202" s="22">
        <v>1528</v>
      </c>
      <c r="AG202" s="22">
        <v>1369.2698412698419</v>
      </c>
      <c r="AH202" s="6">
        <v>10</v>
      </c>
      <c r="AI202" s="6">
        <v>300</v>
      </c>
      <c r="AJ202" s="6">
        <v>14</v>
      </c>
      <c r="AK202" s="24">
        <v>300</v>
      </c>
      <c r="AL202" s="24">
        <v>14</v>
      </c>
      <c r="AM202" s="5">
        <f t="shared" si="129"/>
        <v>1341.2698412698419</v>
      </c>
      <c r="AN202" s="26">
        <f t="shared" si="130"/>
        <v>218.12698412698418</v>
      </c>
      <c r="AO202" s="26">
        <f t="shared" si="131"/>
        <v>586811.79072745051</v>
      </c>
      <c r="AP202" s="15">
        <f t="shared" si="132"/>
        <v>6311.1772486772488</v>
      </c>
      <c r="AQ202" s="5">
        <f t="shared" si="133"/>
        <v>8571.1635945074104</v>
      </c>
      <c r="AR202" s="26">
        <f t="shared" si="134"/>
        <v>420.74514991181661</v>
      </c>
      <c r="AS202" s="26">
        <f t="shared" si="135"/>
        <v>5094.8226505417015</v>
      </c>
      <c r="AT202" s="26">
        <f t="shared" si="136"/>
        <v>51.867428670398397</v>
      </c>
      <c r="AU202" s="26">
        <f t="shared" si="137"/>
        <v>5.3789869588463937</v>
      </c>
      <c r="AV202" s="95">
        <f t="shared" si="138"/>
        <v>1.0005566137566139E-6</v>
      </c>
      <c r="AW202" s="95">
        <f t="shared" si="139"/>
        <v>28928912.396825422</v>
      </c>
      <c r="AX202" s="95">
        <f t="shared" si="140"/>
        <v>2.8928912396825422E-5</v>
      </c>
      <c r="AY202" s="54">
        <f t="shared" si="141"/>
        <v>0.11516876660535029</v>
      </c>
      <c r="AZ202" s="54" t="str">
        <f>_xll.Dce_Name_SectI(AE202,AF202,AI202,AH202,AJ202,"x","-",$O$11)</f>
        <v>(528-1528)x300x10x14</v>
      </c>
      <c r="BA202" s="15">
        <f t="shared" si="142"/>
        <v>1016.4523809523813</v>
      </c>
      <c r="BB202" s="54"/>
      <c r="BC202" s="54"/>
      <c r="BD202" s="22" t="s">
        <v>501</v>
      </c>
      <c r="BE202" s="23">
        <v>-199.30390974243383</v>
      </c>
      <c r="BF202" s="23">
        <v>-173.2990418147495</v>
      </c>
      <c r="BG202" s="23">
        <v>1.0721316674809953E-4</v>
      </c>
      <c r="BH202" s="23">
        <v>1.0544339800880621E-4</v>
      </c>
      <c r="BI202" s="23">
        <v>-7.7523710078402632E-4</v>
      </c>
      <c r="BJ202" s="23">
        <v>1063.0680962248857</v>
      </c>
      <c r="BK202" s="23">
        <v>531.53404811244286</v>
      </c>
      <c r="BL202" s="92">
        <v>2.25</v>
      </c>
      <c r="BM202" s="91">
        <v>2</v>
      </c>
      <c r="BN202" s="5">
        <f t="shared" si="143"/>
        <v>19.473749999999999</v>
      </c>
      <c r="BO202" s="54">
        <f>_xll.Bimoment(BH202,AY202,AC202,AD202,$O$101)</f>
        <v>-4.8236879327853287E-4</v>
      </c>
      <c r="BP202" s="5">
        <f t="shared" si="144"/>
        <v>0.31313609467455605</v>
      </c>
      <c r="BQ202" s="5">
        <f t="shared" si="145"/>
        <v>16.46046838764244</v>
      </c>
      <c r="BR202" s="24" t="str">
        <f t="shared" si="146"/>
        <v>Cal</v>
      </c>
      <c r="BS202" s="25">
        <f t="shared" si="147"/>
        <v>3.9974632602793124E-2</v>
      </c>
      <c r="BT202" s="25" t="str">
        <f t="shared" si="148"/>
        <v>CT.105</v>
      </c>
      <c r="BU202" s="25">
        <f t="shared" si="149"/>
        <v>1</v>
      </c>
      <c r="BV202" s="25" cm="1">
        <f t="array" ref="BV202">IF(BT202="CT.104",_xll.TCVN5575AnnexEHeSoCx(1,BP202),1)</f>
        <v>1</v>
      </c>
      <c r="BW202" s="25">
        <f t="shared" si="150"/>
        <v>1</v>
      </c>
      <c r="BX202" s="25">
        <f t="shared" si="151"/>
        <v>4.2078560634519077E-2</v>
      </c>
      <c r="BY202" s="25">
        <f t="shared" si="152"/>
        <v>0.57118363030837971</v>
      </c>
      <c r="BZ202" s="25">
        <f t="shared" si="153"/>
        <v>8.4853523792777491E-6</v>
      </c>
      <c r="CA202" s="25">
        <f t="shared" si="154"/>
        <v>7.8052817884464034E-6</v>
      </c>
      <c r="CB202" s="25">
        <f t="shared" si="155"/>
        <v>0.61327848157706655</v>
      </c>
      <c r="CC202" s="5" t="str">
        <f t="shared" si="156"/>
        <v>OK</v>
      </c>
      <c r="CD202" s="5">
        <f t="shared" si="157"/>
        <v>37.545238889226049</v>
      </c>
      <c r="CE202" s="5">
        <f t="shared" si="158"/>
        <v>37.181722419139881</v>
      </c>
      <c r="CF202" s="5">
        <f t="shared" si="159"/>
        <v>1.2506397644909562</v>
      </c>
      <c r="CG202" s="5">
        <f t="shared" si="160"/>
        <v>1.2385309547993069</v>
      </c>
      <c r="CH202" s="5">
        <f t="shared" si="161"/>
        <v>13.574219785450792</v>
      </c>
      <c r="CI202" s="68">
        <f>_xll.DCETCVN5575PhuLucD2Eta(BP202,CH202,CF202)</f>
        <v>1.2126272189349112</v>
      </c>
      <c r="CJ202" s="5">
        <f t="shared" si="162"/>
        <v>16.46046838764244</v>
      </c>
      <c r="CK202" s="5">
        <f>MIN(noisuy2chieu(CJ202,CF202,Data!$DA$2:$EB$24),1)</f>
        <v>8.7052233517169952E-2</v>
      </c>
      <c r="CL202" s="102">
        <f t="shared" si="163"/>
        <v>0.48337140742310325</v>
      </c>
      <c r="CM202" s="5" t="str">
        <f t="shared" si="164"/>
        <v>OK</v>
      </c>
      <c r="CN202" s="5">
        <f t="shared" si="165"/>
        <v>0.86643683692746631</v>
      </c>
      <c r="CO202" s="5">
        <f t="shared" si="166"/>
        <v>0.5370345235716667</v>
      </c>
      <c r="CP202" s="25">
        <f>_xll.DCETCVNPhuLucFHeSoOnDinh(1, 0.2, AG202, AH202, AI202, AJ202, AI202, AJ202, $D$28)</f>
        <v>1</v>
      </c>
      <c r="CQ202" s="68">
        <f t="shared" si="167"/>
        <v>0.9</v>
      </c>
      <c r="CR202" s="68">
        <f t="shared" si="168"/>
        <v>1</v>
      </c>
      <c r="CS202" s="5">
        <f t="shared" si="169"/>
        <v>0.18181818181818182</v>
      </c>
      <c r="CT202" s="5">
        <f t="shared" si="170"/>
        <v>0.10347287704587492</v>
      </c>
      <c r="CU202" s="26">
        <f t="shared" si="171"/>
        <v>6.7871098927253959</v>
      </c>
      <c r="CV202" s="5"/>
      <c r="CW202" s="25"/>
      <c r="CX202" s="72">
        <f>MAX(_xll.Dce_c_925(CU202, CQ202, CR202, CN202, CP202, CS202, CT202),0.3)</f>
        <v>0.3</v>
      </c>
      <c r="CY202" s="102">
        <f t="shared" si="172"/>
        <v>0.16188354742524907</v>
      </c>
      <c r="CZ202" s="5" t="str">
        <f t="shared" si="173"/>
        <v>OK</v>
      </c>
      <c r="DA202" s="47">
        <f t="shared" si="174"/>
        <v>0.34499859601035404</v>
      </c>
      <c r="DB202" s="46">
        <f t="shared" si="175"/>
        <v>0.48385309547993066</v>
      </c>
      <c r="DC202" s="5" t="str">
        <f t="shared" si="176"/>
        <v>OK</v>
      </c>
      <c r="DD202" s="5">
        <f t="shared" si="177"/>
        <v>1.2506397644909562</v>
      </c>
      <c r="DE202" s="5">
        <f t="shared" si="178"/>
        <v>4.4677979100191463</v>
      </c>
      <c r="DF202" s="5" t="str">
        <f t="shared" si="179"/>
        <v>-</v>
      </c>
      <c r="DG202" s="5" t="str">
        <f t="shared" si="180"/>
        <v>-</v>
      </c>
      <c r="DH202" s="203">
        <f t="shared" si="181"/>
        <v>37.545238889226049</v>
      </c>
      <c r="DI202" s="203">
        <f t="shared" si="182"/>
        <v>180</v>
      </c>
      <c r="DJ202" s="46">
        <f t="shared" si="183"/>
        <v>0.20858466049570026</v>
      </c>
      <c r="DK202" s="5" t="str">
        <f t="shared" si="184"/>
        <v>OK</v>
      </c>
      <c r="EB202" s="18"/>
      <c r="EC202" s="77"/>
      <c r="ED202" s="77"/>
      <c r="EE202" s="18"/>
      <c r="EF202" s="18"/>
      <c r="EG202" s="18"/>
      <c r="EH202" s="5"/>
      <c r="EI202" s="5"/>
      <c r="EJ202" s="5"/>
      <c r="EK202" s="5"/>
      <c r="EL202" s="5"/>
      <c r="FE202" s="26"/>
      <c r="FF202" s="26"/>
      <c r="FG202" s="26"/>
      <c r="FH202" s="26"/>
      <c r="FI202" s="26"/>
      <c r="FJ202" s="26"/>
      <c r="FK202" s="26"/>
      <c r="FL202" s="26"/>
      <c r="FM202" s="26"/>
      <c r="FN202" s="205"/>
      <c r="FO202" s="205"/>
      <c r="FP202" s="205"/>
      <c r="FQ202" s="205"/>
      <c r="FR202" s="205"/>
      <c r="FS202" s="205"/>
      <c r="FT202" s="205"/>
      <c r="FU202" s="77"/>
      <c r="FV202" s="77"/>
      <c r="FW202" s="77"/>
      <c r="FX202" s="205"/>
      <c r="FY202" s="205"/>
      <c r="FZ202" s="205"/>
      <c r="GA202" s="205"/>
      <c r="GB202" s="205"/>
      <c r="GC202" s="205"/>
      <c r="GD202" s="205"/>
      <c r="GE202" s="205"/>
      <c r="GF202" s="205"/>
      <c r="GG202" s="205"/>
      <c r="GH202" s="205"/>
      <c r="GI202" s="205"/>
      <c r="GJ202" s="205"/>
      <c r="GK202" s="205"/>
      <c r="GL202" s="205"/>
      <c r="GM202" s="205"/>
      <c r="GN202" s="205"/>
      <c r="GO202" s="205"/>
      <c r="GP202" s="205"/>
      <c r="GQ202" s="205"/>
      <c r="GR202" s="205"/>
      <c r="GS202" s="205"/>
      <c r="GT202" s="205"/>
      <c r="GU202" s="205"/>
      <c r="GV202" s="18"/>
      <c r="GW202" s="5"/>
      <c r="GX202" s="5"/>
      <c r="GY202" s="77"/>
      <c r="GZ202" s="18"/>
      <c r="HA202" s="18"/>
      <c r="HB202" s="18"/>
      <c r="HC202" s="18"/>
      <c r="HD202" s="18"/>
      <c r="HE202" s="18"/>
      <c r="HF202" s="18"/>
      <c r="HG202" s="18"/>
      <c r="HH202" s="205"/>
      <c r="HI202" s="26"/>
      <c r="HJ202" s="26"/>
      <c r="HK202" s="5"/>
    </row>
    <row r="203" spans="27:219">
      <c r="AA203" s="18" t="s">
        <v>488</v>
      </c>
      <c r="AB203" s="22" t="s">
        <v>491</v>
      </c>
      <c r="AC203" s="59">
        <v>0</v>
      </c>
      <c r="AD203" s="59">
        <v>8.6549999999999994</v>
      </c>
      <c r="AE203" s="22">
        <v>528</v>
      </c>
      <c r="AF203" s="22">
        <v>1528</v>
      </c>
      <c r="AG203" s="22">
        <v>528</v>
      </c>
      <c r="AH203" s="6">
        <v>10</v>
      </c>
      <c r="AI203" s="6">
        <v>300</v>
      </c>
      <c r="AJ203" s="6">
        <v>14</v>
      </c>
      <c r="AK203" s="24">
        <v>300</v>
      </c>
      <c r="AL203" s="24">
        <v>14</v>
      </c>
      <c r="AM203" s="5">
        <f t="shared" si="129"/>
        <v>500</v>
      </c>
      <c r="AN203" s="26">
        <f t="shared" si="130"/>
        <v>134</v>
      </c>
      <c r="AO203" s="26">
        <f t="shared" si="131"/>
        <v>65911.546666666676</v>
      </c>
      <c r="AP203" s="15">
        <f t="shared" si="132"/>
        <v>6304.166666666667</v>
      </c>
      <c r="AQ203" s="5">
        <f t="shared" si="133"/>
        <v>2496.6494949494954</v>
      </c>
      <c r="AR203" s="26">
        <f t="shared" si="134"/>
        <v>420.27777777777777</v>
      </c>
      <c r="AS203" s="26">
        <f t="shared" si="135"/>
        <v>1391.9</v>
      </c>
      <c r="AT203" s="26">
        <f t="shared" si="136"/>
        <v>22.178305028345793</v>
      </c>
      <c r="AU203" s="26">
        <f t="shared" si="137"/>
        <v>6.8590101254115021</v>
      </c>
      <c r="AV203" s="95">
        <f t="shared" si="138"/>
        <v>7.201333333333334E-7</v>
      </c>
      <c r="AW203" s="95">
        <f t="shared" si="139"/>
        <v>4161087</v>
      </c>
      <c r="AX203" s="95">
        <f t="shared" si="140"/>
        <v>4.1610870000000001E-6</v>
      </c>
      <c r="AY203" s="54">
        <f t="shared" si="141"/>
        <v>0.25762202780669918</v>
      </c>
      <c r="AZ203" s="54" t="str">
        <f>_xll.Dce_Name_SectI(AE203,AF203,AI203,AH203,AJ203,"x","-",$O$11)</f>
        <v>(528-1528)x300x10x14</v>
      </c>
      <c r="BA203" s="15">
        <f t="shared" si="142"/>
        <v>385.5</v>
      </c>
      <c r="BB203" s="54"/>
      <c r="BC203" s="54"/>
      <c r="BD203" s="22" t="s">
        <v>502</v>
      </c>
      <c r="BE203" s="23">
        <v>31.345764159476261</v>
      </c>
      <c r="BF203" s="23">
        <v>22.208549958148836</v>
      </c>
      <c r="BG203" s="23">
        <v>-7.963530742548324E-4</v>
      </c>
      <c r="BH203" s="23">
        <v>-1.4352197304258395E-5</v>
      </c>
      <c r="BI203" s="23">
        <v>-9.855666702259392E-7</v>
      </c>
      <c r="BJ203" s="23">
        <v>0.41653197081770932</v>
      </c>
      <c r="BK203" s="23">
        <v>-133.94445550987609</v>
      </c>
      <c r="BL203" s="92">
        <v>2.25</v>
      </c>
      <c r="BM203" s="91">
        <v>2</v>
      </c>
      <c r="BN203" s="5">
        <f t="shared" si="143"/>
        <v>19.473749999999999</v>
      </c>
      <c r="BO203" s="54">
        <f>_xll.Bimoment(BH203,AY203,AC203,AD203,$O$101)</f>
        <v>0</v>
      </c>
      <c r="BP203" s="5">
        <f t="shared" si="144"/>
        <v>0.84</v>
      </c>
      <c r="BQ203" s="5">
        <f t="shared" si="145"/>
        <v>0.10817814261429905</v>
      </c>
      <c r="BR203" s="24" t="str">
        <f t="shared" si="146"/>
        <v>Cal</v>
      </c>
      <c r="BS203" s="25">
        <f t="shared" si="147"/>
        <v>1.0234158074455869E-2</v>
      </c>
      <c r="BT203" s="25" t="str">
        <f t="shared" si="148"/>
        <v>CT.105</v>
      </c>
      <c r="BU203" s="25">
        <f t="shared" si="149"/>
        <v>1</v>
      </c>
      <c r="BV203" s="25" cm="1">
        <f t="array" ref="BV203">IF(BT203="CT.104",_xll.TCVN5575AnnexEHeSoCx(1,BP203),1)</f>
        <v>1</v>
      </c>
      <c r="BW203" s="25">
        <f t="shared" si="150"/>
        <v>1</v>
      </c>
      <c r="BX203" s="25">
        <f t="shared" si="151"/>
        <v>1.0772797973111443E-2</v>
      </c>
      <c r="BY203" s="25">
        <f t="shared" si="152"/>
        <v>7.6832544703311922E-4</v>
      </c>
      <c r="BZ203" s="25">
        <f t="shared" si="153"/>
        <v>1.0799509553037565E-8</v>
      </c>
      <c r="CA203" s="25">
        <f t="shared" si="154"/>
        <v>0</v>
      </c>
      <c r="CB203" s="25">
        <f t="shared" si="155"/>
        <v>1.1541134219654114E-2</v>
      </c>
      <c r="CC203" s="5" t="str">
        <f t="shared" si="156"/>
        <v>OK</v>
      </c>
      <c r="CD203" s="5">
        <f t="shared" si="157"/>
        <v>87.805402509844015</v>
      </c>
      <c r="CE203" s="5">
        <f t="shared" si="158"/>
        <v>29.158726455153193</v>
      </c>
      <c r="CF203" s="5">
        <f t="shared" si="159"/>
        <v>2.9248163326364334</v>
      </c>
      <c r="CG203" s="5">
        <f t="shared" si="160"/>
        <v>0.97128328026682387</v>
      </c>
      <c r="CH203" s="5">
        <f t="shared" si="161"/>
        <v>7.1320881441463493E-2</v>
      </c>
      <c r="CI203" s="68">
        <f>_xll.DCETCVN5575PhuLucD2Eta(BP203,CH203,CF203)</f>
        <v>1.5167807860463152</v>
      </c>
      <c r="CJ203" s="5">
        <f t="shared" si="162"/>
        <v>0.10817814261429905</v>
      </c>
      <c r="CK203" s="5">
        <f>MIN(noisuy2chieu(CJ203,CF203,Data!$DA$2:$EB$24),1)</f>
        <v>0.67446106672286987</v>
      </c>
      <c r="CL203" s="102" t="str">
        <f t="shared" si="163"/>
        <v>-</v>
      </c>
      <c r="CM203" s="5" t="str">
        <f t="shared" si="164"/>
        <v>OK</v>
      </c>
      <c r="CN203" s="5">
        <f t="shared" si="165"/>
        <v>0.90492218941026858</v>
      </c>
      <c r="CO203" s="5">
        <f t="shared" si="166"/>
        <v>0.5370345235716667</v>
      </c>
      <c r="CP203" s="25">
        <f>_xll.DCETCVNPhuLucFHeSoOnDinh(1, 0.2, AG203, AH203, AI203, AJ203, AI203, AJ203, $D$28)</f>
        <v>1</v>
      </c>
      <c r="CQ203" s="68">
        <f t="shared" si="167"/>
        <v>0.9</v>
      </c>
      <c r="CR203" s="68">
        <f t="shared" si="168"/>
        <v>1</v>
      </c>
      <c r="CS203" s="5">
        <f t="shared" si="169"/>
        <v>0.18181818181818182</v>
      </c>
      <c r="CT203" s="5">
        <f t="shared" si="170"/>
        <v>9.9510191986788829E-2</v>
      </c>
      <c r="CU203" s="26">
        <f t="shared" si="171"/>
        <v>22.934702016767964</v>
      </c>
      <c r="CV203" s="5"/>
      <c r="CW203" s="25"/>
      <c r="CX203" s="72">
        <f>MAX(_xll.Dce_c_925(CU203, CQ203, CR203, CN203, CP203, CS203, CT203),0.3)</f>
        <v>0.3</v>
      </c>
      <c r="CY203" s="102" t="str">
        <f t="shared" si="172"/>
        <v>-</v>
      </c>
      <c r="CZ203" s="5" t="str">
        <f t="shared" si="173"/>
        <v>OK</v>
      </c>
      <c r="DA203" s="47">
        <f t="shared" si="174"/>
        <v>0.34499859601035404</v>
      </c>
      <c r="DB203" s="46">
        <f t="shared" si="175"/>
        <v>18.506851529017087</v>
      </c>
      <c r="DC203" s="5" t="str">
        <f t="shared" si="176"/>
        <v>OK</v>
      </c>
      <c r="DD203" s="5">
        <f t="shared" si="177"/>
        <v>2.9248163326364334</v>
      </c>
      <c r="DE203" s="5">
        <f t="shared" si="178"/>
        <v>1.6655104634982609</v>
      </c>
      <c r="DF203" s="5">
        <f t="shared" si="179"/>
        <v>3.2</v>
      </c>
      <c r="DG203" s="5" t="str">
        <f t="shared" si="180"/>
        <v>OK</v>
      </c>
      <c r="DH203" s="203" t="str">
        <f t="shared" si="181"/>
        <v>-</v>
      </c>
      <c r="DI203" s="203" t="str">
        <f t="shared" si="182"/>
        <v>-</v>
      </c>
      <c r="DJ203" s="46">
        <f t="shared" si="183"/>
        <v>0</v>
      </c>
      <c r="DK203" s="5" t="str">
        <f t="shared" si="184"/>
        <v>OK</v>
      </c>
      <c r="EB203" s="18"/>
      <c r="EC203" s="77"/>
      <c r="ED203" s="77"/>
      <c r="EE203" s="18"/>
      <c r="EF203" s="18"/>
      <c r="EG203" s="18"/>
      <c r="EH203" s="5"/>
      <c r="EI203" s="5"/>
      <c r="EJ203" s="5"/>
      <c r="EK203" s="5"/>
      <c r="EL203" s="5"/>
      <c r="FE203" s="26"/>
      <c r="FF203" s="26"/>
      <c r="FG203" s="26"/>
      <c r="FH203" s="26"/>
      <c r="FI203" s="26"/>
      <c r="FJ203" s="26"/>
      <c r="FK203" s="26"/>
      <c r="FL203" s="26"/>
      <c r="FM203" s="26"/>
      <c r="FN203" s="205"/>
      <c r="FO203" s="205"/>
      <c r="FP203" s="205"/>
      <c r="FQ203" s="205"/>
      <c r="FR203" s="205"/>
      <c r="FS203" s="205"/>
      <c r="FT203" s="205"/>
      <c r="FU203" s="77"/>
      <c r="FV203" s="77"/>
      <c r="FW203" s="77"/>
      <c r="FX203" s="205"/>
      <c r="FY203" s="205"/>
      <c r="FZ203" s="205"/>
      <c r="GA203" s="205"/>
      <c r="GB203" s="205"/>
      <c r="GC203" s="205"/>
      <c r="GD203" s="205"/>
      <c r="GE203" s="205"/>
      <c r="GF203" s="205"/>
      <c r="GG203" s="205"/>
      <c r="GH203" s="205"/>
      <c r="GI203" s="205"/>
      <c r="GJ203" s="205"/>
      <c r="GK203" s="205"/>
      <c r="GL203" s="205"/>
      <c r="GM203" s="205"/>
      <c r="GN203" s="205"/>
      <c r="GO203" s="205"/>
      <c r="GP203" s="205"/>
      <c r="GQ203" s="205"/>
      <c r="GR203" s="205"/>
      <c r="GS203" s="205"/>
      <c r="GT203" s="205"/>
      <c r="GU203" s="205"/>
      <c r="GV203" s="18"/>
      <c r="GW203" s="5"/>
      <c r="GX203" s="5"/>
      <c r="GY203" s="77"/>
      <c r="GZ203" s="18"/>
      <c r="HA203" s="18"/>
      <c r="HB203" s="18"/>
      <c r="HC203" s="18"/>
      <c r="HD203" s="18"/>
      <c r="HE203" s="18"/>
      <c r="HF203" s="18"/>
      <c r="HG203" s="18"/>
      <c r="HH203" s="205"/>
      <c r="HI203" s="26"/>
      <c r="HJ203" s="26"/>
      <c r="HK203" s="5"/>
    </row>
    <row r="204" spans="27:219">
      <c r="AA204" s="18" t="s">
        <v>488</v>
      </c>
      <c r="AB204" s="22" t="s">
        <v>491</v>
      </c>
      <c r="AC204" s="59">
        <v>3.6405952380952398</v>
      </c>
      <c r="AD204" s="59">
        <v>8.6549999999999994</v>
      </c>
      <c r="AE204" s="22">
        <v>528</v>
      </c>
      <c r="AF204" s="22">
        <v>1528</v>
      </c>
      <c r="AG204" s="22">
        <v>948.63492063492095</v>
      </c>
      <c r="AH204" s="6">
        <v>10</v>
      </c>
      <c r="AI204" s="6">
        <v>300</v>
      </c>
      <c r="AJ204" s="6">
        <v>14</v>
      </c>
      <c r="AK204" s="24">
        <v>300</v>
      </c>
      <c r="AL204" s="24">
        <v>14</v>
      </c>
      <c r="AM204" s="5">
        <f t="shared" si="129"/>
        <v>920.63492063492095</v>
      </c>
      <c r="AN204" s="26">
        <f t="shared" si="130"/>
        <v>176.06349206349208</v>
      </c>
      <c r="AO204" s="26">
        <f t="shared" si="131"/>
        <v>248482.7399356656</v>
      </c>
      <c r="AP204" s="15">
        <f t="shared" si="132"/>
        <v>6307.6719576719579</v>
      </c>
      <c r="AQ204" s="5">
        <f t="shared" si="133"/>
        <v>5238.7432621467533</v>
      </c>
      <c r="AR204" s="26">
        <f t="shared" si="134"/>
        <v>420.51146384479722</v>
      </c>
      <c r="AS204" s="26">
        <f t="shared" si="135"/>
        <v>3022.1941546989178</v>
      </c>
      <c r="AT204" s="26">
        <f t="shared" si="136"/>
        <v>37.567600585756203</v>
      </c>
      <c r="AU204" s="26">
        <f t="shared" si="137"/>
        <v>5.9854925384629922</v>
      </c>
      <c r="AV204" s="95">
        <f t="shared" si="138"/>
        <v>8.6034497354497351E-7</v>
      </c>
      <c r="AW204" s="95">
        <f t="shared" si="139"/>
        <v>13758293.349206358</v>
      </c>
      <c r="AX204" s="95">
        <f t="shared" si="140"/>
        <v>1.3758293349206359E-5</v>
      </c>
      <c r="AY204" s="54">
        <f t="shared" si="141"/>
        <v>0.1548581140202015</v>
      </c>
      <c r="AZ204" s="54" t="str">
        <f>_xll.Dce_Name_SectI(AE204,AF204,AI204,AH204,AJ204,"x","-",$O$11)</f>
        <v>(528-1528)x300x10x14</v>
      </c>
      <c r="BA204" s="15">
        <f t="shared" si="142"/>
        <v>700.97619047619071</v>
      </c>
      <c r="BB204" s="54"/>
      <c r="BC204" s="54"/>
      <c r="BD204" s="22" t="s">
        <v>502</v>
      </c>
      <c r="BE204" s="23">
        <v>37.271279846042091</v>
      </c>
      <c r="BF204" s="23">
        <v>36.780182770866276</v>
      </c>
      <c r="BG204" s="23">
        <v>-7.9635307425393793E-4</v>
      </c>
      <c r="BH204" s="23">
        <v>-1.4352197304258395E-5</v>
      </c>
      <c r="BI204" s="23">
        <v>2.9050413082550254E-3</v>
      </c>
      <c r="BJ204" s="23">
        <v>-107.2455814725738</v>
      </c>
      <c r="BK204" s="23">
        <v>-133.94445550987609</v>
      </c>
      <c r="BL204" s="92">
        <v>2.25</v>
      </c>
      <c r="BM204" s="91">
        <v>2</v>
      </c>
      <c r="BN204" s="5">
        <f t="shared" si="143"/>
        <v>19.473749999999999</v>
      </c>
      <c r="BO204" s="54">
        <f>_xll.Bimoment(BH204,AY204,AC204,AD204,$O$101)</f>
        <v>1.1037796574135272E-4</v>
      </c>
      <c r="BP204" s="5">
        <f t="shared" si="144"/>
        <v>0.45620689655172403</v>
      </c>
      <c r="BQ204" s="5">
        <f t="shared" si="145"/>
        <v>12.003379681467075</v>
      </c>
      <c r="BR204" s="24" t="str">
        <f t="shared" si="146"/>
        <v>Cal</v>
      </c>
      <c r="BS204" s="25">
        <f t="shared" si="147"/>
        <v>9.2615366999326994E-3</v>
      </c>
      <c r="BT204" s="25" t="str">
        <f t="shared" si="148"/>
        <v>CT.105</v>
      </c>
      <c r="BU204" s="25">
        <f t="shared" si="149"/>
        <v>1</v>
      </c>
      <c r="BV204" s="25" cm="1">
        <f t="array" ref="BV204">IF(BT204="CT.104",_xll.TCVN5575AnnexEHeSoCx(1,BP204),1)</f>
        <v>1</v>
      </c>
      <c r="BW204" s="25">
        <f t="shared" si="150"/>
        <v>1</v>
      </c>
      <c r="BX204" s="25">
        <f t="shared" si="151"/>
        <v>9.7489859999291585E-3</v>
      </c>
      <c r="BY204" s="25">
        <f t="shared" si="152"/>
        <v>9.4277215066319683E-2</v>
      </c>
      <c r="BZ204" s="25">
        <f t="shared" si="153"/>
        <v>3.1814779998499496E-5</v>
      </c>
      <c r="CA204" s="25">
        <f t="shared" si="154"/>
        <v>2.5898555368636543E-6</v>
      </c>
      <c r="CB204" s="25">
        <f t="shared" si="155"/>
        <v>0.1040606057017842</v>
      </c>
      <c r="CC204" s="5" t="str">
        <f t="shared" si="156"/>
        <v>OK</v>
      </c>
      <c r="CD204" s="5">
        <f t="shared" si="157"/>
        <v>51.836555160202302</v>
      </c>
      <c r="CE204" s="5">
        <f t="shared" si="158"/>
        <v>33.414125690541383</v>
      </c>
      <c r="CF204" s="5">
        <f t="shared" si="159"/>
        <v>1.7266865002204341</v>
      </c>
      <c r="CG204" s="5">
        <f t="shared" si="160"/>
        <v>1.1130315193248546</v>
      </c>
      <c r="CH204" s="5">
        <f t="shared" si="161"/>
        <v>9.6704636838133471</v>
      </c>
      <c r="CI204" s="68">
        <f>_xll.DCETCVN5575PhuLucD2Eta(BP204,CH204,CF204)</f>
        <v>1.2412413793103447</v>
      </c>
      <c r="CJ204" s="5">
        <f t="shared" si="162"/>
        <v>12.003379681467075</v>
      </c>
      <c r="CK204" s="5">
        <f>MIN(noisuy2chieu(CJ204,CF204,Data!$DA$2:$EB$24),1)</f>
        <v>0.11080257594585419</v>
      </c>
      <c r="CL204" s="102" t="str">
        <f t="shared" si="163"/>
        <v>-</v>
      </c>
      <c r="CM204" s="5" t="str">
        <f t="shared" si="164"/>
        <v>OK</v>
      </c>
      <c r="CN204" s="5">
        <f t="shared" si="165"/>
        <v>0.88472625978979058</v>
      </c>
      <c r="CO204" s="5">
        <f t="shared" si="166"/>
        <v>0.5370345235716667</v>
      </c>
      <c r="CP204" s="25">
        <f>_xll.DCETCVNPhuLucFHeSoOnDinh(1, 0.2, AG204, AH204, AI204, AJ204, AI204, AJ204, $D$28)</f>
        <v>1</v>
      </c>
      <c r="CQ204" s="68">
        <f t="shared" si="167"/>
        <v>0.9</v>
      </c>
      <c r="CR204" s="68">
        <f t="shared" si="168"/>
        <v>1</v>
      </c>
      <c r="CS204" s="5">
        <f t="shared" si="169"/>
        <v>0.18181818181818182</v>
      </c>
      <c r="CT204" s="5">
        <f t="shared" si="170"/>
        <v>0.10155106457844131</v>
      </c>
      <c r="CU204" s="26">
        <f t="shared" si="171"/>
        <v>12.077933420386749</v>
      </c>
      <c r="CV204" s="5"/>
      <c r="CW204" s="25"/>
      <c r="CX204" s="72">
        <f>MAX(_xll.Dce_c_925(CU204, CQ204, CR204, CN204, CP204, CS204, CT204),0.3)</f>
        <v>0.3</v>
      </c>
      <c r="CY204" s="102" t="str">
        <f t="shared" si="172"/>
        <v>-</v>
      </c>
      <c r="CZ204" s="5" t="str">
        <f t="shared" si="173"/>
        <v>OK</v>
      </c>
      <c r="DA204" s="47">
        <f t="shared" si="174"/>
        <v>0.34499859601035404</v>
      </c>
      <c r="DB204" s="46">
        <f t="shared" si="175"/>
        <v>1.670442623467137</v>
      </c>
      <c r="DC204" s="5" t="str">
        <f t="shared" si="176"/>
        <v>OK</v>
      </c>
      <c r="DD204" s="5">
        <f t="shared" si="177"/>
        <v>1.7266865002204341</v>
      </c>
      <c r="DE204" s="5">
        <f t="shared" si="178"/>
        <v>3.0666541867587034</v>
      </c>
      <c r="DF204" s="5">
        <f t="shared" si="179"/>
        <v>3.2</v>
      </c>
      <c r="DG204" s="5" t="str">
        <f t="shared" si="180"/>
        <v>OK</v>
      </c>
      <c r="DH204" s="203">
        <f t="shared" si="181"/>
        <v>51.836555160202302</v>
      </c>
      <c r="DI204" s="203" t="str">
        <f t="shared" si="182"/>
        <v>-</v>
      </c>
      <c r="DJ204" s="46">
        <f t="shared" si="183"/>
        <v>0</v>
      </c>
      <c r="DK204" s="5" t="str">
        <f t="shared" si="184"/>
        <v>OK</v>
      </c>
      <c r="EB204" s="18"/>
      <c r="EC204" s="77"/>
      <c r="ED204" s="77"/>
      <c r="EE204" s="18"/>
      <c r="EF204" s="18"/>
      <c r="EG204" s="18"/>
      <c r="EH204" s="5"/>
      <c r="EI204" s="5"/>
      <c r="EJ204" s="5"/>
      <c r="EK204" s="5"/>
      <c r="EL204" s="5"/>
      <c r="FE204" s="26"/>
      <c r="FF204" s="26"/>
      <c r="FG204" s="26"/>
      <c r="FH204" s="26"/>
      <c r="FI204" s="26"/>
      <c r="FJ204" s="26"/>
      <c r="FK204" s="26"/>
      <c r="FL204" s="26"/>
      <c r="FM204" s="26"/>
      <c r="FN204" s="205"/>
      <c r="FO204" s="205"/>
      <c r="FP204" s="205"/>
      <c r="FQ204" s="205"/>
      <c r="FR204" s="205"/>
      <c r="FS204" s="205"/>
      <c r="FT204" s="205"/>
      <c r="FU204" s="77"/>
      <c r="FV204" s="77"/>
      <c r="FW204" s="77"/>
      <c r="FX204" s="205"/>
      <c r="FY204" s="205"/>
      <c r="FZ204" s="205"/>
      <c r="GA204" s="205"/>
      <c r="GB204" s="205"/>
      <c r="GC204" s="205"/>
      <c r="GD204" s="205"/>
      <c r="GE204" s="205"/>
      <c r="GF204" s="205"/>
      <c r="GG204" s="205"/>
      <c r="GH204" s="205"/>
      <c r="GI204" s="205"/>
      <c r="GJ204" s="205"/>
      <c r="GK204" s="205"/>
      <c r="GL204" s="205"/>
      <c r="GM204" s="205"/>
      <c r="GN204" s="205"/>
      <c r="GO204" s="205"/>
      <c r="GP204" s="205"/>
      <c r="GQ204" s="205"/>
      <c r="GR204" s="205"/>
      <c r="GS204" s="205"/>
      <c r="GT204" s="205"/>
      <c r="GU204" s="205"/>
      <c r="GV204" s="18"/>
      <c r="GW204" s="5"/>
      <c r="GX204" s="5"/>
      <c r="GY204" s="77"/>
      <c r="GZ204" s="18"/>
      <c r="HA204" s="18"/>
      <c r="HB204" s="18"/>
      <c r="HC204" s="18"/>
      <c r="HD204" s="18"/>
      <c r="HE204" s="18"/>
      <c r="HF204" s="18"/>
      <c r="HG204" s="18"/>
      <c r="HH204" s="205"/>
      <c r="HI204" s="26"/>
      <c r="HJ204" s="26"/>
      <c r="HK204" s="5"/>
    </row>
    <row r="205" spans="27:219">
      <c r="AA205" s="18" t="s">
        <v>488</v>
      </c>
      <c r="AB205" s="22" t="s">
        <v>491</v>
      </c>
      <c r="AC205" s="59">
        <v>7.2811904761904795</v>
      </c>
      <c r="AD205" s="59">
        <v>8.6549999999999994</v>
      </c>
      <c r="AE205" s="22">
        <v>528</v>
      </c>
      <c r="AF205" s="22">
        <v>1528</v>
      </c>
      <c r="AG205" s="22">
        <v>1369.2698412698419</v>
      </c>
      <c r="AH205" s="6">
        <v>10</v>
      </c>
      <c r="AI205" s="6">
        <v>300</v>
      </c>
      <c r="AJ205" s="6">
        <v>14</v>
      </c>
      <c r="AK205" s="24">
        <v>300</v>
      </c>
      <c r="AL205" s="24">
        <v>14</v>
      </c>
      <c r="AM205" s="5">
        <f t="shared" si="129"/>
        <v>1341.2698412698419</v>
      </c>
      <c r="AN205" s="26">
        <f t="shared" si="130"/>
        <v>218.12698412698418</v>
      </c>
      <c r="AO205" s="26">
        <f t="shared" si="131"/>
        <v>586811.79072745051</v>
      </c>
      <c r="AP205" s="15">
        <f t="shared" si="132"/>
        <v>6311.1772486772488</v>
      </c>
      <c r="AQ205" s="5">
        <f t="shared" si="133"/>
        <v>8571.1635945074104</v>
      </c>
      <c r="AR205" s="26">
        <f t="shared" si="134"/>
        <v>420.74514991181661</v>
      </c>
      <c r="AS205" s="26">
        <f t="shared" si="135"/>
        <v>5094.8226505417015</v>
      </c>
      <c r="AT205" s="26">
        <f t="shared" si="136"/>
        <v>51.867428670398397</v>
      </c>
      <c r="AU205" s="26">
        <f t="shared" si="137"/>
        <v>5.3789869588463937</v>
      </c>
      <c r="AV205" s="95">
        <f t="shared" si="138"/>
        <v>1.0005566137566139E-6</v>
      </c>
      <c r="AW205" s="95">
        <f t="shared" si="139"/>
        <v>28928912.396825422</v>
      </c>
      <c r="AX205" s="95">
        <f t="shared" si="140"/>
        <v>2.8928912396825422E-5</v>
      </c>
      <c r="AY205" s="54">
        <f t="shared" si="141"/>
        <v>0.11516876660535029</v>
      </c>
      <c r="AZ205" s="54" t="str">
        <f>_xll.Dce_Name_SectI(AE205,AF205,AI205,AH205,AJ205,"x","-",$O$11)</f>
        <v>(528-1528)x300x10x14</v>
      </c>
      <c r="BA205" s="15">
        <f t="shared" si="142"/>
        <v>1016.4523809523813</v>
      </c>
      <c r="BB205" s="54"/>
      <c r="BC205" s="54"/>
      <c r="BD205" s="22" t="s">
        <v>502</v>
      </c>
      <c r="BE205" s="23">
        <v>44.738231283100333</v>
      </c>
      <c r="BF205" s="23">
        <v>51.245965052991721</v>
      </c>
      <c r="BG205" s="23">
        <v>-7.9635307425305008E-4</v>
      </c>
      <c r="BH205" s="23">
        <v>-1.4352197304258395E-5</v>
      </c>
      <c r="BI205" s="23">
        <v>5.8110681831770221E-3</v>
      </c>
      <c r="BJ205" s="23">
        <v>-267.88891101975219</v>
      </c>
      <c r="BK205" s="23">
        <v>-133.94445550987609</v>
      </c>
      <c r="BL205" s="92">
        <v>2.25</v>
      </c>
      <c r="BM205" s="91">
        <v>2</v>
      </c>
      <c r="BN205" s="5">
        <f t="shared" si="143"/>
        <v>19.473749999999999</v>
      </c>
      <c r="BO205" s="54">
        <f>_xll.Bimoment(BH205,AY205,AC205,AD205,$O$101)</f>
        <v>6.5656572391306563E-5</v>
      </c>
      <c r="BP205" s="5">
        <f t="shared" si="144"/>
        <v>0.31313609467455605</v>
      </c>
      <c r="BQ205" s="5">
        <f t="shared" si="145"/>
        <v>18.478761028613469</v>
      </c>
      <c r="BR205" s="24" t="str">
        <f t="shared" si="146"/>
        <v>Cal</v>
      </c>
      <c r="BS205" s="25">
        <f t="shared" si="147"/>
        <v>8.9732025887094523E-3</v>
      </c>
      <c r="BT205" s="25" t="str">
        <f t="shared" si="148"/>
        <v>CT.105</v>
      </c>
      <c r="BU205" s="25">
        <f t="shared" si="149"/>
        <v>1</v>
      </c>
      <c r="BV205" s="25" cm="1">
        <f t="array" ref="BV205">IF(BT205="CT.104",_xll.TCVN5575AnnexEHeSoCx(1,BP205),1)</f>
        <v>1</v>
      </c>
      <c r="BW205" s="25">
        <f t="shared" si="150"/>
        <v>1</v>
      </c>
      <c r="BX205" s="25">
        <f t="shared" si="151"/>
        <v>9.4454764091678432E-3</v>
      </c>
      <c r="BY205" s="25">
        <f t="shared" si="152"/>
        <v>0.14393599173843649</v>
      </c>
      <c r="BZ205" s="25">
        <f t="shared" si="153"/>
        <v>6.3605007015787011E-5</v>
      </c>
      <c r="CA205" s="25">
        <f t="shared" si="154"/>
        <v>1.0623988448642548E-6</v>
      </c>
      <c r="CB205" s="25">
        <f t="shared" si="155"/>
        <v>0.15344613555346501</v>
      </c>
      <c r="CC205" s="5" t="str">
        <f t="shared" si="156"/>
        <v>OK</v>
      </c>
      <c r="CD205" s="5">
        <f t="shared" si="157"/>
        <v>37.545238889226049</v>
      </c>
      <c r="CE205" s="5">
        <f t="shared" si="158"/>
        <v>37.181722419139881</v>
      </c>
      <c r="CF205" s="5">
        <f t="shared" si="159"/>
        <v>1.2506397644909562</v>
      </c>
      <c r="CG205" s="5">
        <f t="shared" si="160"/>
        <v>1.2385309547993069</v>
      </c>
      <c r="CH205" s="5">
        <f t="shared" si="161"/>
        <v>15.238616402528015</v>
      </c>
      <c r="CI205" s="68">
        <f>_xll.DCETCVN5575PhuLucD2Eta(BP205,CH205,CF205)</f>
        <v>1.2126272189349112</v>
      </c>
      <c r="CJ205" s="5">
        <f t="shared" si="162"/>
        <v>18.478761028613469</v>
      </c>
      <c r="CK205" s="5">
        <f>MIN(noisuy2chieu(CJ205,CF205,Data!$DA$2:$EB$24),1)</f>
        <v>7.8079842031002045E-2</v>
      </c>
      <c r="CL205" s="102" t="str">
        <f t="shared" si="163"/>
        <v>-</v>
      </c>
      <c r="CM205" s="5" t="str">
        <f t="shared" si="164"/>
        <v>OK</v>
      </c>
      <c r="CN205" s="5">
        <f t="shared" si="165"/>
        <v>0.86643683692746631</v>
      </c>
      <c r="CO205" s="5">
        <f t="shared" si="166"/>
        <v>0.5370345235716667</v>
      </c>
      <c r="CP205" s="25">
        <f>_xll.DCETCVNPhuLucFHeSoOnDinh(1, 0.2, AG205, AH205, AI205, AJ205, AI205, AJ205, $D$28)</f>
        <v>1</v>
      </c>
      <c r="CQ205" s="68">
        <f t="shared" si="167"/>
        <v>0.9</v>
      </c>
      <c r="CR205" s="68">
        <f t="shared" si="168"/>
        <v>1</v>
      </c>
      <c r="CS205" s="5">
        <f t="shared" si="169"/>
        <v>0.18181818181818182</v>
      </c>
      <c r="CT205" s="5">
        <f t="shared" si="170"/>
        <v>0.10347287704587492</v>
      </c>
      <c r="CU205" s="26">
        <f t="shared" si="171"/>
        <v>7.6193082012640074</v>
      </c>
      <c r="CV205" s="5"/>
      <c r="CW205" s="25"/>
      <c r="CX205" s="72">
        <f>MAX(_xll.Dce_c_925(CU205, CQ205, CR205, CN205, CP205, CS205, CT205),0.3)</f>
        <v>0.3</v>
      </c>
      <c r="CY205" s="102" t="str">
        <f t="shared" si="172"/>
        <v>-</v>
      </c>
      <c r="CZ205" s="5" t="str">
        <f t="shared" si="173"/>
        <v>OK</v>
      </c>
      <c r="DA205" s="47">
        <f t="shared" si="174"/>
        <v>0.34499859601035404</v>
      </c>
      <c r="DB205" s="46">
        <f t="shared" si="175"/>
        <v>1.3518470689329518</v>
      </c>
      <c r="DC205" s="5" t="str">
        <f t="shared" si="176"/>
        <v>OK</v>
      </c>
      <c r="DD205" s="5">
        <f t="shared" si="177"/>
        <v>1.2506397644909562</v>
      </c>
      <c r="DE205" s="5">
        <f t="shared" si="178"/>
        <v>4.4677979100191463</v>
      </c>
      <c r="DF205" s="5">
        <f t="shared" si="179"/>
        <v>3.2</v>
      </c>
      <c r="DG205" s="5" t="str">
        <f t="shared" si="180"/>
        <v>Gia cường</v>
      </c>
      <c r="DH205" s="203">
        <f t="shared" si="181"/>
        <v>37.545238889226049</v>
      </c>
      <c r="DI205" s="203" t="str">
        <f t="shared" si="182"/>
        <v>-</v>
      </c>
      <c r="DJ205" s="46">
        <f t="shared" si="183"/>
        <v>0</v>
      </c>
      <c r="DK205" s="5" t="str">
        <f t="shared" si="184"/>
        <v>OK</v>
      </c>
      <c r="EB205" s="18"/>
      <c r="EC205" s="77"/>
      <c r="ED205" s="77"/>
      <c r="EE205" s="18"/>
      <c r="EF205" s="18"/>
      <c r="EG205" s="18"/>
      <c r="EH205" s="5"/>
      <c r="EI205" s="5"/>
      <c r="EJ205" s="5"/>
      <c r="EK205" s="5"/>
      <c r="EL205" s="5"/>
      <c r="FE205" s="26"/>
      <c r="FF205" s="26"/>
      <c r="FG205" s="26"/>
      <c r="FH205" s="26"/>
      <c r="FI205" s="26"/>
      <c r="FJ205" s="26"/>
      <c r="FK205" s="26"/>
      <c r="FL205" s="26"/>
      <c r="FM205" s="26"/>
      <c r="FN205" s="205"/>
      <c r="FO205" s="205"/>
      <c r="FP205" s="205"/>
      <c r="FQ205" s="205"/>
      <c r="FR205" s="205"/>
      <c r="FS205" s="205"/>
      <c r="FT205" s="205"/>
      <c r="FU205" s="77"/>
      <c r="FV205" s="77"/>
      <c r="FW205" s="77"/>
      <c r="FX205" s="205"/>
      <c r="FY205" s="205"/>
      <c r="FZ205" s="205"/>
      <c r="GA205" s="205"/>
      <c r="GB205" s="205"/>
      <c r="GC205" s="205"/>
      <c r="GD205" s="205"/>
      <c r="GE205" s="205"/>
      <c r="GF205" s="205"/>
      <c r="GG205" s="205"/>
      <c r="GH205" s="205"/>
      <c r="GI205" s="205"/>
      <c r="GJ205" s="205"/>
      <c r="GK205" s="205"/>
      <c r="GL205" s="205"/>
      <c r="GM205" s="205"/>
      <c r="GN205" s="205"/>
      <c r="GO205" s="205"/>
      <c r="GP205" s="205"/>
      <c r="GQ205" s="205"/>
      <c r="GR205" s="205"/>
      <c r="GS205" s="205"/>
      <c r="GT205" s="205"/>
      <c r="GU205" s="205"/>
      <c r="GV205" s="18"/>
      <c r="GW205" s="5"/>
      <c r="GX205" s="5"/>
      <c r="GY205" s="77"/>
      <c r="GZ205" s="18"/>
      <c r="HA205" s="18"/>
      <c r="HB205" s="18"/>
      <c r="HC205" s="18"/>
      <c r="HD205" s="18"/>
      <c r="HE205" s="18"/>
      <c r="HF205" s="18"/>
      <c r="HG205" s="18"/>
      <c r="HH205" s="205"/>
      <c r="HI205" s="26"/>
      <c r="HJ205" s="26"/>
      <c r="HK205" s="5"/>
    </row>
    <row r="206" spans="27:219">
      <c r="AA206" s="18" t="s">
        <v>488</v>
      </c>
      <c r="AB206" s="22" t="s">
        <v>491</v>
      </c>
      <c r="AC206" s="59">
        <v>0</v>
      </c>
      <c r="AD206" s="59">
        <v>8.6549999999999994</v>
      </c>
      <c r="AE206" s="22">
        <v>528</v>
      </c>
      <c r="AF206" s="22">
        <v>1528</v>
      </c>
      <c r="AG206" s="22">
        <v>528</v>
      </c>
      <c r="AH206" s="6">
        <v>10</v>
      </c>
      <c r="AI206" s="6">
        <v>300</v>
      </c>
      <c r="AJ206" s="6">
        <v>14</v>
      </c>
      <c r="AK206" s="24">
        <v>300</v>
      </c>
      <c r="AL206" s="24">
        <v>14</v>
      </c>
      <c r="AM206" s="5">
        <f t="shared" si="129"/>
        <v>500</v>
      </c>
      <c r="AN206" s="26">
        <f t="shared" si="130"/>
        <v>134</v>
      </c>
      <c r="AO206" s="26">
        <f t="shared" si="131"/>
        <v>65911.546666666676</v>
      </c>
      <c r="AP206" s="15">
        <f t="shared" si="132"/>
        <v>6304.166666666667</v>
      </c>
      <c r="AQ206" s="5">
        <f t="shared" si="133"/>
        <v>2496.6494949494954</v>
      </c>
      <c r="AR206" s="26">
        <f t="shared" si="134"/>
        <v>420.27777777777777</v>
      </c>
      <c r="AS206" s="26">
        <f t="shared" si="135"/>
        <v>1391.9</v>
      </c>
      <c r="AT206" s="26">
        <f t="shared" si="136"/>
        <v>22.178305028345793</v>
      </c>
      <c r="AU206" s="26">
        <f t="shared" si="137"/>
        <v>6.8590101254115021</v>
      </c>
      <c r="AV206" s="95">
        <f t="shared" si="138"/>
        <v>7.201333333333334E-7</v>
      </c>
      <c r="AW206" s="95">
        <f t="shared" si="139"/>
        <v>4161087</v>
      </c>
      <c r="AX206" s="95">
        <f t="shared" si="140"/>
        <v>4.1610870000000001E-6</v>
      </c>
      <c r="AY206" s="54">
        <f t="shared" si="141"/>
        <v>0.25762202780669918</v>
      </c>
      <c r="AZ206" s="54" t="str">
        <f>_xll.Dce_Name_SectI(AE206,AF206,AI206,AH206,AJ206,"x","-",$O$11)</f>
        <v>(528-1528)x300x10x14</v>
      </c>
      <c r="BA206" s="15">
        <f t="shared" si="142"/>
        <v>385.5</v>
      </c>
      <c r="BB206" s="54"/>
      <c r="BC206" s="54"/>
      <c r="BD206" s="22" t="s">
        <v>503</v>
      </c>
      <c r="BE206" s="23">
        <v>-201.15602432177278</v>
      </c>
      <c r="BF206" s="23">
        <v>-205.22602433085765</v>
      </c>
      <c r="BG206" s="23">
        <v>3.10497132927067E-4</v>
      </c>
      <c r="BH206" s="23">
        <v>1.5737063493225206E-4</v>
      </c>
      <c r="BI206" s="23">
        <v>1.0806655549440393E-5</v>
      </c>
      <c r="BJ206" s="23">
        <v>-2.6128771250741636</v>
      </c>
      <c r="BK206" s="23">
        <v>738.01015741611775</v>
      </c>
      <c r="BL206" s="92">
        <v>2.25</v>
      </c>
      <c r="BM206" s="91">
        <v>2</v>
      </c>
      <c r="BN206" s="5">
        <f t="shared" si="143"/>
        <v>19.473749999999999</v>
      </c>
      <c r="BO206" s="54">
        <f>_xll.Bimoment(BH206,AY206,AC206,AD206,$O$101)</f>
        <v>0</v>
      </c>
      <c r="BP206" s="5">
        <f t="shared" si="144"/>
        <v>0.84</v>
      </c>
      <c r="BQ206" s="5">
        <f t="shared" si="145"/>
        <v>0.10574870414514866</v>
      </c>
      <c r="BR206" s="24" t="str">
        <f t="shared" si="146"/>
        <v>Cal</v>
      </c>
      <c r="BS206" s="25">
        <f t="shared" si="147"/>
        <v>6.5675940776698208E-2</v>
      </c>
      <c r="BT206" s="25" t="str">
        <f t="shared" si="148"/>
        <v>CT.105</v>
      </c>
      <c r="BU206" s="25">
        <f t="shared" si="149"/>
        <v>1</v>
      </c>
      <c r="BV206" s="25" cm="1">
        <f t="array" ref="BV206">IF(BT206="CT.104",_xll.TCVN5575AnnexEHeSoCx(1,BP206),1)</f>
        <v>1</v>
      </c>
      <c r="BW206" s="25">
        <f t="shared" si="150"/>
        <v>1</v>
      </c>
      <c r="BX206" s="25">
        <f t="shared" si="151"/>
        <v>6.913256923862969E-2</v>
      </c>
      <c r="BY206" s="25">
        <f t="shared" si="152"/>
        <v>4.8196540141303961E-3</v>
      </c>
      <c r="BZ206" s="25">
        <f t="shared" si="153"/>
        <v>1.1841571287695147E-7</v>
      </c>
      <c r="CA206" s="25">
        <f t="shared" si="154"/>
        <v>0</v>
      </c>
      <c r="CB206" s="25">
        <f t="shared" si="155"/>
        <v>7.3952341668472962E-2</v>
      </c>
      <c r="CC206" s="5" t="str">
        <f t="shared" si="156"/>
        <v>OK</v>
      </c>
      <c r="CD206" s="5">
        <f t="shared" si="157"/>
        <v>87.805402509844015</v>
      </c>
      <c r="CE206" s="5">
        <f t="shared" si="158"/>
        <v>29.158726455153193</v>
      </c>
      <c r="CF206" s="5">
        <f t="shared" si="159"/>
        <v>2.9248163326364334</v>
      </c>
      <c r="CG206" s="5">
        <f t="shared" si="160"/>
        <v>0.97128328026682387</v>
      </c>
      <c r="CH206" s="5">
        <f t="shared" si="161"/>
        <v>6.9716113073912567E-2</v>
      </c>
      <c r="CI206" s="68">
        <f>_xll.DCETCVN5575PhuLucD2Eta(BP206,CH206,CF206)</f>
        <v>1.51684738982844</v>
      </c>
      <c r="CJ206" s="5">
        <f t="shared" si="162"/>
        <v>0.10574870414514866</v>
      </c>
      <c r="CK206" s="5">
        <f>MIN(noisuy2chieu(CJ206,CF206,Data!$DA$2:$EB$24),1)</f>
        <v>0.67559480667114258</v>
      </c>
      <c r="CL206" s="102">
        <f t="shared" si="163"/>
        <v>0.10232844976897693</v>
      </c>
      <c r="CM206" s="5" t="str">
        <f t="shared" si="164"/>
        <v>OK</v>
      </c>
      <c r="CN206" s="5">
        <f t="shared" si="165"/>
        <v>0.90492218941026858</v>
      </c>
      <c r="CO206" s="5">
        <f t="shared" si="166"/>
        <v>0.5370345235716667</v>
      </c>
      <c r="CP206" s="25">
        <f>_xll.DCETCVNPhuLucFHeSoOnDinh(1, 0.2, AG206, AH206, AI206, AJ206, AI206, AJ206, $D$28)</f>
        <v>1</v>
      </c>
      <c r="CQ206" s="68">
        <f t="shared" si="167"/>
        <v>0.9</v>
      </c>
      <c r="CR206" s="68">
        <f t="shared" si="168"/>
        <v>1</v>
      </c>
      <c r="CS206" s="5">
        <f t="shared" si="169"/>
        <v>0.18181818181818182</v>
      </c>
      <c r="CT206" s="5">
        <f t="shared" si="170"/>
        <v>9.9510191986788829E-2</v>
      </c>
      <c r="CU206" s="26">
        <f t="shared" si="171"/>
        <v>19.691396541526114</v>
      </c>
      <c r="CV206" s="5"/>
      <c r="CW206" s="25"/>
      <c r="CX206" s="72">
        <f>MAX(_xll.Dce_c_925(CU206, CQ206, CR206, CN206, CP206, CS206, CT206),0.3)</f>
        <v>0.3</v>
      </c>
      <c r="CY206" s="102">
        <f t="shared" si="172"/>
        <v>0.25465382566458705</v>
      </c>
      <c r="CZ206" s="5" t="str">
        <f t="shared" si="173"/>
        <v>OK</v>
      </c>
      <c r="DA206" s="47">
        <f t="shared" si="174"/>
        <v>0.34499859601035404</v>
      </c>
      <c r="DB206" s="46">
        <f t="shared" si="175"/>
        <v>0.45712832802668235</v>
      </c>
      <c r="DC206" s="5" t="str">
        <f t="shared" si="176"/>
        <v>OK</v>
      </c>
      <c r="DD206" s="5">
        <f t="shared" si="177"/>
        <v>2.9248163326364334</v>
      </c>
      <c r="DE206" s="5">
        <f t="shared" si="178"/>
        <v>1.6655104634982609</v>
      </c>
      <c r="DF206" s="5" t="str">
        <f t="shared" si="179"/>
        <v>-</v>
      </c>
      <c r="DG206" s="5" t="str">
        <f t="shared" si="180"/>
        <v>-</v>
      </c>
      <c r="DH206" s="203" t="str">
        <f t="shared" si="181"/>
        <v>-</v>
      </c>
      <c r="DI206" s="203">
        <f t="shared" si="182"/>
        <v>180</v>
      </c>
      <c r="DJ206" s="46">
        <f t="shared" si="183"/>
        <v>0</v>
      </c>
      <c r="DK206" s="5" t="str">
        <f t="shared" si="184"/>
        <v>OK</v>
      </c>
      <c r="EB206" s="18"/>
      <c r="EC206" s="77"/>
      <c r="ED206" s="77"/>
      <c r="EE206" s="18"/>
      <c r="EF206" s="18"/>
      <c r="EG206" s="18"/>
      <c r="EH206" s="5"/>
      <c r="EI206" s="5"/>
      <c r="EJ206" s="5"/>
      <c r="EK206" s="5"/>
      <c r="EL206" s="5"/>
      <c r="FE206" s="26"/>
      <c r="FF206" s="26"/>
      <c r="FG206" s="26"/>
      <c r="FH206" s="26"/>
      <c r="FI206" s="26"/>
      <c r="FJ206" s="26"/>
      <c r="FK206" s="26"/>
      <c r="FL206" s="26"/>
      <c r="FM206" s="26"/>
      <c r="FN206" s="205"/>
      <c r="FO206" s="205"/>
      <c r="FP206" s="205"/>
      <c r="FQ206" s="205"/>
      <c r="FR206" s="205"/>
      <c r="FS206" s="205"/>
      <c r="FT206" s="205"/>
      <c r="FU206" s="77"/>
      <c r="FV206" s="77"/>
      <c r="FW206" s="77"/>
      <c r="FX206" s="205"/>
      <c r="FY206" s="205"/>
      <c r="FZ206" s="205"/>
      <c r="GA206" s="205"/>
      <c r="GB206" s="205"/>
      <c r="GC206" s="205"/>
      <c r="GD206" s="205"/>
      <c r="GE206" s="205"/>
      <c r="GF206" s="205"/>
      <c r="GG206" s="205"/>
      <c r="GH206" s="205"/>
      <c r="GI206" s="205"/>
      <c r="GJ206" s="205"/>
      <c r="GK206" s="205"/>
      <c r="GL206" s="205"/>
      <c r="GM206" s="205"/>
      <c r="GN206" s="205"/>
      <c r="GO206" s="205"/>
      <c r="GP206" s="205"/>
      <c r="GQ206" s="205"/>
      <c r="GR206" s="205"/>
      <c r="GS206" s="205"/>
      <c r="GT206" s="205"/>
      <c r="GU206" s="205"/>
      <c r="GV206" s="18"/>
      <c r="GW206" s="5"/>
      <c r="GX206" s="5"/>
      <c r="GY206" s="77"/>
      <c r="GZ206" s="18"/>
      <c r="HA206" s="18"/>
      <c r="HB206" s="18"/>
      <c r="HC206" s="18"/>
      <c r="HD206" s="18"/>
      <c r="HE206" s="18"/>
      <c r="HF206" s="18"/>
      <c r="HG206" s="18"/>
      <c r="HH206" s="205"/>
      <c r="HI206" s="26"/>
      <c r="HJ206" s="26"/>
      <c r="HK206" s="5"/>
    </row>
    <row r="207" spans="27:219">
      <c r="AA207" s="18" t="s">
        <v>488</v>
      </c>
      <c r="AB207" s="22" t="s">
        <v>491</v>
      </c>
      <c r="AC207" s="59">
        <v>3.6405952380952398</v>
      </c>
      <c r="AD207" s="59">
        <v>8.6549999999999994</v>
      </c>
      <c r="AE207" s="22">
        <v>528</v>
      </c>
      <c r="AF207" s="22">
        <v>1528</v>
      </c>
      <c r="AG207" s="22">
        <v>948.63492063492095</v>
      </c>
      <c r="AH207" s="6">
        <v>10</v>
      </c>
      <c r="AI207" s="6">
        <v>300</v>
      </c>
      <c r="AJ207" s="6">
        <v>14</v>
      </c>
      <c r="AK207" s="24">
        <v>300</v>
      </c>
      <c r="AL207" s="24">
        <v>14</v>
      </c>
      <c r="AM207" s="5">
        <f t="shared" si="129"/>
        <v>920.63492063492095</v>
      </c>
      <c r="AN207" s="26">
        <f t="shared" si="130"/>
        <v>176.06349206349208</v>
      </c>
      <c r="AO207" s="26">
        <f t="shared" si="131"/>
        <v>248482.7399356656</v>
      </c>
      <c r="AP207" s="15">
        <f t="shared" si="132"/>
        <v>6307.6719576719579</v>
      </c>
      <c r="AQ207" s="5">
        <f t="shared" si="133"/>
        <v>5238.7432621467533</v>
      </c>
      <c r="AR207" s="26">
        <f t="shared" si="134"/>
        <v>420.51146384479722</v>
      </c>
      <c r="AS207" s="26">
        <f t="shared" si="135"/>
        <v>3022.1941546989178</v>
      </c>
      <c r="AT207" s="26">
        <f t="shared" si="136"/>
        <v>37.567600585756203</v>
      </c>
      <c r="AU207" s="26">
        <f t="shared" si="137"/>
        <v>5.9854925384629922</v>
      </c>
      <c r="AV207" s="95">
        <f t="shared" si="138"/>
        <v>8.6034497354497351E-7</v>
      </c>
      <c r="AW207" s="95">
        <f t="shared" si="139"/>
        <v>13758293.349206358</v>
      </c>
      <c r="AX207" s="95">
        <f t="shared" si="140"/>
        <v>1.3758293349206359E-5</v>
      </c>
      <c r="AY207" s="54">
        <f t="shared" si="141"/>
        <v>0.1548581140202015</v>
      </c>
      <c r="AZ207" s="54" t="str">
        <f>_xll.Dce_Name_SectI(AE207,AF207,AI207,AH207,AJ207,"x","-",$O$11)</f>
        <v>(528-1528)x300x10x14</v>
      </c>
      <c r="BA207" s="15">
        <f t="shared" si="142"/>
        <v>700.97619047619071</v>
      </c>
      <c r="BB207" s="54"/>
      <c r="BC207" s="54"/>
      <c r="BD207" s="22" t="s">
        <v>503</v>
      </c>
      <c r="BE207" s="23">
        <v>-196.04950863520693</v>
      </c>
      <c r="BF207" s="23">
        <v>-202.58098151814022</v>
      </c>
      <c r="BG207" s="23">
        <v>3.1049713292722936E-4</v>
      </c>
      <c r="BH207" s="23">
        <v>1.5737063493225206E-4</v>
      </c>
      <c r="BI207" s="23">
        <v>-1.1222498266125159E-3</v>
      </c>
      <c r="BJ207" s="23">
        <v>741.43325622795749</v>
      </c>
      <c r="BK207" s="23">
        <v>738.01015741611775</v>
      </c>
      <c r="BL207" s="92">
        <v>2.25</v>
      </c>
      <c r="BM207" s="91">
        <v>2</v>
      </c>
      <c r="BN207" s="5">
        <f t="shared" si="143"/>
        <v>19.473749999999999</v>
      </c>
      <c r="BO207" s="54">
        <f>_xll.Bimoment(BH207,AY207,AC207,AD207,$O$101)</f>
        <v>-1.2102851001144733E-3</v>
      </c>
      <c r="BP207" s="5">
        <f t="shared" si="144"/>
        <v>0.45620689655172403</v>
      </c>
      <c r="BQ207" s="5">
        <f t="shared" si="145"/>
        <v>15.776285072696419</v>
      </c>
      <c r="BR207" s="24" t="str">
        <f t="shared" si="146"/>
        <v>Cal</v>
      </c>
      <c r="BS207" s="25">
        <f t="shared" si="147"/>
        <v>4.8716323311917518E-2</v>
      </c>
      <c r="BT207" s="25" t="str">
        <f t="shared" si="148"/>
        <v>CT.105</v>
      </c>
      <c r="BU207" s="25">
        <f t="shared" si="149"/>
        <v>1</v>
      </c>
      <c r="BV207" s="25" cm="1">
        <f t="array" ref="BV207">IF(BT207="CT.104",_xll.TCVN5575AnnexEHeSoCx(1,BP207),1)</f>
        <v>1</v>
      </c>
      <c r="BW207" s="25">
        <f t="shared" si="150"/>
        <v>1</v>
      </c>
      <c r="BX207" s="25">
        <f t="shared" si="151"/>
        <v>5.1280340328334229E-2</v>
      </c>
      <c r="BY207" s="25">
        <f t="shared" si="152"/>
        <v>0.65177755199733467</v>
      </c>
      <c r="BZ207" s="25">
        <f t="shared" si="153"/>
        <v>1.2290404007534695E-5</v>
      </c>
      <c r="CA207" s="25">
        <f t="shared" si="154"/>
        <v>2.8397547886142416E-5</v>
      </c>
      <c r="CB207" s="25">
        <f t="shared" si="155"/>
        <v>0.70309858027756267</v>
      </c>
      <c r="CC207" s="5" t="str">
        <f t="shared" si="156"/>
        <v>OK</v>
      </c>
      <c r="CD207" s="5">
        <f t="shared" si="157"/>
        <v>51.836555160202302</v>
      </c>
      <c r="CE207" s="5">
        <f t="shared" si="158"/>
        <v>33.414125690541383</v>
      </c>
      <c r="CF207" s="5">
        <f t="shared" si="159"/>
        <v>1.7266865002204341</v>
      </c>
      <c r="CG207" s="5">
        <f t="shared" si="160"/>
        <v>1.1130315193248546</v>
      </c>
      <c r="CH207" s="5">
        <f t="shared" si="161"/>
        <v>12.710086318151911</v>
      </c>
      <c r="CI207" s="68">
        <f>_xll.DCETCVN5575PhuLucD2Eta(BP207,CH207,CF207)</f>
        <v>1.2412413793103447</v>
      </c>
      <c r="CJ207" s="5">
        <f t="shared" si="162"/>
        <v>15.776285072696419</v>
      </c>
      <c r="CK207" s="5">
        <f>MIN(noisuy2chieu(CJ207,CF207,Data!$DA$2:$EB$24),1)</f>
        <v>8.7204396724700928E-2</v>
      </c>
      <c r="CL207" s="102">
        <f t="shared" si="163"/>
        <v>0.58804764730181214</v>
      </c>
      <c r="CM207" s="5" t="str">
        <f t="shared" si="164"/>
        <v>OK</v>
      </c>
      <c r="CN207" s="5">
        <f t="shared" si="165"/>
        <v>0.88472625978979058</v>
      </c>
      <c r="CO207" s="5">
        <f t="shared" si="166"/>
        <v>0.5370345235716667</v>
      </c>
      <c r="CP207" s="25">
        <f>_xll.DCETCVNPhuLucFHeSoOnDinh(1, 0.2, AG207, AH207, AI207, AJ207, AI207, AJ207, $D$28)</f>
        <v>1</v>
      </c>
      <c r="CQ207" s="68">
        <f t="shared" si="167"/>
        <v>0.9</v>
      </c>
      <c r="CR207" s="68">
        <f t="shared" si="168"/>
        <v>1</v>
      </c>
      <c r="CS207" s="5">
        <f t="shared" si="169"/>
        <v>0.18181818181818182</v>
      </c>
      <c r="CT207" s="5">
        <f t="shared" si="170"/>
        <v>0.10155106457844131</v>
      </c>
      <c r="CU207" s="26">
        <f t="shared" si="171"/>
        <v>12.651405538717507</v>
      </c>
      <c r="CV207" s="5"/>
      <c r="CW207" s="25"/>
      <c r="CX207" s="72">
        <f>MAX(_xll.Dce_c_925(CU207, CQ207, CR207, CN207, CP207, CS207, CT207),0.3)</f>
        <v>0.3</v>
      </c>
      <c r="CY207" s="102">
        <f t="shared" si="172"/>
        <v>0.19320605200723651</v>
      </c>
      <c r="CZ207" s="5" t="str">
        <f t="shared" si="173"/>
        <v>OK</v>
      </c>
      <c r="DA207" s="47">
        <f t="shared" si="174"/>
        <v>0.34499859601035404</v>
      </c>
      <c r="DB207" s="46">
        <f t="shared" si="175"/>
        <v>0.47130315193248545</v>
      </c>
      <c r="DC207" s="5" t="str">
        <f t="shared" si="176"/>
        <v>OK</v>
      </c>
      <c r="DD207" s="5">
        <f t="shared" si="177"/>
        <v>1.7266865002204341</v>
      </c>
      <c r="DE207" s="5">
        <f t="shared" si="178"/>
        <v>3.0666541867587034</v>
      </c>
      <c r="DF207" s="5" t="str">
        <f t="shared" si="179"/>
        <v>-</v>
      </c>
      <c r="DG207" s="5" t="str">
        <f t="shared" si="180"/>
        <v>-</v>
      </c>
      <c r="DH207" s="203">
        <f t="shared" si="181"/>
        <v>51.836555160202302</v>
      </c>
      <c r="DI207" s="203">
        <f t="shared" si="182"/>
        <v>174.71714116189128</v>
      </c>
      <c r="DJ207" s="46">
        <f t="shared" si="183"/>
        <v>0.29668843489243585</v>
      </c>
      <c r="DK207" s="5" t="str">
        <f t="shared" si="184"/>
        <v>OK</v>
      </c>
      <c r="EB207" s="18"/>
      <c r="EC207" s="77"/>
      <c r="ED207" s="77"/>
      <c r="EE207" s="18"/>
      <c r="EF207" s="18"/>
      <c r="EG207" s="18"/>
      <c r="EH207" s="5"/>
      <c r="EI207" s="5"/>
      <c r="EJ207" s="5"/>
      <c r="EK207" s="5"/>
      <c r="EL207" s="5"/>
      <c r="FE207" s="26"/>
      <c r="FF207" s="26"/>
      <c r="FG207" s="26"/>
      <c r="FH207" s="26"/>
      <c r="FI207" s="26"/>
      <c r="FJ207" s="26"/>
      <c r="FK207" s="26"/>
      <c r="FL207" s="26"/>
      <c r="FM207" s="26"/>
      <c r="FN207" s="205"/>
      <c r="FO207" s="205"/>
      <c r="FP207" s="205"/>
      <c r="FQ207" s="205"/>
      <c r="FR207" s="205"/>
      <c r="FS207" s="205"/>
      <c r="FT207" s="205"/>
      <c r="FU207" s="77"/>
      <c r="FV207" s="77"/>
      <c r="FW207" s="77"/>
      <c r="FX207" s="205"/>
      <c r="FY207" s="205"/>
      <c r="FZ207" s="205"/>
      <c r="GA207" s="205"/>
      <c r="GB207" s="205"/>
      <c r="GC207" s="205"/>
      <c r="GD207" s="205"/>
      <c r="GE207" s="205"/>
      <c r="GF207" s="205"/>
      <c r="GG207" s="205"/>
      <c r="GH207" s="205"/>
      <c r="GI207" s="205"/>
      <c r="GJ207" s="205"/>
      <c r="GK207" s="205"/>
      <c r="GL207" s="205"/>
      <c r="GM207" s="205"/>
      <c r="GN207" s="205"/>
      <c r="GO207" s="205"/>
      <c r="GP207" s="205"/>
      <c r="GQ207" s="205"/>
      <c r="GR207" s="205"/>
      <c r="GS207" s="205"/>
      <c r="GT207" s="205"/>
      <c r="GU207" s="205"/>
      <c r="GV207" s="18"/>
      <c r="GW207" s="5"/>
      <c r="GX207" s="5"/>
      <c r="GY207" s="77"/>
      <c r="GZ207" s="18"/>
      <c r="HA207" s="18"/>
      <c r="HB207" s="18"/>
      <c r="HC207" s="18"/>
      <c r="HD207" s="18"/>
      <c r="HE207" s="18"/>
      <c r="HF207" s="18"/>
      <c r="HG207" s="18"/>
      <c r="HH207" s="205"/>
      <c r="HI207" s="26"/>
      <c r="HJ207" s="26"/>
      <c r="HK207" s="5"/>
    </row>
    <row r="208" spans="27:219">
      <c r="AA208" s="18" t="s">
        <v>488</v>
      </c>
      <c r="AB208" s="22" t="s">
        <v>491</v>
      </c>
      <c r="AC208" s="59">
        <v>7.2811904761904795</v>
      </c>
      <c r="AD208" s="59">
        <v>8.6549999999999994</v>
      </c>
      <c r="AE208" s="22">
        <v>528</v>
      </c>
      <c r="AF208" s="22">
        <v>1528</v>
      </c>
      <c r="AG208" s="22">
        <v>1369.2698412698419</v>
      </c>
      <c r="AH208" s="6">
        <v>10</v>
      </c>
      <c r="AI208" s="6">
        <v>300</v>
      </c>
      <c r="AJ208" s="6">
        <v>14</v>
      </c>
      <c r="AK208" s="24">
        <v>300</v>
      </c>
      <c r="AL208" s="24">
        <v>14</v>
      </c>
      <c r="AM208" s="5">
        <f t="shared" si="129"/>
        <v>1341.2698412698419</v>
      </c>
      <c r="AN208" s="26">
        <f t="shared" si="130"/>
        <v>218.12698412698418</v>
      </c>
      <c r="AO208" s="26">
        <f t="shared" si="131"/>
        <v>586811.79072745051</v>
      </c>
      <c r="AP208" s="15">
        <f t="shared" si="132"/>
        <v>6311.1772486772488</v>
      </c>
      <c r="AQ208" s="5">
        <f t="shared" si="133"/>
        <v>8571.1635945074104</v>
      </c>
      <c r="AR208" s="26">
        <f t="shared" si="134"/>
        <v>420.74514991181661</v>
      </c>
      <c r="AS208" s="26">
        <f t="shared" si="135"/>
        <v>5094.8226505417015</v>
      </c>
      <c r="AT208" s="26">
        <f t="shared" si="136"/>
        <v>51.867428670398397</v>
      </c>
      <c r="AU208" s="26">
        <f t="shared" si="137"/>
        <v>5.3789869588463937</v>
      </c>
      <c r="AV208" s="95">
        <f t="shared" si="138"/>
        <v>1.0005566137566139E-6</v>
      </c>
      <c r="AW208" s="95">
        <f t="shared" si="139"/>
        <v>28928912.396825422</v>
      </c>
      <c r="AX208" s="95">
        <f t="shared" si="140"/>
        <v>2.8928912396825422E-5</v>
      </c>
      <c r="AY208" s="54">
        <f t="shared" si="141"/>
        <v>0.11516876660535029</v>
      </c>
      <c r="AZ208" s="54" t="str">
        <f>_xll.Dce_Name_SectI(AE208,AF208,AI208,AH208,AJ208,"x","-",$O$11)</f>
        <v>(528-1528)x300x10x14</v>
      </c>
      <c r="BA208" s="15">
        <f t="shared" si="142"/>
        <v>1016.4523809523813</v>
      </c>
      <c r="BB208" s="54"/>
      <c r="BC208" s="54"/>
      <c r="BD208" s="22" t="s">
        <v>503</v>
      </c>
      <c r="BE208" s="23">
        <v>-189.40155719814868</v>
      </c>
      <c r="BF208" s="23">
        <v>-200.04178923601478</v>
      </c>
      <c r="BG208" s="23">
        <v>3.1049713292738521E-4</v>
      </c>
      <c r="BH208" s="23">
        <v>1.5737063493225206E-4</v>
      </c>
      <c r="BI208" s="23">
        <v>-2.2553063087750532E-3</v>
      </c>
      <c r="BJ208" s="23">
        <v>1476.0203148322355</v>
      </c>
      <c r="BK208" s="23">
        <v>738.01015741611775</v>
      </c>
      <c r="BL208" s="92">
        <v>2.25</v>
      </c>
      <c r="BM208" s="91">
        <v>2</v>
      </c>
      <c r="BN208" s="5">
        <f t="shared" si="143"/>
        <v>19.473749999999999</v>
      </c>
      <c r="BO208" s="54">
        <f>_xll.Bimoment(BH208,AY208,AC208,AD208,$O$101)</f>
        <v>-7.1991878774057725E-4</v>
      </c>
      <c r="BP208" s="5">
        <f t="shared" si="144"/>
        <v>0.31313609467455605</v>
      </c>
      <c r="BQ208" s="5">
        <f t="shared" si="145"/>
        <v>24.049481202317949</v>
      </c>
      <c r="BR208" s="24" t="str">
        <f t="shared" si="146"/>
        <v>Cal</v>
      </c>
      <c r="BS208" s="25">
        <f t="shared" si="147"/>
        <v>3.7988505459714543E-2</v>
      </c>
      <c r="BT208" s="25" t="str">
        <f t="shared" si="148"/>
        <v>CT.105</v>
      </c>
      <c r="BU208" s="25">
        <f t="shared" si="149"/>
        <v>1</v>
      </c>
      <c r="BV208" s="25" cm="1">
        <f t="array" ref="BV208">IF(BT208="CT.104",_xll.TCVN5575AnnexEHeSoCx(1,BP208),1)</f>
        <v>1</v>
      </c>
      <c r="BW208" s="25">
        <f t="shared" si="150"/>
        <v>1</v>
      </c>
      <c r="BX208" s="25">
        <f t="shared" si="151"/>
        <v>3.9987900483910044E-2</v>
      </c>
      <c r="BY208" s="25">
        <f t="shared" si="152"/>
        <v>0.79306174724713552</v>
      </c>
      <c r="BZ208" s="25">
        <f t="shared" si="153"/>
        <v>2.4685439762635817E-5</v>
      </c>
      <c r="CA208" s="25">
        <f t="shared" si="154"/>
        <v>1.1649113875961867E-5</v>
      </c>
      <c r="CB208" s="25">
        <f t="shared" si="155"/>
        <v>0.83308598228468422</v>
      </c>
      <c r="CC208" s="5" t="str">
        <f t="shared" si="156"/>
        <v>OK</v>
      </c>
      <c r="CD208" s="5">
        <f t="shared" si="157"/>
        <v>37.545238889226049</v>
      </c>
      <c r="CE208" s="5">
        <f t="shared" si="158"/>
        <v>37.181722419139881</v>
      </c>
      <c r="CF208" s="5">
        <f t="shared" si="159"/>
        <v>1.2506397644909562</v>
      </c>
      <c r="CG208" s="5">
        <f t="shared" si="160"/>
        <v>1.2385309547993069</v>
      </c>
      <c r="CH208" s="5">
        <f t="shared" si="161"/>
        <v>19.832542785441817</v>
      </c>
      <c r="CI208" s="68">
        <f>_xll.DCETCVN5575PhuLucD2Eta(BP208,CH208,CF208)</f>
        <v>1.2126272189349112</v>
      </c>
      <c r="CJ208" s="5">
        <f t="shared" si="162"/>
        <v>24.049481202317949</v>
      </c>
      <c r="CK208" s="5">
        <f>MIN(noisuy2chieu(CJ208,CF208,Data!$DA$2:$EB$24),1)</f>
        <v>7.1994885802268982E-2</v>
      </c>
      <c r="CL208" s="102">
        <f t="shared" si="163"/>
        <v>0.5554269589889369</v>
      </c>
      <c r="CM208" s="5" t="str">
        <f t="shared" si="164"/>
        <v>OK</v>
      </c>
      <c r="CN208" s="5">
        <f t="shared" si="165"/>
        <v>0.86643683692746631</v>
      </c>
      <c r="CO208" s="5">
        <f t="shared" si="166"/>
        <v>0.5370345235716667</v>
      </c>
      <c r="CP208" s="25">
        <f>_xll.DCETCVNPhuLucFHeSoOnDinh(1, 0.2, AG208, AH208, AI208, AJ208, AI208, AJ208, $D$28)</f>
        <v>1</v>
      </c>
      <c r="CQ208" s="68">
        <f t="shared" si="167"/>
        <v>0.9</v>
      </c>
      <c r="CR208" s="68">
        <f t="shared" si="168"/>
        <v>1</v>
      </c>
      <c r="CS208" s="5">
        <f t="shared" si="169"/>
        <v>0.18181818181818182</v>
      </c>
      <c r="CT208" s="5">
        <f t="shared" si="170"/>
        <v>0.10347287704587492</v>
      </c>
      <c r="CU208" s="26">
        <f t="shared" si="171"/>
        <v>9.9162713927209083</v>
      </c>
      <c r="CV208" s="5"/>
      <c r="CW208" s="25"/>
      <c r="CX208" s="72">
        <f>MAX(_xll.Dce_c_925(CU208, CQ208, CR208, CN208, CP208, CS208, CT208),0.3)</f>
        <v>0.3</v>
      </c>
      <c r="CY208" s="102">
        <f t="shared" si="172"/>
        <v>0.15384041390219896</v>
      </c>
      <c r="CZ208" s="5" t="str">
        <f t="shared" si="173"/>
        <v>OK</v>
      </c>
      <c r="DA208" s="47">
        <f t="shared" si="174"/>
        <v>0.34499859601035404</v>
      </c>
      <c r="DB208" s="46">
        <f t="shared" si="175"/>
        <v>0.48385309547993066</v>
      </c>
      <c r="DC208" s="5" t="str">
        <f t="shared" si="176"/>
        <v>OK</v>
      </c>
      <c r="DD208" s="5">
        <f t="shared" si="177"/>
        <v>1.2506397644909562</v>
      </c>
      <c r="DE208" s="5">
        <f t="shared" si="178"/>
        <v>4.4677979100191463</v>
      </c>
      <c r="DF208" s="5" t="str">
        <f t="shared" si="179"/>
        <v>-</v>
      </c>
      <c r="DG208" s="5" t="str">
        <f t="shared" si="180"/>
        <v>-</v>
      </c>
      <c r="DH208" s="203">
        <f t="shared" si="181"/>
        <v>37.545238889226049</v>
      </c>
      <c r="DI208" s="203">
        <f t="shared" si="182"/>
        <v>176.67438246066379</v>
      </c>
      <c r="DJ208" s="46">
        <f t="shared" si="183"/>
        <v>0.21251093885999814</v>
      </c>
      <c r="DK208" s="5" t="str">
        <f t="shared" si="184"/>
        <v>OK</v>
      </c>
      <c r="EB208" s="18"/>
      <c r="EC208" s="77"/>
      <c r="ED208" s="77"/>
      <c r="EE208" s="18"/>
      <c r="EF208" s="18"/>
      <c r="EG208" s="18"/>
      <c r="EH208" s="5"/>
      <c r="EI208" s="5"/>
      <c r="EJ208" s="5"/>
      <c r="EK208" s="5"/>
      <c r="EL208" s="5"/>
      <c r="FE208" s="26"/>
      <c r="FF208" s="26"/>
      <c r="FG208" s="26"/>
      <c r="FH208" s="26"/>
      <c r="FI208" s="26"/>
      <c r="FJ208" s="26"/>
      <c r="FK208" s="26"/>
      <c r="FL208" s="26"/>
      <c r="FM208" s="26"/>
      <c r="FN208" s="205"/>
      <c r="FO208" s="205"/>
      <c r="FP208" s="205"/>
      <c r="FQ208" s="205"/>
      <c r="FR208" s="205"/>
      <c r="FS208" s="205"/>
      <c r="FT208" s="205"/>
      <c r="FU208" s="77"/>
      <c r="FV208" s="77"/>
      <c r="FW208" s="77"/>
      <c r="FX208" s="205"/>
      <c r="FY208" s="205"/>
      <c r="FZ208" s="205"/>
      <c r="GA208" s="205"/>
      <c r="GB208" s="205"/>
      <c r="GC208" s="205"/>
      <c r="GD208" s="205"/>
      <c r="GE208" s="205"/>
      <c r="GF208" s="205"/>
      <c r="GG208" s="205"/>
      <c r="GH208" s="205"/>
      <c r="GI208" s="205"/>
      <c r="GJ208" s="205"/>
      <c r="GK208" s="205"/>
      <c r="GL208" s="205"/>
      <c r="GM208" s="205"/>
      <c r="GN208" s="205"/>
      <c r="GO208" s="205"/>
      <c r="GP208" s="205"/>
      <c r="GQ208" s="205"/>
      <c r="GR208" s="205"/>
      <c r="GS208" s="205"/>
      <c r="GT208" s="205"/>
      <c r="GU208" s="205"/>
      <c r="GV208" s="18"/>
      <c r="GW208" s="5"/>
      <c r="GX208" s="5"/>
      <c r="GY208" s="77"/>
      <c r="GZ208" s="18"/>
      <c r="HA208" s="18"/>
      <c r="HB208" s="18"/>
      <c r="HC208" s="18"/>
      <c r="HD208" s="18"/>
      <c r="HE208" s="18"/>
      <c r="HF208" s="18"/>
      <c r="HG208" s="18"/>
      <c r="HH208" s="205"/>
      <c r="HI208" s="26"/>
      <c r="HJ208" s="26"/>
      <c r="HK208" s="5"/>
    </row>
    <row r="209" spans="27:219">
      <c r="AA209" s="18" t="s">
        <v>488</v>
      </c>
      <c r="AB209" s="22" t="s">
        <v>491</v>
      </c>
      <c r="AC209" s="59">
        <v>0</v>
      </c>
      <c r="AD209" s="59">
        <v>8.6549999999999994</v>
      </c>
      <c r="AE209" s="22">
        <v>528</v>
      </c>
      <c r="AF209" s="22">
        <v>1528</v>
      </c>
      <c r="AG209" s="22">
        <v>528</v>
      </c>
      <c r="AH209" s="6">
        <v>10</v>
      </c>
      <c r="AI209" s="6">
        <v>300</v>
      </c>
      <c r="AJ209" s="6">
        <v>14</v>
      </c>
      <c r="AK209" s="24">
        <v>300</v>
      </c>
      <c r="AL209" s="24">
        <v>14</v>
      </c>
      <c r="AM209" s="5">
        <f t="shared" si="129"/>
        <v>500</v>
      </c>
      <c r="AN209" s="26">
        <f t="shared" si="130"/>
        <v>134</v>
      </c>
      <c r="AO209" s="26">
        <f t="shared" si="131"/>
        <v>65911.546666666676</v>
      </c>
      <c r="AP209" s="15">
        <f t="shared" si="132"/>
        <v>6304.166666666667</v>
      </c>
      <c r="AQ209" s="5">
        <f t="shared" si="133"/>
        <v>2496.6494949494954</v>
      </c>
      <c r="AR209" s="26">
        <f t="shared" si="134"/>
        <v>420.27777777777777</v>
      </c>
      <c r="AS209" s="26">
        <f t="shared" si="135"/>
        <v>1391.9</v>
      </c>
      <c r="AT209" s="26">
        <f t="shared" si="136"/>
        <v>22.178305028345793</v>
      </c>
      <c r="AU209" s="26">
        <f t="shared" si="137"/>
        <v>6.8590101254115021</v>
      </c>
      <c r="AV209" s="95">
        <f t="shared" si="138"/>
        <v>7.201333333333334E-7</v>
      </c>
      <c r="AW209" s="95">
        <f t="shared" si="139"/>
        <v>4161087</v>
      </c>
      <c r="AX209" s="95">
        <f t="shared" si="140"/>
        <v>4.1610870000000001E-6</v>
      </c>
      <c r="AY209" s="54">
        <f t="shared" si="141"/>
        <v>0.25762202780669918</v>
      </c>
      <c r="AZ209" s="54" t="str">
        <f>_xll.Dce_Name_SectI(AE209,AF209,AI209,AH209,AJ209,"x","-",$O$11)</f>
        <v>(528-1528)x300x10x14</v>
      </c>
      <c r="BA209" s="15">
        <f t="shared" si="142"/>
        <v>385.5</v>
      </c>
      <c r="BB209" s="54"/>
      <c r="BC209" s="54"/>
      <c r="BD209" s="22" t="s">
        <v>504</v>
      </c>
      <c r="BE209" s="23">
        <v>-64.497817891844534</v>
      </c>
      <c r="BF209" s="23">
        <v>-78.399960521673478</v>
      </c>
      <c r="BG209" s="23">
        <v>-1.5141910379623848E-3</v>
      </c>
      <c r="BH209" s="23">
        <v>7.4758496578312749E-5</v>
      </c>
      <c r="BI209" s="23">
        <v>5.1336726347878034E-6</v>
      </c>
      <c r="BJ209" s="23">
        <v>-0.82570126127634325</v>
      </c>
      <c r="BK209" s="23">
        <v>218.33929857603573</v>
      </c>
      <c r="BL209" s="92">
        <v>2.25</v>
      </c>
      <c r="BM209" s="91">
        <v>2</v>
      </c>
      <c r="BN209" s="5">
        <f t="shared" si="143"/>
        <v>19.473749999999999</v>
      </c>
      <c r="BO209" s="54">
        <f>_xll.Bimoment(BH209,AY209,AC209,AD209,$O$101)</f>
        <v>0</v>
      </c>
      <c r="BP209" s="5">
        <f t="shared" si="144"/>
        <v>0.84</v>
      </c>
      <c r="BQ209" s="5">
        <f t="shared" si="145"/>
        <v>0.10422669893965839</v>
      </c>
      <c r="BR209" s="24" t="str">
        <f t="shared" si="146"/>
        <v>Cal</v>
      </c>
      <c r="BS209" s="25">
        <f t="shared" si="147"/>
        <v>2.1058056214688051E-2</v>
      </c>
      <c r="BT209" s="25" t="str">
        <f t="shared" si="148"/>
        <v>CT.105</v>
      </c>
      <c r="BU209" s="25">
        <f t="shared" si="149"/>
        <v>1</v>
      </c>
      <c r="BV209" s="25" cm="1">
        <f t="array" ref="BV209">IF(BT209="CT.104",_xll.TCVN5575AnnexEHeSoCx(1,BP209),1)</f>
        <v>1</v>
      </c>
      <c r="BW209" s="25">
        <f t="shared" si="150"/>
        <v>1</v>
      </c>
      <c r="BX209" s="25">
        <f t="shared" si="151"/>
        <v>2.2166374962829527E-2</v>
      </c>
      <c r="BY209" s="25">
        <f t="shared" si="152"/>
        <v>1.5230698604972108E-3</v>
      </c>
      <c r="BZ209" s="25">
        <f t="shared" si="153"/>
        <v>5.6253065709749128E-8</v>
      </c>
      <c r="CA209" s="25">
        <f t="shared" si="154"/>
        <v>0</v>
      </c>
      <c r="CB209" s="25">
        <f t="shared" si="155"/>
        <v>2.3689501076392446E-2</v>
      </c>
      <c r="CC209" s="5" t="str">
        <f t="shared" si="156"/>
        <v>OK</v>
      </c>
      <c r="CD209" s="5">
        <f t="shared" si="157"/>
        <v>87.805402509844015</v>
      </c>
      <c r="CE209" s="5">
        <f t="shared" si="158"/>
        <v>29.158726455153193</v>
      </c>
      <c r="CF209" s="5">
        <f t="shared" si="159"/>
        <v>2.9248163326364334</v>
      </c>
      <c r="CG209" s="5">
        <f t="shared" si="160"/>
        <v>0.97128328026682387</v>
      </c>
      <c r="CH209" s="5">
        <f t="shared" si="161"/>
        <v>6.8710822723662524E-2</v>
      </c>
      <c r="CI209" s="68">
        <f>_xll.DCETCVN5575PhuLucD2Eta(BP209,CH209,CF209)</f>
        <v>1.5168891130707558</v>
      </c>
      <c r="CJ209" s="5">
        <f t="shared" si="162"/>
        <v>0.10422669893965839</v>
      </c>
      <c r="CK209" s="5">
        <f>MIN(noisuy2chieu(CJ209,CF209,Data!$DA$2:$EB$24),1)</f>
        <v>0.67630511522293091</v>
      </c>
      <c r="CL209" s="102">
        <f t="shared" si="163"/>
        <v>3.2775702066844208E-2</v>
      </c>
      <c r="CM209" s="5" t="str">
        <f t="shared" si="164"/>
        <v>OK</v>
      </c>
      <c r="CN209" s="5">
        <f t="shared" si="165"/>
        <v>0.90492218941026858</v>
      </c>
      <c r="CO209" s="5">
        <f t="shared" si="166"/>
        <v>0.5370345235716667</v>
      </c>
      <c r="CP209" s="25">
        <f>_xll.DCETCVNPhuLucFHeSoOnDinh(1, 0.2, AG209, AH209, AI209, AJ209, AI209, AJ209, $D$28)</f>
        <v>1</v>
      </c>
      <c r="CQ209" s="68">
        <f t="shared" si="167"/>
        <v>0.9</v>
      </c>
      <c r="CR209" s="68">
        <f t="shared" si="168"/>
        <v>1</v>
      </c>
      <c r="CS209" s="5">
        <f t="shared" si="169"/>
        <v>0.18181818181818182</v>
      </c>
      <c r="CT209" s="5">
        <f t="shared" si="170"/>
        <v>9.9510191986788829E-2</v>
      </c>
      <c r="CU209" s="26">
        <f t="shared" si="171"/>
        <v>18.169129128950058</v>
      </c>
      <c r="CV209" s="5"/>
      <c r="CW209" s="25"/>
      <c r="CX209" s="72">
        <f>MAX(_xll.Dce_c_925(CU209, CQ209, CR209, CN209, CP209, CS209, CT209),0.3)</f>
        <v>0.3</v>
      </c>
      <c r="CY209" s="102">
        <f t="shared" si="172"/>
        <v>8.1651126922765938E-2</v>
      </c>
      <c r="CZ209" s="5" t="str">
        <f t="shared" si="173"/>
        <v>OK</v>
      </c>
      <c r="DA209" s="47">
        <f t="shared" si="174"/>
        <v>0.34499859601035404</v>
      </c>
      <c r="DB209" s="46">
        <f t="shared" si="175"/>
        <v>0.45712832802668235</v>
      </c>
      <c r="DC209" s="5" t="str">
        <f t="shared" si="176"/>
        <v>OK</v>
      </c>
      <c r="DD209" s="5">
        <f t="shared" si="177"/>
        <v>2.9248163326364334</v>
      </c>
      <c r="DE209" s="5">
        <f t="shared" si="178"/>
        <v>1.6655104634982609</v>
      </c>
      <c r="DF209" s="5" t="str">
        <f t="shared" si="179"/>
        <v>-</v>
      </c>
      <c r="DG209" s="5" t="str">
        <f t="shared" si="180"/>
        <v>-</v>
      </c>
      <c r="DH209" s="203" t="str">
        <f t="shared" si="181"/>
        <v>-</v>
      </c>
      <c r="DI209" s="203">
        <f t="shared" si="182"/>
        <v>180</v>
      </c>
      <c r="DJ209" s="46">
        <f t="shared" si="183"/>
        <v>0</v>
      </c>
      <c r="DK209" s="5" t="str">
        <f t="shared" si="184"/>
        <v>OK</v>
      </c>
      <c r="EB209" s="18"/>
      <c r="EC209" s="77"/>
      <c r="ED209" s="77"/>
      <c r="EE209" s="18"/>
      <c r="EF209" s="18"/>
      <c r="EG209" s="18"/>
      <c r="EH209" s="5"/>
      <c r="EI209" s="5"/>
      <c r="EJ209" s="5"/>
      <c r="EK209" s="5"/>
      <c r="EL209" s="5"/>
      <c r="FE209" s="26"/>
      <c r="FF209" s="26"/>
      <c r="FG209" s="26"/>
      <c r="FH209" s="26"/>
      <c r="FI209" s="26"/>
      <c r="FJ209" s="26"/>
      <c r="FK209" s="26"/>
      <c r="FL209" s="26"/>
      <c r="FM209" s="26"/>
      <c r="FN209" s="205"/>
      <c r="FO209" s="205"/>
      <c r="FP209" s="205"/>
      <c r="FQ209" s="205"/>
      <c r="FR209" s="205"/>
      <c r="FS209" s="205"/>
      <c r="FT209" s="205"/>
      <c r="FU209" s="77"/>
      <c r="FV209" s="77"/>
      <c r="FW209" s="77"/>
      <c r="FX209" s="205"/>
      <c r="FY209" s="205"/>
      <c r="FZ209" s="205"/>
      <c r="GA209" s="205"/>
      <c r="GB209" s="205"/>
      <c r="GC209" s="205"/>
      <c r="GD209" s="205"/>
      <c r="GE209" s="205"/>
      <c r="GF209" s="205"/>
      <c r="GG209" s="205"/>
      <c r="GH209" s="205"/>
      <c r="GI209" s="205"/>
      <c r="GJ209" s="205"/>
      <c r="GK209" s="205"/>
      <c r="GL209" s="205"/>
      <c r="GM209" s="205"/>
      <c r="GN209" s="205"/>
      <c r="GO209" s="205"/>
      <c r="GP209" s="205"/>
      <c r="GQ209" s="205"/>
      <c r="GR209" s="205"/>
      <c r="GS209" s="205"/>
      <c r="GT209" s="205"/>
      <c r="GU209" s="205"/>
      <c r="GV209" s="18"/>
      <c r="GW209" s="5"/>
      <c r="GX209" s="5"/>
      <c r="GY209" s="77"/>
      <c r="GZ209" s="18"/>
      <c r="HA209" s="18"/>
      <c r="HB209" s="18"/>
      <c r="HC209" s="18"/>
      <c r="HD209" s="18"/>
      <c r="HE209" s="18"/>
      <c r="HF209" s="18"/>
      <c r="HG209" s="18"/>
      <c r="HH209" s="205"/>
      <c r="HI209" s="26"/>
      <c r="HJ209" s="26"/>
      <c r="HK209" s="5"/>
    </row>
    <row r="210" spans="27:219">
      <c r="AA210" s="18" t="s">
        <v>488</v>
      </c>
      <c r="AB210" s="22" t="s">
        <v>491</v>
      </c>
      <c r="AC210" s="59">
        <v>3.6405952380952398</v>
      </c>
      <c r="AD210" s="59">
        <v>8.6549999999999994</v>
      </c>
      <c r="AE210" s="22">
        <v>528</v>
      </c>
      <c r="AF210" s="22">
        <v>1528</v>
      </c>
      <c r="AG210" s="22">
        <v>948.63492063492095</v>
      </c>
      <c r="AH210" s="6">
        <v>10</v>
      </c>
      <c r="AI210" s="6">
        <v>300</v>
      </c>
      <c r="AJ210" s="6">
        <v>14</v>
      </c>
      <c r="AK210" s="24">
        <v>300</v>
      </c>
      <c r="AL210" s="24">
        <v>14</v>
      </c>
      <c r="AM210" s="5">
        <f t="shared" si="129"/>
        <v>920.63492063492095</v>
      </c>
      <c r="AN210" s="26">
        <f t="shared" si="130"/>
        <v>176.06349206349208</v>
      </c>
      <c r="AO210" s="26">
        <f t="shared" si="131"/>
        <v>248482.7399356656</v>
      </c>
      <c r="AP210" s="15">
        <f t="shared" si="132"/>
        <v>6307.6719576719579</v>
      </c>
      <c r="AQ210" s="5">
        <f t="shared" si="133"/>
        <v>5238.7432621467533</v>
      </c>
      <c r="AR210" s="26">
        <f t="shared" si="134"/>
        <v>420.51146384479722</v>
      </c>
      <c r="AS210" s="26">
        <f t="shared" si="135"/>
        <v>3022.1941546989178</v>
      </c>
      <c r="AT210" s="26">
        <f t="shared" si="136"/>
        <v>37.567600585756203</v>
      </c>
      <c r="AU210" s="26">
        <f t="shared" si="137"/>
        <v>5.9854925384629922</v>
      </c>
      <c r="AV210" s="95">
        <f t="shared" si="138"/>
        <v>8.6034497354497351E-7</v>
      </c>
      <c r="AW210" s="95">
        <f t="shared" si="139"/>
        <v>13758293.349206358</v>
      </c>
      <c r="AX210" s="95">
        <f t="shared" si="140"/>
        <v>1.3758293349206359E-5</v>
      </c>
      <c r="AY210" s="54">
        <f t="shared" si="141"/>
        <v>0.1548581140202015</v>
      </c>
      <c r="AZ210" s="54" t="str">
        <f>_xll.Dce_Name_SectI(AE210,AF210,AI210,AH210,AJ210,"x","-",$O$11)</f>
        <v>(528-1528)x300x10x14</v>
      </c>
      <c r="BA210" s="15">
        <f t="shared" si="142"/>
        <v>700.97619047619071</v>
      </c>
      <c r="BB210" s="54"/>
      <c r="BC210" s="54"/>
      <c r="BD210" s="22" t="s">
        <v>504</v>
      </c>
      <c r="BE210" s="23">
        <v>-58.304473455278668</v>
      </c>
      <c r="BF210" s="23">
        <v>-59.928103421456001</v>
      </c>
      <c r="BG210" s="23">
        <v>-1.5141910379612511E-3</v>
      </c>
      <c r="BH210" s="23">
        <v>7.4758496578312749E-5</v>
      </c>
      <c r="BI210" s="23">
        <v>5.5306725226077448E-3</v>
      </c>
      <c r="BJ210" s="23">
        <v>251.53334459096766</v>
      </c>
      <c r="BK210" s="23">
        <v>218.33929857603573</v>
      </c>
      <c r="BL210" s="92">
        <v>2.25</v>
      </c>
      <c r="BM210" s="91">
        <v>2</v>
      </c>
      <c r="BN210" s="5">
        <f t="shared" si="143"/>
        <v>19.473749999999999</v>
      </c>
      <c r="BO210" s="54">
        <f>_xll.Bimoment(BH210,AY210,AC210,AD210,$O$101)</f>
        <v>-5.7494267945631613E-4</v>
      </c>
      <c r="BP210" s="5">
        <f t="shared" si="144"/>
        <v>0.45620689655172403</v>
      </c>
      <c r="BQ210" s="5">
        <f t="shared" si="145"/>
        <v>17.996669013928098</v>
      </c>
      <c r="BR210" s="24" t="str">
        <f t="shared" si="146"/>
        <v>Cal</v>
      </c>
      <c r="BS210" s="25">
        <f t="shared" si="147"/>
        <v>1.4488072931943005E-2</v>
      </c>
      <c r="BT210" s="25" t="str">
        <f t="shared" si="148"/>
        <v>CT.105</v>
      </c>
      <c r="BU210" s="25">
        <f t="shared" si="149"/>
        <v>1</v>
      </c>
      <c r="BV210" s="25" cm="1">
        <f t="array" ref="BV210">IF(BT210="CT.104",_xll.TCVN5575AnnexEHeSoCx(1,BP210),1)</f>
        <v>1</v>
      </c>
      <c r="BW210" s="25">
        <f t="shared" si="150"/>
        <v>1</v>
      </c>
      <c r="BX210" s="25">
        <f t="shared" si="151"/>
        <v>1.5250603086255796E-2</v>
      </c>
      <c r="BY210" s="25">
        <f t="shared" si="152"/>
        <v>0.22111739149288651</v>
      </c>
      <c r="BZ210" s="25">
        <f t="shared" si="153"/>
        <v>6.0569579183093957E-5</v>
      </c>
      <c r="CA210" s="25">
        <f t="shared" si="154"/>
        <v>1.3490178694345243E-5</v>
      </c>
      <c r="CB210" s="25">
        <f t="shared" si="155"/>
        <v>0.23644205433701976</v>
      </c>
      <c r="CC210" s="5" t="str">
        <f t="shared" si="156"/>
        <v>OK</v>
      </c>
      <c r="CD210" s="5">
        <f t="shared" si="157"/>
        <v>51.836555160202302</v>
      </c>
      <c r="CE210" s="5">
        <f t="shared" si="158"/>
        <v>33.414125690541383</v>
      </c>
      <c r="CF210" s="5">
        <f t="shared" si="159"/>
        <v>1.7266865002204341</v>
      </c>
      <c r="CG210" s="5">
        <f t="shared" si="160"/>
        <v>1.1130315193248546</v>
      </c>
      <c r="CH210" s="5">
        <f t="shared" si="161"/>
        <v>14.498927697630705</v>
      </c>
      <c r="CI210" s="68">
        <f>_xll.DCETCVN5575PhuLucD2Eta(BP210,CH210,CF210)</f>
        <v>1.2412413793103447</v>
      </c>
      <c r="CJ210" s="5">
        <f t="shared" si="162"/>
        <v>17.996669013928098</v>
      </c>
      <c r="CK210" s="5">
        <f>MIN(noisuy2chieu(CJ210,CF210,Data!$DA$2:$EB$24),1)</f>
        <v>7.665320485830307E-2</v>
      </c>
      <c r="CL210" s="102">
        <f t="shared" si="163"/>
        <v>0.19895584423961438</v>
      </c>
      <c r="CM210" s="5" t="str">
        <f t="shared" si="164"/>
        <v>OK</v>
      </c>
      <c r="CN210" s="5">
        <f t="shared" si="165"/>
        <v>0.88472625978979058</v>
      </c>
      <c r="CO210" s="5">
        <f t="shared" si="166"/>
        <v>0.5370345235716667</v>
      </c>
      <c r="CP210" s="25">
        <f>_xll.DCETCVNPhuLucFHeSoOnDinh(1, 0.2, AG210, AH210, AI210, AJ210, AI210, AJ210, $D$28)</f>
        <v>1</v>
      </c>
      <c r="CQ210" s="68">
        <f t="shared" si="167"/>
        <v>0.9</v>
      </c>
      <c r="CR210" s="68">
        <f t="shared" si="168"/>
        <v>1</v>
      </c>
      <c r="CS210" s="5">
        <f t="shared" si="169"/>
        <v>0.18181818181818182</v>
      </c>
      <c r="CT210" s="5">
        <f t="shared" si="170"/>
        <v>0.10155106457844131</v>
      </c>
      <c r="CU210" s="26">
        <f t="shared" si="171"/>
        <v>12.585550869023916</v>
      </c>
      <c r="CV210" s="5"/>
      <c r="CW210" s="25"/>
      <c r="CX210" s="72">
        <f>MAX(_xll.Dce_c_925(CU210, CQ210, CR210, CN210, CP210, CS210, CT210),0.3)</f>
        <v>0.3</v>
      </c>
      <c r="CY210" s="102">
        <f t="shared" si="172"/>
        <v>5.7458838887557206E-2</v>
      </c>
      <c r="CZ210" s="5" t="str">
        <f t="shared" si="173"/>
        <v>OK</v>
      </c>
      <c r="DA210" s="47">
        <f t="shared" si="174"/>
        <v>0.34499859601035404</v>
      </c>
      <c r="DB210" s="46">
        <f t="shared" si="175"/>
        <v>0.47130315193248545</v>
      </c>
      <c r="DC210" s="5" t="str">
        <f t="shared" si="176"/>
        <v>OK</v>
      </c>
      <c r="DD210" s="5">
        <f t="shared" si="177"/>
        <v>1.7266865002204341</v>
      </c>
      <c r="DE210" s="5">
        <f t="shared" si="178"/>
        <v>3.0666541867587034</v>
      </c>
      <c r="DF210" s="5" t="str">
        <f t="shared" si="179"/>
        <v>-</v>
      </c>
      <c r="DG210" s="5" t="str">
        <f t="shared" si="180"/>
        <v>-</v>
      </c>
      <c r="DH210" s="203">
        <f t="shared" si="181"/>
        <v>51.836555160202302</v>
      </c>
      <c r="DI210" s="203">
        <f t="shared" si="182"/>
        <v>180</v>
      </c>
      <c r="DJ210" s="46">
        <f t="shared" si="183"/>
        <v>0.28798086200112388</v>
      </c>
      <c r="DK210" s="5" t="str">
        <f t="shared" si="184"/>
        <v>OK</v>
      </c>
      <c r="EB210" s="18"/>
      <c r="EC210" s="77"/>
      <c r="ED210" s="77"/>
      <c r="EE210" s="18"/>
      <c r="EF210" s="18"/>
      <c r="EG210" s="18"/>
      <c r="EH210" s="5"/>
      <c r="EI210" s="5"/>
      <c r="EJ210" s="5"/>
      <c r="EK210" s="5"/>
      <c r="EL210" s="5"/>
      <c r="FE210" s="26"/>
      <c r="FF210" s="26"/>
      <c r="FG210" s="26"/>
      <c r="FH210" s="26"/>
      <c r="FI210" s="26"/>
      <c r="FJ210" s="26"/>
      <c r="FK210" s="26"/>
      <c r="FL210" s="26"/>
      <c r="FM210" s="26"/>
      <c r="FN210" s="205"/>
      <c r="FO210" s="205"/>
      <c r="FP210" s="205"/>
      <c r="FQ210" s="205"/>
      <c r="FR210" s="205"/>
      <c r="FS210" s="205"/>
      <c r="FT210" s="205"/>
      <c r="FU210" s="77"/>
      <c r="FV210" s="77"/>
      <c r="FW210" s="77"/>
      <c r="FX210" s="205"/>
      <c r="FY210" s="205"/>
      <c r="FZ210" s="205"/>
      <c r="GA210" s="205"/>
      <c r="GB210" s="205"/>
      <c r="GC210" s="205"/>
      <c r="GD210" s="205"/>
      <c r="GE210" s="205"/>
      <c r="GF210" s="205"/>
      <c r="GG210" s="205"/>
      <c r="GH210" s="205"/>
      <c r="GI210" s="205"/>
      <c r="GJ210" s="205"/>
      <c r="GK210" s="205"/>
      <c r="GL210" s="205"/>
      <c r="GM210" s="205"/>
      <c r="GN210" s="205"/>
      <c r="GO210" s="205"/>
      <c r="GP210" s="205"/>
      <c r="GQ210" s="205"/>
      <c r="GR210" s="205"/>
      <c r="GS210" s="205"/>
      <c r="GT210" s="205"/>
      <c r="GU210" s="205"/>
      <c r="GV210" s="18"/>
      <c r="GW210" s="5"/>
      <c r="GX210" s="5"/>
      <c r="GY210" s="77"/>
      <c r="GZ210" s="18"/>
      <c r="HA210" s="18"/>
      <c r="HB210" s="18"/>
      <c r="HC210" s="18"/>
      <c r="HD210" s="18"/>
      <c r="HE210" s="18"/>
      <c r="HF210" s="18"/>
      <c r="HG210" s="18"/>
      <c r="HH210" s="205"/>
      <c r="HI210" s="26"/>
      <c r="HJ210" s="26"/>
      <c r="HK210" s="5"/>
    </row>
    <row r="211" spans="27:219">
      <c r="AA211" s="18" t="s">
        <v>488</v>
      </c>
      <c r="AB211" s="22" t="s">
        <v>491</v>
      </c>
      <c r="AC211" s="59">
        <v>7.2811904761904795</v>
      </c>
      <c r="AD211" s="59">
        <v>8.6549999999999994</v>
      </c>
      <c r="AE211" s="22">
        <v>528</v>
      </c>
      <c r="AF211" s="22">
        <v>1528</v>
      </c>
      <c r="AG211" s="22">
        <v>1369.2698412698419</v>
      </c>
      <c r="AH211" s="6">
        <v>10</v>
      </c>
      <c r="AI211" s="6">
        <v>300</v>
      </c>
      <c r="AJ211" s="6">
        <v>14</v>
      </c>
      <c r="AK211" s="24">
        <v>300</v>
      </c>
      <c r="AL211" s="24">
        <v>14</v>
      </c>
      <c r="AM211" s="5">
        <f t="shared" si="129"/>
        <v>1341.2698412698419</v>
      </c>
      <c r="AN211" s="26">
        <f t="shared" si="130"/>
        <v>218.12698412698418</v>
      </c>
      <c r="AO211" s="26">
        <f t="shared" si="131"/>
        <v>586811.79072745051</v>
      </c>
      <c r="AP211" s="15">
        <f t="shared" si="132"/>
        <v>6311.1772486772488</v>
      </c>
      <c r="AQ211" s="5">
        <f t="shared" si="133"/>
        <v>8571.1635945074104</v>
      </c>
      <c r="AR211" s="26">
        <f t="shared" si="134"/>
        <v>420.74514991181661</v>
      </c>
      <c r="AS211" s="26">
        <f t="shared" si="135"/>
        <v>5094.8226505417015</v>
      </c>
      <c r="AT211" s="26">
        <f t="shared" si="136"/>
        <v>51.867428670398397</v>
      </c>
      <c r="AU211" s="26">
        <f t="shared" si="137"/>
        <v>5.3789869588463937</v>
      </c>
      <c r="AV211" s="95">
        <f t="shared" si="138"/>
        <v>1.0005566137566139E-6</v>
      </c>
      <c r="AW211" s="95">
        <f t="shared" si="139"/>
        <v>28928912.396825422</v>
      </c>
      <c r="AX211" s="95">
        <f t="shared" si="140"/>
        <v>2.8928912396825422E-5</v>
      </c>
      <c r="AY211" s="54">
        <f t="shared" si="141"/>
        <v>0.11516876660535029</v>
      </c>
      <c r="AZ211" s="54" t="str">
        <f>_xll.Dce_Name_SectI(AE211,AF211,AI211,AH211,AJ211,"x","-",$O$11)</f>
        <v>(528-1528)x300x10x14</v>
      </c>
      <c r="BA211" s="15">
        <f t="shared" si="142"/>
        <v>1016.4523809523813</v>
      </c>
      <c r="BB211" s="54"/>
      <c r="BC211" s="54"/>
      <c r="BD211" s="22" t="s">
        <v>504</v>
      </c>
      <c r="BE211" s="23">
        <v>-50.569693268220448</v>
      </c>
      <c r="BF211" s="23">
        <v>-41.562096851830546</v>
      </c>
      <c r="BG211" s="23">
        <v>-1.5141910379601238E-3</v>
      </c>
      <c r="BH211" s="23">
        <v>7.4758496578312749E-5</v>
      </c>
      <c r="BI211" s="23">
        <v>1.1056211372576581E-2</v>
      </c>
      <c r="BJ211" s="23">
        <v>436.67859715207146</v>
      </c>
      <c r="BK211" s="23">
        <v>218.33929857603573</v>
      </c>
      <c r="BL211" s="92">
        <v>2.25</v>
      </c>
      <c r="BM211" s="91">
        <v>2</v>
      </c>
      <c r="BN211" s="5">
        <f t="shared" si="143"/>
        <v>19.473749999999999</v>
      </c>
      <c r="BO211" s="54">
        <f>_xll.Bimoment(BH211,AY211,AC211,AD211,$O$101)</f>
        <v>-3.4199548253164577E-4</v>
      </c>
      <c r="BP211" s="5">
        <f t="shared" si="144"/>
        <v>0.31313609467455605</v>
      </c>
      <c r="BQ211" s="5">
        <f t="shared" si="145"/>
        <v>26.648238688519747</v>
      </c>
      <c r="BR211" s="24" t="str">
        <f t="shared" si="146"/>
        <v>Cal</v>
      </c>
      <c r="BS211" s="25">
        <f t="shared" si="147"/>
        <v>1.014282615853097E-2</v>
      </c>
      <c r="BT211" s="25" t="str">
        <f t="shared" si="148"/>
        <v>CT.105</v>
      </c>
      <c r="BU211" s="25">
        <f t="shared" si="149"/>
        <v>1</v>
      </c>
      <c r="BV211" s="25" cm="1">
        <f t="array" ref="BV211">IF(BT211="CT.104",_xll.TCVN5575AnnexEHeSoCx(1,BP211),1)</f>
        <v>1</v>
      </c>
      <c r="BW211" s="25">
        <f t="shared" si="150"/>
        <v>1</v>
      </c>
      <c r="BX211" s="25">
        <f t="shared" si="151"/>
        <v>1.0676659114243127E-2</v>
      </c>
      <c r="BY211" s="25">
        <f t="shared" si="152"/>
        <v>0.23462623634838775</v>
      </c>
      <c r="BZ211" s="25">
        <f t="shared" si="153"/>
        <v>1.2101568588656413E-4</v>
      </c>
      <c r="CA211" s="25">
        <f t="shared" si="154"/>
        <v>5.5338801944300458E-6</v>
      </c>
      <c r="CB211" s="25">
        <f t="shared" si="155"/>
        <v>0.24542944502871186</v>
      </c>
      <c r="CC211" s="5" t="str">
        <f t="shared" si="156"/>
        <v>OK</v>
      </c>
      <c r="CD211" s="5">
        <f t="shared" si="157"/>
        <v>37.545238889226049</v>
      </c>
      <c r="CE211" s="5">
        <f t="shared" si="158"/>
        <v>37.181722419139881</v>
      </c>
      <c r="CF211" s="5">
        <f t="shared" si="159"/>
        <v>1.2506397644909562</v>
      </c>
      <c r="CG211" s="5">
        <f t="shared" si="160"/>
        <v>1.2385309547993069</v>
      </c>
      <c r="CH211" s="5">
        <f t="shared" si="161"/>
        <v>21.975623070646343</v>
      </c>
      <c r="CI211" s="68">
        <f>_xll.DCETCVN5575PhuLucD2Eta(BP211,CH211,CF211)</f>
        <v>1.2126272189349112</v>
      </c>
      <c r="CJ211" s="5">
        <f t="shared" si="162"/>
        <v>26.648238688519747</v>
      </c>
      <c r="CK211" s="5">
        <f>MIN(noisuy2chieu(CJ211,CF211,Data!$DA$2:$EB$24),1)</f>
        <v>7.1994885802268982E-2</v>
      </c>
      <c r="CL211" s="102">
        <f t="shared" si="163"/>
        <v>0.14829746578897474</v>
      </c>
      <c r="CM211" s="5" t="str">
        <f t="shared" si="164"/>
        <v>OK</v>
      </c>
      <c r="CN211" s="5">
        <f t="shared" si="165"/>
        <v>0.86643683692746631</v>
      </c>
      <c r="CO211" s="5">
        <f t="shared" si="166"/>
        <v>0.5370345235716667</v>
      </c>
      <c r="CP211" s="25">
        <f>_xll.DCETCVNPhuLucFHeSoOnDinh(1, 0.2, AG211, AH211, AI211, AJ211, AI211, AJ211, $D$28)</f>
        <v>1</v>
      </c>
      <c r="CQ211" s="68">
        <f t="shared" si="167"/>
        <v>0.9</v>
      </c>
      <c r="CR211" s="68">
        <f t="shared" si="168"/>
        <v>1</v>
      </c>
      <c r="CS211" s="5">
        <f t="shared" si="169"/>
        <v>0.18181818181818182</v>
      </c>
      <c r="CT211" s="5">
        <f t="shared" si="170"/>
        <v>0.10347287704587492</v>
      </c>
      <c r="CU211" s="26">
        <f t="shared" si="171"/>
        <v>10.987811535323171</v>
      </c>
      <c r="CV211" s="5"/>
      <c r="CW211" s="25"/>
      <c r="CX211" s="72">
        <f>MAX(_xll.Dce_c_925(CU211, CQ211, CR211, CN211, CP211, CS211, CT211),0.3)</f>
        <v>0.3</v>
      </c>
      <c r="CY211" s="102">
        <f t="shared" si="172"/>
        <v>4.1074966111030065E-2</v>
      </c>
      <c r="CZ211" s="5" t="str">
        <f t="shared" si="173"/>
        <v>OK</v>
      </c>
      <c r="DA211" s="47">
        <f t="shared" si="174"/>
        <v>0.34499859601035404</v>
      </c>
      <c r="DB211" s="46">
        <f t="shared" si="175"/>
        <v>0.48385309547993066</v>
      </c>
      <c r="DC211" s="5" t="str">
        <f t="shared" si="176"/>
        <v>OK</v>
      </c>
      <c r="DD211" s="5">
        <f t="shared" si="177"/>
        <v>1.2506397644909562</v>
      </c>
      <c r="DE211" s="5">
        <f t="shared" si="178"/>
        <v>4.4677979100191463</v>
      </c>
      <c r="DF211" s="5" t="str">
        <f t="shared" si="179"/>
        <v>-</v>
      </c>
      <c r="DG211" s="5" t="str">
        <f t="shared" si="180"/>
        <v>-</v>
      </c>
      <c r="DH211" s="203">
        <f t="shared" si="181"/>
        <v>37.545238889226049</v>
      </c>
      <c r="DI211" s="203">
        <f t="shared" si="182"/>
        <v>180</v>
      </c>
      <c r="DJ211" s="46">
        <f t="shared" si="183"/>
        <v>0.20858466049570026</v>
      </c>
      <c r="DK211" s="5" t="str">
        <f t="shared" si="184"/>
        <v>OK</v>
      </c>
      <c r="EB211" s="18"/>
      <c r="EC211" s="77"/>
      <c r="ED211" s="77"/>
      <c r="EE211" s="18"/>
      <c r="EF211" s="18"/>
      <c r="EG211" s="18"/>
      <c r="EH211" s="5"/>
      <c r="EI211" s="5"/>
      <c r="EJ211" s="5"/>
      <c r="EK211" s="5"/>
      <c r="EL211" s="5"/>
      <c r="FE211" s="26"/>
      <c r="FF211" s="26"/>
      <c r="FG211" s="26"/>
      <c r="FH211" s="26"/>
      <c r="FI211" s="26"/>
      <c r="FJ211" s="26"/>
      <c r="FK211" s="26"/>
      <c r="FL211" s="26"/>
      <c r="FM211" s="26"/>
      <c r="FN211" s="205"/>
      <c r="FO211" s="205"/>
      <c r="FP211" s="205"/>
      <c r="FQ211" s="205"/>
      <c r="FR211" s="205"/>
      <c r="FS211" s="205"/>
      <c r="FT211" s="205"/>
      <c r="FU211" s="77"/>
      <c r="FV211" s="77"/>
      <c r="FW211" s="77"/>
      <c r="FX211" s="205"/>
      <c r="FY211" s="205"/>
      <c r="FZ211" s="205"/>
      <c r="GA211" s="205"/>
      <c r="GB211" s="205"/>
      <c r="GC211" s="205"/>
      <c r="GD211" s="205"/>
      <c r="GE211" s="205"/>
      <c r="GF211" s="205"/>
      <c r="GG211" s="205"/>
      <c r="GH211" s="205"/>
      <c r="GI211" s="205"/>
      <c r="GJ211" s="205"/>
      <c r="GK211" s="205"/>
      <c r="GL211" s="205"/>
      <c r="GM211" s="205"/>
      <c r="GN211" s="205"/>
      <c r="GO211" s="205"/>
      <c r="GP211" s="205"/>
      <c r="GQ211" s="205"/>
      <c r="GR211" s="205"/>
      <c r="GS211" s="205"/>
      <c r="GT211" s="205"/>
      <c r="GU211" s="205"/>
      <c r="GV211" s="18"/>
      <c r="GW211" s="5"/>
      <c r="GX211" s="5"/>
      <c r="GY211" s="77"/>
      <c r="GZ211" s="18"/>
      <c r="HA211" s="18"/>
      <c r="HB211" s="18"/>
      <c r="HC211" s="18"/>
      <c r="HD211" s="18"/>
      <c r="HE211" s="18"/>
      <c r="HF211" s="18"/>
      <c r="HG211" s="18"/>
      <c r="HH211" s="205"/>
      <c r="HI211" s="26"/>
      <c r="HJ211" s="26"/>
      <c r="HK211" s="5"/>
    </row>
    <row r="212" spans="27:219">
      <c r="AA212" s="18" t="s">
        <v>488</v>
      </c>
      <c r="AB212" s="22" t="s">
        <v>491</v>
      </c>
      <c r="AC212" s="59">
        <v>0</v>
      </c>
      <c r="AD212" s="59">
        <v>8.6549999999999994</v>
      </c>
      <c r="AE212" s="22">
        <v>528</v>
      </c>
      <c r="AF212" s="22">
        <v>1528</v>
      </c>
      <c r="AG212" s="22">
        <v>528</v>
      </c>
      <c r="AH212" s="6">
        <v>10</v>
      </c>
      <c r="AI212" s="6">
        <v>300</v>
      </c>
      <c r="AJ212" s="6">
        <v>14</v>
      </c>
      <c r="AK212" s="24">
        <v>300</v>
      </c>
      <c r="AL212" s="24">
        <v>14</v>
      </c>
      <c r="AM212" s="5">
        <f t="shared" si="129"/>
        <v>500</v>
      </c>
      <c r="AN212" s="26">
        <f t="shared" si="130"/>
        <v>134</v>
      </c>
      <c r="AO212" s="26">
        <f t="shared" si="131"/>
        <v>65911.546666666676</v>
      </c>
      <c r="AP212" s="15">
        <f t="shared" si="132"/>
        <v>6304.166666666667</v>
      </c>
      <c r="AQ212" s="5">
        <f t="shared" si="133"/>
        <v>2496.6494949494954</v>
      </c>
      <c r="AR212" s="26">
        <f t="shared" si="134"/>
        <v>420.27777777777777</v>
      </c>
      <c r="AS212" s="26">
        <f t="shared" si="135"/>
        <v>1391.9</v>
      </c>
      <c r="AT212" s="26">
        <f t="shared" si="136"/>
        <v>22.178305028345793</v>
      </c>
      <c r="AU212" s="26">
        <f t="shared" si="137"/>
        <v>6.8590101254115021</v>
      </c>
      <c r="AV212" s="95">
        <f t="shared" si="138"/>
        <v>7.201333333333334E-7</v>
      </c>
      <c r="AW212" s="95">
        <f t="shared" si="139"/>
        <v>4161087</v>
      </c>
      <c r="AX212" s="95">
        <f t="shared" si="140"/>
        <v>4.1610870000000001E-6</v>
      </c>
      <c r="AY212" s="54">
        <f t="shared" si="141"/>
        <v>0.25762202780669918</v>
      </c>
      <c r="AZ212" s="54" t="str">
        <f>_xll.Dce_Name_SectI(AE212,AF212,AI212,AH212,AJ212,"x","-",$O$11)</f>
        <v>(528-1528)x300x10x14</v>
      </c>
      <c r="BA212" s="15">
        <f t="shared" si="142"/>
        <v>385.5</v>
      </c>
      <c r="BB212" s="54"/>
      <c r="BC212" s="54"/>
      <c r="BD212" s="22" t="s">
        <v>505</v>
      </c>
      <c r="BE212" s="23">
        <v>-164.71290547743558</v>
      </c>
      <c r="BF212" s="23">
        <v>-162.71622653926499</v>
      </c>
      <c r="BG212" s="23">
        <v>-9.3013666958592504E-4</v>
      </c>
      <c r="BH212" s="23">
        <v>1.3907310094561369E-4</v>
      </c>
      <c r="BI212" s="23">
        <v>9.5501622545263091E-6</v>
      </c>
      <c r="BJ212" s="23">
        <v>-2.144612057209573</v>
      </c>
      <c r="BK212" s="23">
        <v>564.58428427946899</v>
      </c>
      <c r="BL212" s="92">
        <v>2.25</v>
      </c>
      <c r="BM212" s="91">
        <v>2</v>
      </c>
      <c r="BN212" s="5">
        <f t="shared" si="143"/>
        <v>19.473749999999999</v>
      </c>
      <c r="BO212" s="54">
        <f>_xll.Bimoment(BH212,AY212,AC212,AD212,$O$101)</f>
        <v>0</v>
      </c>
      <c r="BP212" s="5">
        <f t="shared" si="144"/>
        <v>0.84</v>
      </c>
      <c r="BQ212" s="5">
        <f t="shared" si="145"/>
        <v>0.10600058186238093</v>
      </c>
      <c r="BR212" s="24" t="str">
        <f t="shared" si="146"/>
        <v>Cal</v>
      </c>
      <c r="BS212" s="25">
        <f t="shared" si="147"/>
        <v>5.3777534437595573E-2</v>
      </c>
      <c r="BT212" s="25" t="str">
        <f t="shared" si="148"/>
        <v>CT.105</v>
      </c>
      <c r="BU212" s="25">
        <f t="shared" si="149"/>
        <v>1</v>
      </c>
      <c r="BV212" s="25" cm="1">
        <f t="array" ref="BV212">IF(BT212="CT.104",_xll.TCVN5575AnnexEHeSoCx(1,BP212),1)</f>
        <v>1</v>
      </c>
      <c r="BW212" s="25">
        <f t="shared" si="150"/>
        <v>1</v>
      </c>
      <c r="BX212" s="25">
        <f t="shared" si="151"/>
        <v>5.6607930986942716E-2</v>
      </c>
      <c r="BY212" s="25">
        <f t="shared" si="152"/>
        <v>3.9559028670317527E-3</v>
      </c>
      <c r="BZ212" s="25">
        <f t="shared" si="153"/>
        <v>1.0464748009099341E-7</v>
      </c>
      <c r="CA212" s="25">
        <f t="shared" si="154"/>
        <v>0</v>
      </c>
      <c r="CB212" s="25">
        <f t="shared" si="155"/>
        <v>6.0563938501454563E-2</v>
      </c>
      <c r="CC212" s="5" t="str">
        <f t="shared" si="156"/>
        <v>OK</v>
      </c>
      <c r="CD212" s="5">
        <f t="shared" si="157"/>
        <v>87.805402509844015</v>
      </c>
      <c r="CE212" s="5">
        <f t="shared" si="158"/>
        <v>29.158726455153193</v>
      </c>
      <c r="CF212" s="5">
        <f t="shared" si="159"/>
        <v>2.9248163326364334</v>
      </c>
      <c r="CG212" s="5">
        <f t="shared" si="160"/>
        <v>0.97128328026682387</v>
      </c>
      <c r="CH212" s="5">
        <f t="shared" si="161"/>
        <v>6.9882484628244562E-2</v>
      </c>
      <c r="CI212" s="68">
        <f>_xll.DCETCVN5575PhuLucD2Eta(BP212,CH212,CF212)</f>
        <v>1.5168404847977948</v>
      </c>
      <c r="CJ212" s="5">
        <f t="shared" si="162"/>
        <v>0.10600058186238093</v>
      </c>
      <c r="CK212" s="5">
        <f>MIN(noisuy2chieu(CJ212,CF212,Data!$DA$2:$EB$24),1)</f>
        <v>0.67547726631164551</v>
      </c>
      <c r="CL212" s="102">
        <f t="shared" si="163"/>
        <v>8.3804346660018431E-2</v>
      </c>
      <c r="CM212" s="5" t="str">
        <f t="shared" si="164"/>
        <v>OK</v>
      </c>
      <c r="CN212" s="5">
        <f t="shared" si="165"/>
        <v>0.90492218941026858</v>
      </c>
      <c r="CO212" s="5">
        <f t="shared" si="166"/>
        <v>0.5370345235716667</v>
      </c>
      <c r="CP212" s="25">
        <f>_xll.DCETCVNPhuLucFHeSoOnDinh(1, 0.2, AG212, AH212, AI212, AJ212, AI212, AJ212, $D$28)</f>
        <v>1</v>
      </c>
      <c r="CQ212" s="68">
        <f t="shared" si="167"/>
        <v>0.9</v>
      </c>
      <c r="CR212" s="68">
        <f t="shared" si="168"/>
        <v>1</v>
      </c>
      <c r="CS212" s="5">
        <f t="shared" si="169"/>
        <v>0.18181818181818182</v>
      </c>
      <c r="CT212" s="5">
        <f t="shared" si="170"/>
        <v>9.9510191986788829E-2</v>
      </c>
      <c r="CU212" s="26">
        <f t="shared" si="171"/>
        <v>18.397058076249042</v>
      </c>
      <c r="CV212" s="5"/>
      <c r="CW212" s="25"/>
      <c r="CX212" s="72">
        <f>MAX(_xll.Dce_c_925(CU212, CQ212, CR212, CN212, CP212, CS212, CT212),0.3)</f>
        <v>0.3</v>
      </c>
      <c r="CY212" s="102">
        <f t="shared" si="172"/>
        <v>0.20851859474545431</v>
      </c>
      <c r="CZ212" s="5" t="str">
        <f t="shared" si="173"/>
        <v>OK</v>
      </c>
      <c r="DA212" s="47">
        <f t="shared" si="174"/>
        <v>0.34499859601035404</v>
      </c>
      <c r="DB212" s="46">
        <f t="shared" si="175"/>
        <v>0.45712832802668235</v>
      </c>
      <c r="DC212" s="5" t="str">
        <f t="shared" si="176"/>
        <v>OK</v>
      </c>
      <c r="DD212" s="5">
        <f t="shared" si="177"/>
        <v>2.9248163326364334</v>
      </c>
      <c r="DE212" s="5">
        <f t="shared" si="178"/>
        <v>1.6655104634982609</v>
      </c>
      <c r="DF212" s="5" t="str">
        <f t="shared" si="179"/>
        <v>-</v>
      </c>
      <c r="DG212" s="5" t="str">
        <f t="shared" si="180"/>
        <v>-</v>
      </c>
      <c r="DH212" s="203" t="str">
        <f t="shared" si="181"/>
        <v>-</v>
      </c>
      <c r="DI212" s="203">
        <f t="shared" si="182"/>
        <v>180</v>
      </c>
      <c r="DJ212" s="46">
        <f t="shared" si="183"/>
        <v>0</v>
      </c>
      <c r="DK212" s="5" t="str">
        <f t="shared" si="184"/>
        <v>OK</v>
      </c>
      <c r="EB212" s="18"/>
      <c r="EC212" s="77"/>
      <c r="ED212" s="77"/>
      <c r="EE212" s="18"/>
      <c r="EF212" s="18"/>
      <c r="EG212" s="18"/>
      <c r="EH212" s="5"/>
      <c r="EI212" s="5"/>
      <c r="EJ212" s="5"/>
      <c r="EK212" s="5"/>
      <c r="EL212" s="5"/>
      <c r="FE212" s="26"/>
      <c r="FF212" s="26"/>
      <c r="FG212" s="26"/>
      <c r="FH212" s="26"/>
      <c r="FI212" s="26"/>
      <c r="FJ212" s="26"/>
      <c r="FK212" s="26"/>
      <c r="FL212" s="26"/>
      <c r="FM212" s="26"/>
      <c r="FN212" s="205"/>
      <c r="FO212" s="205"/>
      <c r="FP212" s="205"/>
      <c r="FQ212" s="205"/>
      <c r="FR212" s="205"/>
      <c r="FS212" s="205"/>
      <c r="FT212" s="205"/>
      <c r="FU212" s="77"/>
      <c r="FV212" s="77"/>
      <c r="FW212" s="77"/>
      <c r="FX212" s="205"/>
      <c r="FY212" s="205"/>
      <c r="FZ212" s="205"/>
      <c r="GA212" s="205"/>
      <c r="GB212" s="205"/>
      <c r="GC212" s="205"/>
      <c r="GD212" s="205"/>
      <c r="GE212" s="205"/>
      <c r="GF212" s="205"/>
      <c r="GG212" s="205"/>
      <c r="GH212" s="205"/>
      <c r="GI212" s="205"/>
      <c r="GJ212" s="205"/>
      <c r="GK212" s="205"/>
      <c r="GL212" s="205"/>
      <c r="GM212" s="205"/>
      <c r="GN212" s="205"/>
      <c r="GO212" s="205"/>
      <c r="GP212" s="205"/>
      <c r="GQ212" s="205"/>
      <c r="GR212" s="205"/>
      <c r="GS212" s="205"/>
      <c r="GT212" s="205"/>
      <c r="GU212" s="205"/>
      <c r="GV212" s="18"/>
      <c r="GW212" s="5"/>
      <c r="GX212" s="5"/>
      <c r="GY212" s="77"/>
      <c r="GZ212" s="18"/>
      <c r="HA212" s="18"/>
      <c r="HB212" s="18"/>
      <c r="HC212" s="18"/>
      <c r="HD212" s="18"/>
      <c r="HE212" s="18"/>
      <c r="HF212" s="18"/>
      <c r="HG212" s="18"/>
      <c r="HH212" s="205"/>
      <c r="HI212" s="26"/>
      <c r="HJ212" s="26"/>
      <c r="HK212" s="5"/>
    </row>
    <row r="213" spans="27:219">
      <c r="AA213" s="18" t="s">
        <v>488</v>
      </c>
      <c r="AB213" s="22" t="s">
        <v>491</v>
      </c>
      <c r="AC213" s="59">
        <v>3.6405952380952398</v>
      </c>
      <c r="AD213" s="59">
        <v>8.6549999999999994</v>
      </c>
      <c r="AE213" s="22">
        <v>528</v>
      </c>
      <c r="AF213" s="22">
        <v>1528</v>
      </c>
      <c r="AG213" s="22">
        <v>948.63492063492095</v>
      </c>
      <c r="AH213" s="6">
        <v>10</v>
      </c>
      <c r="AI213" s="6">
        <v>300</v>
      </c>
      <c r="AJ213" s="6">
        <v>14</v>
      </c>
      <c r="AK213" s="24">
        <v>300</v>
      </c>
      <c r="AL213" s="24">
        <v>14</v>
      </c>
      <c r="AM213" s="5">
        <f t="shared" si="129"/>
        <v>920.63492063492095</v>
      </c>
      <c r="AN213" s="26">
        <f t="shared" si="130"/>
        <v>176.06349206349208</v>
      </c>
      <c r="AO213" s="26">
        <f t="shared" si="131"/>
        <v>248482.7399356656</v>
      </c>
      <c r="AP213" s="15">
        <f t="shared" si="132"/>
        <v>6307.6719576719579</v>
      </c>
      <c r="AQ213" s="5">
        <f t="shared" si="133"/>
        <v>5238.7432621467533</v>
      </c>
      <c r="AR213" s="26">
        <f t="shared" si="134"/>
        <v>420.51146384479722</v>
      </c>
      <c r="AS213" s="26">
        <f t="shared" si="135"/>
        <v>3022.1941546989178</v>
      </c>
      <c r="AT213" s="26">
        <f t="shared" si="136"/>
        <v>37.567600585756203</v>
      </c>
      <c r="AU213" s="26">
        <f t="shared" si="137"/>
        <v>5.9854925384629922</v>
      </c>
      <c r="AV213" s="95">
        <f t="shared" si="138"/>
        <v>8.6034497354497351E-7</v>
      </c>
      <c r="AW213" s="95">
        <f t="shared" si="139"/>
        <v>13758293.349206358</v>
      </c>
      <c r="AX213" s="95">
        <f t="shared" si="140"/>
        <v>1.3758293349206359E-5</v>
      </c>
      <c r="AY213" s="54">
        <f t="shared" si="141"/>
        <v>0.1548581140202015</v>
      </c>
      <c r="AZ213" s="54" t="str">
        <f>_xll.Dce_Name_SectI(AE213,AF213,AI213,AH213,AJ213,"x","-",$O$11)</f>
        <v>(528-1528)x300x10x14</v>
      </c>
      <c r="BA213" s="15">
        <f t="shared" si="142"/>
        <v>700.97619047619071</v>
      </c>
      <c r="BB213" s="54"/>
      <c r="BC213" s="54"/>
      <c r="BD213" s="22" t="s">
        <v>505</v>
      </c>
      <c r="BE213" s="23">
        <v>-159.25760604086972</v>
      </c>
      <c r="BF213" s="23">
        <v>-154.99206188904753</v>
      </c>
      <c r="BG213" s="23">
        <v>-9.3013666958545091E-4</v>
      </c>
      <c r="BH213" s="23">
        <v>1.3907310094561369E-4</v>
      </c>
      <c r="BI213" s="23">
        <v>3.4037759730863142E-3</v>
      </c>
      <c r="BJ213" s="23">
        <v>577.50880235896432</v>
      </c>
      <c r="BK213" s="23">
        <v>564.58428427946899</v>
      </c>
      <c r="BL213" s="92">
        <v>2.25</v>
      </c>
      <c r="BM213" s="91">
        <v>2</v>
      </c>
      <c r="BN213" s="5">
        <f t="shared" si="143"/>
        <v>19.473749999999999</v>
      </c>
      <c r="BO213" s="54">
        <f>_xll.Bimoment(BH213,AY213,AC213,AD213,$O$101)</f>
        <v>-1.0695648649676804E-3</v>
      </c>
      <c r="BP213" s="5">
        <f t="shared" si="144"/>
        <v>0.45620689655172403</v>
      </c>
      <c r="BQ213" s="5">
        <f t="shared" si="145"/>
        <v>15.127141398260031</v>
      </c>
      <c r="BR213" s="24" t="str">
        <f t="shared" si="146"/>
        <v>Cal</v>
      </c>
      <c r="BS213" s="25">
        <f t="shared" si="147"/>
        <v>3.9573907018585208E-2</v>
      </c>
      <c r="BT213" s="25" t="str">
        <f t="shared" si="148"/>
        <v>CT.105</v>
      </c>
      <c r="BU213" s="25">
        <f t="shared" si="149"/>
        <v>1</v>
      </c>
      <c r="BV213" s="25" cm="1">
        <f t="array" ref="BV213">IF(BT213="CT.104",_xll.TCVN5575AnnexEHeSoCx(1,BP213),1)</f>
        <v>1</v>
      </c>
      <c r="BW213" s="25">
        <f t="shared" si="150"/>
        <v>1</v>
      </c>
      <c r="BX213" s="25">
        <f t="shared" si="151"/>
        <v>4.1656744230089693E-2</v>
      </c>
      <c r="BY213" s="25">
        <f t="shared" si="152"/>
        <v>0.50767519570596376</v>
      </c>
      <c r="BZ213" s="25">
        <f t="shared" si="153"/>
        <v>3.7276710468866457E-5</v>
      </c>
      <c r="CA213" s="25">
        <f t="shared" si="154"/>
        <v>2.5095755923445109E-5</v>
      </c>
      <c r="CB213" s="25">
        <f t="shared" si="155"/>
        <v>0.54939431240244574</v>
      </c>
      <c r="CC213" s="5" t="str">
        <f t="shared" si="156"/>
        <v>OK</v>
      </c>
      <c r="CD213" s="5">
        <f t="shared" si="157"/>
        <v>51.836555160202302</v>
      </c>
      <c r="CE213" s="5">
        <f t="shared" si="158"/>
        <v>33.414125690541383</v>
      </c>
      <c r="CF213" s="5">
        <f t="shared" si="159"/>
        <v>1.7266865002204341</v>
      </c>
      <c r="CG213" s="5">
        <f t="shared" si="160"/>
        <v>1.1130315193248546</v>
      </c>
      <c r="CH213" s="5">
        <f t="shared" si="161"/>
        <v>12.187106916033475</v>
      </c>
      <c r="CI213" s="68">
        <f>_xll.DCETCVN5575PhuLucD2Eta(BP213,CH213,CF213)</f>
        <v>1.2412413793103447</v>
      </c>
      <c r="CJ213" s="5">
        <f t="shared" si="162"/>
        <v>15.127141398260031</v>
      </c>
      <c r="CK213" s="5">
        <f>MIN(noisuy2chieu(CJ213,CF213,Data!$DA$2:$EB$24),1)</f>
        <v>9.0686678886413574E-2</v>
      </c>
      <c r="CL213" s="102">
        <f t="shared" si="163"/>
        <v>0.4593479962174532</v>
      </c>
      <c r="CM213" s="5" t="str">
        <f t="shared" si="164"/>
        <v>OK</v>
      </c>
      <c r="CN213" s="5">
        <f t="shared" si="165"/>
        <v>0.88472625978979058</v>
      </c>
      <c r="CO213" s="5">
        <f t="shared" si="166"/>
        <v>0.5370345235716667</v>
      </c>
      <c r="CP213" s="25">
        <f>_xll.DCETCVNPhuLucFHeSoOnDinh(1, 0.2, AG213, AH213, AI213, AJ213, AI213, AJ213, $D$28)</f>
        <v>1</v>
      </c>
      <c r="CQ213" s="68">
        <f t="shared" si="167"/>
        <v>0.9</v>
      </c>
      <c r="CR213" s="68">
        <f t="shared" si="168"/>
        <v>1</v>
      </c>
      <c r="CS213" s="5">
        <f t="shared" si="169"/>
        <v>0.18181818181818182</v>
      </c>
      <c r="CT213" s="5">
        <f t="shared" si="170"/>
        <v>0.10155106457844131</v>
      </c>
      <c r="CU213" s="26">
        <f t="shared" si="171"/>
        <v>11.9143621837807</v>
      </c>
      <c r="CV213" s="5"/>
      <c r="CW213" s="25"/>
      <c r="CX213" s="72">
        <f>MAX(_xll.Dce_c_925(CU213, CQ213, CR213, CN213, CP213, CS213, CT213),0.3)</f>
        <v>0.3</v>
      </c>
      <c r="CY213" s="102">
        <f t="shared" si="172"/>
        <v>0.15694777063957716</v>
      </c>
      <c r="CZ213" s="5" t="str">
        <f t="shared" si="173"/>
        <v>OK</v>
      </c>
      <c r="DA213" s="47">
        <f t="shared" si="174"/>
        <v>0.34499859601035404</v>
      </c>
      <c r="DB213" s="46">
        <f t="shared" si="175"/>
        <v>0.47130315193248545</v>
      </c>
      <c r="DC213" s="5" t="str">
        <f t="shared" si="176"/>
        <v>OK</v>
      </c>
      <c r="DD213" s="5">
        <f t="shared" si="177"/>
        <v>1.7266865002204341</v>
      </c>
      <c r="DE213" s="5">
        <f t="shared" si="178"/>
        <v>3.0666541867587034</v>
      </c>
      <c r="DF213" s="5" t="str">
        <f t="shared" si="179"/>
        <v>-</v>
      </c>
      <c r="DG213" s="5" t="str">
        <f t="shared" si="180"/>
        <v>-</v>
      </c>
      <c r="DH213" s="203">
        <f t="shared" si="181"/>
        <v>51.836555160202302</v>
      </c>
      <c r="DI213" s="203">
        <f t="shared" si="182"/>
        <v>180</v>
      </c>
      <c r="DJ213" s="46">
        <f t="shared" si="183"/>
        <v>0.28798086200112388</v>
      </c>
      <c r="DK213" s="5" t="str">
        <f t="shared" si="184"/>
        <v>OK</v>
      </c>
      <c r="EB213" s="18"/>
      <c r="EC213" s="77"/>
      <c r="ED213" s="77"/>
      <c r="EE213" s="18"/>
      <c r="EF213" s="18"/>
      <c r="EG213" s="18"/>
      <c r="EH213" s="5"/>
      <c r="EI213" s="5"/>
      <c r="EJ213" s="5"/>
      <c r="EK213" s="5"/>
      <c r="EL213" s="5"/>
      <c r="FE213" s="26"/>
      <c r="FF213" s="26"/>
      <c r="FG213" s="26"/>
      <c r="FH213" s="26"/>
      <c r="FI213" s="26"/>
      <c r="FJ213" s="26"/>
      <c r="FK213" s="26"/>
      <c r="FL213" s="26"/>
      <c r="FM213" s="26"/>
      <c r="FN213" s="205"/>
      <c r="FO213" s="205"/>
      <c r="FP213" s="205"/>
      <c r="FQ213" s="205"/>
      <c r="FR213" s="205"/>
      <c r="FS213" s="205"/>
      <c r="FT213" s="205"/>
      <c r="FU213" s="77"/>
      <c r="FV213" s="77"/>
      <c r="FW213" s="77"/>
      <c r="FX213" s="205"/>
      <c r="FY213" s="205"/>
      <c r="FZ213" s="205"/>
      <c r="GA213" s="205"/>
      <c r="GB213" s="205"/>
      <c r="GC213" s="205"/>
      <c r="GD213" s="205"/>
      <c r="GE213" s="205"/>
      <c r="GF213" s="205"/>
      <c r="GG213" s="205"/>
      <c r="GH213" s="205"/>
      <c r="GI213" s="205"/>
      <c r="GJ213" s="205"/>
      <c r="GK213" s="205"/>
      <c r="GL213" s="205"/>
      <c r="GM213" s="205"/>
      <c r="GN213" s="205"/>
      <c r="GO213" s="205"/>
      <c r="GP213" s="205"/>
      <c r="GQ213" s="205"/>
      <c r="GR213" s="205"/>
      <c r="GS213" s="205"/>
      <c r="GT213" s="205"/>
      <c r="GU213" s="205"/>
      <c r="GV213" s="18"/>
      <c r="GW213" s="5"/>
      <c r="GX213" s="5"/>
      <c r="GY213" s="77"/>
      <c r="GZ213" s="18"/>
      <c r="HA213" s="18"/>
      <c r="HB213" s="18"/>
      <c r="HC213" s="18"/>
      <c r="HD213" s="18"/>
      <c r="HE213" s="18"/>
      <c r="HF213" s="18"/>
      <c r="HG213" s="18"/>
      <c r="HH213" s="205"/>
      <c r="HI213" s="26"/>
      <c r="HJ213" s="26"/>
      <c r="HK213" s="5"/>
    </row>
    <row r="214" spans="27:219">
      <c r="AA214" s="18" t="s">
        <v>488</v>
      </c>
      <c r="AB214" s="22" t="s">
        <v>491</v>
      </c>
      <c r="AC214" s="59">
        <v>7.2811904761904795</v>
      </c>
      <c r="AD214" s="59">
        <v>8.6549999999999994</v>
      </c>
      <c r="AE214" s="22">
        <v>528</v>
      </c>
      <c r="AF214" s="22">
        <v>1528</v>
      </c>
      <c r="AG214" s="22">
        <v>1369.2698412698419</v>
      </c>
      <c r="AH214" s="6">
        <v>10</v>
      </c>
      <c r="AI214" s="6">
        <v>300</v>
      </c>
      <c r="AJ214" s="6">
        <v>14</v>
      </c>
      <c r="AK214" s="24">
        <v>300</v>
      </c>
      <c r="AL214" s="24">
        <v>14</v>
      </c>
      <c r="AM214" s="5">
        <f t="shared" si="129"/>
        <v>1341.2698412698419</v>
      </c>
      <c r="AN214" s="26">
        <f t="shared" si="130"/>
        <v>218.12698412698418</v>
      </c>
      <c r="AO214" s="26">
        <f t="shared" si="131"/>
        <v>586811.79072745051</v>
      </c>
      <c r="AP214" s="15">
        <f t="shared" si="132"/>
        <v>6311.1772486772488</v>
      </c>
      <c r="AQ214" s="5">
        <f t="shared" si="133"/>
        <v>8571.1635945074104</v>
      </c>
      <c r="AR214" s="26">
        <f t="shared" si="134"/>
        <v>420.74514991181661</v>
      </c>
      <c r="AS214" s="26">
        <f t="shared" si="135"/>
        <v>5094.8226505417015</v>
      </c>
      <c r="AT214" s="26">
        <f t="shared" si="136"/>
        <v>51.867428670398397</v>
      </c>
      <c r="AU214" s="26">
        <f t="shared" si="137"/>
        <v>5.3789869588463937</v>
      </c>
      <c r="AV214" s="95">
        <f t="shared" si="138"/>
        <v>1.0005566137566139E-6</v>
      </c>
      <c r="AW214" s="95">
        <f t="shared" si="139"/>
        <v>28928912.396825422</v>
      </c>
      <c r="AX214" s="95">
        <f t="shared" si="140"/>
        <v>2.8928912396825422E-5</v>
      </c>
      <c r="AY214" s="54">
        <f t="shared" si="141"/>
        <v>0.11516876660535029</v>
      </c>
      <c r="AZ214" s="54" t="str">
        <f>_xll.Dce_Name_SectI(AE214,AF214,AI214,AH214,AJ214,"x","-",$O$11)</f>
        <v>(528-1528)x300x10x14</v>
      </c>
      <c r="BA214" s="15">
        <f t="shared" si="142"/>
        <v>1016.4523809523813</v>
      </c>
      <c r="BB214" s="54"/>
      <c r="BC214" s="54"/>
      <c r="BD214" s="22" t="s">
        <v>505</v>
      </c>
      <c r="BE214" s="23">
        <v>-152.26087085381147</v>
      </c>
      <c r="BF214" s="23">
        <v>-147.3737477694221</v>
      </c>
      <c r="BG214" s="23">
        <v>-9.3013666958498341E-4</v>
      </c>
      <c r="BH214" s="23">
        <v>1.3907310094561369E-4</v>
      </c>
      <c r="BI214" s="23">
        <v>6.7980017839163829E-3</v>
      </c>
      <c r="BJ214" s="23">
        <v>1129.168568558938</v>
      </c>
      <c r="BK214" s="23">
        <v>564.58428427946899</v>
      </c>
      <c r="BL214" s="92">
        <v>2.25</v>
      </c>
      <c r="BM214" s="91">
        <v>2</v>
      </c>
      <c r="BN214" s="5">
        <f t="shared" si="143"/>
        <v>19.473749999999999</v>
      </c>
      <c r="BO214" s="54">
        <f>_xll.Bimoment(BH214,AY214,AC214,AD214,$O$101)</f>
        <v>-6.3621360035302202E-4</v>
      </c>
      <c r="BP214" s="5">
        <f t="shared" si="144"/>
        <v>0.31313609467455605</v>
      </c>
      <c r="BQ214" s="5">
        <f t="shared" si="145"/>
        <v>22.885868273709438</v>
      </c>
      <c r="BR214" s="24" t="str">
        <f t="shared" si="146"/>
        <v>Cal</v>
      </c>
      <c r="BS214" s="25">
        <f t="shared" si="147"/>
        <v>3.0539151891341713E-2</v>
      </c>
      <c r="BT214" s="25" t="str">
        <f t="shared" si="148"/>
        <v>CT.105</v>
      </c>
      <c r="BU214" s="25">
        <f t="shared" si="149"/>
        <v>1</v>
      </c>
      <c r="BV214" s="25" cm="1">
        <f t="array" ref="BV214">IF(BT214="CT.104",_xll.TCVN5575AnnexEHeSoCx(1,BP214),1)</f>
        <v>1</v>
      </c>
      <c r="BW214" s="25">
        <f t="shared" si="150"/>
        <v>1</v>
      </c>
      <c r="BX214" s="25">
        <f t="shared" si="151"/>
        <v>3.2146475675096542E-2</v>
      </c>
      <c r="BY214" s="25">
        <f t="shared" si="152"/>
        <v>0.60669923639884382</v>
      </c>
      <c r="BZ214" s="25">
        <f t="shared" si="153"/>
        <v>7.4407481986029614E-5</v>
      </c>
      <c r="CA214" s="25">
        <f t="shared" si="154"/>
        <v>1.0294667684959372E-5</v>
      </c>
      <c r="CB214" s="25">
        <f t="shared" si="155"/>
        <v>0.63893041422361141</v>
      </c>
      <c r="CC214" s="5" t="str">
        <f t="shared" si="156"/>
        <v>OK</v>
      </c>
      <c r="CD214" s="5">
        <f t="shared" si="157"/>
        <v>37.545238889226049</v>
      </c>
      <c r="CE214" s="5">
        <f t="shared" si="158"/>
        <v>37.181722419139881</v>
      </c>
      <c r="CF214" s="5">
        <f t="shared" si="159"/>
        <v>1.2506397644909562</v>
      </c>
      <c r="CG214" s="5">
        <f t="shared" si="160"/>
        <v>1.2385309547993069</v>
      </c>
      <c r="CH214" s="5">
        <f t="shared" si="161"/>
        <v>18.872962701439953</v>
      </c>
      <c r="CI214" s="68">
        <f>_xll.DCETCVN5575PhuLucD2Eta(BP214,CH214,CF214)</f>
        <v>1.2126272189349112</v>
      </c>
      <c r="CJ214" s="5">
        <f t="shared" si="162"/>
        <v>22.885868273709438</v>
      </c>
      <c r="CK214" s="5">
        <f>MIN(noisuy2chieu(CJ214,CF214,Data!$DA$2:$EB$24),1)</f>
        <v>7.1994885802268982E-2</v>
      </c>
      <c r="CL214" s="102">
        <f t="shared" si="163"/>
        <v>0.4465105446987655</v>
      </c>
      <c r="CM214" s="5" t="str">
        <f t="shared" si="164"/>
        <v>OK</v>
      </c>
      <c r="CN214" s="5">
        <f t="shared" si="165"/>
        <v>0.86643683692746631</v>
      </c>
      <c r="CO214" s="5">
        <f t="shared" si="166"/>
        <v>0.5370345235716667</v>
      </c>
      <c r="CP214" s="25">
        <f>_xll.DCETCVNPhuLucFHeSoOnDinh(1, 0.2, AG214, AH214, AI214, AJ214, AI214, AJ214, $D$28)</f>
        <v>1</v>
      </c>
      <c r="CQ214" s="68">
        <f t="shared" si="167"/>
        <v>0.9</v>
      </c>
      <c r="CR214" s="68">
        <f t="shared" si="168"/>
        <v>1</v>
      </c>
      <c r="CS214" s="5">
        <f t="shared" si="169"/>
        <v>0.18181818181818182</v>
      </c>
      <c r="CT214" s="5">
        <f t="shared" si="170"/>
        <v>0.10347287704587492</v>
      </c>
      <c r="CU214" s="26">
        <f t="shared" si="171"/>
        <v>9.4364813507199763</v>
      </c>
      <c r="CV214" s="5"/>
      <c r="CW214" s="25"/>
      <c r="CX214" s="72">
        <f>MAX(_xll.Dce_c_925(CU214, CQ214, CR214, CN214, CP214, CS214, CT214),0.3)</f>
        <v>0.3</v>
      </c>
      <c r="CY214" s="102">
        <f t="shared" si="172"/>
        <v>0.1236730876967076</v>
      </c>
      <c r="CZ214" s="5" t="str">
        <f t="shared" si="173"/>
        <v>OK</v>
      </c>
      <c r="DA214" s="47">
        <f t="shared" si="174"/>
        <v>0.34499859601035404</v>
      </c>
      <c r="DB214" s="46">
        <f t="shared" si="175"/>
        <v>0.48385309547993066</v>
      </c>
      <c r="DC214" s="5" t="str">
        <f t="shared" si="176"/>
        <v>OK</v>
      </c>
      <c r="DD214" s="5">
        <f t="shared" si="177"/>
        <v>1.2506397644909562</v>
      </c>
      <c r="DE214" s="5">
        <f t="shared" si="178"/>
        <v>4.4677979100191463</v>
      </c>
      <c r="DF214" s="5" t="str">
        <f t="shared" si="179"/>
        <v>-</v>
      </c>
      <c r="DG214" s="5" t="str">
        <f t="shared" si="180"/>
        <v>-</v>
      </c>
      <c r="DH214" s="203">
        <f t="shared" si="181"/>
        <v>37.545238889226049</v>
      </c>
      <c r="DI214" s="203">
        <f t="shared" si="182"/>
        <v>180</v>
      </c>
      <c r="DJ214" s="46">
        <f t="shared" si="183"/>
        <v>0.20858466049570026</v>
      </c>
      <c r="DK214" s="5" t="str">
        <f t="shared" si="184"/>
        <v>OK</v>
      </c>
      <c r="EB214" s="18"/>
      <c r="EC214" s="77"/>
      <c r="ED214" s="77"/>
      <c r="EE214" s="18"/>
      <c r="EF214" s="18"/>
      <c r="EG214" s="18"/>
      <c r="EH214" s="5"/>
      <c r="EI214" s="5"/>
      <c r="EJ214" s="5"/>
      <c r="EK214" s="5"/>
      <c r="EL214" s="5"/>
      <c r="FE214" s="26"/>
      <c r="FF214" s="26"/>
      <c r="FG214" s="26"/>
      <c r="FH214" s="26"/>
      <c r="FI214" s="26"/>
      <c r="FJ214" s="26"/>
      <c r="FK214" s="26"/>
      <c r="FL214" s="26"/>
      <c r="FM214" s="26"/>
      <c r="FN214" s="205"/>
      <c r="FO214" s="205"/>
      <c r="FP214" s="205"/>
      <c r="FQ214" s="205"/>
      <c r="FR214" s="205"/>
      <c r="FS214" s="205"/>
      <c r="FT214" s="205"/>
      <c r="FU214" s="77"/>
      <c r="FV214" s="77"/>
      <c r="FW214" s="77"/>
      <c r="FX214" s="205"/>
      <c r="FY214" s="205"/>
      <c r="FZ214" s="205"/>
      <c r="GA214" s="205"/>
      <c r="GB214" s="205"/>
      <c r="GC214" s="205"/>
      <c r="GD214" s="205"/>
      <c r="GE214" s="205"/>
      <c r="GF214" s="205"/>
      <c r="GG214" s="205"/>
      <c r="GH214" s="205"/>
      <c r="GI214" s="205"/>
      <c r="GJ214" s="205"/>
      <c r="GK214" s="205"/>
      <c r="GL214" s="205"/>
      <c r="GM214" s="205"/>
      <c r="GN214" s="205"/>
      <c r="GO214" s="205"/>
      <c r="GP214" s="205"/>
      <c r="GQ214" s="205"/>
      <c r="GR214" s="205"/>
      <c r="GS214" s="205"/>
      <c r="GT214" s="205"/>
      <c r="GU214" s="205"/>
      <c r="GV214" s="18"/>
      <c r="GW214" s="5"/>
      <c r="GX214" s="5"/>
      <c r="GY214" s="77"/>
      <c r="GZ214" s="18"/>
      <c r="HA214" s="18"/>
      <c r="HB214" s="18"/>
      <c r="HC214" s="18"/>
      <c r="HD214" s="18"/>
      <c r="HE214" s="18"/>
      <c r="HF214" s="18"/>
      <c r="HG214" s="18"/>
      <c r="HH214" s="205"/>
      <c r="HI214" s="26"/>
      <c r="HJ214" s="26"/>
      <c r="HK214" s="5"/>
    </row>
    <row r="215" spans="27:219">
      <c r="AA215" s="18" t="s">
        <v>488</v>
      </c>
      <c r="AB215" s="22" t="s">
        <v>491</v>
      </c>
      <c r="AC215" s="59">
        <v>0</v>
      </c>
      <c r="AD215" s="59">
        <v>8.6549999999999994</v>
      </c>
      <c r="AE215" s="22">
        <v>528</v>
      </c>
      <c r="AF215" s="22">
        <v>1528</v>
      </c>
      <c r="AG215" s="22">
        <v>528</v>
      </c>
      <c r="AH215" s="6">
        <v>10</v>
      </c>
      <c r="AI215" s="6">
        <v>300</v>
      </c>
      <c r="AJ215" s="6">
        <v>14</v>
      </c>
      <c r="AK215" s="24">
        <v>300</v>
      </c>
      <c r="AL215" s="24">
        <v>14</v>
      </c>
      <c r="AM215" s="5">
        <f t="shared" si="129"/>
        <v>500</v>
      </c>
      <c r="AN215" s="26">
        <f t="shared" si="130"/>
        <v>134</v>
      </c>
      <c r="AO215" s="26">
        <f t="shared" si="131"/>
        <v>65911.546666666676</v>
      </c>
      <c r="AP215" s="15">
        <f t="shared" si="132"/>
        <v>6304.166666666667</v>
      </c>
      <c r="AQ215" s="5">
        <f t="shared" si="133"/>
        <v>2496.6494949494954</v>
      </c>
      <c r="AR215" s="26">
        <f t="shared" si="134"/>
        <v>420.27777777777777</v>
      </c>
      <c r="AS215" s="26">
        <f t="shared" si="135"/>
        <v>1391.9</v>
      </c>
      <c r="AT215" s="26">
        <f t="shared" si="136"/>
        <v>22.178305028345793</v>
      </c>
      <c r="AU215" s="26">
        <f t="shared" si="137"/>
        <v>6.8590101254115021</v>
      </c>
      <c r="AV215" s="95">
        <f t="shared" si="138"/>
        <v>7.201333333333334E-7</v>
      </c>
      <c r="AW215" s="95">
        <f t="shared" si="139"/>
        <v>4161087</v>
      </c>
      <c r="AX215" s="95">
        <f t="shared" si="140"/>
        <v>4.1610870000000001E-6</v>
      </c>
      <c r="AY215" s="54">
        <f t="shared" si="141"/>
        <v>0.25762202780669918</v>
      </c>
      <c r="AZ215" s="54" t="str">
        <f>_xll.Dce_Name_SectI(AE215,AF215,AI215,AH215,AJ215,"x","-",$O$11)</f>
        <v>(528-1528)x300x10x14</v>
      </c>
      <c r="BA215" s="15">
        <f t="shared" si="142"/>
        <v>385.5</v>
      </c>
      <c r="BB215" s="54"/>
      <c r="BC215" s="54"/>
      <c r="BD215" s="22" t="s">
        <v>506</v>
      </c>
      <c r="BE215" s="23">
        <v>-96.526215319718432</v>
      </c>
      <c r="BF215" s="23">
        <v>-85.017997874358088</v>
      </c>
      <c r="BG215" s="23">
        <v>1.9054964560679165E-3</v>
      </c>
      <c r="BH215" s="23">
        <v>3.2913733953503254E-5</v>
      </c>
      <c r="BI215" s="23">
        <v>2.2601890484735736E-6</v>
      </c>
      <c r="BJ215" s="23">
        <v>-1.2667031667716895</v>
      </c>
      <c r="BK215" s="23">
        <v>242.26913373414891</v>
      </c>
      <c r="BL215" s="92">
        <v>2.25</v>
      </c>
      <c r="BM215" s="91">
        <v>2</v>
      </c>
      <c r="BN215" s="5">
        <f t="shared" si="143"/>
        <v>19.473749999999999</v>
      </c>
      <c r="BO215" s="54">
        <f>_xll.Bimoment(BH215,AY215,AC215,AD215,$O$101)</f>
        <v>0</v>
      </c>
      <c r="BP215" s="5">
        <f t="shared" si="144"/>
        <v>0.84</v>
      </c>
      <c r="BQ215" s="5">
        <f t="shared" si="145"/>
        <v>0.106834167179973</v>
      </c>
      <c r="BR215" s="24" t="str">
        <f t="shared" si="146"/>
        <v>Cal</v>
      </c>
      <c r="BS215" s="25">
        <f t="shared" si="147"/>
        <v>3.1515088956997624E-2</v>
      </c>
      <c r="BT215" s="25" t="str">
        <f t="shared" si="148"/>
        <v>CT.105</v>
      </c>
      <c r="BU215" s="25">
        <f t="shared" si="149"/>
        <v>1</v>
      </c>
      <c r="BV215" s="25" cm="1">
        <f t="array" ref="BV215">IF(BT215="CT.104",_xll.TCVN5575AnnexEHeSoCx(1,BP215),1)</f>
        <v>1</v>
      </c>
      <c r="BW215" s="25">
        <f t="shared" si="150"/>
        <v>1</v>
      </c>
      <c r="BX215" s="25">
        <f t="shared" si="151"/>
        <v>3.3173777849471182E-2</v>
      </c>
      <c r="BY215" s="25">
        <f t="shared" si="152"/>
        <v>2.3365319952692275E-3</v>
      </c>
      <c r="BZ215" s="25">
        <f t="shared" si="153"/>
        <v>2.4766394763598837E-8</v>
      </c>
      <c r="CA215" s="25">
        <f t="shared" si="154"/>
        <v>0</v>
      </c>
      <c r="CB215" s="25">
        <f t="shared" si="155"/>
        <v>3.5510334611135168E-2</v>
      </c>
      <c r="CC215" s="5" t="str">
        <f t="shared" si="156"/>
        <v>OK</v>
      </c>
      <c r="CD215" s="5">
        <f t="shared" si="157"/>
        <v>87.805402509844015</v>
      </c>
      <c r="CE215" s="5">
        <f t="shared" si="158"/>
        <v>29.158726455153193</v>
      </c>
      <c r="CF215" s="5">
        <f t="shared" si="159"/>
        <v>2.9248163326364334</v>
      </c>
      <c r="CG215" s="5">
        <f t="shared" si="160"/>
        <v>0.97128328026682387</v>
      </c>
      <c r="CH215" s="5">
        <f t="shared" si="161"/>
        <v>7.043309947608134E-2</v>
      </c>
      <c r="CI215" s="68">
        <f>_xll.DCETCVN5575PhuLucD2Eta(BP215,CH215,CF215)</f>
        <v>1.5168176322590099</v>
      </c>
      <c r="CJ215" s="5">
        <f t="shared" si="162"/>
        <v>0.106834167179973</v>
      </c>
      <c r="CK215" s="5">
        <f>MIN(noisuy2chieu(CJ215,CF215,Data!$DA$2:$EB$24),1)</f>
        <v>0.67508828639984131</v>
      </c>
      <c r="CL215" s="102">
        <f t="shared" si="163"/>
        <v>4.9139910316593788E-2</v>
      </c>
      <c r="CM215" s="5" t="str">
        <f t="shared" si="164"/>
        <v>OK</v>
      </c>
      <c r="CN215" s="5">
        <f t="shared" si="165"/>
        <v>0.90492218941026858</v>
      </c>
      <c r="CO215" s="5">
        <f t="shared" si="166"/>
        <v>0.5370345235716667</v>
      </c>
      <c r="CP215" s="25">
        <f>_xll.DCETCVNPhuLucFHeSoOnDinh(1, 0.2, AG215, AH215, AI215, AJ215, AI215, AJ215, $D$28)</f>
        <v>1</v>
      </c>
      <c r="CQ215" s="68">
        <f t="shared" si="167"/>
        <v>0.9</v>
      </c>
      <c r="CR215" s="68">
        <f t="shared" si="168"/>
        <v>1</v>
      </c>
      <c r="CS215" s="5">
        <f t="shared" si="169"/>
        <v>0.18181818181818182</v>
      </c>
      <c r="CT215" s="5">
        <f t="shared" si="170"/>
        <v>9.9510191986788829E-2</v>
      </c>
      <c r="CU215" s="26">
        <f t="shared" si="171"/>
        <v>13.471006028799911</v>
      </c>
      <c r="CV215" s="5"/>
      <c r="CW215" s="25"/>
      <c r="CX215" s="72">
        <f>MAX(_xll.Dce_c_925(CU215, CQ215, CR215, CN215, CP215, CS215, CT215),0.3)</f>
        <v>0.3</v>
      </c>
      <c r="CY215" s="102">
        <f t="shared" si="172"/>
        <v>0.12219753343688147</v>
      </c>
      <c r="CZ215" s="5" t="str">
        <f t="shared" si="173"/>
        <v>OK</v>
      </c>
      <c r="DA215" s="47">
        <f t="shared" si="174"/>
        <v>0.34499859601035404</v>
      </c>
      <c r="DB215" s="46">
        <f t="shared" si="175"/>
        <v>0.45712832802668235</v>
      </c>
      <c r="DC215" s="5" t="str">
        <f t="shared" si="176"/>
        <v>OK</v>
      </c>
      <c r="DD215" s="5">
        <f t="shared" si="177"/>
        <v>2.9248163326364334</v>
      </c>
      <c r="DE215" s="5">
        <f t="shared" si="178"/>
        <v>1.6655104634982609</v>
      </c>
      <c r="DF215" s="5" t="str">
        <f t="shared" si="179"/>
        <v>-</v>
      </c>
      <c r="DG215" s="5" t="str">
        <f t="shared" si="180"/>
        <v>-</v>
      </c>
      <c r="DH215" s="203" t="str">
        <f t="shared" si="181"/>
        <v>-</v>
      </c>
      <c r="DI215" s="203">
        <f t="shared" si="182"/>
        <v>180</v>
      </c>
      <c r="DJ215" s="46">
        <f t="shared" si="183"/>
        <v>0</v>
      </c>
      <c r="DK215" s="5" t="str">
        <f t="shared" si="184"/>
        <v>OK</v>
      </c>
      <c r="EB215" s="18"/>
      <c r="EC215" s="77"/>
      <c r="ED215" s="77"/>
      <c r="EE215" s="18"/>
      <c r="EF215" s="18"/>
      <c r="EG215" s="18"/>
      <c r="EH215" s="5"/>
      <c r="EI215" s="5"/>
      <c r="EJ215" s="5"/>
      <c r="EK215" s="5"/>
      <c r="EL215" s="5"/>
      <c r="FE215" s="26"/>
      <c r="FF215" s="26"/>
      <c r="FG215" s="26"/>
      <c r="FH215" s="26"/>
      <c r="FI215" s="26"/>
      <c r="FJ215" s="26"/>
      <c r="FK215" s="26"/>
      <c r="FL215" s="26"/>
      <c r="FM215" s="26"/>
      <c r="FN215" s="205"/>
      <c r="FO215" s="205"/>
      <c r="FP215" s="205"/>
      <c r="FQ215" s="205"/>
      <c r="FR215" s="205"/>
      <c r="FS215" s="205"/>
      <c r="FT215" s="205"/>
      <c r="FU215" s="77"/>
      <c r="FV215" s="77"/>
      <c r="FW215" s="77"/>
      <c r="FX215" s="205"/>
      <c r="FY215" s="205"/>
      <c r="FZ215" s="205"/>
      <c r="GA215" s="205"/>
      <c r="GB215" s="205"/>
      <c r="GC215" s="205"/>
      <c r="GD215" s="205"/>
      <c r="GE215" s="205"/>
      <c r="GF215" s="205"/>
      <c r="GG215" s="205"/>
      <c r="GH215" s="205"/>
      <c r="GI215" s="205"/>
      <c r="GJ215" s="205"/>
      <c r="GK215" s="205"/>
      <c r="GL215" s="205"/>
      <c r="GM215" s="205"/>
      <c r="GN215" s="205"/>
      <c r="GO215" s="205"/>
      <c r="GP215" s="205"/>
      <c r="GQ215" s="205"/>
      <c r="GR215" s="205"/>
      <c r="GS215" s="205"/>
      <c r="GT215" s="205"/>
      <c r="GU215" s="205"/>
      <c r="GV215" s="18"/>
      <c r="GW215" s="5"/>
      <c r="GX215" s="5"/>
      <c r="GY215" s="77"/>
      <c r="GZ215" s="18"/>
      <c r="HA215" s="18"/>
      <c r="HB215" s="18"/>
      <c r="HC215" s="18"/>
      <c r="HD215" s="18"/>
      <c r="HE215" s="18"/>
      <c r="HF215" s="18"/>
      <c r="HG215" s="18"/>
      <c r="HH215" s="205"/>
      <c r="HI215" s="26"/>
      <c r="HJ215" s="26"/>
      <c r="HK215" s="5"/>
    </row>
    <row r="216" spans="27:219">
      <c r="AA216" s="18" t="s">
        <v>488</v>
      </c>
      <c r="AB216" s="22" t="s">
        <v>491</v>
      </c>
      <c r="AC216" s="59">
        <v>3.6405952380952398</v>
      </c>
      <c r="AD216" s="59">
        <v>8.6549999999999994</v>
      </c>
      <c r="AE216" s="22">
        <v>528</v>
      </c>
      <c r="AF216" s="22">
        <v>1528</v>
      </c>
      <c r="AG216" s="22">
        <v>948.63492063492095</v>
      </c>
      <c r="AH216" s="6">
        <v>10</v>
      </c>
      <c r="AI216" s="6">
        <v>300</v>
      </c>
      <c r="AJ216" s="6">
        <v>14</v>
      </c>
      <c r="AK216" s="24">
        <v>300</v>
      </c>
      <c r="AL216" s="24">
        <v>14</v>
      </c>
      <c r="AM216" s="5">
        <f t="shared" ref="AM216:AM256" si="185">AG216-AJ216-AL216</f>
        <v>920.63492063492095</v>
      </c>
      <c r="AN216" s="26">
        <f t="shared" ref="AN216:AN256" si="186">(AM216*AH216+AI216*AJ216+AK216*AL216)/100</f>
        <v>176.06349206349208</v>
      </c>
      <c r="AO216" s="26">
        <f t="shared" ref="AO216:AO256" si="187">(AH216*AM216^3/12+AI216*AJ216^3/12+AI216*AJ216*(AM216/2+AJ216/2)^2+AK216*AL216^3/12+AK216*AL216*(AM216/2+AL216/2)^2)/10000</f>
        <v>248482.7399356656</v>
      </c>
      <c r="AP216" s="15">
        <f t="shared" ref="AP216:AP256" si="188">(AM216*AH216^3/12+AJ216*AI216^3/12+AL216*AK216^3/12)/10000</f>
        <v>6307.6719576719579</v>
      </c>
      <c r="AQ216" s="5">
        <f t="shared" ref="AQ216:AQ256" si="189">AO216/(AG216/20)</f>
        <v>5238.7432621467533</v>
      </c>
      <c r="AR216" s="26">
        <f t="shared" ref="AR216:AR256" si="190">AP216/(MAX(AI216,AK216)/20)</f>
        <v>420.51146384479722</v>
      </c>
      <c r="AS216" s="26">
        <f t="shared" ref="AS216:AS256" si="191">(AH216*AM216^2/8+AI216*AJ216*(AM216/2+AJ216/2))/1000</f>
        <v>3022.1941546989178</v>
      </c>
      <c r="AT216" s="26">
        <f t="shared" ref="AT216:AT256" si="192">SQRT(AO216/AN216)</f>
        <v>37.567600585756203</v>
      </c>
      <c r="AU216" s="26">
        <f t="shared" ref="AU216:AU256" si="193">SQRT(AP216/AN216)</f>
        <v>5.9854925384629922</v>
      </c>
      <c r="AV216" s="95">
        <f t="shared" ref="AV216:AV256" si="194">((2*AI216*AJ216^3+(AM216+AJ216)*AH216^3)/3)/1000000000000</f>
        <v>8.6034497354497351E-7</v>
      </c>
      <c r="AW216" s="95">
        <f t="shared" ref="AW216:AW256" si="195">(AI216^3*(AM216+AJ216)^2*AJ216/24)/1000000</f>
        <v>13758293.349206358</v>
      </c>
      <c r="AX216" s="95">
        <f t="shared" ref="AX216:AX256" si="196">AW216/1000000000000</f>
        <v>1.3758293349206359E-5</v>
      </c>
      <c r="AY216" s="54">
        <f t="shared" ref="AY216:AY256" si="197">SQRT(($K$106*AV216)/($B$28*AX216))</f>
        <v>0.1548581140202015</v>
      </c>
      <c r="AZ216" s="54" t="str">
        <f>_xll.Dce_Name_SectI(AE216,AF216,AI216,AH216,AJ216,"x","-",$O$11)</f>
        <v>(528-1528)x300x10x14</v>
      </c>
      <c r="BA216" s="15">
        <f t="shared" ref="BA216:BA256" si="198">AI216*(AM216+AJ216)/400</f>
        <v>700.97619047619071</v>
      </c>
      <c r="BB216" s="54"/>
      <c r="BC216" s="54"/>
      <c r="BD216" s="22" t="s">
        <v>506</v>
      </c>
      <c r="BE216" s="23">
        <v>-90.332870883152566</v>
      </c>
      <c r="BF216" s="23">
        <v>-66.546140774140611</v>
      </c>
      <c r="BG216" s="23">
        <v>1.9054964560690504E-3</v>
      </c>
      <c r="BH216" s="23">
        <v>3.2913733953503254E-5</v>
      </c>
      <c r="BI216" s="23">
        <v>-6.9512182245238712E-3</v>
      </c>
      <c r="BJ216" s="23">
        <v>275.24267879633305</v>
      </c>
      <c r="BK216" s="23">
        <v>242.26913373414891</v>
      </c>
      <c r="BL216" s="92">
        <v>2.25</v>
      </c>
      <c r="BM216" s="91">
        <v>2</v>
      </c>
      <c r="BN216" s="5">
        <f t="shared" ref="BN216:BN256" si="199">BL216*AD216</f>
        <v>19.473749999999999</v>
      </c>
      <c r="BO216" s="54">
        <f>_xll.Bimoment(BH216,AY216,AC216,AD216,$O$101)</f>
        <v>-2.5312855737161997E-4</v>
      </c>
      <c r="BP216" s="5">
        <f t="shared" ref="BP216:BP256" si="200">(AI216*AJ216)/(AM216*AH216)</f>
        <v>0.45620689655172403</v>
      </c>
      <c r="BQ216" s="5">
        <f t="shared" ref="BQ216:BQ256" si="201">CJ216</f>
        <v>12.710668859501622</v>
      </c>
      <c r="BR216" s="24" t="str">
        <f t="shared" ref="BR216:BR256" si="202">IF(AND(BQ216&lt;20,BT216="CT.104"),"OK","Cal")</f>
        <v>Cal</v>
      </c>
      <c r="BS216" s="25">
        <f t="shared" ref="BS216:BS256" si="203">ABS(BE216)/(AN216*$D$28)*10</f>
        <v>2.2446806290271296E-2</v>
      </c>
      <c r="BT216" s="25" t="str">
        <f t="shared" ref="BT216:BT256" si="204">"CT."&amp;IF(AND(BS216&gt;0.1,ABS(BF216)*AS216/(AO216*AH216)*100&lt;=0.5*(0.58*$D$28/$E$28)),104,105)</f>
        <v>CT.105</v>
      </c>
      <c r="BU216" s="25">
        <f t="shared" ref="BU216:BU256" si="205">IF(BT216="CT.104",IF(BS216&gt;0.1,1.5,1),1)</f>
        <v>1</v>
      </c>
      <c r="BV216" s="25" cm="1">
        <f t="array" ref="BV216">IF(BT216="CT.104",_xll.TCVN5575AnnexEHeSoCx(1,BP216),1)</f>
        <v>1</v>
      </c>
      <c r="BW216" s="25">
        <f t="shared" ref="BW216:BW256" si="206">IF(BT216="CT.104",1.47,1)</f>
        <v>1</v>
      </c>
      <c r="BX216" s="25">
        <f t="shared" ref="BX216:BX256" si="207">IF(AND(BR216&lt;&gt;"Cal",$O$47="No"),"-",(ABS(BE216)/(AN216*$D$28*$F$28)*10)^BU216)</f>
        <v>2.3628217147654E-2</v>
      </c>
      <c r="BY216" s="25">
        <f t="shared" ref="BY216:BY256" si="208">IF(AND(BR216&lt;&gt;"Cal",$O$47="No"),"-",ABS(BJ216)/(BV216*AQ216*$D$28*$F$28)*1000)</f>
        <v>0.24195974200529535</v>
      </c>
      <c r="BZ216" s="25">
        <f t="shared" ref="BZ216:BZ256" si="209">IF(AND(BR216&lt;&gt;"Cal",$O$47="No"),"-",ABS(BI216)/(BW216*AR216*$D$28*$F$28)*1000)</f>
        <v>7.6126793070500787E-5</v>
      </c>
      <c r="CA216" s="25">
        <f t="shared" ref="CA216:CA256" si="210">IF(AND(BR216&lt;&gt;"Cal",$O$47="No"),"-",ABS(BO216)*BA216/(AW216*$L$47)*100000)</f>
        <v>5.9392868082329006E-6</v>
      </c>
      <c r="CB216" s="25">
        <f t="shared" ref="CB216:CB256" si="211">IF(AND(BR216&lt;&gt;"Cal",$O$47="No"),0,BX216+BY216+BZ216+CA216)</f>
        <v>0.26567002523282812</v>
      </c>
      <c r="CC216" s="5" t="str">
        <f t="shared" ref="CC216:CC256" si="212">IF(OR(CB216&lt;=1,BR216="OK"),"OK","Check")</f>
        <v>OK</v>
      </c>
      <c r="CD216" s="5">
        <f t="shared" ref="CD216:CD256" si="213">BN216/AT216*100</f>
        <v>51.836555160202302</v>
      </c>
      <c r="CE216" s="5">
        <f t="shared" ref="CE216:CE256" si="214">BM216/AU216*100</f>
        <v>33.414125690541383</v>
      </c>
      <c r="CF216" s="5">
        <f t="shared" ref="CF216:CF256" si="215">CD216*SQRT($D$28/$B$28)</f>
        <v>1.7266865002204341</v>
      </c>
      <c r="CG216" s="5">
        <f t="shared" ref="CG216:CG256" si="216">CE216*SQRT($D$28/$B$28)</f>
        <v>1.1130315193248546</v>
      </c>
      <c r="CH216" s="5">
        <f t="shared" ref="CH216:CH256" si="217">ABS((BJ216/BE216)*100*AN216/AQ216)</f>
        <v>10.240287724345679</v>
      </c>
      <c r="CI216" s="68">
        <f>_xll.DCETCVN5575PhuLucD2Eta(BP216,CH216,CF216)</f>
        <v>1.2412413793103447</v>
      </c>
      <c r="CJ216" s="5">
        <f t="shared" ref="CJ216:CJ256" si="218">CH216*CI216</f>
        <v>12.710668859501622</v>
      </c>
      <c r="CK216" s="5">
        <f>MIN(noisuy2chieu(CJ216,CF216,Data!$DA$2:$EB$24),1)</f>
        <v>0.10581857711076736</v>
      </c>
      <c r="CL216" s="102">
        <f t="shared" ref="CL216:CL256" si="219">IF(BE216&gt;0,"-",ABS(BE216)/(CK216*AN216*$D$28*$F$28)*10)</f>
        <v>0.22328987775861672</v>
      </c>
      <c r="CM216" s="5" t="str">
        <f t="shared" ref="CM216:CM256" si="220">IF(CL216="-","OK",IF(CL216&lt;=1,"OK","Check"))</f>
        <v>OK</v>
      </c>
      <c r="CN216" s="5">
        <f t="shared" ref="CN216:CN256" si="221">FactorPhi7121(CG216,"c")</f>
        <v>0.88472625978979058</v>
      </c>
      <c r="CO216" s="5">
        <f t="shared" ref="CO216:CO256" si="222">FactorPhi7121(3.14,"c")</f>
        <v>0.5370345235716667</v>
      </c>
      <c r="CP216" s="25">
        <f>_xll.DCETCVNPhuLucFHeSoOnDinh(1, 0.2, AG216, AH216, AI216, AJ216, AI216, AJ216, $D$28)</f>
        <v>1</v>
      </c>
      <c r="CQ216" s="68">
        <f t="shared" ref="CQ216:CQ256" si="223">IF(CU216&lt;=1,0.7,IF(CU216&lt;=5,0.65+0.05*CU216,0.65+0.05*5))</f>
        <v>0.9</v>
      </c>
      <c r="CR216" s="68">
        <f t="shared" ref="CR216:CR256" si="224">IF(CG216&lt;=3.14,1,SQRT(CO216/CN216))</f>
        <v>1</v>
      </c>
      <c r="CS216" s="5">
        <f t="shared" ref="CS216:CS256" si="225">CR216/(1+CQ216*5)</f>
        <v>0.18181818181818182</v>
      </c>
      <c r="CT216" s="5">
        <f t="shared" ref="CT216:CT256" si="226">1/(1+10*CN216/CP216)</f>
        <v>0.10155106457844131</v>
      </c>
      <c r="CU216" s="26">
        <f t="shared" ref="CU216:CU256" si="227">ABS((BK216/BE216)*100*AN216/AQ216)</f>
        <v>9.0135208936889573</v>
      </c>
      <c r="CV216" s="5"/>
      <c r="CW216" s="25"/>
      <c r="CX216" s="72">
        <f>MAX(_xll.Dce_c_925(CU216, CQ216, CR216, CN216, CP216, CS216, CT216),0.3)</f>
        <v>0.3</v>
      </c>
      <c r="CY216" s="102">
        <f t="shared" ref="CY216:CY256" si="228">IF(BE216&gt;0,"-",ABS(BE216)/(CX216*CN216*AN216*$D$28*$F$28)*10)</f>
        <v>8.9022703863482877E-2</v>
      </c>
      <c r="CZ216" s="5" t="str">
        <f t="shared" ref="CZ216:CZ256" si="229">IF(BE216&gt;0,"OK",IF(CY216&lt;=1,"OK","Check"))</f>
        <v>OK</v>
      </c>
      <c r="DA216" s="47">
        <f t="shared" ref="DA216:DA256" si="230">(((AI216-AH216)/2)/AJ216)*SQRT($D$28/$B$28)</f>
        <v>0.34499859601035404</v>
      </c>
      <c r="DB216" s="46">
        <f t="shared" ref="DB216:DB256" si="231">IF(BE216&lt;0,0.36+0.1*MIN(MAX(0.8,CG216),4),0.5*SQRT($D$28/MIN(ABS(BJ216)*1000/(AQ216)+ABS(BI216)*1000/(AR216),$D$28)))</f>
        <v>0.47130315193248545</v>
      </c>
      <c r="DC216" s="5" t="str">
        <f t="shared" ref="DC216:DC256" si="232">IF(DA216&lt;=DB216,"OK","Gia cường")</f>
        <v>OK</v>
      </c>
      <c r="DD216" s="5">
        <f t="shared" ref="DD216:DD256" si="233">CF216</f>
        <v>1.7266865002204341</v>
      </c>
      <c r="DE216" s="5">
        <f t="shared" ref="DE216:DE256" si="234">(AM216/AH216)*SQRT($D$28/$B$28)</f>
        <v>3.0666541867587034</v>
      </c>
      <c r="DF216" s="5" t="str">
        <f t="shared" ref="DF216:DF256" si="235">IF(BE216&gt;0,$L$81,IF(AND(CH216&gt;=1,CH216&lt;=10,CX216*CN216&gt;CK216),IF(DD216&lt;2,1.3+0.15*DD216^2,MIN(1.2+0.35*DD216,3.1)),"-"))</f>
        <v>-</v>
      </c>
      <c r="DG216" s="5" t="str">
        <f t="shared" ref="DG216:DG256" si="236">IF(DF216="-","-",IF(DE216&lt;=DF216,"OK","Gia cường"))</f>
        <v>-</v>
      </c>
      <c r="DH216" s="203">
        <f t="shared" ref="DH216:DH256" si="237">IF(OR(AC216=0,AC216=AD216),"-",MAX(CD216,CE216))</f>
        <v>51.836555160202302</v>
      </c>
      <c r="DI216" s="203">
        <f t="shared" ref="DI216:DI256" si="238">IF(BE216&lt;0,$DJ$15-60*MAX(CL216,0.5),$DJ$16)</f>
        <v>180</v>
      </c>
      <c r="DJ216" s="46">
        <f t="shared" ref="DJ216:DJ256" si="239">IFERROR(DH216/DI216,0)</f>
        <v>0.28798086200112388</v>
      </c>
      <c r="DK216" s="5" t="str">
        <f t="shared" ref="DK216:DK256" si="240">IF(OR(DH216&lt;=DI216,DH216="-"),"OK","Check")</f>
        <v>OK</v>
      </c>
      <c r="EB216" s="18"/>
      <c r="EC216" s="77"/>
      <c r="ED216" s="77"/>
      <c r="EE216" s="18"/>
      <c r="EF216" s="18"/>
      <c r="EG216" s="18"/>
      <c r="EH216" s="5"/>
      <c r="EI216" s="5"/>
      <c r="EJ216" s="5"/>
      <c r="EK216" s="5"/>
      <c r="EL216" s="5"/>
      <c r="FE216" s="26"/>
      <c r="FF216" s="26"/>
      <c r="FG216" s="26"/>
      <c r="FH216" s="26"/>
      <c r="FI216" s="26"/>
      <c r="FJ216" s="26"/>
      <c r="FK216" s="26"/>
      <c r="FL216" s="26"/>
      <c r="FM216" s="26"/>
      <c r="FN216" s="205"/>
      <c r="FO216" s="205"/>
      <c r="FP216" s="205"/>
      <c r="FQ216" s="205"/>
      <c r="FR216" s="205"/>
      <c r="FS216" s="205"/>
      <c r="FT216" s="205"/>
      <c r="FU216" s="77"/>
      <c r="FV216" s="77"/>
      <c r="FW216" s="77"/>
      <c r="FX216" s="205"/>
      <c r="FY216" s="205"/>
      <c r="FZ216" s="205"/>
      <c r="GA216" s="205"/>
      <c r="GB216" s="205"/>
      <c r="GC216" s="205"/>
      <c r="GD216" s="205"/>
      <c r="GE216" s="205"/>
      <c r="GF216" s="205"/>
      <c r="GG216" s="205"/>
      <c r="GH216" s="205"/>
      <c r="GI216" s="205"/>
      <c r="GJ216" s="205"/>
      <c r="GK216" s="205"/>
      <c r="GL216" s="205"/>
      <c r="GM216" s="205"/>
      <c r="GN216" s="205"/>
      <c r="GO216" s="205"/>
      <c r="GP216" s="205"/>
      <c r="GQ216" s="205"/>
      <c r="GR216" s="205"/>
      <c r="GS216" s="205"/>
      <c r="GT216" s="205"/>
      <c r="GU216" s="205"/>
      <c r="GV216" s="18"/>
      <c r="GW216" s="5"/>
      <c r="GX216" s="5"/>
      <c r="GY216" s="77"/>
      <c r="GZ216" s="18"/>
      <c r="HA216" s="18"/>
      <c r="HB216" s="18"/>
      <c r="HC216" s="18"/>
      <c r="HD216" s="18"/>
      <c r="HE216" s="18"/>
      <c r="HF216" s="18"/>
      <c r="HG216" s="18"/>
      <c r="HH216" s="205"/>
      <c r="HI216" s="26"/>
      <c r="HJ216" s="26"/>
      <c r="HK216" s="5"/>
    </row>
    <row r="217" spans="27:219">
      <c r="AA217" s="18" t="s">
        <v>488</v>
      </c>
      <c r="AB217" s="22" t="s">
        <v>491</v>
      </c>
      <c r="AC217" s="59">
        <v>7.2811904761904795</v>
      </c>
      <c r="AD217" s="59">
        <v>8.6549999999999994</v>
      </c>
      <c r="AE217" s="22">
        <v>528</v>
      </c>
      <c r="AF217" s="22">
        <v>1528</v>
      </c>
      <c r="AG217" s="22">
        <v>1369.2698412698419</v>
      </c>
      <c r="AH217" s="6">
        <v>10</v>
      </c>
      <c r="AI217" s="6">
        <v>300</v>
      </c>
      <c r="AJ217" s="6">
        <v>14</v>
      </c>
      <c r="AK217" s="24">
        <v>300</v>
      </c>
      <c r="AL217" s="24">
        <v>14</v>
      </c>
      <c r="AM217" s="5">
        <f t="shared" si="185"/>
        <v>1341.2698412698419</v>
      </c>
      <c r="AN217" s="26">
        <f t="shared" si="186"/>
        <v>218.12698412698418</v>
      </c>
      <c r="AO217" s="26">
        <f t="shared" si="187"/>
        <v>586811.79072745051</v>
      </c>
      <c r="AP217" s="15">
        <f t="shared" si="188"/>
        <v>6311.1772486772488</v>
      </c>
      <c r="AQ217" s="5">
        <f t="shared" si="189"/>
        <v>8571.1635945074104</v>
      </c>
      <c r="AR217" s="26">
        <f t="shared" si="190"/>
        <v>420.74514991181661</v>
      </c>
      <c r="AS217" s="26">
        <f t="shared" si="191"/>
        <v>5094.8226505417015</v>
      </c>
      <c r="AT217" s="26">
        <f t="shared" si="192"/>
        <v>51.867428670398397</v>
      </c>
      <c r="AU217" s="26">
        <f t="shared" si="193"/>
        <v>5.3789869588463937</v>
      </c>
      <c r="AV217" s="95">
        <f t="shared" si="194"/>
        <v>1.0005566137566139E-6</v>
      </c>
      <c r="AW217" s="95">
        <f t="shared" si="195"/>
        <v>28928912.396825422</v>
      </c>
      <c r="AX217" s="95">
        <f t="shared" si="196"/>
        <v>2.8928912396825422E-5</v>
      </c>
      <c r="AY217" s="54">
        <f t="shared" si="197"/>
        <v>0.11516876660535029</v>
      </c>
      <c r="AZ217" s="54" t="str">
        <f>_xll.Dce_Name_SectI(AE217,AF217,AI217,AH217,AJ217,"x","-",$O$11)</f>
        <v>(528-1528)x300x10x14</v>
      </c>
      <c r="BA217" s="15">
        <f t="shared" si="198"/>
        <v>1016.4523809523813</v>
      </c>
      <c r="BB217" s="54"/>
      <c r="BC217" s="54"/>
      <c r="BD217" s="22" t="s">
        <v>506</v>
      </c>
      <c r="BE217" s="23">
        <v>-82.598090696094346</v>
      </c>
      <c r="BF217" s="23">
        <v>-48.180134204515156</v>
      </c>
      <c r="BG217" s="23">
        <v>1.9054964560701777E-3</v>
      </c>
      <c r="BH217" s="23">
        <v>3.2913733953503254E-5</v>
      </c>
      <c r="BI217" s="23">
        <v>-1.3904696638100341E-2</v>
      </c>
      <c r="BJ217" s="23">
        <v>484.53826746829782</v>
      </c>
      <c r="BK217" s="23">
        <v>242.26913373414891</v>
      </c>
      <c r="BL217" s="92">
        <v>2.25</v>
      </c>
      <c r="BM217" s="91">
        <v>2</v>
      </c>
      <c r="BN217" s="5">
        <f t="shared" si="199"/>
        <v>19.473749999999999</v>
      </c>
      <c r="BO217" s="54">
        <f>_xll.Bimoment(BH217,AY217,AC217,AD217,$O$101)</f>
        <v>-1.5056948494884519E-4</v>
      </c>
      <c r="BP217" s="5">
        <f t="shared" si="200"/>
        <v>0.31313609467455605</v>
      </c>
      <c r="BQ217" s="5">
        <f t="shared" si="201"/>
        <v>18.103185279529306</v>
      </c>
      <c r="BR217" s="24" t="str">
        <f t="shared" si="202"/>
        <v>Cal</v>
      </c>
      <c r="BS217" s="25">
        <f t="shared" si="203"/>
        <v>1.6566801592279874E-2</v>
      </c>
      <c r="BT217" s="25" t="str">
        <f t="shared" si="204"/>
        <v>CT.105</v>
      </c>
      <c r="BU217" s="25">
        <f t="shared" si="205"/>
        <v>1</v>
      </c>
      <c r="BV217" s="25" cm="1">
        <f t="array" ref="BV217">IF(BT217="CT.104",_xll.TCVN5575AnnexEHeSoCx(1,BP217),1)</f>
        <v>1</v>
      </c>
      <c r="BW217" s="25">
        <f t="shared" si="206"/>
        <v>1</v>
      </c>
      <c r="BX217" s="25">
        <f t="shared" si="207"/>
        <v>1.7438738518189341E-2</v>
      </c>
      <c r="BY217" s="25">
        <f t="shared" si="208"/>
        <v>0.26034110855051756</v>
      </c>
      <c r="BZ217" s="25">
        <f t="shared" si="209"/>
        <v>1.521937618593281E-4</v>
      </c>
      <c r="CA217" s="25">
        <f t="shared" si="210"/>
        <v>2.4363874179737038E-6</v>
      </c>
      <c r="CB217" s="25">
        <f t="shared" si="211"/>
        <v>0.2779344772179842</v>
      </c>
      <c r="CC217" s="5" t="str">
        <f t="shared" si="212"/>
        <v>OK</v>
      </c>
      <c r="CD217" s="5">
        <f t="shared" si="213"/>
        <v>37.545238889226049</v>
      </c>
      <c r="CE217" s="5">
        <f t="shared" si="214"/>
        <v>37.181722419139881</v>
      </c>
      <c r="CF217" s="5">
        <f t="shared" si="215"/>
        <v>1.2506397644909562</v>
      </c>
      <c r="CG217" s="5">
        <f t="shared" si="216"/>
        <v>1.2385309547993069</v>
      </c>
      <c r="CH217" s="5">
        <f t="shared" si="217"/>
        <v>14.928895704180141</v>
      </c>
      <c r="CI217" s="68">
        <f>_xll.DCETCVN5575PhuLucD2Eta(BP217,CH217,CF217)</f>
        <v>1.2126272189349112</v>
      </c>
      <c r="CJ217" s="5">
        <f t="shared" si="218"/>
        <v>18.103185279529306</v>
      </c>
      <c r="CK217" s="5">
        <f>MIN(noisuy2chieu(CJ217,CF217,Data!$DA$2:$EB$24),1)</f>
        <v>7.9582147300243378E-2</v>
      </c>
      <c r="CL217" s="102">
        <f t="shared" si="219"/>
        <v>0.21912877585970852</v>
      </c>
      <c r="CM217" s="5" t="str">
        <f t="shared" si="220"/>
        <v>OK</v>
      </c>
      <c r="CN217" s="5">
        <f t="shared" si="221"/>
        <v>0.86643683692746631</v>
      </c>
      <c r="CO217" s="5">
        <f t="shared" si="222"/>
        <v>0.5370345235716667</v>
      </c>
      <c r="CP217" s="25">
        <f>_xll.DCETCVNPhuLucFHeSoOnDinh(1, 0.2, AG217, AH217, AI217, AJ217, AI217, AJ217, $D$28)</f>
        <v>1</v>
      </c>
      <c r="CQ217" s="68">
        <f t="shared" si="223"/>
        <v>0.9</v>
      </c>
      <c r="CR217" s="68">
        <f t="shared" si="224"/>
        <v>1</v>
      </c>
      <c r="CS217" s="5">
        <f t="shared" si="225"/>
        <v>0.18181818181818182</v>
      </c>
      <c r="CT217" s="5">
        <f t="shared" si="226"/>
        <v>0.10347287704587492</v>
      </c>
      <c r="CU217" s="26">
        <f t="shared" si="227"/>
        <v>7.4644478520900703</v>
      </c>
      <c r="CV217" s="5"/>
      <c r="CW217" s="25"/>
      <c r="CX217" s="72">
        <f>MAX(_xll.Dce_c_925(CU217, CQ217, CR217, CN217, CP217, CS217, CT217),0.3)</f>
        <v>0.3</v>
      </c>
      <c r="CY217" s="102">
        <f t="shared" si="228"/>
        <v>6.7089862661080218E-2</v>
      </c>
      <c r="CZ217" s="5" t="str">
        <f t="shared" si="229"/>
        <v>OK</v>
      </c>
      <c r="DA217" s="47">
        <f t="shared" si="230"/>
        <v>0.34499859601035404</v>
      </c>
      <c r="DB217" s="46">
        <f t="shared" si="231"/>
        <v>0.48385309547993066</v>
      </c>
      <c r="DC217" s="5" t="str">
        <f t="shared" si="232"/>
        <v>OK</v>
      </c>
      <c r="DD217" s="5">
        <f t="shared" si="233"/>
        <v>1.2506397644909562</v>
      </c>
      <c r="DE217" s="5">
        <f t="shared" si="234"/>
        <v>4.4677979100191463</v>
      </c>
      <c r="DF217" s="5" t="str">
        <f t="shared" si="235"/>
        <v>-</v>
      </c>
      <c r="DG217" s="5" t="str">
        <f t="shared" si="236"/>
        <v>-</v>
      </c>
      <c r="DH217" s="203">
        <f t="shared" si="237"/>
        <v>37.545238889226049</v>
      </c>
      <c r="DI217" s="203">
        <f t="shared" si="238"/>
        <v>180</v>
      </c>
      <c r="DJ217" s="46">
        <f t="shared" si="239"/>
        <v>0.20858466049570026</v>
      </c>
      <c r="DK217" s="5" t="str">
        <f t="shared" si="240"/>
        <v>OK</v>
      </c>
      <c r="EB217" s="18"/>
      <c r="EC217" s="77"/>
      <c r="ED217" s="77"/>
      <c r="EE217" s="18"/>
      <c r="EF217" s="18"/>
      <c r="EG217" s="18"/>
      <c r="EH217" s="5"/>
      <c r="EI217" s="5"/>
      <c r="EJ217" s="5"/>
      <c r="EK217" s="5"/>
      <c r="EL217" s="5"/>
      <c r="FE217" s="26"/>
      <c r="FF217" s="26"/>
      <c r="FG217" s="26"/>
      <c r="FH217" s="26"/>
      <c r="FI217" s="26"/>
      <c r="FJ217" s="26"/>
      <c r="FK217" s="26"/>
      <c r="FL217" s="26"/>
      <c r="FM217" s="26"/>
      <c r="FN217" s="205"/>
      <c r="FO217" s="205"/>
      <c r="FP217" s="205"/>
      <c r="FQ217" s="205"/>
      <c r="FR217" s="205"/>
      <c r="FS217" s="205"/>
      <c r="FT217" s="205"/>
      <c r="FU217" s="77"/>
      <c r="FV217" s="77"/>
      <c r="FW217" s="77"/>
      <c r="FX217" s="205"/>
      <c r="FY217" s="205"/>
      <c r="FZ217" s="205"/>
      <c r="GA217" s="205"/>
      <c r="GB217" s="205"/>
      <c r="GC217" s="205"/>
      <c r="GD217" s="205"/>
      <c r="GE217" s="205"/>
      <c r="GF217" s="205"/>
      <c r="GG217" s="205"/>
      <c r="GH217" s="205"/>
      <c r="GI217" s="205"/>
      <c r="GJ217" s="205"/>
      <c r="GK217" s="205"/>
      <c r="GL217" s="205"/>
      <c r="GM217" s="205"/>
      <c r="GN217" s="205"/>
      <c r="GO217" s="205"/>
      <c r="GP217" s="205"/>
      <c r="GQ217" s="205"/>
      <c r="GR217" s="205"/>
      <c r="GS217" s="205"/>
      <c r="GT217" s="205"/>
      <c r="GU217" s="205"/>
      <c r="GV217" s="18"/>
      <c r="GW217" s="5"/>
      <c r="GX217" s="5"/>
      <c r="GY217" s="77"/>
      <c r="GZ217" s="18"/>
      <c r="HA217" s="18"/>
      <c r="HB217" s="18"/>
      <c r="HC217" s="18"/>
      <c r="HD217" s="18"/>
      <c r="HE217" s="18"/>
      <c r="HF217" s="18"/>
      <c r="HG217" s="18"/>
      <c r="HH217" s="205"/>
      <c r="HI217" s="26"/>
      <c r="HJ217" s="26"/>
      <c r="HK217" s="5"/>
    </row>
    <row r="218" spans="27:219">
      <c r="AA218" s="18" t="s">
        <v>488</v>
      </c>
      <c r="AB218" s="22" t="s">
        <v>491</v>
      </c>
      <c r="AC218" s="59">
        <v>0</v>
      </c>
      <c r="AD218" s="59">
        <v>8.6549999999999994</v>
      </c>
      <c r="AE218" s="22">
        <v>528</v>
      </c>
      <c r="AF218" s="22">
        <v>1528</v>
      </c>
      <c r="AG218" s="22">
        <v>528</v>
      </c>
      <c r="AH218" s="6">
        <v>10</v>
      </c>
      <c r="AI218" s="6">
        <v>300</v>
      </c>
      <c r="AJ218" s="6">
        <v>14</v>
      </c>
      <c r="AK218" s="24">
        <v>300</v>
      </c>
      <c r="AL218" s="24">
        <v>14</v>
      </c>
      <c r="AM218" s="5">
        <f t="shared" si="185"/>
        <v>500</v>
      </c>
      <c r="AN218" s="26">
        <f t="shared" si="186"/>
        <v>134</v>
      </c>
      <c r="AO218" s="26">
        <f t="shared" si="187"/>
        <v>65911.546666666676</v>
      </c>
      <c r="AP218" s="15">
        <f t="shared" si="188"/>
        <v>6304.166666666667</v>
      </c>
      <c r="AQ218" s="5">
        <f t="shared" si="189"/>
        <v>2496.6494949494954</v>
      </c>
      <c r="AR218" s="26">
        <f t="shared" si="190"/>
        <v>420.27777777777777</v>
      </c>
      <c r="AS218" s="26">
        <f t="shared" si="191"/>
        <v>1391.9</v>
      </c>
      <c r="AT218" s="26">
        <f t="shared" si="192"/>
        <v>22.178305028345793</v>
      </c>
      <c r="AU218" s="26">
        <f t="shared" si="193"/>
        <v>6.8590101254115021</v>
      </c>
      <c r="AV218" s="95">
        <f t="shared" si="194"/>
        <v>7.201333333333334E-7</v>
      </c>
      <c r="AW218" s="95">
        <f t="shared" si="195"/>
        <v>4161087</v>
      </c>
      <c r="AX218" s="95">
        <f t="shared" si="196"/>
        <v>4.1610870000000001E-6</v>
      </c>
      <c r="AY218" s="54">
        <f t="shared" si="197"/>
        <v>0.25762202780669918</v>
      </c>
      <c r="AZ218" s="54" t="str">
        <f>_xll.Dce_Name_SectI(AE218,AF218,AI218,AH218,AJ218,"x","-",$O$11)</f>
        <v>(528-1528)x300x10x14</v>
      </c>
      <c r="BA218" s="15">
        <f t="shared" si="198"/>
        <v>385.5</v>
      </c>
      <c r="BB218" s="54"/>
      <c r="BC218" s="54"/>
      <c r="BD218" s="22" t="s">
        <v>507</v>
      </c>
      <c r="BE218" s="23">
        <v>-196.74774946929682</v>
      </c>
      <c r="BF218" s="23">
        <v>-169.33663718252518</v>
      </c>
      <c r="BG218" s="23">
        <v>2.4988837472508184E-3</v>
      </c>
      <c r="BH218" s="23">
        <v>9.7101550473096241E-5</v>
      </c>
      <c r="BI218" s="23">
        <v>6.6679721379952955E-6</v>
      </c>
      <c r="BJ218" s="23">
        <v>-2.5857017295046685</v>
      </c>
      <c r="BK218" s="23">
        <v>588.52273609234999</v>
      </c>
      <c r="BL218" s="92">
        <v>2.25</v>
      </c>
      <c r="BM218" s="91">
        <v>2</v>
      </c>
      <c r="BN218" s="5">
        <f t="shared" si="199"/>
        <v>19.473749999999999</v>
      </c>
      <c r="BO218" s="54">
        <f>_xll.Bimoment(BH218,AY218,AC218,AD218,$O$101)</f>
        <v>0</v>
      </c>
      <c r="BP218" s="5">
        <f t="shared" si="200"/>
        <v>0.84</v>
      </c>
      <c r="BQ218" s="5">
        <f t="shared" si="201"/>
        <v>0.10699118827812586</v>
      </c>
      <c r="BR218" s="24" t="str">
        <f t="shared" si="202"/>
        <v>Cal</v>
      </c>
      <c r="BS218" s="25">
        <f t="shared" si="203"/>
        <v>6.423667193493833E-2</v>
      </c>
      <c r="BT218" s="25" t="str">
        <f t="shared" si="204"/>
        <v>CT.105</v>
      </c>
      <c r="BU218" s="25">
        <f t="shared" si="205"/>
        <v>1</v>
      </c>
      <c r="BV218" s="25" cm="1">
        <f t="array" ref="BV218">IF(BT218="CT.104",_xll.TCVN5575AnnexEHeSoCx(1,BP218),1)</f>
        <v>1</v>
      </c>
      <c r="BW218" s="25">
        <f t="shared" si="206"/>
        <v>1</v>
      </c>
      <c r="BX218" s="25">
        <f t="shared" si="207"/>
        <v>6.7617549405198249E-2</v>
      </c>
      <c r="BY218" s="25">
        <f t="shared" si="208"/>
        <v>4.7695268944563784E-3</v>
      </c>
      <c r="BZ218" s="25">
        <f t="shared" si="209"/>
        <v>7.3065405902129555E-8</v>
      </c>
      <c r="CA218" s="25">
        <f t="shared" si="210"/>
        <v>0</v>
      </c>
      <c r="CB218" s="25">
        <f t="shared" si="211"/>
        <v>7.2387149365060535E-2</v>
      </c>
      <c r="CC218" s="5" t="str">
        <f t="shared" si="212"/>
        <v>OK</v>
      </c>
      <c r="CD218" s="5">
        <f t="shared" si="213"/>
        <v>87.805402509844015</v>
      </c>
      <c r="CE218" s="5">
        <f t="shared" si="214"/>
        <v>29.158726455153193</v>
      </c>
      <c r="CF218" s="5">
        <f t="shared" si="215"/>
        <v>2.9248163326364334</v>
      </c>
      <c r="CG218" s="5">
        <f t="shared" si="216"/>
        <v>0.97128328026682387</v>
      </c>
      <c r="CH218" s="5">
        <f t="shared" si="217"/>
        <v>7.0536819751851457E-2</v>
      </c>
      <c r="CI218" s="68">
        <f>_xll.DCETCVN5575PhuLucD2Eta(BP218,CH218,CF218)</f>
        <v>1.5168133274865647</v>
      </c>
      <c r="CJ218" s="5">
        <f t="shared" si="218"/>
        <v>0.10699118827812586</v>
      </c>
      <c r="CK218" s="5">
        <f>MIN(noisuy2chieu(CJ218,CF218,Data!$DA$2:$EB$24),1)</f>
        <v>0.67501497268676758</v>
      </c>
      <c r="CL218" s="102">
        <f t="shared" si="219"/>
        <v>0.10017192527753804</v>
      </c>
      <c r="CM218" s="5" t="str">
        <f t="shared" si="220"/>
        <v>OK</v>
      </c>
      <c r="CN218" s="5">
        <f t="shared" si="221"/>
        <v>0.90492218941026858</v>
      </c>
      <c r="CO218" s="5">
        <f t="shared" si="222"/>
        <v>0.5370345235716667</v>
      </c>
      <c r="CP218" s="25">
        <f>_xll.DCETCVNPhuLucFHeSoOnDinh(1, 0.2, AG218, AH218, AI218, AJ218, AI218, AJ218, $D$28)</f>
        <v>1</v>
      </c>
      <c r="CQ218" s="68">
        <f t="shared" si="223"/>
        <v>0.9</v>
      </c>
      <c r="CR218" s="68">
        <f t="shared" si="224"/>
        <v>1</v>
      </c>
      <c r="CS218" s="5">
        <f t="shared" si="225"/>
        <v>0.18181818181818182</v>
      </c>
      <c r="CT218" s="5">
        <f t="shared" si="226"/>
        <v>9.9510191986788829E-2</v>
      </c>
      <c r="CU218" s="26">
        <f t="shared" si="227"/>
        <v>16.054644540754861</v>
      </c>
      <c r="CV218" s="5"/>
      <c r="CW218" s="25"/>
      <c r="CX218" s="72">
        <f>MAX(_xll.Dce_c_925(CU218, CQ218, CR218, CN218, CP218, CS218, CT218),0.3)</f>
        <v>0.3</v>
      </c>
      <c r="CY218" s="102">
        <f t="shared" si="228"/>
        <v>0.24907316229868015</v>
      </c>
      <c r="CZ218" s="5" t="str">
        <f t="shared" si="229"/>
        <v>OK</v>
      </c>
      <c r="DA218" s="47">
        <f t="shared" si="230"/>
        <v>0.34499859601035404</v>
      </c>
      <c r="DB218" s="46">
        <f t="shared" si="231"/>
        <v>0.45712832802668235</v>
      </c>
      <c r="DC218" s="5" t="str">
        <f t="shared" si="232"/>
        <v>OK</v>
      </c>
      <c r="DD218" s="5">
        <f t="shared" si="233"/>
        <v>2.9248163326364334</v>
      </c>
      <c r="DE218" s="5">
        <f t="shared" si="234"/>
        <v>1.6655104634982609</v>
      </c>
      <c r="DF218" s="5" t="str">
        <f t="shared" si="235"/>
        <v>-</v>
      </c>
      <c r="DG218" s="5" t="str">
        <f t="shared" si="236"/>
        <v>-</v>
      </c>
      <c r="DH218" s="203" t="str">
        <f t="shared" si="237"/>
        <v>-</v>
      </c>
      <c r="DI218" s="203">
        <f t="shared" si="238"/>
        <v>180</v>
      </c>
      <c r="DJ218" s="46">
        <f t="shared" si="239"/>
        <v>0</v>
      </c>
      <c r="DK218" s="5" t="str">
        <f t="shared" si="240"/>
        <v>OK</v>
      </c>
      <c r="EB218" s="18"/>
      <c r="EC218" s="77"/>
      <c r="ED218" s="77"/>
      <c r="EE218" s="18"/>
      <c r="EF218" s="18"/>
      <c r="EG218" s="18"/>
      <c r="EH218" s="5"/>
      <c r="EI218" s="5"/>
      <c r="EJ218" s="5"/>
      <c r="EK218" s="5"/>
      <c r="EL218" s="5"/>
      <c r="FE218" s="26"/>
      <c r="FF218" s="26"/>
      <c r="FG218" s="26"/>
      <c r="FH218" s="26"/>
      <c r="FI218" s="26"/>
      <c r="FJ218" s="26"/>
      <c r="FK218" s="26"/>
      <c r="FL218" s="26"/>
      <c r="FM218" s="26"/>
      <c r="FN218" s="205"/>
      <c r="FO218" s="205"/>
      <c r="FP218" s="205"/>
      <c r="FQ218" s="205"/>
      <c r="FR218" s="205"/>
      <c r="FS218" s="205"/>
      <c r="FT218" s="205"/>
      <c r="FU218" s="77"/>
      <c r="FV218" s="77"/>
      <c r="FW218" s="77"/>
      <c r="FX218" s="205"/>
      <c r="FY218" s="205"/>
      <c r="FZ218" s="205"/>
      <c r="GA218" s="205"/>
      <c r="GB218" s="205"/>
      <c r="GC218" s="205"/>
      <c r="GD218" s="205"/>
      <c r="GE218" s="205"/>
      <c r="GF218" s="205"/>
      <c r="GG218" s="205"/>
      <c r="GH218" s="205"/>
      <c r="GI218" s="205"/>
      <c r="GJ218" s="205"/>
      <c r="GK218" s="205"/>
      <c r="GL218" s="205"/>
      <c r="GM218" s="205"/>
      <c r="GN218" s="205"/>
      <c r="GO218" s="205"/>
      <c r="GP218" s="205"/>
      <c r="GQ218" s="205"/>
      <c r="GR218" s="205"/>
      <c r="GS218" s="205"/>
      <c r="GT218" s="205"/>
      <c r="GU218" s="205"/>
      <c r="GV218" s="18"/>
      <c r="GW218" s="5"/>
      <c r="GX218" s="5"/>
      <c r="GY218" s="77"/>
      <c r="GZ218" s="18"/>
      <c r="HA218" s="18"/>
      <c r="HB218" s="18"/>
      <c r="HC218" s="18"/>
      <c r="HD218" s="18"/>
      <c r="HE218" s="18"/>
      <c r="HF218" s="18"/>
      <c r="HG218" s="18"/>
      <c r="HH218" s="205"/>
      <c r="HI218" s="26"/>
      <c r="HJ218" s="26"/>
      <c r="HK218" s="5"/>
    </row>
    <row r="219" spans="27:219">
      <c r="AA219" s="18" t="s">
        <v>488</v>
      </c>
      <c r="AB219" s="22" t="s">
        <v>491</v>
      </c>
      <c r="AC219" s="59">
        <v>3.6405952380952398</v>
      </c>
      <c r="AD219" s="59">
        <v>8.6549999999999994</v>
      </c>
      <c r="AE219" s="22">
        <v>528</v>
      </c>
      <c r="AF219" s="22">
        <v>1528</v>
      </c>
      <c r="AG219" s="22">
        <v>948.63492063492095</v>
      </c>
      <c r="AH219" s="6">
        <v>10</v>
      </c>
      <c r="AI219" s="6">
        <v>300</v>
      </c>
      <c r="AJ219" s="6">
        <v>14</v>
      </c>
      <c r="AK219" s="24">
        <v>300</v>
      </c>
      <c r="AL219" s="24">
        <v>14</v>
      </c>
      <c r="AM219" s="5">
        <f t="shared" si="185"/>
        <v>920.63492063492095</v>
      </c>
      <c r="AN219" s="26">
        <f t="shared" si="186"/>
        <v>176.06349206349208</v>
      </c>
      <c r="AO219" s="26">
        <f t="shared" si="187"/>
        <v>248482.7399356656</v>
      </c>
      <c r="AP219" s="15">
        <f t="shared" si="188"/>
        <v>6307.6719576719579</v>
      </c>
      <c r="AQ219" s="5">
        <f t="shared" si="189"/>
        <v>5238.7432621467533</v>
      </c>
      <c r="AR219" s="26">
        <f t="shared" si="190"/>
        <v>420.51146384479722</v>
      </c>
      <c r="AS219" s="26">
        <f t="shared" si="191"/>
        <v>3022.1941546989178</v>
      </c>
      <c r="AT219" s="26">
        <f t="shared" si="192"/>
        <v>37.567600585756203</v>
      </c>
      <c r="AU219" s="26">
        <f t="shared" si="193"/>
        <v>5.9854925384629922</v>
      </c>
      <c r="AV219" s="95">
        <f t="shared" si="194"/>
        <v>8.6034497354497351E-7</v>
      </c>
      <c r="AW219" s="95">
        <f t="shared" si="195"/>
        <v>13758293.349206358</v>
      </c>
      <c r="AX219" s="95">
        <f t="shared" si="196"/>
        <v>1.3758293349206359E-5</v>
      </c>
      <c r="AY219" s="54">
        <f t="shared" si="197"/>
        <v>0.1548581140202015</v>
      </c>
      <c r="AZ219" s="54" t="str">
        <f>_xll.Dce_Name_SectI(AE219,AF219,AI219,AH219,AJ219,"x","-",$O$11)</f>
        <v>(528-1528)x300x10x14</v>
      </c>
      <c r="BA219" s="15">
        <f t="shared" si="198"/>
        <v>700.97619047619071</v>
      </c>
      <c r="BB219" s="54"/>
      <c r="BC219" s="54"/>
      <c r="BD219" s="22" t="s">
        <v>507</v>
      </c>
      <c r="BE219" s="23">
        <v>-191.29245003273093</v>
      </c>
      <c r="BF219" s="23">
        <v>-161.61247253230772</v>
      </c>
      <c r="BG219" s="23">
        <v>2.4988837472512924E-3</v>
      </c>
      <c r="BH219" s="23">
        <v>9.7101550473096241E-5</v>
      </c>
      <c r="BI219" s="23">
        <v>-9.1121808922613057E-3</v>
      </c>
      <c r="BJ219" s="23">
        <v>601.22670933569771</v>
      </c>
      <c r="BK219" s="23">
        <v>588.52273609234999</v>
      </c>
      <c r="BL219" s="92">
        <v>2.25</v>
      </c>
      <c r="BM219" s="91">
        <v>2</v>
      </c>
      <c r="BN219" s="5">
        <f t="shared" si="199"/>
        <v>19.473749999999999</v>
      </c>
      <c r="BO219" s="54">
        <f>_xll.Bimoment(BH219,AY219,AC219,AD219,$O$101)</f>
        <v>-7.4677565980587409E-4</v>
      </c>
      <c r="BP219" s="5">
        <f t="shared" si="200"/>
        <v>0.45620689655172403</v>
      </c>
      <c r="BQ219" s="5">
        <f t="shared" si="201"/>
        <v>13.111092386777997</v>
      </c>
      <c r="BR219" s="24" t="str">
        <f t="shared" si="202"/>
        <v>Cal</v>
      </c>
      <c r="BS219" s="25">
        <f t="shared" si="203"/>
        <v>4.7534242282971026E-2</v>
      </c>
      <c r="BT219" s="25" t="str">
        <f t="shared" si="204"/>
        <v>CT.105</v>
      </c>
      <c r="BU219" s="25">
        <f t="shared" si="205"/>
        <v>1</v>
      </c>
      <c r="BV219" s="25" cm="1">
        <f t="array" ref="BV219">IF(BT219="CT.104",_xll.TCVN5575AnnexEHeSoCx(1,BP219),1)</f>
        <v>1</v>
      </c>
      <c r="BW219" s="25">
        <f t="shared" si="206"/>
        <v>1</v>
      </c>
      <c r="BX219" s="25">
        <f t="shared" si="207"/>
        <v>5.0036044508390554E-2</v>
      </c>
      <c r="BY219" s="25">
        <f t="shared" si="208"/>
        <v>0.52852508235178608</v>
      </c>
      <c r="BZ219" s="25">
        <f t="shared" si="209"/>
        <v>9.9792739459515656E-5</v>
      </c>
      <c r="CA219" s="25">
        <f t="shared" si="210"/>
        <v>1.7521985156668547E-5</v>
      </c>
      <c r="CB219" s="25">
        <f t="shared" si="211"/>
        <v>0.57867844158479287</v>
      </c>
      <c r="CC219" s="5" t="str">
        <f t="shared" si="212"/>
        <v>OK</v>
      </c>
      <c r="CD219" s="5">
        <f t="shared" si="213"/>
        <v>51.836555160202302</v>
      </c>
      <c r="CE219" s="5">
        <f t="shared" si="214"/>
        <v>33.414125690541383</v>
      </c>
      <c r="CF219" s="5">
        <f t="shared" si="215"/>
        <v>1.7266865002204341</v>
      </c>
      <c r="CG219" s="5">
        <f t="shared" si="216"/>
        <v>1.1130315193248546</v>
      </c>
      <c r="CH219" s="5">
        <f t="shared" si="217"/>
        <v>10.562886965678462</v>
      </c>
      <c r="CI219" s="68">
        <f>_xll.DCETCVN5575PhuLucD2Eta(BP219,CH219,CF219)</f>
        <v>1.2412413793103447</v>
      </c>
      <c r="CJ219" s="5">
        <f t="shared" si="218"/>
        <v>13.111092386777997</v>
      </c>
      <c r="CK219" s="5">
        <f>MIN(noisuy2chieu(CJ219,CF219,Data!$DA$2:$EB$24),1)</f>
        <v>0.10299693793058395</v>
      </c>
      <c r="CL219" s="102">
        <f t="shared" si="219"/>
        <v>0.48580128219067015</v>
      </c>
      <c r="CM219" s="5" t="str">
        <f t="shared" si="220"/>
        <v>OK</v>
      </c>
      <c r="CN219" s="5">
        <f t="shared" si="221"/>
        <v>0.88472625978979058</v>
      </c>
      <c r="CO219" s="5">
        <f t="shared" si="222"/>
        <v>0.5370345235716667</v>
      </c>
      <c r="CP219" s="25">
        <f>_xll.DCETCVNPhuLucFHeSoOnDinh(1, 0.2, AG219, AH219, AI219, AJ219, AI219, AJ219, $D$28)</f>
        <v>1</v>
      </c>
      <c r="CQ219" s="68">
        <f t="shared" si="223"/>
        <v>0.9</v>
      </c>
      <c r="CR219" s="68">
        <f t="shared" si="224"/>
        <v>1</v>
      </c>
      <c r="CS219" s="5">
        <f t="shared" si="225"/>
        <v>0.18181818181818182</v>
      </c>
      <c r="CT219" s="5">
        <f t="shared" si="226"/>
        <v>0.10155106457844131</v>
      </c>
      <c r="CU219" s="26">
        <f t="shared" si="227"/>
        <v>10.339692235137042</v>
      </c>
      <c r="CV219" s="5"/>
      <c r="CW219" s="25"/>
      <c r="CX219" s="72">
        <f>MAX(_xll.Dce_c_925(CU219, CQ219, CR219, CN219, CP219, CS219, CT219),0.3)</f>
        <v>0.3</v>
      </c>
      <c r="CY219" s="102">
        <f t="shared" si="228"/>
        <v>0.1885179886800204</v>
      </c>
      <c r="CZ219" s="5" t="str">
        <f t="shared" si="229"/>
        <v>OK</v>
      </c>
      <c r="DA219" s="47">
        <f t="shared" si="230"/>
        <v>0.34499859601035404</v>
      </c>
      <c r="DB219" s="46">
        <f t="shared" si="231"/>
        <v>0.47130315193248545</v>
      </c>
      <c r="DC219" s="5" t="str">
        <f t="shared" si="232"/>
        <v>OK</v>
      </c>
      <c r="DD219" s="5">
        <f t="shared" si="233"/>
        <v>1.7266865002204341</v>
      </c>
      <c r="DE219" s="5">
        <f t="shared" si="234"/>
        <v>3.0666541867587034</v>
      </c>
      <c r="DF219" s="5" t="str">
        <f t="shared" si="235"/>
        <v>-</v>
      </c>
      <c r="DG219" s="5" t="str">
        <f t="shared" si="236"/>
        <v>-</v>
      </c>
      <c r="DH219" s="203">
        <f t="shared" si="237"/>
        <v>51.836555160202302</v>
      </c>
      <c r="DI219" s="203">
        <f t="shared" si="238"/>
        <v>180</v>
      </c>
      <c r="DJ219" s="46">
        <f t="shared" si="239"/>
        <v>0.28798086200112388</v>
      </c>
      <c r="DK219" s="5" t="str">
        <f t="shared" si="240"/>
        <v>OK</v>
      </c>
      <c r="EB219" s="18"/>
      <c r="EC219" s="77"/>
      <c r="ED219" s="77"/>
      <c r="EE219" s="18"/>
      <c r="EF219" s="18"/>
      <c r="EG219" s="18"/>
      <c r="EH219" s="5"/>
      <c r="EI219" s="5"/>
      <c r="EJ219" s="5"/>
      <c r="EK219" s="5"/>
      <c r="EL219" s="5"/>
      <c r="FE219" s="26"/>
      <c r="FF219" s="26"/>
      <c r="FG219" s="26"/>
      <c r="FH219" s="26"/>
      <c r="FI219" s="26"/>
      <c r="FJ219" s="26"/>
      <c r="FK219" s="26"/>
      <c r="FL219" s="26"/>
      <c r="FM219" s="26"/>
      <c r="FN219" s="205"/>
      <c r="FO219" s="205"/>
      <c r="FP219" s="205"/>
      <c r="FQ219" s="205"/>
      <c r="FR219" s="205"/>
      <c r="FS219" s="205"/>
      <c r="FT219" s="205"/>
      <c r="FU219" s="77"/>
      <c r="FV219" s="77"/>
      <c r="FW219" s="77"/>
      <c r="FX219" s="205"/>
      <c r="FY219" s="205"/>
      <c r="FZ219" s="205"/>
      <c r="GA219" s="205"/>
      <c r="GB219" s="205"/>
      <c r="GC219" s="205"/>
      <c r="GD219" s="205"/>
      <c r="GE219" s="205"/>
      <c r="GF219" s="205"/>
      <c r="GG219" s="205"/>
      <c r="GH219" s="205"/>
      <c r="GI219" s="205"/>
      <c r="GJ219" s="205"/>
      <c r="GK219" s="205"/>
      <c r="GL219" s="205"/>
      <c r="GM219" s="205"/>
      <c r="GN219" s="205"/>
      <c r="GO219" s="205"/>
      <c r="GP219" s="205"/>
      <c r="GQ219" s="205"/>
      <c r="GR219" s="205"/>
      <c r="GS219" s="205"/>
      <c r="GT219" s="205"/>
      <c r="GU219" s="205"/>
      <c r="GV219" s="18"/>
      <c r="GW219" s="5"/>
      <c r="GX219" s="5"/>
      <c r="GY219" s="77"/>
      <c r="GZ219" s="18"/>
      <c r="HA219" s="18"/>
      <c r="HB219" s="18"/>
      <c r="HC219" s="18"/>
      <c r="HD219" s="18"/>
      <c r="HE219" s="18"/>
      <c r="HF219" s="18"/>
      <c r="HG219" s="18"/>
      <c r="HH219" s="205"/>
      <c r="HI219" s="26"/>
      <c r="HJ219" s="26"/>
      <c r="HK219" s="5"/>
    </row>
    <row r="220" spans="27:219">
      <c r="AA220" s="18" t="s">
        <v>488</v>
      </c>
      <c r="AB220" s="22" t="s">
        <v>491</v>
      </c>
      <c r="AC220" s="59">
        <v>7.2811904761904795</v>
      </c>
      <c r="AD220" s="59">
        <v>8.6549999999999994</v>
      </c>
      <c r="AE220" s="22">
        <v>528</v>
      </c>
      <c r="AF220" s="22">
        <v>1528</v>
      </c>
      <c r="AG220" s="22">
        <v>1369.2698412698419</v>
      </c>
      <c r="AH220" s="6">
        <v>10</v>
      </c>
      <c r="AI220" s="6">
        <v>300</v>
      </c>
      <c r="AJ220" s="6">
        <v>14</v>
      </c>
      <c r="AK220" s="24">
        <v>300</v>
      </c>
      <c r="AL220" s="24">
        <v>14</v>
      </c>
      <c r="AM220" s="5">
        <f t="shared" si="185"/>
        <v>1341.2698412698419</v>
      </c>
      <c r="AN220" s="26">
        <f t="shared" si="186"/>
        <v>218.12698412698418</v>
      </c>
      <c r="AO220" s="26">
        <f t="shared" si="187"/>
        <v>586811.79072745051</v>
      </c>
      <c r="AP220" s="15">
        <f t="shared" si="188"/>
        <v>6311.1772486772488</v>
      </c>
      <c r="AQ220" s="5">
        <f t="shared" si="189"/>
        <v>8571.1635945074104</v>
      </c>
      <c r="AR220" s="26">
        <f t="shared" si="190"/>
        <v>420.74514991181661</v>
      </c>
      <c r="AS220" s="26">
        <f t="shared" si="191"/>
        <v>5094.8226505417015</v>
      </c>
      <c r="AT220" s="26">
        <f t="shared" si="192"/>
        <v>51.867428670398397</v>
      </c>
      <c r="AU220" s="26">
        <f t="shared" si="193"/>
        <v>5.3789869588463937</v>
      </c>
      <c r="AV220" s="95">
        <f t="shared" si="194"/>
        <v>1.0005566137566139E-6</v>
      </c>
      <c r="AW220" s="95">
        <f t="shared" si="195"/>
        <v>28928912.396825422</v>
      </c>
      <c r="AX220" s="95">
        <f t="shared" si="196"/>
        <v>2.8928912396825422E-5</v>
      </c>
      <c r="AY220" s="54">
        <f t="shared" si="197"/>
        <v>0.11516876660535029</v>
      </c>
      <c r="AZ220" s="54" t="str">
        <f>_xll.Dce_Name_SectI(AE220,AF220,AI220,AH220,AJ220,"x","-",$O$11)</f>
        <v>(528-1528)x300x10x14</v>
      </c>
      <c r="BA220" s="15">
        <f t="shared" si="198"/>
        <v>1016.4523809523813</v>
      </c>
      <c r="BB220" s="54"/>
      <c r="BC220" s="54"/>
      <c r="BD220" s="22" t="s">
        <v>507</v>
      </c>
      <c r="BE220" s="23">
        <v>-184.29571484567271</v>
      </c>
      <c r="BF220" s="23">
        <v>-153.99415841268228</v>
      </c>
      <c r="BG220" s="23">
        <v>2.49888374725176E-3</v>
      </c>
      <c r="BH220" s="23">
        <v>9.7101550473096241E-5</v>
      </c>
      <c r="BI220" s="23">
        <v>-1.8231029756662326E-2</v>
      </c>
      <c r="BJ220" s="23">
        <v>1177.0454721847</v>
      </c>
      <c r="BK220" s="23">
        <v>588.52273609234999</v>
      </c>
      <c r="BL220" s="92">
        <v>2.25</v>
      </c>
      <c r="BM220" s="91">
        <v>2</v>
      </c>
      <c r="BN220" s="5">
        <f t="shared" si="199"/>
        <v>19.473749999999999</v>
      </c>
      <c r="BO220" s="54">
        <f>_xll.Bimoment(BH220,AY220,AC220,AD220,$O$101)</f>
        <v>-4.4420759015438978E-4</v>
      </c>
      <c r="BP220" s="5">
        <f t="shared" si="200"/>
        <v>0.31313609467455605</v>
      </c>
      <c r="BQ220" s="5">
        <f t="shared" si="201"/>
        <v>19.709469109187442</v>
      </c>
      <c r="BR220" s="24" t="str">
        <f t="shared" si="202"/>
        <v>Cal</v>
      </c>
      <c r="BS220" s="25">
        <f t="shared" si="203"/>
        <v>3.6964420320432637E-2</v>
      </c>
      <c r="BT220" s="25" t="str">
        <f t="shared" si="204"/>
        <v>CT.105</v>
      </c>
      <c r="BU220" s="25">
        <f t="shared" si="205"/>
        <v>1</v>
      </c>
      <c r="BV220" s="25" cm="1">
        <f t="array" ref="BV220">IF(BT220="CT.104",_xll.TCVN5575AnnexEHeSoCx(1,BP220),1)</f>
        <v>1</v>
      </c>
      <c r="BW220" s="25">
        <f t="shared" si="206"/>
        <v>1</v>
      </c>
      <c r="BX220" s="25">
        <f t="shared" si="207"/>
        <v>3.89099161267712E-2</v>
      </c>
      <c r="BY220" s="25">
        <f t="shared" si="208"/>
        <v>0.63242336801185961</v>
      </c>
      <c r="BZ220" s="25">
        <f t="shared" si="209"/>
        <v>1.9954761139002187E-4</v>
      </c>
      <c r="CA220" s="25">
        <f t="shared" si="210"/>
        <v>7.1877896373774875E-6</v>
      </c>
      <c r="CB220" s="25">
        <f t="shared" si="211"/>
        <v>0.67154001953965825</v>
      </c>
      <c r="CC220" s="5" t="str">
        <f t="shared" si="212"/>
        <v>OK</v>
      </c>
      <c r="CD220" s="5">
        <f t="shared" si="213"/>
        <v>37.545238889226049</v>
      </c>
      <c r="CE220" s="5">
        <f t="shared" si="214"/>
        <v>37.181722419139881</v>
      </c>
      <c r="CF220" s="5">
        <f t="shared" si="215"/>
        <v>1.2506397644909562</v>
      </c>
      <c r="CG220" s="5">
        <f t="shared" si="216"/>
        <v>1.2385309547993069</v>
      </c>
      <c r="CH220" s="5">
        <f t="shared" si="217"/>
        <v>16.253526888913882</v>
      </c>
      <c r="CI220" s="68">
        <f>_xll.DCETCVN5575PhuLucD2Eta(BP220,CH220,CF220)</f>
        <v>1.2126272189349112</v>
      </c>
      <c r="CJ220" s="5">
        <f t="shared" si="218"/>
        <v>19.709469109187442</v>
      </c>
      <c r="CK220" s="5">
        <f>MIN(noisuy2chieu(CJ220,CF220,Data!$DA$2:$EB$24),1)</f>
        <v>7.3157012462615967E-2</v>
      </c>
      <c r="CL220" s="102">
        <f t="shared" si="219"/>
        <v>0.53186857714637525</v>
      </c>
      <c r="CM220" s="5" t="str">
        <f t="shared" si="220"/>
        <v>OK</v>
      </c>
      <c r="CN220" s="5">
        <f t="shared" si="221"/>
        <v>0.86643683692746631</v>
      </c>
      <c r="CO220" s="5">
        <f t="shared" si="222"/>
        <v>0.5370345235716667</v>
      </c>
      <c r="CP220" s="25">
        <f>_xll.DCETCVNPhuLucFHeSoOnDinh(1, 0.2, AG220, AH220, AI220, AJ220, AI220, AJ220, $D$28)</f>
        <v>1</v>
      </c>
      <c r="CQ220" s="68">
        <f t="shared" si="223"/>
        <v>0.9</v>
      </c>
      <c r="CR220" s="68">
        <f t="shared" si="224"/>
        <v>1</v>
      </c>
      <c r="CS220" s="5">
        <f t="shared" si="225"/>
        <v>0.18181818181818182</v>
      </c>
      <c r="CT220" s="5">
        <f t="shared" si="226"/>
        <v>0.10347287704587492</v>
      </c>
      <c r="CU220" s="26">
        <f t="shared" si="227"/>
        <v>8.126763444456941</v>
      </c>
      <c r="CV220" s="5"/>
      <c r="CW220" s="25"/>
      <c r="CX220" s="72">
        <f>MAX(_xll.Dce_c_925(CU220, CQ220, CR220, CN220, CP220, CS220, CT220),0.3)</f>
        <v>0.3</v>
      </c>
      <c r="CY220" s="102">
        <f t="shared" si="228"/>
        <v>0.14969322043428826</v>
      </c>
      <c r="CZ220" s="5" t="str">
        <f t="shared" si="229"/>
        <v>OK</v>
      </c>
      <c r="DA220" s="47">
        <f t="shared" si="230"/>
        <v>0.34499859601035404</v>
      </c>
      <c r="DB220" s="46">
        <f t="shared" si="231"/>
        <v>0.48385309547993066</v>
      </c>
      <c r="DC220" s="5" t="str">
        <f t="shared" si="232"/>
        <v>OK</v>
      </c>
      <c r="DD220" s="5">
        <f t="shared" si="233"/>
        <v>1.2506397644909562</v>
      </c>
      <c r="DE220" s="5">
        <f t="shared" si="234"/>
        <v>4.4677979100191463</v>
      </c>
      <c r="DF220" s="5" t="str">
        <f t="shared" si="235"/>
        <v>-</v>
      </c>
      <c r="DG220" s="5" t="str">
        <f t="shared" si="236"/>
        <v>-</v>
      </c>
      <c r="DH220" s="203">
        <f t="shared" si="237"/>
        <v>37.545238889226049</v>
      </c>
      <c r="DI220" s="203">
        <f t="shared" si="238"/>
        <v>178.08788537121748</v>
      </c>
      <c r="DJ220" s="46">
        <f t="shared" si="239"/>
        <v>0.21082421643091789</v>
      </c>
      <c r="DK220" s="5" t="str">
        <f t="shared" si="240"/>
        <v>OK</v>
      </c>
      <c r="EB220" s="18"/>
      <c r="EC220" s="77"/>
      <c r="ED220" s="77"/>
      <c r="EE220" s="18"/>
      <c r="EF220" s="18"/>
      <c r="EG220" s="18"/>
      <c r="EH220" s="5"/>
      <c r="EI220" s="5"/>
      <c r="EJ220" s="5"/>
      <c r="EK220" s="5"/>
      <c r="EL220" s="5"/>
      <c r="FE220" s="26"/>
      <c r="FF220" s="26"/>
      <c r="FG220" s="26"/>
      <c r="FH220" s="26"/>
      <c r="FI220" s="26"/>
      <c r="FJ220" s="26"/>
      <c r="FK220" s="26"/>
      <c r="FL220" s="26"/>
      <c r="FM220" s="26"/>
      <c r="FN220" s="205"/>
      <c r="FO220" s="205"/>
      <c r="FP220" s="205"/>
      <c r="FQ220" s="205"/>
      <c r="FR220" s="205"/>
      <c r="FS220" s="205"/>
      <c r="FT220" s="205"/>
      <c r="FU220" s="77"/>
      <c r="FV220" s="77"/>
      <c r="FW220" s="77"/>
      <c r="FX220" s="205"/>
      <c r="FY220" s="205"/>
      <c r="FZ220" s="205"/>
      <c r="GA220" s="205"/>
      <c r="GB220" s="205"/>
      <c r="GC220" s="205"/>
      <c r="GD220" s="205"/>
      <c r="GE220" s="205"/>
      <c r="GF220" s="205"/>
      <c r="GG220" s="205"/>
      <c r="GH220" s="205"/>
      <c r="GI220" s="205"/>
      <c r="GJ220" s="205"/>
      <c r="GK220" s="205"/>
      <c r="GL220" s="205"/>
      <c r="GM220" s="205"/>
      <c r="GN220" s="205"/>
      <c r="GO220" s="205"/>
      <c r="GP220" s="205"/>
      <c r="GQ220" s="205"/>
      <c r="GR220" s="205"/>
      <c r="GS220" s="205"/>
      <c r="GT220" s="205"/>
      <c r="GU220" s="205"/>
      <c r="GV220" s="18"/>
      <c r="GW220" s="5"/>
      <c r="GX220" s="5"/>
      <c r="GY220" s="77"/>
      <c r="GZ220" s="18"/>
      <c r="HA220" s="18"/>
      <c r="HB220" s="18"/>
      <c r="HC220" s="18"/>
      <c r="HD220" s="18"/>
      <c r="HE220" s="18"/>
      <c r="HF220" s="18"/>
      <c r="HG220" s="18"/>
      <c r="HH220" s="205"/>
      <c r="HI220" s="26"/>
      <c r="HJ220" s="26"/>
      <c r="HK220" s="5"/>
    </row>
    <row r="221" spans="27:219">
      <c r="AA221" s="18" t="s">
        <v>488</v>
      </c>
      <c r="AB221" s="22" t="s">
        <v>491</v>
      </c>
      <c r="AC221" s="59">
        <v>0</v>
      </c>
      <c r="AD221" s="59">
        <v>8.6549999999999994</v>
      </c>
      <c r="AE221" s="22">
        <v>528</v>
      </c>
      <c r="AF221" s="22">
        <v>1528</v>
      </c>
      <c r="AG221" s="22">
        <v>528</v>
      </c>
      <c r="AH221" s="6">
        <v>10</v>
      </c>
      <c r="AI221" s="6">
        <v>300</v>
      </c>
      <c r="AJ221" s="6">
        <v>14</v>
      </c>
      <c r="AK221" s="24">
        <v>300</v>
      </c>
      <c r="AL221" s="24">
        <v>14</v>
      </c>
      <c r="AM221" s="5">
        <f t="shared" si="185"/>
        <v>500</v>
      </c>
      <c r="AN221" s="26">
        <f t="shared" si="186"/>
        <v>134</v>
      </c>
      <c r="AO221" s="26">
        <f t="shared" si="187"/>
        <v>65911.546666666676</v>
      </c>
      <c r="AP221" s="15">
        <f t="shared" si="188"/>
        <v>6304.166666666667</v>
      </c>
      <c r="AQ221" s="5">
        <f t="shared" si="189"/>
        <v>2496.6494949494954</v>
      </c>
      <c r="AR221" s="26">
        <f t="shared" si="190"/>
        <v>420.27777777777777</v>
      </c>
      <c r="AS221" s="26">
        <f t="shared" si="191"/>
        <v>1391.9</v>
      </c>
      <c r="AT221" s="26">
        <f t="shared" si="192"/>
        <v>22.178305028345793</v>
      </c>
      <c r="AU221" s="26">
        <f t="shared" si="193"/>
        <v>6.8590101254115021</v>
      </c>
      <c r="AV221" s="95">
        <f t="shared" si="194"/>
        <v>7.201333333333334E-7</v>
      </c>
      <c r="AW221" s="95">
        <f t="shared" si="195"/>
        <v>4161087</v>
      </c>
      <c r="AX221" s="95">
        <f t="shared" si="196"/>
        <v>4.1610870000000001E-6</v>
      </c>
      <c r="AY221" s="54">
        <f t="shared" si="197"/>
        <v>0.25762202780669918</v>
      </c>
      <c r="AZ221" s="54" t="str">
        <f>_xll.Dce_Name_SectI(AE221,AF221,AI221,AH221,AJ221,"x","-",$O$11)</f>
        <v>(528-1528)x300x10x14</v>
      </c>
      <c r="BA221" s="15">
        <f t="shared" si="198"/>
        <v>385.5</v>
      </c>
      <c r="BB221" s="54"/>
      <c r="BC221" s="54"/>
      <c r="BD221" s="22" t="s">
        <v>508</v>
      </c>
      <c r="BE221" s="23">
        <v>-78.843311798078844</v>
      </c>
      <c r="BF221" s="23">
        <v>-28.926158200412914</v>
      </c>
      <c r="BG221" s="23">
        <v>-4.5119873662626171E-4</v>
      </c>
      <c r="BH221" s="23">
        <v>3.515936661684503E-5</v>
      </c>
      <c r="BI221" s="23">
        <v>2.4143968444612002E-6</v>
      </c>
      <c r="BJ221" s="23">
        <v>-1.073495361487065</v>
      </c>
      <c r="BK221" s="23">
        <v>155.27480345354809</v>
      </c>
      <c r="BL221" s="92">
        <v>2.25</v>
      </c>
      <c r="BM221" s="91">
        <v>2</v>
      </c>
      <c r="BN221" s="5">
        <f t="shared" si="199"/>
        <v>19.473749999999999</v>
      </c>
      <c r="BO221" s="54">
        <f>_xll.Bimoment(BH221,AY221,AC221,AD221,$O$101)</f>
        <v>0</v>
      </c>
      <c r="BP221" s="5">
        <f t="shared" si="200"/>
        <v>0.84</v>
      </c>
      <c r="BQ221" s="5">
        <f t="shared" si="201"/>
        <v>0.11083692835233989</v>
      </c>
      <c r="BR221" s="24" t="str">
        <f t="shared" si="202"/>
        <v>Cal</v>
      </c>
      <c r="BS221" s="25">
        <f t="shared" si="203"/>
        <v>2.5741752919148878E-2</v>
      </c>
      <c r="BT221" s="25" t="str">
        <f t="shared" si="204"/>
        <v>CT.105</v>
      </c>
      <c r="BU221" s="25">
        <f t="shared" si="205"/>
        <v>1</v>
      </c>
      <c r="BV221" s="25" cm="1">
        <f t="array" ref="BV221">IF(BT221="CT.104",_xll.TCVN5575AnnexEHeSoCx(1,BP221),1)</f>
        <v>1</v>
      </c>
      <c r="BW221" s="25">
        <f t="shared" si="206"/>
        <v>1</v>
      </c>
      <c r="BX221" s="25">
        <f t="shared" si="207"/>
        <v>2.7096582020156714E-2</v>
      </c>
      <c r="BY221" s="25">
        <f t="shared" si="208"/>
        <v>1.9801452500352998E-3</v>
      </c>
      <c r="BZ221" s="25">
        <f t="shared" si="209"/>
        <v>2.6456152155191085E-8</v>
      </c>
      <c r="CA221" s="25">
        <f t="shared" si="210"/>
        <v>0</v>
      </c>
      <c r="CB221" s="25">
        <f t="shared" si="211"/>
        <v>2.9076753726344169E-2</v>
      </c>
      <c r="CC221" s="5" t="str">
        <f t="shared" si="212"/>
        <v>OK</v>
      </c>
      <c r="CD221" s="5">
        <f t="shared" si="213"/>
        <v>87.805402509844015</v>
      </c>
      <c r="CE221" s="5">
        <f t="shared" si="214"/>
        <v>29.158726455153193</v>
      </c>
      <c r="CF221" s="5">
        <f t="shared" si="215"/>
        <v>2.9248163326364334</v>
      </c>
      <c r="CG221" s="5">
        <f t="shared" si="216"/>
        <v>0.97128328026682387</v>
      </c>
      <c r="CH221" s="5">
        <f t="shared" si="217"/>
        <v>7.3077307261938104E-2</v>
      </c>
      <c r="CI221" s="68">
        <f>_xll.DCETCVN5575PhuLucD2Eta(BP221,CH221,CF221)</f>
        <v>1.5167078879228035</v>
      </c>
      <c r="CJ221" s="5">
        <f t="shared" si="218"/>
        <v>0.11083692835233989</v>
      </c>
      <c r="CK221" s="5">
        <f>MIN(noisuy2chieu(CJ221,CF221,Data!$DA$2:$EB$24),1)</f>
        <v>0.67322033643722534</v>
      </c>
      <c r="CL221" s="102">
        <f t="shared" si="219"/>
        <v>4.0249203052236289E-2</v>
      </c>
      <c r="CM221" s="5" t="str">
        <f t="shared" si="220"/>
        <v>OK</v>
      </c>
      <c r="CN221" s="5">
        <f t="shared" si="221"/>
        <v>0.90492218941026858</v>
      </c>
      <c r="CO221" s="5">
        <f t="shared" si="222"/>
        <v>0.5370345235716667</v>
      </c>
      <c r="CP221" s="25">
        <f>_xll.DCETCVNPhuLucFHeSoOnDinh(1, 0.2, AG221, AH221, AI221, AJ221, AI221, AJ221, $D$28)</f>
        <v>1</v>
      </c>
      <c r="CQ221" s="68">
        <f t="shared" si="223"/>
        <v>0.9</v>
      </c>
      <c r="CR221" s="68">
        <f t="shared" si="224"/>
        <v>1</v>
      </c>
      <c r="CS221" s="5">
        <f t="shared" si="225"/>
        <v>0.18181818181818182</v>
      </c>
      <c r="CT221" s="5">
        <f t="shared" si="226"/>
        <v>9.9510191986788829E-2</v>
      </c>
      <c r="CU221" s="26">
        <f t="shared" si="227"/>
        <v>10.57020358829814</v>
      </c>
      <c r="CV221" s="5"/>
      <c r="CW221" s="25"/>
      <c r="CX221" s="72">
        <f>MAX(_xll.Dce_c_925(CU221, CQ221, CR221, CN221, CP221, CS221, CT221),0.3)</f>
        <v>0.3</v>
      </c>
      <c r="CY221" s="102">
        <f t="shared" si="228"/>
        <v>9.9811830369693141E-2</v>
      </c>
      <c r="CZ221" s="5" t="str">
        <f t="shared" si="229"/>
        <v>OK</v>
      </c>
      <c r="DA221" s="47">
        <f t="shared" si="230"/>
        <v>0.34499859601035404</v>
      </c>
      <c r="DB221" s="46">
        <f t="shared" si="231"/>
        <v>0.45712832802668235</v>
      </c>
      <c r="DC221" s="5" t="str">
        <f t="shared" si="232"/>
        <v>OK</v>
      </c>
      <c r="DD221" s="5">
        <f t="shared" si="233"/>
        <v>2.9248163326364334</v>
      </c>
      <c r="DE221" s="5">
        <f t="shared" si="234"/>
        <v>1.6655104634982609</v>
      </c>
      <c r="DF221" s="5" t="str">
        <f t="shared" si="235"/>
        <v>-</v>
      </c>
      <c r="DG221" s="5" t="str">
        <f t="shared" si="236"/>
        <v>-</v>
      </c>
      <c r="DH221" s="203" t="str">
        <f t="shared" si="237"/>
        <v>-</v>
      </c>
      <c r="DI221" s="203">
        <f t="shared" si="238"/>
        <v>180</v>
      </c>
      <c r="DJ221" s="46">
        <f t="shared" si="239"/>
        <v>0</v>
      </c>
      <c r="DK221" s="5" t="str">
        <f t="shared" si="240"/>
        <v>OK</v>
      </c>
      <c r="EB221" s="18"/>
      <c r="EC221" s="77"/>
      <c r="ED221" s="77"/>
      <c r="EE221" s="18"/>
      <c r="EF221" s="18"/>
      <c r="EG221" s="18"/>
      <c r="EH221" s="5"/>
      <c r="EI221" s="5"/>
      <c r="EJ221" s="5"/>
      <c r="EK221" s="5"/>
      <c r="EL221" s="5"/>
      <c r="FE221" s="26"/>
      <c r="FF221" s="26"/>
      <c r="FG221" s="26"/>
      <c r="FH221" s="26"/>
      <c r="FI221" s="26"/>
      <c r="FJ221" s="26"/>
      <c r="FK221" s="26"/>
      <c r="FL221" s="26"/>
      <c r="FM221" s="26"/>
      <c r="FN221" s="205"/>
      <c r="FO221" s="205"/>
      <c r="FP221" s="205"/>
      <c r="FQ221" s="205"/>
      <c r="FR221" s="205"/>
      <c r="FS221" s="205"/>
      <c r="FT221" s="205"/>
      <c r="FU221" s="77"/>
      <c r="FV221" s="77"/>
      <c r="FW221" s="77"/>
      <c r="FX221" s="205"/>
      <c r="FY221" s="205"/>
      <c r="FZ221" s="205"/>
      <c r="GA221" s="205"/>
      <c r="GB221" s="205"/>
      <c r="GC221" s="205"/>
      <c r="GD221" s="205"/>
      <c r="GE221" s="205"/>
      <c r="GF221" s="205"/>
      <c r="GG221" s="205"/>
      <c r="GH221" s="205"/>
      <c r="GI221" s="205"/>
      <c r="GJ221" s="205"/>
      <c r="GK221" s="205"/>
      <c r="GL221" s="205"/>
      <c r="GM221" s="205"/>
      <c r="GN221" s="205"/>
      <c r="GO221" s="205"/>
      <c r="GP221" s="205"/>
      <c r="GQ221" s="205"/>
      <c r="GR221" s="205"/>
      <c r="GS221" s="205"/>
      <c r="GT221" s="205"/>
      <c r="GU221" s="205"/>
      <c r="GV221" s="18"/>
      <c r="GW221" s="5"/>
      <c r="GX221" s="5"/>
      <c r="GY221" s="77"/>
      <c r="GZ221" s="18"/>
      <c r="HA221" s="18"/>
      <c r="HB221" s="18"/>
      <c r="HC221" s="18"/>
      <c r="HD221" s="18"/>
      <c r="HE221" s="18"/>
      <c r="HF221" s="18"/>
      <c r="HG221" s="18"/>
      <c r="HH221" s="205"/>
      <c r="HI221" s="26"/>
      <c r="HJ221" s="26"/>
      <c r="HK221" s="5"/>
    </row>
    <row r="222" spans="27:219">
      <c r="AA222" s="18" t="s">
        <v>488</v>
      </c>
      <c r="AB222" s="22" t="s">
        <v>491</v>
      </c>
      <c r="AC222" s="59">
        <v>3.6405952380952398</v>
      </c>
      <c r="AD222" s="59">
        <v>8.6549999999999994</v>
      </c>
      <c r="AE222" s="22">
        <v>528</v>
      </c>
      <c r="AF222" s="22">
        <v>1528</v>
      </c>
      <c r="AG222" s="22">
        <v>948.63492063492095</v>
      </c>
      <c r="AH222" s="6">
        <v>10</v>
      </c>
      <c r="AI222" s="6">
        <v>300</v>
      </c>
      <c r="AJ222" s="6">
        <v>14</v>
      </c>
      <c r="AK222" s="24">
        <v>300</v>
      </c>
      <c r="AL222" s="24">
        <v>14</v>
      </c>
      <c r="AM222" s="5">
        <f t="shared" si="185"/>
        <v>920.63492063492095</v>
      </c>
      <c r="AN222" s="26">
        <f t="shared" si="186"/>
        <v>176.06349206349208</v>
      </c>
      <c r="AO222" s="26">
        <f t="shared" si="187"/>
        <v>248482.7399356656</v>
      </c>
      <c r="AP222" s="15">
        <f t="shared" si="188"/>
        <v>6307.6719576719579</v>
      </c>
      <c r="AQ222" s="5">
        <f t="shared" si="189"/>
        <v>5238.7432621467533</v>
      </c>
      <c r="AR222" s="26">
        <f t="shared" si="190"/>
        <v>420.51146384479722</v>
      </c>
      <c r="AS222" s="26">
        <f t="shared" si="191"/>
        <v>3022.1941546989178</v>
      </c>
      <c r="AT222" s="26">
        <f t="shared" si="192"/>
        <v>37.567600585756203</v>
      </c>
      <c r="AU222" s="26">
        <f t="shared" si="193"/>
        <v>5.9854925384629922</v>
      </c>
      <c r="AV222" s="95">
        <f t="shared" si="194"/>
        <v>8.6034497354497351E-7</v>
      </c>
      <c r="AW222" s="95">
        <f t="shared" si="195"/>
        <v>13758293.349206358</v>
      </c>
      <c r="AX222" s="95">
        <f t="shared" si="196"/>
        <v>1.3758293349206359E-5</v>
      </c>
      <c r="AY222" s="54">
        <f t="shared" si="197"/>
        <v>0.1548581140202015</v>
      </c>
      <c r="AZ222" s="54" t="str">
        <f>_xll.Dce_Name_SectI(AE222,AF222,AI222,AH222,AJ222,"x","-",$O$11)</f>
        <v>(528-1528)x300x10x14</v>
      </c>
      <c r="BA222" s="15">
        <f t="shared" si="198"/>
        <v>700.97619047619071</v>
      </c>
      <c r="BB222" s="54"/>
      <c r="BC222" s="54"/>
      <c r="BD222" s="22" t="s">
        <v>508</v>
      </c>
      <c r="BE222" s="23">
        <v>-74.862921111513003</v>
      </c>
      <c r="BF222" s="23">
        <v>-42.680176637695439</v>
      </c>
      <c r="BG222" s="23">
        <v>-4.5119873662710598E-4</v>
      </c>
      <c r="BH222" s="23">
        <v>3.515936661684503E-5</v>
      </c>
      <c r="BI222" s="23">
        <v>1.6489147959257572E-3</v>
      </c>
      <c r="BJ222" s="23">
        <v>129.54612096559606</v>
      </c>
      <c r="BK222" s="23">
        <v>155.27480345354809</v>
      </c>
      <c r="BL222" s="92">
        <v>2.25</v>
      </c>
      <c r="BM222" s="91">
        <v>2</v>
      </c>
      <c r="BN222" s="5">
        <f t="shared" si="199"/>
        <v>19.473749999999999</v>
      </c>
      <c r="BO222" s="54">
        <f>_xll.Bimoment(BH222,AY222,AC222,AD222,$O$101)</f>
        <v>-2.7039896969436981E-4</v>
      </c>
      <c r="BP222" s="5">
        <f t="shared" si="200"/>
        <v>0.45620689655172403</v>
      </c>
      <c r="BQ222" s="5">
        <f t="shared" si="201"/>
        <v>7.2186516682497519</v>
      </c>
      <c r="BR222" s="24" t="str">
        <f t="shared" si="202"/>
        <v>Cal</v>
      </c>
      <c r="BS222" s="25">
        <f t="shared" si="203"/>
        <v>1.8602679977786488E-2</v>
      </c>
      <c r="BT222" s="25" t="str">
        <f t="shared" si="204"/>
        <v>CT.105</v>
      </c>
      <c r="BU222" s="25">
        <f t="shared" si="205"/>
        <v>1</v>
      </c>
      <c r="BV222" s="25" cm="1">
        <f t="array" ref="BV222">IF(BT222="CT.104",_xll.TCVN5575AnnexEHeSoCx(1,BP222),1)</f>
        <v>1</v>
      </c>
      <c r="BW222" s="25">
        <f t="shared" si="206"/>
        <v>1</v>
      </c>
      <c r="BX222" s="25">
        <f t="shared" si="207"/>
        <v>1.9581768397669983E-2</v>
      </c>
      <c r="BY222" s="25">
        <f t="shared" si="208"/>
        <v>0.11388112535344211</v>
      </c>
      <c r="BZ222" s="25">
        <f t="shared" si="209"/>
        <v>1.8058215323678059E-5</v>
      </c>
      <c r="CA222" s="25">
        <f t="shared" si="210"/>
        <v>6.3445114622440296E-6</v>
      </c>
      <c r="CB222" s="25">
        <f t="shared" si="211"/>
        <v>0.13348729647789803</v>
      </c>
      <c r="CC222" s="5" t="str">
        <f t="shared" si="212"/>
        <v>OK</v>
      </c>
      <c r="CD222" s="5">
        <f t="shared" si="213"/>
        <v>51.836555160202302</v>
      </c>
      <c r="CE222" s="5">
        <f t="shared" si="214"/>
        <v>33.414125690541383</v>
      </c>
      <c r="CF222" s="5">
        <f t="shared" si="215"/>
        <v>1.7266865002204341</v>
      </c>
      <c r="CG222" s="5">
        <f t="shared" si="216"/>
        <v>1.1130315193248546</v>
      </c>
      <c r="CH222" s="5">
        <f t="shared" si="217"/>
        <v>5.8156711406612631</v>
      </c>
      <c r="CI222" s="68">
        <f>_xll.DCETCVN5575PhuLucD2Eta(BP222,CH222,CF222)</f>
        <v>1.2412413793103447</v>
      </c>
      <c r="CJ222" s="5">
        <f t="shared" si="218"/>
        <v>7.2186516682497519</v>
      </c>
      <c r="CK222" s="5">
        <f>MIN(noisuy2chieu(CJ222,CF222,Data!$DA$2:$EB$24),1)</f>
        <v>0.17260339856147766</v>
      </c>
      <c r="CL222" s="102">
        <f t="shared" si="219"/>
        <v>0.11344949497443052</v>
      </c>
      <c r="CM222" s="5" t="str">
        <f t="shared" si="220"/>
        <v>OK</v>
      </c>
      <c r="CN222" s="5">
        <f t="shared" si="221"/>
        <v>0.88472625978979058</v>
      </c>
      <c r="CO222" s="5">
        <f t="shared" si="222"/>
        <v>0.5370345235716667</v>
      </c>
      <c r="CP222" s="25">
        <f>_xll.DCETCVNPhuLucFHeSoOnDinh(1, 0.2, AG222, AH222, AI222, AJ222, AI222, AJ222, $D$28)</f>
        <v>1</v>
      </c>
      <c r="CQ222" s="68">
        <f t="shared" si="223"/>
        <v>0.9</v>
      </c>
      <c r="CR222" s="68">
        <f t="shared" si="224"/>
        <v>1</v>
      </c>
      <c r="CS222" s="5">
        <f t="shared" si="225"/>
        <v>0.18181818181818182</v>
      </c>
      <c r="CT222" s="5">
        <f t="shared" si="226"/>
        <v>0.10155106457844131</v>
      </c>
      <c r="CU222" s="26">
        <f t="shared" si="227"/>
        <v>6.9707003697661403</v>
      </c>
      <c r="CV222" s="5"/>
      <c r="CW222" s="25"/>
      <c r="CX222" s="72">
        <f>MAX(_xll.Dce_c_925(CU222, CQ222, CR222, CN222, CP222, CS222, CT222),0.3)</f>
        <v>0.3</v>
      </c>
      <c r="CY222" s="102">
        <f t="shared" si="228"/>
        <v>7.3777126657318018E-2</v>
      </c>
      <c r="CZ222" s="5" t="str">
        <f t="shared" si="229"/>
        <v>OK</v>
      </c>
      <c r="DA222" s="47">
        <f t="shared" si="230"/>
        <v>0.34499859601035404</v>
      </c>
      <c r="DB222" s="46">
        <f t="shared" si="231"/>
        <v>0.47130315193248545</v>
      </c>
      <c r="DC222" s="5" t="str">
        <f t="shared" si="232"/>
        <v>OK</v>
      </c>
      <c r="DD222" s="5">
        <f t="shared" si="233"/>
        <v>1.7266865002204341</v>
      </c>
      <c r="DE222" s="5">
        <f t="shared" si="234"/>
        <v>3.0666541867587034</v>
      </c>
      <c r="DF222" s="5">
        <f t="shared" si="235"/>
        <v>1.7472169405065237</v>
      </c>
      <c r="DG222" s="5" t="str">
        <f t="shared" si="236"/>
        <v>Gia cường</v>
      </c>
      <c r="DH222" s="203">
        <f t="shared" si="237"/>
        <v>51.836555160202302</v>
      </c>
      <c r="DI222" s="203">
        <f t="shared" si="238"/>
        <v>180</v>
      </c>
      <c r="DJ222" s="46">
        <f t="shared" si="239"/>
        <v>0.28798086200112388</v>
      </c>
      <c r="DK222" s="5" t="str">
        <f t="shared" si="240"/>
        <v>OK</v>
      </c>
      <c r="EB222" s="18"/>
      <c r="EC222" s="77"/>
      <c r="ED222" s="77"/>
      <c r="EE222" s="18"/>
      <c r="EF222" s="18"/>
      <c r="EG222" s="18"/>
      <c r="EH222" s="5"/>
      <c r="EI222" s="5"/>
      <c r="EJ222" s="5"/>
      <c r="EK222" s="5"/>
      <c r="EL222" s="5"/>
      <c r="FE222" s="26"/>
      <c r="FF222" s="26"/>
      <c r="FG222" s="26"/>
      <c r="FH222" s="26"/>
      <c r="FI222" s="26"/>
      <c r="FJ222" s="26"/>
      <c r="FK222" s="26"/>
      <c r="FL222" s="26"/>
      <c r="FM222" s="26"/>
      <c r="FN222" s="205"/>
      <c r="FO222" s="205"/>
      <c r="FP222" s="205"/>
      <c r="FQ222" s="205"/>
      <c r="FR222" s="205"/>
      <c r="FS222" s="205"/>
      <c r="FT222" s="205"/>
      <c r="FU222" s="77"/>
      <c r="FV222" s="77"/>
      <c r="FW222" s="77"/>
      <c r="FX222" s="205"/>
      <c r="FY222" s="205"/>
      <c r="FZ222" s="205"/>
      <c r="GA222" s="205"/>
      <c r="GB222" s="205"/>
      <c r="GC222" s="205"/>
      <c r="GD222" s="205"/>
      <c r="GE222" s="205"/>
      <c r="GF222" s="205"/>
      <c r="GG222" s="205"/>
      <c r="GH222" s="205"/>
      <c r="GI222" s="205"/>
      <c r="GJ222" s="205"/>
      <c r="GK222" s="205"/>
      <c r="GL222" s="205"/>
      <c r="GM222" s="205"/>
      <c r="GN222" s="205"/>
      <c r="GO222" s="205"/>
      <c r="GP222" s="205"/>
      <c r="GQ222" s="205"/>
      <c r="GR222" s="205"/>
      <c r="GS222" s="205"/>
      <c r="GT222" s="205"/>
      <c r="GU222" s="205"/>
      <c r="GV222" s="18"/>
      <c r="GW222" s="5"/>
      <c r="GX222" s="5"/>
      <c r="GY222" s="77"/>
      <c r="GZ222" s="18"/>
      <c r="HA222" s="18"/>
      <c r="HB222" s="18"/>
      <c r="HC222" s="18"/>
      <c r="HD222" s="18"/>
      <c r="HE222" s="18"/>
      <c r="HF222" s="18"/>
      <c r="HG222" s="18"/>
      <c r="HH222" s="205"/>
      <c r="HI222" s="26"/>
      <c r="HJ222" s="26"/>
      <c r="HK222" s="5"/>
    </row>
    <row r="223" spans="27:219">
      <c r="AA223" s="18" t="s">
        <v>488</v>
      </c>
      <c r="AB223" s="22" t="s">
        <v>491</v>
      </c>
      <c r="AC223" s="59">
        <v>7.2811904761904795</v>
      </c>
      <c r="AD223" s="59">
        <v>8.6549999999999994</v>
      </c>
      <c r="AE223" s="22">
        <v>528</v>
      </c>
      <c r="AF223" s="22">
        <v>1528</v>
      </c>
      <c r="AG223" s="22">
        <v>1369.2698412698419</v>
      </c>
      <c r="AH223" s="6">
        <v>10</v>
      </c>
      <c r="AI223" s="6">
        <v>300</v>
      </c>
      <c r="AJ223" s="6">
        <v>14</v>
      </c>
      <c r="AK223" s="24">
        <v>300</v>
      </c>
      <c r="AL223" s="24">
        <v>14</v>
      </c>
      <c r="AM223" s="5">
        <f t="shared" si="185"/>
        <v>1341.2698412698419</v>
      </c>
      <c r="AN223" s="26">
        <f t="shared" si="186"/>
        <v>218.12698412698418</v>
      </c>
      <c r="AO223" s="26">
        <f t="shared" si="187"/>
        <v>586811.79072745051</v>
      </c>
      <c r="AP223" s="15">
        <f t="shared" si="188"/>
        <v>6311.1772486772488</v>
      </c>
      <c r="AQ223" s="5">
        <f t="shared" si="189"/>
        <v>8571.1635945074104</v>
      </c>
      <c r="AR223" s="26">
        <f t="shared" si="190"/>
        <v>420.74514991181661</v>
      </c>
      <c r="AS223" s="26">
        <f t="shared" si="191"/>
        <v>5094.8226505417015</v>
      </c>
      <c r="AT223" s="26">
        <f t="shared" si="192"/>
        <v>51.867428670398397</v>
      </c>
      <c r="AU223" s="26">
        <f t="shared" si="193"/>
        <v>5.3789869588463937</v>
      </c>
      <c r="AV223" s="95">
        <f t="shared" si="194"/>
        <v>1.0005566137566139E-6</v>
      </c>
      <c r="AW223" s="95">
        <f t="shared" si="195"/>
        <v>28928912.396825422</v>
      </c>
      <c r="AX223" s="95">
        <f t="shared" si="196"/>
        <v>2.8928912396825422E-5</v>
      </c>
      <c r="AY223" s="54">
        <f t="shared" si="197"/>
        <v>0.11516876660535029</v>
      </c>
      <c r="AZ223" s="54" t="str">
        <f>_xll.Dce_Name_SectI(AE223,AF223,AI223,AH223,AJ223,"x","-",$O$11)</f>
        <v>(528-1528)x300x10x14</v>
      </c>
      <c r="BA223" s="15">
        <f t="shared" si="198"/>
        <v>1016.4523809523813</v>
      </c>
      <c r="BB223" s="54"/>
      <c r="BC223" s="54"/>
      <c r="BD223" s="22" t="s">
        <v>508</v>
      </c>
      <c r="BE223" s="23">
        <v>-69.341094674454752</v>
      </c>
      <c r="BF223" s="23">
        <v>-56.540045605570015</v>
      </c>
      <c r="BG223" s="23">
        <v>-4.5119873662795664E-4</v>
      </c>
      <c r="BH223" s="23">
        <v>3.515936661684503E-5</v>
      </c>
      <c r="BI223" s="23">
        <v>3.2954151950101481E-3</v>
      </c>
      <c r="BJ223" s="23">
        <v>310.54960690709618</v>
      </c>
      <c r="BK223" s="23">
        <v>155.27480345354809</v>
      </c>
      <c r="BL223" s="92">
        <v>2.25</v>
      </c>
      <c r="BM223" s="91">
        <v>2</v>
      </c>
      <c r="BN223" s="5">
        <f t="shared" si="199"/>
        <v>19.473749999999999</v>
      </c>
      <c r="BO223" s="54">
        <f>_xll.Bimoment(BH223,AY223,AC223,AD223,$O$101)</f>
        <v>-1.6084251425573992E-4</v>
      </c>
      <c r="BP223" s="5">
        <f t="shared" si="200"/>
        <v>0.31313609467455605</v>
      </c>
      <c r="BQ223" s="5">
        <f t="shared" si="201"/>
        <v>13.820928269854839</v>
      </c>
      <c r="BR223" s="24" t="str">
        <f t="shared" si="202"/>
        <v>Cal</v>
      </c>
      <c r="BS223" s="25">
        <f t="shared" si="203"/>
        <v>1.39078294423276E-2</v>
      </c>
      <c r="BT223" s="25" t="str">
        <f t="shared" si="204"/>
        <v>CT.105</v>
      </c>
      <c r="BU223" s="25">
        <f t="shared" si="205"/>
        <v>1</v>
      </c>
      <c r="BV223" s="25" cm="1">
        <f t="array" ref="BV223">IF(BT223="CT.104",_xll.TCVN5575AnnexEHeSoCx(1,BP223),1)</f>
        <v>1</v>
      </c>
      <c r="BW223" s="25">
        <f t="shared" si="206"/>
        <v>1</v>
      </c>
      <c r="BX223" s="25">
        <f t="shared" si="207"/>
        <v>1.4639820465608001E-2</v>
      </c>
      <c r="BY223" s="25">
        <f t="shared" si="208"/>
        <v>0.16685746895607298</v>
      </c>
      <c r="BZ223" s="25">
        <f t="shared" si="209"/>
        <v>3.6069944456228451E-5</v>
      </c>
      <c r="CA223" s="25">
        <f t="shared" si="210"/>
        <v>2.6026168459105586E-6</v>
      </c>
      <c r="CB223" s="25">
        <f t="shared" si="211"/>
        <v>0.18153596198298311</v>
      </c>
      <c r="CC223" s="5" t="str">
        <f t="shared" si="212"/>
        <v>OK</v>
      </c>
      <c r="CD223" s="5">
        <f t="shared" si="213"/>
        <v>37.545238889226049</v>
      </c>
      <c r="CE223" s="5">
        <f t="shared" si="214"/>
        <v>37.181722419139881</v>
      </c>
      <c r="CF223" s="5">
        <f t="shared" si="215"/>
        <v>1.2506397644909562</v>
      </c>
      <c r="CG223" s="5">
        <f t="shared" si="216"/>
        <v>1.2385309547993069</v>
      </c>
      <c r="CH223" s="5">
        <f t="shared" si="217"/>
        <v>11.397507868901538</v>
      </c>
      <c r="CI223" s="68">
        <f>_xll.DCETCVN5575PhuLucD2Eta(BP223,CH223,CF223)</f>
        <v>1.2126272189349112</v>
      </c>
      <c r="CJ223" s="5">
        <f t="shared" si="218"/>
        <v>13.820928269854839</v>
      </c>
      <c r="CK223" s="5">
        <f>MIN(noisuy2chieu(CJ223,CF223,Data!$DA$2:$EB$24),1)</f>
        <v>0.10247187316417694</v>
      </c>
      <c r="CL223" s="102">
        <f t="shared" si="219"/>
        <v>0.14286672053074095</v>
      </c>
      <c r="CM223" s="5" t="str">
        <f t="shared" si="220"/>
        <v>OK</v>
      </c>
      <c r="CN223" s="5">
        <f t="shared" si="221"/>
        <v>0.86643683692746631</v>
      </c>
      <c r="CO223" s="5">
        <f t="shared" si="222"/>
        <v>0.5370345235716667</v>
      </c>
      <c r="CP223" s="25">
        <f>_xll.DCETCVNPhuLucFHeSoOnDinh(1, 0.2, AG223, AH223, AI223, AJ223, AI223, AJ223, $D$28)</f>
        <v>1</v>
      </c>
      <c r="CQ223" s="68">
        <f t="shared" si="223"/>
        <v>0.9</v>
      </c>
      <c r="CR223" s="68">
        <f t="shared" si="224"/>
        <v>1</v>
      </c>
      <c r="CS223" s="5">
        <f t="shared" si="225"/>
        <v>0.18181818181818182</v>
      </c>
      <c r="CT223" s="5">
        <f t="shared" si="226"/>
        <v>0.10347287704587492</v>
      </c>
      <c r="CU223" s="26">
        <f t="shared" si="227"/>
        <v>5.6987539344507692</v>
      </c>
      <c r="CV223" s="5"/>
      <c r="CW223" s="25"/>
      <c r="CX223" s="72">
        <f>MAX(_xll.Dce_c_925(CU223, CQ223, CR223, CN223, CP223, CS223, CT223),0.3)</f>
        <v>0.3</v>
      </c>
      <c r="CY223" s="102">
        <f t="shared" si="228"/>
        <v>5.6321937701861481E-2</v>
      </c>
      <c r="CZ223" s="5" t="str">
        <f t="shared" si="229"/>
        <v>OK</v>
      </c>
      <c r="DA223" s="47">
        <f t="shared" si="230"/>
        <v>0.34499859601035404</v>
      </c>
      <c r="DB223" s="46">
        <f t="shared" si="231"/>
        <v>0.48385309547993066</v>
      </c>
      <c r="DC223" s="5" t="str">
        <f t="shared" si="232"/>
        <v>OK</v>
      </c>
      <c r="DD223" s="5">
        <f t="shared" si="233"/>
        <v>1.2506397644909562</v>
      </c>
      <c r="DE223" s="5">
        <f t="shared" si="234"/>
        <v>4.4677979100191463</v>
      </c>
      <c r="DF223" s="5" t="str">
        <f t="shared" si="235"/>
        <v>-</v>
      </c>
      <c r="DG223" s="5" t="str">
        <f t="shared" si="236"/>
        <v>-</v>
      </c>
      <c r="DH223" s="203">
        <f t="shared" si="237"/>
        <v>37.545238889226049</v>
      </c>
      <c r="DI223" s="203">
        <f t="shared" si="238"/>
        <v>180</v>
      </c>
      <c r="DJ223" s="46">
        <f t="shared" si="239"/>
        <v>0.20858466049570026</v>
      </c>
      <c r="DK223" s="5" t="str">
        <f t="shared" si="240"/>
        <v>OK</v>
      </c>
      <c r="EB223" s="18"/>
      <c r="EC223" s="77"/>
      <c r="ED223" s="77"/>
      <c r="EE223" s="18"/>
      <c r="EF223" s="18"/>
      <c r="EG223" s="18"/>
      <c r="EH223" s="5"/>
      <c r="EI223" s="5"/>
      <c r="EJ223" s="5"/>
      <c r="EK223" s="5"/>
      <c r="EL223" s="5"/>
      <c r="FE223" s="26"/>
      <c r="FF223" s="26"/>
      <c r="FG223" s="26"/>
      <c r="FH223" s="26"/>
      <c r="FI223" s="26"/>
      <c r="FJ223" s="26"/>
      <c r="FK223" s="26"/>
      <c r="FL223" s="26"/>
      <c r="FM223" s="26"/>
      <c r="FN223" s="205"/>
      <c r="FO223" s="205"/>
      <c r="FP223" s="205"/>
      <c r="FQ223" s="205"/>
      <c r="FR223" s="205"/>
      <c r="FS223" s="205"/>
      <c r="FT223" s="205"/>
      <c r="FU223" s="77"/>
      <c r="FV223" s="77"/>
      <c r="FW223" s="77"/>
      <c r="FX223" s="205"/>
      <c r="FY223" s="205"/>
      <c r="FZ223" s="205"/>
      <c r="GA223" s="205"/>
      <c r="GB223" s="205"/>
      <c r="GC223" s="205"/>
      <c r="GD223" s="205"/>
      <c r="GE223" s="205"/>
      <c r="GF223" s="205"/>
      <c r="GG223" s="205"/>
      <c r="GH223" s="205"/>
      <c r="GI223" s="205"/>
      <c r="GJ223" s="205"/>
      <c r="GK223" s="205"/>
      <c r="GL223" s="205"/>
      <c r="GM223" s="205"/>
      <c r="GN223" s="205"/>
      <c r="GO223" s="205"/>
      <c r="GP223" s="205"/>
      <c r="GQ223" s="205"/>
      <c r="GR223" s="205"/>
      <c r="GS223" s="205"/>
      <c r="GT223" s="205"/>
      <c r="GU223" s="205"/>
      <c r="GV223" s="18"/>
      <c r="GW223" s="5"/>
      <c r="GX223" s="5"/>
      <c r="GY223" s="77"/>
      <c r="GZ223" s="18"/>
      <c r="HA223" s="18"/>
      <c r="HB223" s="18"/>
      <c r="HC223" s="18"/>
      <c r="HD223" s="18"/>
      <c r="HE223" s="18"/>
      <c r="HF223" s="18"/>
      <c r="HG223" s="18"/>
      <c r="HH223" s="205"/>
      <c r="HI223" s="26"/>
      <c r="HJ223" s="26"/>
      <c r="HK223" s="5"/>
    </row>
    <row r="224" spans="27:219">
      <c r="AA224" s="18" t="s">
        <v>488</v>
      </c>
      <c r="AB224" s="22" t="s">
        <v>491</v>
      </c>
      <c r="AC224" s="59">
        <v>0</v>
      </c>
      <c r="AD224" s="59">
        <v>8.6549999999999994</v>
      </c>
      <c r="AE224" s="22">
        <v>528</v>
      </c>
      <c r="AF224" s="22">
        <v>1528</v>
      </c>
      <c r="AG224" s="22">
        <v>528</v>
      </c>
      <c r="AH224" s="6">
        <v>10</v>
      </c>
      <c r="AI224" s="6">
        <v>300</v>
      </c>
      <c r="AJ224" s="6">
        <v>14</v>
      </c>
      <c r="AK224" s="24">
        <v>300</v>
      </c>
      <c r="AL224" s="24">
        <v>14</v>
      </c>
      <c r="AM224" s="5">
        <f t="shared" si="185"/>
        <v>500</v>
      </c>
      <c r="AN224" s="26">
        <f t="shared" si="186"/>
        <v>134</v>
      </c>
      <c r="AO224" s="26">
        <f t="shared" si="187"/>
        <v>65911.546666666676</v>
      </c>
      <c r="AP224" s="15">
        <f t="shared" si="188"/>
        <v>6304.166666666667</v>
      </c>
      <c r="AQ224" s="5">
        <f t="shared" si="189"/>
        <v>2496.6494949494954</v>
      </c>
      <c r="AR224" s="26">
        <f t="shared" si="190"/>
        <v>420.27777777777777</v>
      </c>
      <c r="AS224" s="26">
        <f t="shared" si="191"/>
        <v>1391.9</v>
      </c>
      <c r="AT224" s="26">
        <f t="shared" si="192"/>
        <v>22.178305028345793</v>
      </c>
      <c r="AU224" s="26">
        <f t="shared" si="193"/>
        <v>6.8590101254115021</v>
      </c>
      <c r="AV224" s="95">
        <f t="shared" si="194"/>
        <v>7.201333333333334E-7</v>
      </c>
      <c r="AW224" s="95">
        <f t="shared" si="195"/>
        <v>4161087</v>
      </c>
      <c r="AX224" s="95">
        <f t="shared" si="196"/>
        <v>4.1610870000000001E-6</v>
      </c>
      <c r="AY224" s="54">
        <f t="shared" si="197"/>
        <v>0.25762202780669918</v>
      </c>
      <c r="AZ224" s="54" t="str">
        <f>_xll.Dce_Name_SectI(AE224,AF224,AI224,AH224,AJ224,"x","-",$O$11)</f>
        <v>(528-1528)x300x10x14</v>
      </c>
      <c r="BA224" s="15">
        <f t="shared" si="198"/>
        <v>385.5</v>
      </c>
      <c r="BB224" s="54"/>
      <c r="BC224" s="54"/>
      <c r="BD224" s="22" t="s">
        <v>509</v>
      </c>
      <c r="BE224" s="23">
        <v>-309.16942930387216</v>
      </c>
      <c r="BF224" s="23">
        <v>-225.29246193469999</v>
      </c>
      <c r="BG224" s="23">
        <v>4.7228434930916119E-4</v>
      </c>
      <c r="BH224" s="23">
        <v>1.8404359873511064E-4</v>
      </c>
      <c r="BI224" s="23">
        <v>1.2638290354902012E-5</v>
      </c>
      <c r="BJ224" s="23">
        <v>-4.1022919310286881</v>
      </c>
      <c r="BK224" s="23">
        <v>909.50414170757358</v>
      </c>
      <c r="BL224" s="92">
        <v>2.25</v>
      </c>
      <c r="BM224" s="91">
        <v>2</v>
      </c>
      <c r="BN224" s="5">
        <f t="shared" si="199"/>
        <v>19.473749999999999</v>
      </c>
      <c r="BO224" s="54">
        <f>_xll.Bimoment(BH224,AY224,AC224,AD224,$O$101)</f>
        <v>0</v>
      </c>
      <c r="BP224" s="5">
        <f t="shared" si="200"/>
        <v>0.84</v>
      </c>
      <c r="BQ224" s="5">
        <f t="shared" si="201"/>
        <v>0.10801928704273668</v>
      </c>
      <c r="BR224" s="24" t="str">
        <f t="shared" si="202"/>
        <v>OK</v>
      </c>
      <c r="BS224" s="25">
        <f t="shared" si="203"/>
        <v>0.10094151143316722</v>
      </c>
      <c r="BT224" s="25" t="str">
        <f t="shared" si="204"/>
        <v>CT.104</v>
      </c>
      <c r="BU224" s="25">
        <f t="shared" si="205"/>
        <v>1.5</v>
      </c>
      <c r="BV224" s="25" cm="1">
        <f t="array" ref="BV224">IF(BT224="CT.104",_xll.TCVN5575AnnexEHeSoCx(1,BP224),1)</f>
        <v>1.0859999999999999</v>
      </c>
      <c r="BW224" s="25">
        <f t="shared" si="206"/>
        <v>1.47</v>
      </c>
      <c r="BX224" s="25">
        <f t="shared" si="207"/>
        <v>3.4635327378000284E-2</v>
      </c>
      <c r="BY224" s="25">
        <f t="shared" si="208"/>
        <v>6.9677669051150465E-3</v>
      </c>
      <c r="BZ224" s="25">
        <f t="shared" si="209"/>
        <v>9.4208267855791276E-8</v>
      </c>
      <c r="CA224" s="25">
        <f t="shared" si="210"/>
        <v>0</v>
      </c>
      <c r="CB224" s="25">
        <f t="shared" si="211"/>
        <v>4.1603188491383183E-2</v>
      </c>
      <c r="CC224" s="5" t="str">
        <f t="shared" si="212"/>
        <v>OK</v>
      </c>
      <c r="CD224" s="5">
        <f t="shared" si="213"/>
        <v>87.805402509844015</v>
      </c>
      <c r="CE224" s="5">
        <f t="shared" si="214"/>
        <v>29.158726455153193</v>
      </c>
      <c r="CF224" s="5">
        <f t="shared" si="215"/>
        <v>2.9248163326364334</v>
      </c>
      <c r="CG224" s="5">
        <f t="shared" si="216"/>
        <v>0.97128328026682387</v>
      </c>
      <c r="CH224" s="5">
        <f t="shared" si="217"/>
        <v>7.121594489663205E-2</v>
      </c>
      <c r="CI224" s="68">
        <f>_xll.DCETCVN5575PhuLucD2Eta(BP224,CH224,CF224)</f>
        <v>1.5167851412983939</v>
      </c>
      <c r="CJ224" s="5">
        <f t="shared" si="218"/>
        <v>0.10801928704273668</v>
      </c>
      <c r="CK224" s="5">
        <f>MIN(noisuy2chieu(CJ224,CF224,Data!$DA$2:$EB$24),1)</f>
        <v>0.67453521490097046</v>
      </c>
      <c r="CL224" s="102">
        <f t="shared" si="219"/>
        <v>0.15752212814690186</v>
      </c>
      <c r="CM224" s="5" t="str">
        <f t="shared" si="220"/>
        <v>OK</v>
      </c>
      <c r="CN224" s="5">
        <f t="shared" si="221"/>
        <v>0.90492218941026858</v>
      </c>
      <c r="CO224" s="5">
        <f t="shared" si="222"/>
        <v>0.5370345235716667</v>
      </c>
      <c r="CP224" s="25">
        <f>_xll.DCETCVNPhuLucFHeSoOnDinh(1, 0.2, AG224, AH224, AI224, AJ224, AI224, AJ224, $D$28)</f>
        <v>1</v>
      </c>
      <c r="CQ224" s="68">
        <f t="shared" si="223"/>
        <v>0.9</v>
      </c>
      <c r="CR224" s="68">
        <f t="shared" si="224"/>
        <v>1</v>
      </c>
      <c r="CS224" s="5">
        <f t="shared" si="225"/>
        <v>0.18181818181818182</v>
      </c>
      <c r="CT224" s="5">
        <f t="shared" si="226"/>
        <v>9.9510191986788829E-2</v>
      </c>
      <c r="CU224" s="26">
        <f t="shared" si="227"/>
        <v>15.789026702169199</v>
      </c>
      <c r="CV224" s="5"/>
      <c r="CW224" s="25"/>
      <c r="CX224" s="72">
        <f>MAX(_xll.Dce_c_925(CU224, CQ224, CR224, CN224, CP224, CS224, CT224),0.3)</f>
        <v>0.3</v>
      </c>
      <c r="CY224" s="102">
        <f t="shared" si="228"/>
        <v>0.39139358722276363</v>
      </c>
      <c r="CZ224" s="5" t="str">
        <f t="shared" si="229"/>
        <v>OK</v>
      </c>
      <c r="DA224" s="47">
        <f t="shared" si="230"/>
        <v>0.34499859601035404</v>
      </c>
      <c r="DB224" s="46">
        <f t="shared" si="231"/>
        <v>0.45712832802668235</v>
      </c>
      <c r="DC224" s="5" t="str">
        <f t="shared" si="232"/>
        <v>OK</v>
      </c>
      <c r="DD224" s="5">
        <f t="shared" si="233"/>
        <v>2.9248163326364334</v>
      </c>
      <c r="DE224" s="5">
        <f t="shared" si="234"/>
        <v>1.6655104634982609</v>
      </c>
      <c r="DF224" s="5" t="str">
        <f t="shared" si="235"/>
        <v>-</v>
      </c>
      <c r="DG224" s="5" t="str">
        <f t="shared" si="236"/>
        <v>-</v>
      </c>
      <c r="DH224" s="203" t="str">
        <f t="shared" si="237"/>
        <v>-</v>
      </c>
      <c r="DI224" s="203">
        <f t="shared" si="238"/>
        <v>180</v>
      </c>
      <c r="DJ224" s="46">
        <f t="shared" si="239"/>
        <v>0</v>
      </c>
      <c r="DK224" s="5" t="str">
        <f t="shared" si="240"/>
        <v>OK</v>
      </c>
      <c r="EB224" s="18"/>
      <c r="EC224" s="77"/>
      <c r="ED224" s="77"/>
      <c r="EE224" s="18"/>
      <c r="EF224" s="18"/>
      <c r="EG224" s="18"/>
      <c r="EH224" s="5"/>
      <c r="EI224" s="5"/>
      <c r="EJ224" s="5"/>
      <c r="EK224" s="5"/>
      <c r="EL224" s="5"/>
      <c r="FE224" s="26"/>
      <c r="FF224" s="26"/>
      <c r="FG224" s="26"/>
      <c r="FH224" s="26"/>
      <c r="FI224" s="26"/>
      <c r="FJ224" s="26"/>
      <c r="FK224" s="26"/>
      <c r="FL224" s="26"/>
      <c r="FM224" s="26"/>
      <c r="FN224" s="205"/>
      <c r="FO224" s="205"/>
      <c r="FP224" s="205"/>
      <c r="FQ224" s="205"/>
      <c r="FR224" s="205"/>
      <c r="FS224" s="205"/>
      <c r="FT224" s="205"/>
      <c r="FU224" s="77"/>
      <c r="FV224" s="77"/>
      <c r="FW224" s="77"/>
      <c r="FX224" s="205"/>
      <c r="FY224" s="205"/>
      <c r="FZ224" s="205"/>
      <c r="GA224" s="205"/>
      <c r="GB224" s="205"/>
      <c r="GC224" s="205"/>
      <c r="GD224" s="205"/>
      <c r="GE224" s="205"/>
      <c r="GF224" s="205"/>
      <c r="GG224" s="205"/>
      <c r="GH224" s="205"/>
      <c r="GI224" s="205"/>
      <c r="GJ224" s="205"/>
      <c r="GK224" s="205"/>
      <c r="GL224" s="205"/>
      <c r="GM224" s="205"/>
      <c r="GN224" s="205"/>
      <c r="GO224" s="205"/>
      <c r="GP224" s="205"/>
      <c r="GQ224" s="205"/>
      <c r="GR224" s="205"/>
      <c r="GS224" s="205"/>
      <c r="GT224" s="205"/>
      <c r="GU224" s="205"/>
      <c r="GV224" s="18"/>
      <c r="GW224" s="5"/>
      <c r="GX224" s="5"/>
      <c r="GY224" s="77"/>
      <c r="GZ224" s="18"/>
      <c r="HA224" s="18"/>
      <c r="HB224" s="18"/>
      <c r="HC224" s="18"/>
      <c r="HD224" s="18"/>
      <c r="HE224" s="18"/>
      <c r="HF224" s="18"/>
      <c r="HG224" s="18"/>
      <c r="HH224" s="205"/>
      <c r="HI224" s="26"/>
      <c r="HJ224" s="26"/>
      <c r="HK224" s="5"/>
    </row>
    <row r="225" spans="27:219">
      <c r="AA225" s="18" t="s">
        <v>488</v>
      </c>
      <c r="AB225" s="22" t="s">
        <v>491</v>
      </c>
      <c r="AC225" s="59">
        <v>3.6405952380952398</v>
      </c>
      <c r="AD225" s="59">
        <v>8.6549999999999994</v>
      </c>
      <c r="AE225" s="22">
        <v>528</v>
      </c>
      <c r="AF225" s="22">
        <v>1528</v>
      </c>
      <c r="AG225" s="22">
        <v>948.63492063492095</v>
      </c>
      <c r="AH225" s="6">
        <v>10</v>
      </c>
      <c r="AI225" s="6">
        <v>300</v>
      </c>
      <c r="AJ225" s="6">
        <v>14</v>
      </c>
      <c r="AK225" s="24">
        <v>300</v>
      </c>
      <c r="AL225" s="24">
        <v>14</v>
      </c>
      <c r="AM225" s="5">
        <f t="shared" si="185"/>
        <v>920.63492063492095</v>
      </c>
      <c r="AN225" s="26">
        <f t="shared" si="186"/>
        <v>176.06349206349208</v>
      </c>
      <c r="AO225" s="26">
        <f t="shared" si="187"/>
        <v>248482.7399356656</v>
      </c>
      <c r="AP225" s="15">
        <f t="shared" si="188"/>
        <v>6307.6719576719579</v>
      </c>
      <c r="AQ225" s="5">
        <f t="shared" si="189"/>
        <v>5238.7432621467533</v>
      </c>
      <c r="AR225" s="26">
        <f t="shared" si="190"/>
        <v>420.51146384479722</v>
      </c>
      <c r="AS225" s="26">
        <f t="shared" si="191"/>
        <v>3022.1941546989178</v>
      </c>
      <c r="AT225" s="26">
        <f t="shared" si="192"/>
        <v>37.567600585756203</v>
      </c>
      <c r="AU225" s="26">
        <f t="shared" si="193"/>
        <v>5.9854925384629922</v>
      </c>
      <c r="AV225" s="95">
        <f t="shared" si="194"/>
        <v>8.6034497354497351E-7</v>
      </c>
      <c r="AW225" s="95">
        <f t="shared" si="195"/>
        <v>13758293.349206358</v>
      </c>
      <c r="AX225" s="95">
        <f t="shared" si="196"/>
        <v>1.3758293349206359E-5</v>
      </c>
      <c r="AY225" s="54">
        <f t="shared" si="197"/>
        <v>0.1548581140202015</v>
      </c>
      <c r="AZ225" s="54" t="str">
        <f>_xll.Dce_Name_SectI(AE225,AF225,AI225,AH225,AJ225,"x","-",$O$11)</f>
        <v>(528-1528)x300x10x14</v>
      </c>
      <c r="BA225" s="15">
        <f t="shared" si="198"/>
        <v>700.97619047619071</v>
      </c>
      <c r="BB225" s="54"/>
      <c r="BC225" s="54"/>
      <c r="BD225" s="22" t="s">
        <v>509</v>
      </c>
      <c r="BE225" s="23">
        <v>-305.92613861730632</v>
      </c>
      <c r="BF225" s="23">
        <v>-249.78041137198252</v>
      </c>
      <c r="BG225" s="23">
        <v>4.7228434930765811E-4</v>
      </c>
      <c r="BH225" s="23">
        <v>1.8404359873511064E-4</v>
      </c>
      <c r="BI225" s="23">
        <v>-1.7108070708397572E-3</v>
      </c>
      <c r="BJ225" s="23">
        <v>862.67609732508561</v>
      </c>
      <c r="BK225" s="23">
        <v>909.50414170757358</v>
      </c>
      <c r="BL225" s="92">
        <v>2.25</v>
      </c>
      <c r="BM225" s="91">
        <v>2</v>
      </c>
      <c r="BN225" s="5">
        <f t="shared" si="199"/>
        <v>19.473749999999999</v>
      </c>
      <c r="BO225" s="54">
        <f>_xll.Bimoment(BH225,AY225,AC225,AD225,$O$101)</f>
        <v>-1.4154179743663296E-3</v>
      </c>
      <c r="BP225" s="5">
        <f t="shared" si="200"/>
        <v>0.45620689655172403</v>
      </c>
      <c r="BQ225" s="5">
        <f t="shared" si="201"/>
        <v>11.763312142238698</v>
      </c>
      <c r="BR225" s="24" t="str">
        <f t="shared" si="202"/>
        <v>Cal</v>
      </c>
      <c r="BS225" s="25">
        <f t="shared" si="203"/>
        <v>7.6019556397759688E-2</v>
      </c>
      <c r="BT225" s="25" t="str">
        <f t="shared" si="204"/>
        <v>CT.105</v>
      </c>
      <c r="BU225" s="25">
        <f t="shared" si="205"/>
        <v>1</v>
      </c>
      <c r="BV225" s="25" cm="1">
        <f t="array" ref="BV225">IF(BT225="CT.104",_xll.TCVN5575AnnexEHeSoCx(1,BP225),1)</f>
        <v>1</v>
      </c>
      <c r="BW225" s="25">
        <f t="shared" si="206"/>
        <v>1</v>
      </c>
      <c r="BX225" s="25">
        <f t="shared" si="207"/>
        <v>8.0020585681852302E-2</v>
      </c>
      <c r="BY225" s="25">
        <f t="shared" si="208"/>
        <v>0.75835944794508237</v>
      </c>
      <c r="BZ225" s="25">
        <f t="shared" si="209"/>
        <v>1.8736033261894688E-5</v>
      </c>
      <c r="CA225" s="25">
        <f t="shared" si="210"/>
        <v>3.3210687053961746E-5</v>
      </c>
      <c r="CB225" s="25">
        <f t="shared" si="211"/>
        <v>0.83843198034725053</v>
      </c>
      <c r="CC225" s="5" t="str">
        <f t="shared" si="212"/>
        <v>OK</v>
      </c>
      <c r="CD225" s="5">
        <f t="shared" si="213"/>
        <v>51.836555160202302</v>
      </c>
      <c r="CE225" s="5">
        <f t="shared" si="214"/>
        <v>33.414125690541383</v>
      </c>
      <c r="CF225" s="5">
        <f t="shared" si="215"/>
        <v>1.7266865002204341</v>
      </c>
      <c r="CG225" s="5">
        <f t="shared" si="216"/>
        <v>1.1130315193248546</v>
      </c>
      <c r="CH225" s="5">
        <f t="shared" si="217"/>
        <v>9.4770544539649482</v>
      </c>
      <c r="CI225" s="68">
        <f>_xll.DCETCVN5575PhuLucD2Eta(BP225,CH225,CF225)</f>
        <v>1.2412413793103447</v>
      </c>
      <c r="CJ225" s="5">
        <f t="shared" si="218"/>
        <v>11.763312142238698</v>
      </c>
      <c r="CK225" s="5">
        <f>MIN(noisuy2chieu(CJ225,CF225,Data!$DA$2:$EB$24),1)</f>
        <v>0.11308595538139343</v>
      </c>
      <c r="CL225" s="102">
        <f t="shared" si="219"/>
        <v>0.70760852142934161</v>
      </c>
      <c r="CM225" s="5" t="str">
        <f t="shared" si="220"/>
        <v>OK</v>
      </c>
      <c r="CN225" s="5">
        <f t="shared" si="221"/>
        <v>0.88472625978979058</v>
      </c>
      <c r="CO225" s="5">
        <f t="shared" si="222"/>
        <v>0.5370345235716667</v>
      </c>
      <c r="CP225" s="25">
        <f>_xll.DCETCVNPhuLucFHeSoOnDinh(1, 0.2, AG225, AH225, AI225, AJ225, AI225, AJ225, $D$28)</f>
        <v>1</v>
      </c>
      <c r="CQ225" s="68">
        <f t="shared" si="223"/>
        <v>0.9</v>
      </c>
      <c r="CR225" s="68">
        <f t="shared" si="224"/>
        <v>1</v>
      </c>
      <c r="CS225" s="5">
        <f t="shared" si="225"/>
        <v>0.18181818181818182</v>
      </c>
      <c r="CT225" s="5">
        <f t="shared" si="226"/>
        <v>0.10155106457844131</v>
      </c>
      <c r="CU225" s="26">
        <f t="shared" si="227"/>
        <v>9.99149078523876</v>
      </c>
      <c r="CV225" s="5"/>
      <c r="CW225" s="25"/>
      <c r="CX225" s="72">
        <f>MAX(_xll.Dce_c_925(CU225, CQ225, CR225, CN225, CP225, CS225, CT225),0.3)</f>
        <v>0.3</v>
      </c>
      <c r="CY225" s="102">
        <f t="shared" si="228"/>
        <v>0.30148905681803795</v>
      </c>
      <c r="CZ225" s="5" t="str">
        <f t="shared" si="229"/>
        <v>OK</v>
      </c>
      <c r="DA225" s="47">
        <f t="shared" si="230"/>
        <v>0.34499859601035404</v>
      </c>
      <c r="DB225" s="46">
        <f t="shared" si="231"/>
        <v>0.47130315193248545</v>
      </c>
      <c r="DC225" s="5" t="str">
        <f t="shared" si="232"/>
        <v>OK</v>
      </c>
      <c r="DD225" s="5">
        <f t="shared" si="233"/>
        <v>1.7266865002204341</v>
      </c>
      <c r="DE225" s="5">
        <f t="shared" si="234"/>
        <v>3.0666541867587034</v>
      </c>
      <c r="DF225" s="5">
        <f t="shared" si="235"/>
        <v>1.7472169405065237</v>
      </c>
      <c r="DG225" s="5" t="str">
        <f t="shared" si="236"/>
        <v>Gia cường</v>
      </c>
      <c r="DH225" s="203">
        <f t="shared" si="237"/>
        <v>51.836555160202302</v>
      </c>
      <c r="DI225" s="203">
        <f t="shared" si="238"/>
        <v>167.54348871423952</v>
      </c>
      <c r="DJ225" s="46">
        <f t="shared" si="239"/>
        <v>0.30939164248044404</v>
      </c>
      <c r="DK225" s="5" t="str">
        <f t="shared" si="240"/>
        <v>OK</v>
      </c>
      <c r="EB225" s="18"/>
      <c r="EC225" s="77"/>
      <c r="ED225" s="77"/>
      <c r="EE225" s="18"/>
      <c r="EF225" s="18"/>
      <c r="EG225" s="18"/>
      <c r="EH225" s="5"/>
      <c r="EI225" s="5"/>
      <c r="EJ225" s="5"/>
      <c r="EK225" s="5"/>
      <c r="EL225" s="5"/>
      <c r="FE225" s="26"/>
      <c r="FF225" s="26"/>
      <c r="FG225" s="26"/>
      <c r="FH225" s="26"/>
      <c r="FI225" s="26"/>
      <c r="FJ225" s="26"/>
      <c r="FK225" s="26"/>
      <c r="FL225" s="26"/>
      <c r="FM225" s="26"/>
      <c r="FN225" s="205"/>
      <c r="FO225" s="205"/>
      <c r="FP225" s="205"/>
      <c r="FQ225" s="205"/>
      <c r="FR225" s="205"/>
      <c r="FS225" s="205"/>
      <c r="FT225" s="205"/>
      <c r="FU225" s="77"/>
      <c r="FV225" s="77"/>
      <c r="FW225" s="77"/>
      <c r="FX225" s="205"/>
      <c r="FY225" s="205"/>
      <c r="FZ225" s="205"/>
      <c r="GA225" s="205"/>
      <c r="GB225" s="205"/>
      <c r="GC225" s="205"/>
      <c r="GD225" s="205"/>
      <c r="GE225" s="205"/>
      <c r="GF225" s="205"/>
      <c r="GG225" s="205"/>
      <c r="GH225" s="205"/>
      <c r="GI225" s="205"/>
      <c r="GJ225" s="205"/>
      <c r="GK225" s="205"/>
      <c r="GL225" s="205"/>
      <c r="GM225" s="205"/>
      <c r="GN225" s="205"/>
      <c r="GO225" s="205"/>
      <c r="GP225" s="205"/>
      <c r="GQ225" s="205"/>
      <c r="GR225" s="205"/>
      <c r="GS225" s="205"/>
      <c r="GT225" s="205"/>
      <c r="GU225" s="205"/>
      <c r="GV225" s="18"/>
      <c r="GW225" s="5"/>
      <c r="GX225" s="5"/>
      <c r="GY225" s="77"/>
      <c r="GZ225" s="18"/>
      <c r="HA225" s="18"/>
      <c r="HB225" s="18"/>
      <c r="HC225" s="18"/>
      <c r="HD225" s="18"/>
      <c r="HE225" s="18"/>
      <c r="HF225" s="18"/>
      <c r="HG225" s="18"/>
      <c r="HH225" s="205"/>
      <c r="HI225" s="26"/>
      <c r="HJ225" s="26"/>
      <c r="HK225" s="5"/>
    </row>
    <row r="226" spans="27:219">
      <c r="AA226" s="18" t="s">
        <v>488</v>
      </c>
      <c r="AB226" s="22" t="s">
        <v>491</v>
      </c>
      <c r="AC226" s="59">
        <v>7.2811904761904795</v>
      </c>
      <c r="AD226" s="59">
        <v>8.6549999999999994</v>
      </c>
      <c r="AE226" s="22">
        <v>528</v>
      </c>
      <c r="AF226" s="22">
        <v>1528</v>
      </c>
      <c r="AG226" s="22">
        <v>1369.2698412698419</v>
      </c>
      <c r="AH226" s="6">
        <v>10</v>
      </c>
      <c r="AI226" s="6">
        <v>300</v>
      </c>
      <c r="AJ226" s="6">
        <v>14</v>
      </c>
      <c r="AK226" s="24">
        <v>300</v>
      </c>
      <c r="AL226" s="24">
        <v>14</v>
      </c>
      <c r="AM226" s="5">
        <f t="shared" si="185"/>
        <v>1341.2698412698419</v>
      </c>
      <c r="AN226" s="26">
        <f t="shared" si="186"/>
        <v>218.12698412698418</v>
      </c>
      <c r="AO226" s="26">
        <f t="shared" si="187"/>
        <v>586811.79072745051</v>
      </c>
      <c r="AP226" s="15">
        <f t="shared" si="188"/>
        <v>6311.1772486772488</v>
      </c>
      <c r="AQ226" s="5">
        <f t="shared" si="189"/>
        <v>8571.1635945074104</v>
      </c>
      <c r="AR226" s="26">
        <f t="shared" si="190"/>
        <v>420.74514991181661</v>
      </c>
      <c r="AS226" s="26">
        <f t="shared" si="191"/>
        <v>5094.8226505417015</v>
      </c>
      <c r="AT226" s="26">
        <f t="shared" si="192"/>
        <v>51.867428670398397</v>
      </c>
      <c r="AU226" s="26">
        <f t="shared" si="193"/>
        <v>5.3789869588463937</v>
      </c>
      <c r="AV226" s="95">
        <f t="shared" si="194"/>
        <v>1.0005566137566139E-6</v>
      </c>
      <c r="AW226" s="95">
        <f t="shared" si="195"/>
        <v>28928912.396825422</v>
      </c>
      <c r="AX226" s="95">
        <f t="shared" si="196"/>
        <v>2.8928912396825422E-5</v>
      </c>
      <c r="AY226" s="54">
        <f t="shared" si="197"/>
        <v>0.11516876660535029</v>
      </c>
      <c r="AZ226" s="54" t="str">
        <f>_xll.Dce_Name_SectI(AE226,AF226,AI226,AH226,AJ226,"x","-",$O$11)</f>
        <v>(528-1528)x300x10x14</v>
      </c>
      <c r="BA226" s="15">
        <f t="shared" si="198"/>
        <v>1016.4523809523813</v>
      </c>
      <c r="BB226" s="54"/>
      <c r="BC226" s="54"/>
      <c r="BD226" s="22" t="s">
        <v>509</v>
      </c>
      <c r="BE226" s="23">
        <v>-301.1414121802481</v>
      </c>
      <c r="BF226" s="23">
        <v>-274.37421133985708</v>
      </c>
      <c r="BG226" s="23">
        <v>4.7228434930614868E-4</v>
      </c>
      <c r="BH226" s="23">
        <v>1.8404359873511064E-4</v>
      </c>
      <c r="BI226" s="23">
        <v>-3.4342524320289201E-3</v>
      </c>
      <c r="BJ226" s="23">
        <v>1819.0082834151472</v>
      </c>
      <c r="BK226" s="23">
        <v>909.50414170757358</v>
      </c>
      <c r="BL226" s="92">
        <v>2.25</v>
      </c>
      <c r="BM226" s="91">
        <v>2</v>
      </c>
      <c r="BN226" s="5">
        <f t="shared" si="199"/>
        <v>19.473749999999999</v>
      </c>
      <c r="BO226" s="54">
        <f>_xll.Bimoment(BH226,AY226,AC226,AD226,$O$101)</f>
        <v>-8.4193880611737834E-4</v>
      </c>
      <c r="BP226" s="5">
        <f t="shared" si="200"/>
        <v>0.31313609467455605</v>
      </c>
      <c r="BQ226" s="5">
        <f t="shared" si="201"/>
        <v>18.64065277298916</v>
      </c>
      <c r="BR226" s="24" t="str">
        <f t="shared" si="202"/>
        <v>Cal</v>
      </c>
      <c r="BS226" s="25">
        <f t="shared" si="203"/>
        <v>6.040030689286921E-2</v>
      </c>
      <c r="BT226" s="25" t="str">
        <f t="shared" si="204"/>
        <v>CT.105</v>
      </c>
      <c r="BU226" s="25">
        <f t="shared" si="205"/>
        <v>1</v>
      </c>
      <c r="BV226" s="25" cm="1">
        <f t="array" ref="BV226">IF(BT226="CT.104",_xll.TCVN5575AnnexEHeSoCx(1,BP226),1)</f>
        <v>1</v>
      </c>
      <c r="BW226" s="25">
        <f t="shared" si="206"/>
        <v>1</v>
      </c>
      <c r="BX226" s="25">
        <f t="shared" si="207"/>
        <v>6.3579270413546538E-2</v>
      </c>
      <c r="BY226" s="25">
        <f t="shared" si="208"/>
        <v>0.97734826072918479</v>
      </c>
      <c r="BZ226" s="25">
        <f t="shared" si="209"/>
        <v>3.7589586483523254E-5</v>
      </c>
      <c r="CA226" s="25">
        <f t="shared" si="210"/>
        <v>1.3623538093559207E-5</v>
      </c>
      <c r="CB226" s="25">
        <f t="shared" si="211"/>
        <v>1.0409787442673084</v>
      </c>
      <c r="CC226" s="5" t="str">
        <f t="shared" si="212"/>
        <v>Check</v>
      </c>
      <c r="CD226" s="5">
        <f t="shared" si="213"/>
        <v>37.545238889226049</v>
      </c>
      <c r="CE226" s="5">
        <f t="shared" si="214"/>
        <v>37.181722419139881</v>
      </c>
      <c r="CF226" s="5">
        <f t="shared" si="215"/>
        <v>1.2506397644909562</v>
      </c>
      <c r="CG226" s="5">
        <f t="shared" si="216"/>
        <v>1.2385309547993069</v>
      </c>
      <c r="CH226" s="5">
        <f t="shared" si="217"/>
        <v>15.372121359243307</v>
      </c>
      <c r="CI226" s="68">
        <f>_xll.DCETCVN5575PhuLucD2Eta(BP226,CH226,CF226)</f>
        <v>1.2126272189349112</v>
      </c>
      <c r="CJ226" s="5">
        <f t="shared" si="218"/>
        <v>18.64065277298916</v>
      </c>
      <c r="CK226" s="5">
        <f>MIN(noisuy2chieu(CJ226,CF226,Data!$DA$2:$EB$24),1)</f>
        <v>7.743227481842041E-2</v>
      </c>
      <c r="CL226" s="102">
        <f t="shared" si="219"/>
        <v>0.82109521595020507</v>
      </c>
      <c r="CM226" s="5" t="str">
        <f t="shared" si="220"/>
        <v>OK</v>
      </c>
      <c r="CN226" s="5">
        <f t="shared" si="221"/>
        <v>0.86643683692746631</v>
      </c>
      <c r="CO226" s="5">
        <f t="shared" si="222"/>
        <v>0.5370345235716667</v>
      </c>
      <c r="CP226" s="25">
        <f>_xll.DCETCVNPhuLucFHeSoOnDinh(1, 0.2, AG226, AH226, AI226, AJ226, AI226, AJ226, $D$28)</f>
        <v>1</v>
      </c>
      <c r="CQ226" s="68">
        <f t="shared" si="223"/>
        <v>0.9</v>
      </c>
      <c r="CR226" s="68">
        <f t="shared" si="224"/>
        <v>1</v>
      </c>
      <c r="CS226" s="5">
        <f t="shared" si="225"/>
        <v>0.18181818181818182</v>
      </c>
      <c r="CT226" s="5">
        <f t="shared" si="226"/>
        <v>0.10347287704587492</v>
      </c>
      <c r="CU226" s="26">
        <f t="shared" si="227"/>
        <v>7.6860606796216535</v>
      </c>
      <c r="CV226" s="5"/>
      <c r="CW226" s="25"/>
      <c r="CX226" s="72">
        <f>MAX(_xll.Dce_c_925(CU226, CQ226, CR226, CN226, CP226, CS226, CT226),0.3)</f>
        <v>0.3</v>
      </c>
      <c r="CY226" s="102">
        <f t="shared" si="228"/>
        <v>0.24460052059886078</v>
      </c>
      <c r="CZ226" s="5" t="str">
        <f t="shared" si="229"/>
        <v>OK</v>
      </c>
      <c r="DA226" s="47">
        <f t="shared" si="230"/>
        <v>0.34499859601035404</v>
      </c>
      <c r="DB226" s="46">
        <f t="shared" si="231"/>
        <v>0.48385309547993066</v>
      </c>
      <c r="DC226" s="5" t="str">
        <f t="shared" si="232"/>
        <v>OK</v>
      </c>
      <c r="DD226" s="5">
        <f t="shared" si="233"/>
        <v>1.2506397644909562</v>
      </c>
      <c r="DE226" s="5">
        <f t="shared" si="234"/>
        <v>4.4677979100191463</v>
      </c>
      <c r="DF226" s="5" t="str">
        <f t="shared" si="235"/>
        <v>-</v>
      </c>
      <c r="DG226" s="5" t="str">
        <f t="shared" si="236"/>
        <v>-</v>
      </c>
      <c r="DH226" s="203">
        <f t="shared" si="237"/>
        <v>37.545238889226049</v>
      </c>
      <c r="DI226" s="203">
        <f t="shared" si="238"/>
        <v>160.73428704298769</v>
      </c>
      <c r="DJ226" s="46">
        <f t="shared" si="239"/>
        <v>0.2335857493752079</v>
      </c>
      <c r="DK226" s="5" t="str">
        <f t="shared" si="240"/>
        <v>OK</v>
      </c>
      <c r="EB226" s="18"/>
      <c r="EC226" s="77"/>
      <c r="ED226" s="77"/>
      <c r="EE226" s="18"/>
      <c r="EF226" s="18"/>
      <c r="EG226" s="18"/>
      <c r="EH226" s="5"/>
      <c r="EI226" s="5"/>
      <c r="EJ226" s="5"/>
      <c r="EK226" s="5"/>
      <c r="EL226" s="5"/>
      <c r="FE226" s="26"/>
      <c r="FF226" s="26"/>
      <c r="FG226" s="26"/>
      <c r="FH226" s="26"/>
      <c r="FI226" s="26"/>
      <c r="FJ226" s="26"/>
      <c r="FK226" s="26"/>
      <c r="FL226" s="26"/>
      <c r="FM226" s="26"/>
      <c r="FN226" s="205"/>
      <c r="FO226" s="205"/>
      <c r="FP226" s="205"/>
      <c r="FQ226" s="205"/>
      <c r="FR226" s="205"/>
      <c r="FS226" s="205"/>
      <c r="FT226" s="205"/>
      <c r="FU226" s="77"/>
      <c r="FV226" s="77"/>
      <c r="FW226" s="77"/>
      <c r="FX226" s="205"/>
      <c r="FY226" s="205"/>
      <c r="FZ226" s="205"/>
      <c r="GA226" s="205"/>
      <c r="GB226" s="205"/>
      <c r="GC226" s="205"/>
      <c r="GD226" s="205"/>
      <c r="GE226" s="205"/>
      <c r="GF226" s="205"/>
      <c r="GG226" s="205"/>
      <c r="GH226" s="205"/>
      <c r="GI226" s="205"/>
      <c r="GJ226" s="205"/>
      <c r="GK226" s="205"/>
      <c r="GL226" s="205"/>
      <c r="GM226" s="205"/>
      <c r="GN226" s="205"/>
      <c r="GO226" s="205"/>
      <c r="GP226" s="205"/>
      <c r="GQ226" s="205"/>
      <c r="GR226" s="205"/>
      <c r="GS226" s="205"/>
      <c r="GT226" s="205"/>
      <c r="GU226" s="205"/>
      <c r="GV226" s="18"/>
      <c r="GW226" s="5"/>
      <c r="GX226" s="5"/>
      <c r="GY226" s="77"/>
      <c r="GZ226" s="18"/>
      <c r="HA226" s="18"/>
      <c r="HB226" s="18"/>
      <c r="HC226" s="18"/>
      <c r="HD226" s="18"/>
      <c r="HE226" s="18"/>
      <c r="HF226" s="18"/>
      <c r="HG226" s="18"/>
      <c r="HH226" s="205"/>
      <c r="HI226" s="26"/>
      <c r="HJ226" s="26"/>
      <c r="HK226" s="5"/>
    </row>
    <row r="227" spans="27:219">
      <c r="AA227" s="18" t="s">
        <v>488</v>
      </c>
      <c r="AB227" s="22" t="s">
        <v>491</v>
      </c>
      <c r="AC227" s="59">
        <v>0</v>
      </c>
      <c r="AD227" s="59">
        <v>8.6549999999999994</v>
      </c>
      <c r="AE227" s="22">
        <v>528</v>
      </c>
      <c r="AF227" s="22">
        <v>1528</v>
      </c>
      <c r="AG227" s="22">
        <v>528</v>
      </c>
      <c r="AH227" s="6">
        <v>10</v>
      </c>
      <c r="AI227" s="6">
        <v>300</v>
      </c>
      <c r="AJ227" s="6">
        <v>14</v>
      </c>
      <c r="AK227" s="24">
        <v>300</v>
      </c>
      <c r="AL227" s="24">
        <v>14</v>
      </c>
      <c r="AM227" s="5">
        <f t="shared" si="185"/>
        <v>500</v>
      </c>
      <c r="AN227" s="26">
        <f t="shared" si="186"/>
        <v>134</v>
      </c>
      <c r="AO227" s="26">
        <f t="shared" si="187"/>
        <v>65911.546666666676</v>
      </c>
      <c r="AP227" s="15">
        <f t="shared" si="188"/>
        <v>6304.166666666667</v>
      </c>
      <c r="AQ227" s="5">
        <f t="shared" si="189"/>
        <v>2496.6494949494954</v>
      </c>
      <c r="AR227" s="26">
        <f t="shared" si="190"/>
        <v>420.27777777777777</v>
      </c>
      <c r="AS227" s="26">
        <f t="shared" si="191"/>
        <v>1391.9</v>
      </c>
      <c r="AT227" s="26">
        <f t="shared" si="192"/>
        <v>22.178305028345793</v>
      </c>
      <c r="AU227" s="26">
        <f t="shared" si="193"/>
        <v>6.8590101254115021</v>
      </c>
      <c r="AV227" s="95">
        <f t="shared" si="194"/>
        <v>7.201333333333334E-7</v>
      </c>
      <c r="AW227" s="95">
        <f t="shared" si="195"/>
        <v>4161087</v>
      </c>
      <c r="AX227" s="95">
        <f t="shared" si="196"/>
        <v>4.1610870000000001E-6</v>
      </c>
      <c r="AY227" s="54">
        <f t="shared" si="197"/>
        <v>0.25762202780669918</v>
      </c>
      <c r="AZ227" s="54" t="str">
        <f>_xll.Dce_Name_SectI(AE227,AF227,AI227,AH227,AJ227,"x","-",$O$11)</f>
        <v>(528-1528)x300x10x14</v>
      </c>
      <c r="BA227" s="15">
        <f t="shared" si="198"/>
        <v>385.5</v>
      </c>
      <c r="BB227" s="54"/>
      <c r="BC227" s="54"/>
      <c r="BD227" s="22" t="s">
        <v>510</v>
      </c>
      <c r="BE227" s="23">
        <v>-94.691202380891383</v>
      </c>
      <c r="BF227" s="23">
        <v>-98.339472753732906</v>
      </c>
      <c r="BG227" s="23">
        <v>-3.4092526759648518E-4</v>
      </c>
      <c r="BH227" s="23">
        <v>7.6227562953352487E-5</v>
      </c>
      <c r="BI227" s="23">
        <v>5.2345535528319692E-6</v>
      </c>
      <c r="BJ227" s="23">
        <v>-1.2283072157048989</v>
      </c>
      <c r="BK227" s="23">
        <v>310.57348844748651</v>
      </c>
      <c r="BL227" s="92">
        <v>2.25</v>
      </c>
      <c r="BM227" s="91">
        <v>2</v>
      </c>
      <c r="BN227" s="5">
        <f t="shared" si="199"/>
        <v>19.473749999999999</v>
      </c>
      <c r="BO227" s="54">
        <f>_xll.Bimoment(BH227,AY227,AC227,AD227,$O$101)</f>
        <v>0</v>
      </c>
      <c r="BP227" s="5">
        <f t="shared" si="200"/>
        <v>0.84</v>
      </c>
      <c r="BQ227" s="5">
        <f t="shared" si="201"/>
        <v>0.10560575963893115</v>
      </c>
      <c r="BR227" s="24" t="str">
        <f t="shared" si="202"/>
        <v>Cal</v>
      </c>
      <c r="BS227" s="25">
        <f t="shared" si="203"/>
        <v>3.0915970926597001E-2</v>
      </c>
      <c r="BT227" s="25" t="str">
        <f t="shared" si="204"/>
        <v>CT.105</v>
      </c>
      <c r="BU227" s="25">
        <f t="shared" si="205"/>
        <v>1</v>
      </c>
      <c r="BV227" s="25" cm="1">
        <f t="array" ref="BV227">IF(BT227="CT.104",_xll.TCVN5575AnnexEHeSoCx(1,BP227),1)</f>
        <v>1</v>
      </c>
      <c r="BW227" s="25">
        <f t="shared" si="206"/>
        <v>1</v>
      </c>
      <c r="BX227" s="25">
        <f t="shared" si="207"/>
        <v>3.2543127291154737E-2</v>
      </c>
      <c r="BY227" s="25">
        <f t="shared" si="208"/>
        <v>2.2657076928519608E-3</v>
      </c>
      <c r="BZ227" s="25">
        <f t="shared" si="209"/>
        <v>5.7358485029466392E-8</v>
      </c>
      <c r="CA227" s="25">
        <f t="shared" si="210"/>
        <v>0</v>
      </c>
      <c r="CB227" s="25">
        <f t="shared" si="211"/>
        <v>3.480889234249173E-2</v>
      </c>
      <c r="CC227" s="5" t="str">
        <f t="shared" si="212"/>
        <v>OK</v>
      </c>
      <c r="CD227" s="5">
        <f t="shared" si="213"/>
        <v>87.805402509844015</v>
      </c>
      <c r="CE227" s="5">
        <f t="shared" si="214"/>
        <v>29.158726455153193</v>
      </c>
      <c r="CF227" s="5">
        <f t="shared" si="215"/>
        <v>2.9248163326364334</v>
      </c>
      <c r="CG227" s="5">
        <f t="shared" si="216"/>
        <v>0.97128328026682387</v>
      </c>
      <c r="CH227" s="5">
        <f t="shared" si="217"/>
        <v>6.9621695314690382E-2</v>
      </c>
      <c r="CI227" s="68">
        <f>_xll.DCETCVN5575PhuLucD2Eta(BP227,CH227,CF227)</f>
        <v>1.5168513085122768</v>
      </c>
      <c r="CJ227" s="5">
        <f t="shared" si="218"/>
        <v>0.10560575963893115</v>
      </c>
      <c r="CK227" s="5">
        <f>MIN(noisuy2chieu(CJ227,CF227,Data!$DA$2:$EB$24),1)</f>
        <v>0.67566150426864624</v>
      </c>
      <c r="CL227" s="102">
        <f t="shared" si="219"/>
        <v>4.8164838584936517E-2</v>
      </c>
      <c r="CM227" s="5" t="str">
        <f t="shared" si="220"/>
        <v>OK</v>
      </c>
      <c r="CN227" s="5">
        <f t="shared" si="221"/>
        <v>0.90492218941026858</v>
      </c>
      <c r="CO227" s="5">
        <f t="shared" si="222"/>
        <v>0.5370345235716667</v>
      </c>
      <c r="CP227" s="25">
        <f>_xll.DCETCVNPhuLucFHeSoOnDinh(1, 0.2, AG227, AH227, AI227, AJ227, AI227, AJ227, $D$28)</f>
        <v>1</v>
      </c>
      <c r="CQ227" s="68">
        <f t="shared" si="223"/>
        <v>0.9</v>
      </c>
      <c r="CR227" s="68">
        <f t="shared" si="224"/>
        <v>1</v>
      </c>
      <c r="CS227" s="5">
        <f t="shared" si="225"/>
        <v>0.18181818181818182</v>
      </c>
      <c r="CT227" s="5">
        <f t="shared" si="226"/>
        <v>9.9510191986788829E-2</v>
      </c>
      <c r="CU227" s="26">
        <f t="shared" si="227"/>
        <v>17.603619443937443</v>
      </c>
      <c r="CV227" s="5"/>
      <c r="CW227" s="25"/>
      <c r="CX227" s="72">
        <f>MAX(_xll.Dce_c_925(CU227, CQ227, CR227, CN227, CP227, CS227, CT227),0.3)</f>
        <v>0.3</v>
      </c>
      <c r="CY227" s="102">
        <f t="shared" si="228"/>
        <v>0.11987449555326912</v>
      </c>
      <c r="CZ227" s="5" t="str">
        <f t="shared" si="229"/>
        <v>OK</v>
      </c>
      <c r="DA227" s="47">
        <f t="shared" si="230"/>
        <v>0.34499859601035404</v>
      </c>
      <c r="DB227" s="46">
        <f t="shared" si="231"/>
        <v>0.45712832802668235</v>
      </c>
      <c r="DC227" s="5" t="str">
        <f t="shared" si="232"/>
        <v>OK</v>
      </c>
      <c r="DD227" s="5">
        <f t="shared" si="233"/>
        <v>2.9248163326364334</v>
      </c>
      <c r="DE227" s="5">
        <f t="shared" si="234"/>
        <v>1.6655104634982609</v>
      </c>
      <c r="DF227" s="5" t="str">
        <f t="shared" si="235"/>
        <v>-</v>
      </c>
      <c r="DG227" s="5" t="str">
        <f t="shared" si="236"/>
        <v>-</v>
      </c>
      <c r="DH227" s="203" t="str">
        <f t="shared" si="237"/>
        <v>-</v>
      </c>
      <c r="DI227" s="203">
        <f t="shared" si="238"/>
        <v>180</v>
      </c>
      <c r="DJ227" s="46">
        <f t="shared" si="239"/>
        <v>0</v>
      </c>
      <c r="DK227" s="5" t="str">
        <f t="shared" si="240"/>
        <v>OK</v>
      </c>
      <c r="EB227" s="18"/>
      <c r="EC227" s="77"/>
      <c r="ED227" s="77"/>
      <c r="EE227" s="18"/>
      <c r="EF227" s="18"/>
      <c r="EG227" s="18"/>
      <c r="EH227" s="5"/>
      <c r="EI227" s="5"/>
      <c r="EJ227" s="5"/>
      <c r="EK227" s="5"/>
      <c r="EL227" s="5"/>
      <c r="FE227" s="26"/>
      <c r="FF227" s="26"/>
      <c r="FG227" s="26"/>
      <c r="FH227" s="26"/>
      <c r="FI227" s="26"/>
      <c r="FJ227" s="26"/>
      <c r="FK227" s="26"/>
      <c r="FL227" s="26"/>
      <c r="FM227" s="26"/>
      <c r="FN227" s="205"/>
      <c r="FO227" s="205"/>
      <c r="FP227" s="205"/>
      <c r="FQ227" s="205"/>
      <c r="FR227" s="205"/>
      <c r="FS227" s="205"/>
      <c r="FT227" s="205"/>
      <c r="FU227" s="77"/>
      <c r="FV227" s="77"/>
      <c r="FW227" s="77"/>
      <c r="FX227" s="205"/>
      <c r="FY227" s="205"/>
      <c r="FZ227" s="205"/>
      <c r="GA227" s="205"/>
      <c r="GB227" s="205"/>
      <c r="GC227" s="205"/>
      <c r="GD227" s="205"/>
      <c r="GE227" s="205"/>
      <c r="GF227" s="205"/>
      <c r="GG227" s="205"/>
      <c r="GH227" s="205"/>
      <c r="GI227" s="205"/>
      <c r="GJ227" s="205"/>
      <c r="GK227" s="205"/>
      <c r="GL227" s="205"/>
      <c r="GM227" s="205"/>
      <c r="GN227" s="205"/>
      <c r="GO227" s="205"/>
      <c r="GP227" s="205"/>
      <c r="GQ227" s="205"/>
      <c r="GR227" s="205"/>
      <c r="GS227" s="205"/>
      <c r="GT227" s="205"/>
      <c r="GU227" s="205"/>
      <c r="GV227" s="18"/>
      <c r="GW227" s="5"/>
      <c r="GX227" s="5"/>
      <c r="GY227" s="77"/>
      <c r="GZ227" s="18"/>
      <c r="HA227" s="18"/>
      <c r="HB227" s="18"/>
      <c r="HC227" s="18"/>
      <c r="HD227" s="18"/>
      <c r="HE227" s="18"/>
      <c r="HF227" s="18"/>
      <c r="HG227" s="18"/>
      <c r="HH227" s="205"/>
      <c r="HI227" s="26"/>
      <c r="HJ227" s="26"/>
      <c r="HK227" s="5"/>
    </row>
    <row r="228" spans="27:219">
      <c r="AA228" s="18" t="s">
        <v>488</v>
      </c>
      <c r="AB228" s="22" t="s">
        <v>491</v>
      </c>
      <c r="AC228" s="59">
        <v>3.6405952380952398</v>
      </c>
      <c r="AD228" s="59">
        <v>8.6549999999999994</v>
      </c>
      <c r="AE228" s="22">
        <v>528</v>
      </c>
      <c r="AF228" s="22">
        <v>1528</v>
      </c>
      <c r="AG228" s="22">
        <v>948.63492063492095</v>
      </c>
      <c r="AH228" s="6">
        <v>10</v>
      </c>
      <c r="AI228" s="6">
        <v>300</v>
      </c>
      <c r="AJ228" s="6">
        <v>14</v>
      </c>
      <c r="AK228" s="24">
        <v>300</v>
      </c>
      <c r="AL228" s="24">
        <v>14</v>
      </c>
      <c r="AM228" s="5">
        <f t="shared" si="185"/>
        <v>920.63492063492095</v>
      </c>
      <c r="AN228" s="26">
        <f t="shared" si="186"/>
        <v>176.06349206349208</v>
      </c>
      <c r="AO228" s="26">
        <f t="shared" si="187"/>
        <v>248482.7399356656</v>
      </c>
      <c r="AP228" s="15">
        <f t="shared" si="188"/>
        <v>6307.6719576719579</v>
      </c>
      <c r="AQ228" s="5">
        <f t="shared" si="189"/>
        <v>5238.7432621467533</v>
      </c>
      <c r="AR228" s="26">
        <f t="shared" si="190"/>
        <v>420.51146384479722</v>
      </c>
      <c r="AS228" s="26">
        <f t="shared" si="191"/>
        <v>3022.1941546989178</v>
      </c>
      <c r="AT228" s="26">
        <f t="shared" si="192"/>
        <v>37.567600585756203</v>
      </c>
      <c r="AU228" s="26">
        <f t="shared" si="193"/>
        <v>5.9854925384629922</v>
      </c>
      <c r="AV228" s="95">
        <f t="shared" si="194"/>
        <v>8.6034497354497351E-7</v>
      </c>
      <c r="AW228" s="95">
        <f t="shared" si="195"/>
        <v>13758293.349206358</v>
      </c>
      <c r="AX228" s="95">
        <f t="shared" si="196"/>
        <v>1.3758293349206359E-5</v>
      </c>
      <c r="AY228" s="54">
        <f t="shared" si="197"/>
        <v>0.1548581140202015</v>
      </c>
      <c r="AZ228" s="54" t="str">
        <f>_xll.Dce_Name_SectI(AE228,AF228,AI228,AH228,AJ228,"x","-",$O$11)</f>
        <v>(528-1528)x300x10x14</v>
      </c>
      <c r="BA228" s="15">
        <f t="shared" si="198"/>
        <v>700.97619047619071</v>
      </c>
      <c r="BB228" s="54"/>
      <c r="BC228" s="54"/>
      <c r="BD228" s="22" t="s">
        <v>510</v>
      </c>
      <c r="BE228" s="23">
        <v>-88.868061694325547</v>
      </c>
      <c r="BF228" s="23">
        <v>-85.258663691015443</v>
      </c>
      <c r="BG228" s="23">
        <v>-3.4092526759568233E-4</v>
      </c>
      <c r="BH228" s="23">
        <v>7.6227562953352487E-5</v>
      </c>
      <c r="BI228" s="23">
        <v>1.2493284385458872E-3</v>
      </c>
      <c r="BJ228" s="23">
        <v>333.72980905683801</v>
      </c>
      <c r="BK228" s="23">
        <v>310.57348844748651</v>
      </c>
      <c r="BL228" s="92">
        <v>2.25</v>
      </c>
      <c r="BM228" s="91">
        <v>2</v>
      </c>
      <c r="BN228" s="5">
        <f t="shared" si="199"/>
        <v>19.473749999999999</v>
      </c>
      <c r="BO228" s="54">
        <f>_xll.Bimoment(BH228,AY228,AC228,AD228,$O$101)</f>
        <v>-5.8624077929276413E-4</v>
      </c>
      <c r="BP228" s="5">
        <f t="shared" si="200"/>
        <v>0.45620689655172403</v>
      </c>
      <c r="BQ228" s="5">
        <f t="shared" si="201"/>
        <v>15.665625261669934</v>
      </c>
      <c r="BR228" s="24" t="str">
        <f t="shared" si="202"/>
        <v>Cal</v>
      </c>
      <c r="BS228" s="25">
        <f t="shared" si="203"/>
        <v>2.2082815997564439E-2</v>
      </c>
      <c r="BT228" s="25" t="str">
        <f t="shared" si="204"/>
        <v>CT.105</v>
      </c>
      <c r="BU228" s="25">
        <f t="shared" si="205"/>
        <v>1</v>
      </c>
      <c r="BV228" s="25" cm="1">
        <f t="array" ref="BV228">IF(BT228="CT.104",_xll.TCVN5575AnnexEHeSoCx(1,BP228),1)</f>
        <v>1</v>
      </c>
      <c r="BW228" s="25">
        <f t="shared" si="206"/>
        <v>1</v>
      </c>
      <c r="BX228" s="25">
        <f t="shared" si="207"/>
        <v>2.3245069471120462E-2</v>
      </c>
      <c r="BY228" s="25">
        <f t="shared" si="208"/>
        <v>0.29337448266378663</v>
      </c>
      <c r="BZ228" s="25">
        <f t="shared" si="209"/>
        <v>1.3682115054701662E-5</v>
      </c>
      <c r="CA228" s="25">
        <f t="shared" si="210"/>
        <v>1.3755271878668179E-5</v>
      </c>
      <c r="CB228" s="25">
        <f t="shared" si="211"/>
        <v>0.31664698952184051</v>
      </c>
      <c r="CC228" s="5" t="str">
        <f t="shared" si="212"/>
        <v>OK</v>
      </c>
      <c r="CD228" s="5">
        <f t="shared" si="213"/>
        <v>51.836555160202302</v>
      </c>
      <c r="CE228" s="5">
        <f t="shared" si="214"/>
        <v>33.414125690541383</v>
      </c>
      <c r="CF228" s="5">
        <f t="shared" si="215"/>
        <v>1.7266865002204341</v>
      </c>
      <c r="CG228" s="5">
        <f t="shared" si="216"/>
        <v>1.1130315193248546</v>
      </c>
      <c r="CH228" s="5">
        <f t="shared" si="217"/>
        <v>12.620933786765978</v>
      </c>
      <c r="CI228" s="68">
        <f>_xll.DCETCVN5575PhuLucD2Eta(BP228,CH228,CF228)</f>
        <v>1.2412413793103447</v>
      </c>
      <c r="CJ228" s="5">
        <f t="shared" si="218"/>
        <v>15.665625261669934</v>
      </c>
      <c r="CK228" s="5">
        <f>MIN(noisuy2chieu(CJ228,CF228,Data!$DA$2:$EB$24),1)</f>
        <v>8.7798021733760834E-2</v>
      </c>
      <c r="CL228" s="102">
        <f t="shared" si="219"/>
        <v>0.2647561871224039</v>
      </c>
      <c r="CM228" s="5" t="str">
        <f t="shared" si="220"/>
        <v>OK</v>
      </c>
      <c r="CN228" s="5">
        <f t="shared" si="221"/>
        <v>0.88472625978979058</v>
      </c>
      <c r="CO228" s="5">
        <f t="shared" si="222"/>
        <v>0.5370345235716667</v>
      </c>
      <c r="CP228" s="25">
        <f>_xll.DCETCVNPhuLucFHeSoOnDinh(1, 0.2, AG228, AH228, AI228, AJ228, AI228, AJ228, $D$28)</f>
        <v>1</v>
      </c>
      <c r="CQ228" s="68">
        <f t="shared" si="223"/>
        <v>0.9</v>
      </c>
      <c r="CR228" s="68">
        <f t="shared" si="224"/>
        <v>1</v>
      </c>
      <c r="CS228" s="5">
        <f t="shared" si="225"/>
        <v>0.18181818181818182</v>
      </c>
      <c r="CT228" s="5">
        <f t="shared" si="226"/>
        <v>0.10155106457844131</v>
      </c>
      <c r="CU228" s="26">
        <f t="shared" si="227"/>
        <v>11.74521222631653</v>
      </c>
      <c r="CV228" s="5"/>
      <c r="CW228" s="25"/>
      <c r="CX228" s="72">
        <f>MAX(_xll.Dce_c_925(CU228, CQ228, CR228, CN228, CP228, CS228, CT228),0.3)</f>
        <v>0.3</v>
      </c>
      <c r="CY228" s="102">
        <f t="shared" si="228"/>
        <v>8.757913992758036E-2</v>
      </c>
      <c r="CZ228" s="5" t="str">
        <f t="shared" si="229"/>
        <v>OK</v>
      </c>
      <c r="DA228" s="47">
        <f t="shared" si="230"/>
        <v>0.34499859601035404</v>
      </c>
      <c r="DB228" s="46">
        <f t="shared" si="231"/>
        <v>0.47130315193248545</v>
      </c>
      <c r="DC228" s="5" t="str">
        <f t="shared" si="232"/>
        <v>OK</v>
      </c>
      <c r="DD228" s="5">
        <f t="shared" si="233"/>
        <v>1.7266865002204341</v>
      </c>
      <c r="DE228" s="5">
        <f t="shared" si="234"/>
        <v>3.0666541867587034</v>
      </c>
      <c r="DF228" s="5" t="str">
        <f t="shared" si="235"/>
        <v>-</v>
      </c>
      <c r="DG228" s="5" t="str">
        <f t="shared" si="236"/>
        <v>-</v>
      </c>
      <c r="DH228" s="203">
        <f t="shared" si="237"/>
        <v>51.836555160202302</v>
      </c>
      <c r="DI228" s="203">
        <f t="shared" si="238"/>
        <v>180</v>
      </c>
      <c r="DJ228" s="46">
        <f t="shared" si="239"/>
        <v>0.28798086200112388</v>
      </c>
      <c r="DK228" s="5" t="str">
        <f t="shared" si="240"/>
        <v>OK</v>
      </c>
      <c r="EB228" s="18"/>
      <c r="EC228" s="77"/>
      <c r="ED228" s="77"/>
      <c r="EE228" s="18"/>
      <c r="EF228" s="18"/>
      <c r="EG228" s="18"/>
      <c r="EH228" s="5"/>
      <c r="EI228" s="5"/>
      <c r="EJ228" s="5"/>
      <c r="EK228" s="5"/>
      <c r="EL228" s="5"/>
      <c r="FE228" s="26"/>
      <c r="FF228" s="26"/>
      <c r="FG228" s="26"/>
      <c r="FH228" s="26"/>
      <c r="FI228" s="26"/>
      <c r="FJ228" s="26"/>
      <c r="FK228" s="26"/>
      <c r="FL228" s="26"/>
      <c r="FM228" s="26"/>
      <c r="FN228" s="205"/>
      <c r="FO228" s="205"/>
      <c r="FP228" s="205"/>
      <c r="FQ228" s="205"/>
      <c r="FR228" s="205"/>
      <c r="FS228" s="205"/>
      <c r="FT228" s="205"/>
      <c r="FU228" s="77"/>
      <c r="FV228" s="77"/>
      <c r="FW228" s="77"/>
      <c r="FX228" s="205"/>
      <c r="FY228" s="205"/>
      <c r="FZ228" s="205"/>
      <c r="GA228" s="205"/>
      <c r="GB228" s="205"/>
      <c r="GC228" s="205"/>
      <c r="GD228" s="205"/>
      <c r="GE228" s="205"/>
      <c r="GF228" s="205"/>
      <c r="GG228" s="205"/>
      <c r="GH228" s="205"/>
      <c r="GI228" s="205"/>
      <c r="GJ228" s="205"/>
      <c r="GK228" s="205"/>
      <c r="GL228" s="205"/>
      <c r="GM228" s="205"/>
      <c r="GN228" s="205"/>
      <c r="GO228" s="205"/>
      <c r="GP228" s="205"/>
      <c r="GQ228" s="205"/>
      <c r="GR228" s="205"/>
      <c r="GS228" s="205"/>
      <c r="GT228" s="205"/>
      <c r="GU228" s="205"/>
      <c r="GV228" s="18"/>
      <c r="GW228" s="5"/>
      <c r="GX228" s="5"/>
      <c r="GY228" s="77"/>
      <c r="GZ228" s="18"/>
      <c r="HA228" s="18"/>
      <c r="HB228" s="18"/>
      <c r="HC228" s="18"/>
      <c r="HD228" s="18"/>
      <c r="HE228" s="18"/>
      <c r="HF228" s="18"/>
      <c r="HG228" s="18"/>
      <c r="HH228" s="205"/>
      <c r="HI228" s="26"/>
      <c r="HJ228" s="26"/>
      <c r="HK228" s="5"/>
    </row>
    <row r="229" spans="27:219">
      <c r="AA229" s="18" t="s">
        <v>488</v>
      </c>
      <c r="AB229" s="22" t="s">
        <v>491</v>
      </c>
      <c r="AC229" s="59">
        <v>7.2811904761904795</v>
      </c>
      <c r="AD229" s="59">
        <v>8.6549999999999994</v>
      </c>
      <c r="AE229" s="22">
        <v>528</v>
      </c>
      <c r="AF229" s="22">
        <v>1528</v>
      </c>
      <c r="AG229" s="22">
        <v>1369.2698412698419</v>
      </c>
      <c r="AH229" s="6">
        <v>10</v>
      </c>
      <c r="AI229" s="6">
        <v>300</v>
      </c>
      <c r="AJ229" s="6">
        <v>14</v>
      </c>
      <c r="AK229" s="24">
        <v>300</v>
      </c>
      <c r="AL229" s="24">
        <v>14</v>
      </c>
      <c r="AM229" s="5">
        <f t="shared" si="185"/>
        <v>1341.2698412698419</v>
      </c>
      <c r="AN229" s="26">
        <f t="shared" si="186"/>
        <v>218.12698412698418</v>
      </c>
      <c r="AO229" s="26">
        <f t="shared" si="187"/>
        <v>586811.79072745051</v>
      </c>
      <c r="AP229" s="15">
        <f t="shared" si="188"/>
        <v>6311.1772486772488</v>
      </c>
      <c r="AQ229" s="5">
        <f t="shared" si="189"/>
        <v>8571.1635945074104</v>
      </c>
      <c r="AR229" s="26">
        <f t="shared" si="190"/>
        <v>420.74514991181661</v>
      </c>
      <c r="AS229" s="26">
        <f t="shared" si="191"/>
        <v>5094.8226505417015</v>
      </c>
      <c r="AT229" s="26">
        <f t="shared" si="192"/>
        <v>51.867428670398397</v>
      </c>
      <c r="AU229" s="26">
        <f t="shared" si="193"/>
        <v>5.3789869588463937</v>
      </c>
      <c r="AV229" s="95">
        <f t="shared" si="194"/>
        <v>1.0005566137566139E-6</v>
      </c>
      <c r="AW229" s="95">
        <f t="shared" si="195"/>
        <v>28928912.396825422</v>
      </c>
      <c r="AX229" s="95">
        <f t="shared" si="196"/>
        <v>2.8928912396825422E-5</v>
      </c>
      <c r="AY229" s="54">
        <f t="shared" si="197"/>
        <v>0.11516876660535029</v>
      </c>
      <c r="AZ229" s="54" t="str">
        <f>_xll.Dce_Name_SectI(AE229,AF229,AI229,AH229,AJ229,"x","-",$O$11)</f>
        <v>(528-1528)x300x10x14</v>
      </c>
      <c r="BA229" s="15">
        <f t="shared" si="198"/>
        <v>1016.4523809523813</v>
      </c>
      <c r="BB229" s="54"/>
      <c r="BC229" s="54"/>
      <c r="BD229" s="22" t="s">
        <v>510</v>
      </c>
      <c r="BE229" s="23">
        <v>-81.5034852572673</v>
      </c>
      <c r="BF229" s="23">
        <v>-72.283705158890001</v>
      </c>
      <c r="BG229" s="23">
        <v>-3.4092526759488587E-4</v>
      </c>
      <c r="BH229" s="23">
        <v>7.6227562953352487E-5</v>
      </c>
      <c r="BI229" s="23">
        <v>2.493422323536023E-3</v>
      </c>
      <c r="BJ229" s="23">
        <v>621.14697689497302</v>
      </c>
      <c r="BK229" s="23">
        <v>310.57348844748651</v>
      </c>
      <c r="BL229" s="92">
        <v>2.25</v>
      </c>
      <c r="BM229" s="91">
        <v>2</v>
      </c>
      <c r="BN229" s="5">
        <f t="shared" si="199"/>
        <v>19.473749999999999</v>
      </c>
      <c r="BO229" s="54">
        <f>_xll.Bimoment(BH229,AY229,AC229,AD229,$O$101)</f>
        <v>-3.4871597701452276E-4</v>
      </c>
      <c r="BP229" s="5">
        <f t="shared" si="200"/>
        <v>0.31313609467455605</v>
      </c>
      <c r="BQ229" s="5">
        <f t="shared" si="201"/>
        <v>23.518797784586557</v>
      </c>
      <c r="BR229" s="24" t="str">
        <f t="shared" si="202"/>
        <v>Cal</v>
      </c>
      <c r="BS229" s="25">
        <f t="shared" si="203"/>
        <v>1.6347255220516881E-2</v>
      </c>
      <c r="BT229" s="25" t="str">
        <f t="shared" si="204"/>
        <v>CT.105</v>
      </c>
      <c r="BU229" s="25">
        <f t="shared" si="205"/>
        <v>1</v>
      </c>
      <c r="BV229" s="25" cm="1">
        <f t="array" ref="BV229">IF(BT229="CT.104",_xll.TCVN5575AnnexEHeSoCx(1,BP229),1)</f>
        <v>1</v>
      </c>
      <c r="BW229" s="25">
        <f t="shared" si="206"/>
        <v>1</v>
      </c>
      <c r="BX229" s="25">
        <f t="shared" si="207"/>
        <v>1.7207637074228295E-2</v>
      </c>
      <c r="BY229" s="25">
        <f t="shared" si="208"/>
        <v>0.33374060088705026</v>
      </c>
      <c r="BZ229" s="25">
        <f t="shared" si="209"/>
        <v>2.7291736972035014E-5</v>
      </c>
      <c r="CA229" s="25">
        <f t="shared" si="210"/>
        <v>5.6426255235796157E-6</v>
      </c>
      <c r="CB229" s="25">
        <f t="shared" si="211"/>
        <v>0.35098117232377418</v>
      </c>
      <c r="CC229" s="5" t="str">
        <f t="shared" si="212"/>
        <v>OK</v>
      </c>
      <c r="CD229" s="5">
        <f t="shared" si="213"/>
        <v>37.545238889226049</v>
      </c>
      <c r="CE229" s="5">
        <f t="shared" si="214"/>
        <v>37.181722419139881</v>
      </c>
      <c r="CF229" s="5">
        <f t="shared" si="215"/>
        <v>1.2506397644909562</v>
      </c>
      <c r="CG229" s="5">
        <f t="shared" si="216"/>
        <v>1.2385309547993069</v>
      </c>
      <c r="CH229" s="5">
        <f t="shared" si="217"/>
        <v>19.394911657387883</v>
      </c>
      <c r="CI229" s="68">
        <f>_xll.DCETCVN5575PhuLucD2Eta(BP229,CH229,CF229)</f>
        <v>1.2126272189349112</v>
      </c>
      <c r="CJ229" s="5">
        <f t="shared" si="218"/>
        <v>23.518797784586557</v>
      </c>
      <c r="CK229" s="5">
        <f>MIN(noisuy2chieu(CJ229,CF229,Data!$DA$2:$EB$24),1)</f>
        <v>7.1994885802268982E-2</v>
      </c>
      <c r="CL229" s="102">
        <f t="shared" si="219"/>
        <v>0.23901193650738425</v>
      </c>
      <c r="CM229" s="5" t="str">
        <f t="shared" si="220"/>
        <v>OK</v>
      </c>
      <c r="CN229" s="5">
        <f t="shared" si="221"/>
        <v>0.86643683692746631</v>
      </c>
      <c r="CO229" s="5">
        <f t="shared" si="222"/>
        <v>0.5370345235716667</v>
      </c>
      <c r="CP229" s="25">
        <f>_xll.DCETCVNPhuLucFHeSoOnDinh(1, 0.2, AG229, AH229, AI229, AJ229, AI229, AJ229, $D$28)</f>
        <v>1</v>
      </c>
      <c r="CQ229" s="68">
        <f t="shared" si="223"/>
        <v>0.9</v>
      </c>
      <c r="CR229" s="68">
        <f t="shared" si="224"/>
        <v>1</v>
      </c>
      <c r="CS229" s="5">
        <f t="shared" si="225"/>
        <v>0.18181818181818182</v>
      </c>
      <c r="CT229" s="5">
        <f t="shared" si="226"/>
        <v>0.10347287704587492</v>
      </c>
      <c r="CU229" s="26">
        <f t="shared" si="227"/>
        <v>9.6974558286939416</v>
      </c>
      <c r="CV229" s="5"/>
      <c r="CW229" s="25"/>
      <c r="CX229" s="72">
        <f>MAX(_xll.Dce_c_925(CU229, CQ229, CR229, CN229, CP229, CS229, CT229),0.3)</f>
        <v>0.3</v>
      </c>
      <c r="CY229" s="102">
        <f t="shared" si="228"/>
        <v>6.6200775178063498E-2</v>
      </c>
      <c r="CZ229" s="5" t="str">
        <f t="shared" si="229"/>
        <v>OK</v>
      </c>
      <c r="DA229" s="47">
        <f t="shared" si="230"/>
        <v>0.34499859601035404</v>
      </c>
      <c r="DB229" s="46">
        <f t="shared" si="231"/>
        <v>0.48385309547993066</v>
      </c>
      <c r="DC229" s="5" t="str">
        <f t="shared" si="232"/>
        <v>OK</v>
      </c>
      <c r="DD229" s="5">
        <f t="shared" si="233"/>
        <v>1.2506397644909562</v>
      </c>
      <c r="DE229" s="5">
        <f t="shared" si="234"/>
        <v>4.4677979100191463</v>
      </c>
      <c r="DF229" s="5" t="str">
        <f t="shared" si="235"/>
        <v>-</v>
      </c>
      <c r="DG229" s="5" t="str">
        <f t="shared" si="236"/>
        <v>-</v>
      </c>
      <c r="DH229" s="203">
        <f t="shared" si="237"/>
        <v>37.545238889226049</v>
      </c>
      <c r="DI229" s="203">
        <f t="shared" si="238"/>
        <v>180</v>
      </c>
      <c r="DJ229" s="46">
        <f t="shared" si="239"/>
        <v>0.20858466049570026</v>
      </c>
      <c r="DK229" s="5" t="str">
        <f t="shared" si="240"/>
        <v>OK</v>
      </c>
      <c r="EB229" s="18"/>
      <c r="EC229" s="77"/>
      <c r="ED229" s="77"/>
      <c r="EE229" s="18"/>
      <c r="EF229" s="18"/>
      <c r="EG229" s="18"/>
      <c r="EH229" s="5"/>
      <c r="EI229" s="5"/>
      <c r="EJ229" s="5"/>
      <c r="EK229" s="5"/>
      <c r="EL229" s="5"/>
      <c r="FE229" s="26"/>
      <c r="FF229" s="26"/>
      <c r="FG229" s="26"/>
      <c r="FH229" s="26"/>
      <c r="FI229" s="26"/>
      <c r="FJ229" s="26"/>
      <c r="FK229" s="26"/>
      <c r="FL229" s="26"/>
      <c r="FM229" s="26"/>
      <c r="FN229" s="205"/>
      <c r="FO229" s="205"/>
      <c r="FP229" s="205"/>
      <c r="FQ229" s="205"/>
      <c r="FR229" s="205"/>
      <c r="FS229" s="205"/>
      <c r="FT229" s="205"/>
      <c r="FU229" s="77"/>
      <c r="FV229" s="77"/>
      <c r="FW229" s="77"/>
      <c r="FX229" s="205"/>
      <c r="FY229" s="205"/>
      <c r="FZ229" s="205"/>
      <c r="GA229" s="205"/>
      <c r="GB229" s="205"/>
      <c r="GC229" s="205"/>
      <c r="GD229" s="205"/>
      <c r="GE229" s="205"/>
      <c r="GF229" s="205"/>
      <c r="GG229" s="205"/>
      <c r="GH229" s="205"/>
      <c r="GI229" s="205"/>
      <c r="GJ229" s="205"/>
      <c r="GK229" s="205"/>
      <c r="GL229" s="205"/>
      <c r="GM229" s="205"/>
      <c r="GN229" s="205"/>
      <c r="GO229" s="205"/>
      <c r="GP229" s="205"/>
      <c r="GQ229" s="205"/>
      <c r="GR229" s="205"/>
      <c r="GS229" s="205"/>
      <c r="GT229" s="205"/>
      <c r="GU229" s="205"/>
      <c r="GV229" s="18"/>
      <c r="GW229" s="5"/>
      <c r="GX229" s="5"/>
      <c r="GY229" s="77"/>
      <c r="GZ229" s="18"/>
      <c r="HA229" s="18"/>
      <c r="HB229" s="18"/>
      <c r="HC229" s="18"/>
      <c r="HD229" s="18"/>
      <c r="HE229" s="18"/>
      <c r="HF229" s="18"/>
      <c r="HG229" s="18"/>
      <c r="HH229" s="205"/>
      <c r="HI229" s="26"/>
      <c r="HJ229" s="26"/>
      <c r="HK229" s="5"/>
    </row>
    <row r="230" spans="27:219">
      <c r="AA230" s="18" t="s">
        <v>488</v>
      </c>
      <c r="AB230" s="22" t="s">
        <v>491</v>
      </c>
      <c r="AC230" s="59">
        <v>0</v>
      </c>
      <c r="AD230" s="59">
        <v>8.6549999999999994</v>
      </c>
      <c r="AE230" s="22">
        <v>528</v>
      </c>
      <c r="AF230" s="22">
        <v>1528</v>
      </c>
      <c r="AG230" s="22">
        <v>528</v>
      </c>
      <c r="AH230" s="6">
        <v>10</v>
      </c>
      <c r="AI230" s="6">
        <v>300</v>
      </c>
      <c r="AJ230" s="6">
        <v>14</v>
      </c>
      <c r="AK230" s="24">
        <v>300</v>
      </c>
      <c r="AL230" s="24">
        <v>14</v>
      </c>
      <c r="AM230" s="5">
        <f t="shared" si="185"/>
        <v>500</v>
      </c>
      <c r="AN230" s="26">
        <f t="shared" si="186"/>
        <v>134</v>
      </c>
      <c r="AO230" s="26">
        <f t="shared" si="187"/>
        <v>65911.546666666676</v>
      </c>
      <c r="AP230" s="15">
        <f t="shared" si="188"/>
        <v>6304.166666666667</v>
      </c>
      <c r="AQ230" s="5">
        <f t="shared" si="189"/>
        <v>2496.6494949494954</v>
      </c>
      <c r="AR230" s="26">
        <f t="shared" si="190"/>
        <v>420.27777777777777</v>
      </c>
      <c r="AS230" s="26">
        <f t="shared" si="191"/>
        <v>1391.9</v>
      </c>
      <c r="AT230" s="26">
        <f t="shared" si="192"/>
        <v>22.178305028345793</v>
      </c>
      <c r="AU230" s="26">
        <f t="shared" si="193"/>
        <v>6.8590101254115021</v>
      </c>
      <c r="AV230" s="95">
        <f t="shared" si="194"/>
        <v>7.201333333333334E-7</v>
      </c>
      <c r="AW230" s="95">
        <f t="shared" si="195"/>
        <v>4161087</v>
      </c>
      <c r="AX230" s="95">
        <f t="shared" si="196"/>
        <v>4.1610870000000001E-6</v>
      </c>
      <c r="AY230" s="54">
        <f t="shared" si="197"/>
        <v>0.25762202780669918</v>
      </c>
      <c r="AZ230" s="54" t="str">
        <f>_xll.Dce_Name_SectI(AE230,AF230,AI230,AH230,AJ230,"x","-",$O$11)</f>
        <v>(528-1528)x300x10x14</v>
      </c>
      <c r="BA230" s="15">
        <f t="shared" si="198"/>
        <v>385.5</v>
      </c>
      <c r="BB230" s="54"/>
      <c r="BC230" s="54"/>
      <c r="BD230" s="22" t="s">
        <v>493</v>
      </c>
      <c r="BE230" s="23">
        <v>-303.94281201401554</v>
      </c>
      <c r="BF230" s="23">
        <v>-303.03058961383874</v>
      </c>
      <c r="BG230" s="23">
        <v>6.5523991886722423E-4</v>
      </c>
      <c r="BH230" s="23">
        <v>2.3077811196621189E-4</v>
      </c>
      <c r="BI230" s="23">
        <v>1.5847553550531668E-5</v>
      </c>
      <c r="BJ230" s="23">
        <v>-3.9547754020075847</v>
      </c>
      <c r="BK230" s="23">
        <v>1095.332640080881</v>
      </c>
      <c r="BL230" s="92">
        <v>2.25</v>
      </c>
      <c r="BM230" s="91">
        <v>2</v>
      </c>
      <c r="BN230" s="5">
        <f t="shared" si="199"/>
        <v>19.473749999999999</v>
      </c>
      <c r="BO230" s="54">
        <f>_xll.Bimoment(BH230,AY230,AC230,AD230,$O$101)</f>
        <v>0</v>
      </c>
      <c r="BP230" s="5">
        <f t="shared" si="200"/>
        <v>0.84</v>
      </c>
      <c r="BQ230" s="5">
        <f t="shared" si="201"/>
        <v>0.10592967446431542</v>
      </c>
      <c r="BR230" s="24" t="str">
        <f t="shared" si="202"/>
        <v>Cal</v>
      </c>
      <c r="BS230" s="25">
        <f t="shared" si="203"/>
        <v>9.9235059892635674E-2</v>
      </c>
      <c r="BT230" s="25" t="str">
        <f t="shared" si="204"/>
        <v>CT.105</v>
      </c>
      <c r="BU230" s="25">
        <f t="shared" si="205"/>
        <v>1</v>
      </c>
      <c r="BV230" s="25" cm="1">
        <f t="array" ref="BV230">IF(BT230="CT.104",_xll.TCVN5575AnnexEHeSoCx(1,BP230),1)</f>
        <v>1</v>
      </c>
      <c r="BW230" s="25">
        <f t="shared" si="206"/>
        <v>1</v>
      </c>
      <c r="BX230" s="25">
        <f t="shared" si="207"/>
        <v>0.10445795778172176</v>
      </c>
      <c r="BY230" s="25">
        <f t="shared" si="208"/>
        <v>7.2948892078991256E-3</v>
      </c>
      <c r="BZ230" s="25">
        <f t="shared" si="209"/>
        <v>1.7365218521645652E-7</v>
      </c>
      <c r="CA230" s="25">
        <f t="shared" si="210"/>
        <v>0</v>
      </c>
      <c r="CB230" s="25">
        <f t="shared" si="211"/>
        <v>0.1117530206418061</v>
      </c>
      <c r="CC230" s="5" t="str">
        <f t="shared" si="212"/>
        <v>OK</v>
      </c>
      <c r="CD230" s="5">
        <f t="shared" si="213"/>
        <v>87.805402509844015</v>
      </c>
      <c r="CE230" s="5">
        <f t="shared" si="214"/>
        <v>29.158726455153193</v>
      </c>
      <c r="CF230" s="5">
        <f t="shared" si="215"/>
        <v>2.9248163326364334</v>
      </c>
      <c r="CG230" s="5">
        <f t="shared" si="216"/>
        <v>0.97128328026682387</v>
      </c>
      <c r="CH230" s="5">
        <f t="shared" si="217"/>
        <v>6.9835648358574351E-2</v>
      </c>
      <c r="CI230" s="68">
        <f>_xll.DCETCVN5575PhuLucD2Eta(BP230,CH230,CF230)</f>
        <v>1.5168424286750319</v>
      </c>
      <c r="CJ230" s="5">
        <f t="shared" si="218"/>
        <v>0.10592967446431542</v>
      </c>
      <c r="CK230" s="5">
        <f>MIN(noisuy2chieu(CJ230,CF230,Data!$DA$2:$EB$24),1)</f>
        <v>0.67551034688949585</v>
      </c>
      <c r="CL230" s="102">
        <f t="shared" si="219"/>
        <v>0.15463561478031607</v>
      </c>
      <c r="CM230" s="5" t="str">
        <f t="shared" si="220"/>
        <v>OK</v>
      </c>
      <c r="CN230" s="5">
        <f t="shared" si="221"/>
        <v>0.90492218941026858</v>
      </c>
      <c r="CO230" s="5">
        <f t="shared" si="222"/>
        <v>0.5370345235716667</v>
      </c>
      <c r="CP230" s="25">
        <f>_xll.DCETCVNPhuLucFHeSoOnDinh(1, 0.2, AG230, AH230, AI230, AJ230, AI230, AJ230, $D$28)</f>
        <v>1</v>
      </c>
      <c r="CQ230" s="68">
        <f t="shared" si="223"/>
        <v>0.9</v>
      </c>
      <c r="CR230" s="68">
        <f t="shared" si="224"/>
        <v>1</v>
      </c>
      <c r="CS230" s="5">
        <f t="shared" si="225"/>
        <v>0.18181818181818182</v>
      </c>
      <c r="CT230" s="5">
        <f t="shared" si="226"/>
        <v>9.9510191986788829E-2</v>
      </c>
      <c r="CU230" s="26">
        <f t="shared" si="227"/>
        <v>19.341999813573885</v>
      </c>
      <c r="CV230" s="5"/>
      <c r="CW230" s="25"/>
      <c r="CX230" s="72">
        <f>MAX(_xll.Dce_c_925(CU230, CQ230, CR230, CN230, CP230, CS230, CT230),0.3)</f>
        <v>0.3</v>
      </c>
      <c r="CY230" s="102">
        <f t="shared" si="228"/>
        <v>0.38477694179723265</v>
      </c>
      <c r="CZ230" s="5" t="str">
        <f t="shared" si="229"/>
        <v>OK</v>
      </c>
      <c r="DA230" s="47">
        <f t="shared" si="230"/>
        <v>0.34499859601035404</v>
      </c>
      <c r="DB230" s="46">
        <f t="shared" si="231"/>
        <v>0.45712832802668235</v>
      </c>
      <c r="DC230" s="5" t="str">
        <f t="shared" si="232"/>
        <v>OK</v>
      </c>
      <c r="DD230" s="5">
        <f t="shared" si="233"/>
        <v>2.9248163326364334</v>
      </c>
      <c r="DE230" s="5">
        <f t="shared" si="234"/>
        <v>1.6655104634982609</v>
      </c>
      <c r="DF230" s="5" t="str">
        <f t="shared" si="235"/>
        <v>-</v>
      </c>
      <c r="DG230" s="5" t="str">
        <f t="shared" si="236"/>
        <v>-</v>
      </c>
      <c r="DH230" s="203" t="str">
        <f t="shared" si="237"/>
        <v>-</v>
      </c>
      <c r="DI230" s="203">
        <f t="shared" si="238"/>
        <v>180</v>
      </c>
      <c r="DJ230" s="46">
        <f t="shared" si="239"/>
        <v>0</v>
      </c>
      <c r="DK230" s="5" t="str">
        <f t="shared" si="240"/>
        <v>OK</v>
      </c>
      <c r="EB230" s="18"/>
      <c r="EC230" s="77"/>
      <c r="ED230" s="77"/>
      <c r="EE230" s="18"/>
      <c r="EF230" s="18"/>
      <c r="EG230" s="18"/>
      <c r="EH230" s="5"/>
      <c r="EI230" s="5"/>
      <c r="EJ230" s="5"/>
      <c r="EK230" s="5"/>
      <c r="EL230" s="5"/>
      <c r="FE230" s="26"/>
      <c r="FF230" s="26"/>
      <c r="FG230" s="26"/>
      <c r="FH230" s="26"/>
      <c r="FI230" s="26"/>
      <c r="FJ230" s="26"/>
      <c r="FK230" s="26"/>
      <c r="FL230" s="26"/>
      <c r="FM230" s="26"/>
      <c r="FN230" s="205"/>
      <c r="FO230" s="205"/>
      <c r="FP230" s="205"/>
      <c r="FQ230" s="205"/>
      <c r="FR230" s="205"/>
      <c r="FS230" s="205"/>
      <c r="FT230" s="205"/>
      <c r="FU230" s="77"/>
      <c r="FV230" s="77"/>
      <c r="FW230" s="77"/>
      <c r="FX230" s="205"/>
      <c r="FY230" s="205"/>
      <c r="FZ230" s="205"/>
      <c r="GA230" s="205"/>
      <c r="GB230" s="205"/>
      <c r="GC230" s="205"/>
      <c r="GD230" s="205"/>
      <c r="GE230" s="205"/>
      <c r="GF230" s="205"/>
      <c r="GG230" s="205"/>
      <c r="GH230" s="205"/>
      <c r="GI230" s="205"/>
      <c r="GJ230" s="205"/>
      <c r="GK230" s="205"/>
      <c r="GL230" s="205"/>
      <c r="GM230" s="205"/>
      <c r="GN230" s="205"/>
      <c r="GO230" s="205"/>
      <c r="GP230" s="205"/>
      <c r="GQ230" s="205"/>
      <c r="GR230" s="205"/>
      <c r="GS230" s="205"/>
      <c r="GT230" s="205"/>
      <c r="GU230" s="205"/>
      <c r="GV230" s="18"/>
      <c r="GW230" s="5"/>
      <c r="GX230" s="5"/>
      <c r="GY230" s="77"/>
      <c r="GZ230" s="18"/>
      <c r="HA230" s="18"/>
      <c r="HB230" s="18"/>
      <c r="HC230" s="18"/>
      <c r="HD230" s="18"/>
      <c r="HE230" s="18"/>
      <c r="HF230" s="18"/>
      <c r="HG230" s="18"/>
      <c r="HH230" s="205"/>
      <c r="HI230" s="26"/>
      <c r="HJ230" s="26"/>
      <c r="HK230" s="5"/>
    </row>
    <row r="231" spans="27:219">
      <c r="AA231" s="18" t="s">
        <v>488</v>
      </c>
      <c r="AB231" s="22" t="s">
        <v>491</v>
      </c>
      <c r="AC231" s="59">
        <v>3.6405952380952398</v>
      </c>
      <c r="AD231" s="59">
        <v>8.6549999999999994</v>
      </c>
      <c r="AE231" s="22">
        <v>528</v>
      </c>
      <c r="AF231" s="22">
        <v>1528</v>
      </c>
      <c r="AG231" s="22">
        <v>948.63492063492095</v>
      </c>
      <c r="AH231" s="6">
        <v>10</v>
      </c>
      <c r="AI231" s="6">
        <v>300</v>
      </c>
      <c r="AJ231" s="6">
        <v>14</v>
      </c>
      <c r="AK231" s="24">
        <v>300</v>
      </c>
      <c r="AL231" s="24">
        <v>14</v>
      </c>
      <c r="AM231" s="5">
        <f t="shared" si="185"/>
        <v>920.63492063492095</v>
      </c>
      <c r="AN231" s="26">
        <f t="shared" si="186"/>
        <v>176.06349206349208</v>
      </c>
      <c r="AO231" s="26">
        <f t="shared" si="187"/>
        <v>248482.7399356656</v>
      </c>
      <c r="AP231" s="15">
        <f t="shared" si="188"/>
        <v>6307.6719576719579</v>
      </c>
      <c r="AQ231" s="5">
        <f t="shared" si="189"/>
        <v>5238.7432621467533</v>
      </c>
      <c r="AR231" s="26">
        <f t="shared" si="190"/>
        <v>420.51146384479722</v>
      </c>
      <c r="AS231" s="26">
        <f t="shared" si="191"/>
        <v>3022.1941546989178</v>
      </c>
      <c r="AT231" s="26">
        <f t="shared" si="192"/>
        <v>37.567600585756203</v>
      </c>
      <c r="AU231" s="26">
        <f t="shared" si="193"/>
        <v>5.9854925384629922</v>
      </c>
      <c r="AV231" s="95">
        <f t="shared" si="194"/>
        <v>8.6034497354497351E-7</v>
      </c>
      <c r="AW231" s="95">
        <f t="shared" si="195"/>
        <v>13758293.349206358</v>
      </c>
      <c r="AX231" s="95">
        <f t="shared" si="196"/>
        <v>1.3758293349206359E-5</v>
      </c>
      <c r="AY231" s="54">
        <f t="shared" si="197"/>
        <v>0.1548581140202015</v>
      </c>
      <c r="AZ231" s="54" t="str">
        <f>_xll.Dce_Name_SectI(AE231,AF231,AI231,AH231,AJ231,"x","-",$O$11)</f>
        <v>(528-1528)x300x10x14</v>
      </c>
      <c r="BA231" s="15">
        <f t="shared" si="198"/>
        <v>700.97619047619071</v>
      </c>
      <c r="BB231" s="54"/>
      <c r="BC231" s="54"/>
      <c r="BD231" s="22" t="s">
        <v>493</v>
      </c>
      <c r="BE231" s="23">
        <v>-298.85677132744968</v>
      </c>
      <c r="BF231" s="23">
        <v>-300.68371155112129</v>
      </c>
      <c r="BG231" s="23">
        <v>6.5523991886736821E-4</v>
      </c>
      <c r="BH231" s="23">
        <v>2.3077811196621189E-4</v>
      </c>
      <c r="BI231" s="23">
        <v>-2.3752335828348993E-3</v>
      </c>
      <c r="BJ231" s="23">
        <v>1097.5407629873162</v>
      </c>
      <c r="BK231" s="23">
        <v>1095.332640080881</v>
      </c>
      <c r="BL231" s="92">
        <v>2.25</v>
      </c>
      <c r="BM231" s="91">
        <v>2</v>
      </c>
      <c r="BN231" s="5">
        <f t="shared" si="199"/>
        <v>19.473749999999999</v>
      </c>
      <c r="BO231" s="54">
        <f>_xll.Bimoment(BH231,AY231,AC231,AD231,$O$101)</f>
        <v>-1.7748375385630074E-3</v>
      </c>
      <c r="BP231" s="5">
        <f t="shared" si="200"/>
        <v>0.45620689655172403</v>
      </c>
      <c r="BQ231" s="5">
        <f t="shared" si="201"/>
        <v>15.319902459346906</v>
      </c>
      <c r="BR231" s="24" t="str">
        <f t="shared" si="202"/>
        <v>Cal</v>
      </c>
      <c r="BS231" s="25">
        <f t="shared" si="203"/>
        <v>7.4262890008229637E-2</v>
      </c>
      <c r="BT231" s="25" t="str">
        <f t="shared" si="204"/>
        <v>CT.105</v>
      </c>
      <c r="BU231" s="25">
        <f t="shared" si="205"/>
        <v>1</v>
      </c>
      <c r="BV231" s="25" cm="1">
        <f t="array" ref="BV231">IF(BT231="CT.104",_xll.TCVN5575AnnexEHeSoCx(1,BP231),1)</f>
        <v>1</v>
      </c>
      <c r="BW231" s="25">
        <f t="shared" si="206"/>
        <v>1</v>
      </c>
      <c r="BX231" s="25">
        <f t="shared" si="207"/>
        <v>7.8171463166557514E-2</v>
      </c>
      <c r="BY231" s="25">
        <f t="shared" si="208"/>
        <v>0.96482377302107547</v>
      </c>
      <c r="BZ231" s="25">
        <f t="shared" si="209"/>
        <v>2.6012550550729098E-5</v>
      </c>
      <c r="CA231" s="25">
        <f t="shared" si="210"/>
        <v>4.1643934959373642E-5</v>
      </c>
      <c r="CB231" s="25">
        <f t="shared" si="211"/>
        <v>1.0430628926731429</v>
      </c>
      <c r="CC231" s="5" t="str">
        <f t="shared" si="212"/>
        <v>Check</v>
      </c>
      <c r="CD231" s="5">
        <f t="shared" si="213"/>
        <v>51.836555160202302</v>
      </c>
      <c r="CE231" s="5">
        <f t="shared" si="214"/>
        <v>33.414125690541383</v>
      </c>
      <c r="CF231" s="5">
        <f t="shared" si="215"/>
        <v>1.7266865002204341</v>
      </c>
      <c r="CG231" s="5">
        <f t="shared" si="216"/>
        <v>1.1130315193248546</v>
      </c>
      <c r="CH231" s="5">
        <f t="shared" si="217"/>
        <v>12.342403914908887</v>
      </c>
      <c r="CI231" s="68">
        <f>_xll.DCETCVN5575PhuLucD2Eta(BP231,CH231,CF231)</f>
        <v>1.2412413793103447</v>
      </c>
      <c r="CJ231" s="5">
        <f t="shared" si="218"/>
        <v>15.319902459346906</v>
      </c>
      <c r="CK231" s="5">
        <f>MIN(noisuy2chieu(CJ231,CF231,Data!$DA$2:$EB$24),1)</f>
        <v>8.965262770652771E-2</v>
      </c>
      <c r="CL231" s="102">
        <f t="shared" si="219"/>
        <v>0.87193722221335146</v>
      </c>
      <c r="CM231" s="5" t="str">
        <f t="shared" si="220"/>
        <v>OK</v>
      </c>
      <c r="CN231" s="5">
        <f t="shared" si="221"/>
        <v>0.88472625978979058</v>
      </c>
      <c r="CO231" s="5">
        <f t="shared" si="222"/>
        <v>0.5370345235716667</v>
      </c>
      <c r="CP231" s="25">
        <f>_xll.DCETCVNPhuLucFHeSoOnDinh(1, 0.2, AG231, AH231, AI231, AJ231, AI231, AJ231, $D$28)</f>
        <v>1</v>
      </c>
      <c r="CQ231" s="68">
        <f t="shared" si="223"/>
        <v>0.9</v>
      </c>
      <c r="CR231" s="68">
        <f t="shared" si="224"/>
        <v>1</v>
      </c>
      <c r="CS231" s="5">
        <f t="shared" si="225"/>
        <v>0.18181818181818182</v>
      </c>
      <c r="CT231" s="5">
        <f t="shared" si="226"/>
        <v>0.10155106457844131</v>
      </c>
      <c r="CU231" s="26">
        <f t="shared" si="227"/>
        <v>12.317572450125013</v>
      </c>
      <c r="CV231" s="5"/>
      <c r="CW231" s="25"/>
      <c r="CX231" s="72">
        <f>MAX(_xll.Dce_c_925(CU231, CQ231, CR231, CN231, CP231, CS231, CT231),0.3)</f>
        <v>0.3</v>
      </c>
      <c r="CY231" s="102">
        <f t="shared" si="228"/>
        <v>0.29452222199263806</v>
      </c>
      <c r="CZ231" s="5" t="str">
        <f t="shared" si="229"/>
        <v>OK</v>
      </c>
      <c r="DA231" s="47">
        <f t="shared" si="230"/>
        <v>0.34499859601035404</v>
      </c>
      <c r="DB231" s="46">
        <f t="shared" si="231"/>
        <v>0.47130315193248545</v>
      </c>
      <c r="DC231" s="5" t="str">
        <f t="shared" si="232"/>
        <v>OK</v>
      </c>
      <c r="DD231" s="5">
        <f t="shared" si="233"/>
        <v>1.7266865002204341</v>
      </c>
      <c r="DE231" s="5">
        <f t="shared" si="234"/>
        <v>3.0666541867587034</v>
      </c>
      <c r="DF231" s="5" t="str">
        <f t="shared" si="235"/>
        <v>-</v>
      </c>
      <c r="DG231" s="5" t="str">
        <f t="shared" si="236"/>
        <v>-</v>
      </c>
      <c r="DH231" s="203">
        <f t="shared" si="237"/>
        <v>51.836555160202302</v>
      </c>
      <c r="DI231" s="203">
        <f t="shared" si="238"/>
        <v>157.68376666719891</v>
      </c>
      <c r="DJ231" s="46">
        <f t="shared" si="239"/>
        <v>0.32873742336207934</v>
      </c>
      <c r="DK231" s="5" t="str">
        <f t="shared" si="240"/>
        <v>OK</v>
      </c>
      <c r="EB231" s="18"/>
      <c r="EC231" s="77"/>
      <c r="ED231" s="77"/>
      <c r="EE231" s="18"/>
      <c r="EF231" s="18"/>
      <c r="EG231" s="18"/>
      <c r="EH231" s="5"/>
      <c r="EI231" s="5"/>
      <c r="EJ231" s="5"/>
      <c r="EK231" s="5"/>
      <c r="EL231" s="5"/>
      <c r="FE231" s="26"/>
      <c r="FF231" s="26"/>
      <c r="FG231" s="26"/>
      <c r="FH231" s="26"/>
      <c r="FI231" s="26"/>
      <c r="FJ231" s="26"/>
      <c r="FK231" s="26"/>
      <c r="FL231" s="26"/>
      <c r="FM231" s="26"/>
      <c r="FN231" s="205"/>
      <c r="FO231" s="205"/>
      <c r="FP231" s="205"/>
      <c r="FQ231" s="205"/>
      <c r="FR231" s="205"/>
      <c r="FS231" s="205"/>
      <c r="FT231" s="205"/>
      <c r="FU231" s="77"/>
      <c r="FV231" s="77"/>
      <c r="FW231" s="77"/>
      <c r="FX231" s="205"/>
      <c r="FY231" s="205"/>
      <c r="FZ231" s="205"/>
      <c r="GA231" s="205"/>
      <c r="GB231" s="205"/>
      <c r="GC231" s="205"/>
      <c r="GD231" s="205"/>
      <c r="GE231" s="205"/>
      <c r="GF231" s="205"/>
      <c r="GG231" s="205"/>
      <c r="GH231" s="205"/>
      <c r="GI231" s="205"/>
      <c r="GJ231" s="205"/>
      <c r="GK231" s="205"/>
      <c r="GL231" s="205"/>
      <c r="GM231" s="205"/>
      <c r="GN231" s="205"/>
      <c r="GO231" s="205"/>
      <c r="GP231" s="205"/>
      <c r="GQ231" s="205"/>
      <c r="GR231" s="205"/>
      <c r="GS231" s="205"/>
      <c r="GT231" s="205"/>
      <c r="GU231" s="205"/>
      <c r="GV231" s="18"/>
      <c r="GW231" s="5"/>
      <c r="GX231" s="5"/>
      <c r="GY231" s="77"/>
      <c r="GZ231" s="18"/>
      <c r="HA231" s="18"/>
      <c r="HB231" s="18"/>
      <c r="HC231" s="18"/>
      <c r="HD231" s="18"/>
      <c r="HE231" s="18"/>
      <c r="HF231" s="18"/>
      <c r="HG231" s="18"/>
      <c r="HH231" s="205"/>
      <c r="HI231" s="26"/>
      <c r="HJ231" s="26"/>
      <c r="HK231" s="5"/>
    </row>
    <row r="232" spans="27:219">
      <c r="AA232" s="18" t="s">
        <v>488</v>
      </c>
      <c r="AB232" s="22" t="s">
        <v>491</v>
      </c>
      <c r="AC232" s="59">
        <v>7.2811904761904795</v>
      </c>
      <c r="AD232" s="59">
        <v>8.6549999999999994</v>
      </c>
      <c r="AE232" s="22">
        <v>528</v>
      </c>
      <c r="AF232" s="22">
        <v>1528</v>
      </c>
      <c r="AG232" s="22">
        <v>1369.2698412698419</v>
      </c>
      <c r="AH232" s="6">
        <v>10</v>
      </c>
      <c r="AI232" s="6">
        <v>300</v>
      </c>
      <c r="AJ232" s="6">
        <v>14</v>
      </c>
      <c r="AK232" s="24">
        <v>300</v>
      </c>
      <c r="AL232" s="24">
        <v>14</v>
      </c>
      <c r="AM232" s="5">
        <f t="shared" si="185"/>
        <v>1341.2698412698419</v>
      </c>
      <c r="AN232" s="26">
        <f t="shared" si="186"/>
        <v>218.12698412698418</v>
      </c>
      <c r="AO232" s="26">
        <f t="shared" si="187"/>
        <v>586811.79072745051</v>
      </c>
      <c r="AP232" s="15">
        <f t="shared" si="188"/>
        <v>6311.1772486772488</v>
      </c>
      <c r="AQ232" s="5">
        <f t="shared" si="189"/>
        <v>8571.1635945074104</v>
      </c>
      <c r="AR232" s="26">
        <f t="shared" si="190"/>
        <v>420.74514991181661</v>
      </c>
      <c r="AS232" s="26">
        <f t="shared" si="191"/>
        <v>5094.8226505417015</v>
      </c>
      <c r="AT232" s="26">
        <f t="shared" si="192"/>
        <v>51.867428670398397</v>
      </c>
      <c r="AU232" s="26">
        <f t="shared" si="193"/>
        <v>5.3789869588463937</v>
      </c>
      <c r="AV232" s="95">
        <f t="shared" si="194"/>
        <v>1.0005566137566139E-6</v>
      </c>
      <c r="AW232" s="95">
        <f t="shared" si="195"/>
        <v>28928912.396825422</v>
      </c>
      <c r="AX232" s="95">
        <f t="shared" si="196"/>
        <v>2.8928912396825422E-5</v>
      </c>
      <c r="AY232" s="54">
        <f t="shared" si="197"/>
        <v>0.11516876660535029</v>
      </c>
      <c r="AZ232" s="54" t="str">
        <f>_xll.Dce_Name_SectI(AE232,AF232,AI232,AH232,AJ232,"x","-",$O$11)</f>
        <v>(528-1528)x300x10x14</v>
      </c>
      <c r="BA232" s="15">
        <f t="shared" si="198"/>
        <v>1016.4523809523813</v>
      </c>
      <c r="BB232" s="54"/>
      <c r="BC232" s="54"/>
      <c r="BD232" s="22" t="s">
        <v>493</v>
      </c>
      <c r="BE232" s="23">
        <v>-292.22929489039143</v>
      </c>
      <c r="BF232" s="23">
        <v>-298.44268401899586</v>
      </c>
      <c r="BG232" s="23">
        <v>6.552399188675058E-4</v>
      </c>
      <c r="BH232" s="23">
        <v>2.3077811196621189E-4</v>
      </c>
      <c r="BI232" s="23">
        <v>-4.7663147192208441E-3</v>
      </c>
      <c r="BJ232" s="23">
        <v>2190.665280161762</v>
      </c>
      <c r="BK232" s="23">
        <v>1095.332640080881</v>
      </c>
      <c r="BL232" s="92">
        <v>2.25</v>
      </c>
      <c r="BM232" s="91">
        <v>2</v>
      </c>
      <c r="BN232" s="5">
        <f t="shared" si="199"/>
        <v>19.473749999999999</v>
      </c>
      <c r="BO232" s="54">
        <f>_xll.Bimoment(BH232,AY232,AC232,AD232,$O$101)</f>
        <v>-1.055733801133218E-3</v>
      </c>
      <c r="BP232" s="5">
        <f t="shared" si="200"/>
        <v>0.31313609467455605</v>
      </c>
      <c r="BQ232" s="5">
        <f t="shared" si="201"/>
        <v>23.133918308447704</v>
      </c>
      <c r="BR232" s="24" t="str">
        <f t="shared" si="202"/>
        <v>Cal</v>
      </c>
      <c r="BS232" s="25">
        <f t="shared" si="203"/>
        <v>5.8612792464098479E-2</v>
      </c>
      <c r="BT232" s="25" t="str">
        <f t="shared" si="204"/>
        <v>CT.105</v>
      </c>
      <c r="BU232" s="25">
        <f t="shared" si="205"/>
        <v>1</v>
      </c>
      <c r="BV232" s="25" cm="1">
        <f t="array" ref="BV232">IF(BT232="CT.104",_xll.TCVN5575AnnexEHeSoCx(1,BP232),1)</f>
        <v>1</v>
      </c>
      <c r="BW232" s="25">
        <f t="shared" si="206"/>
        <v>1</v>
      </c>
      <c r="BX232" s="25">
        <f t="shared" si="207"/>
        <v>6.1697676277998395E-2</v>
      </c>
      <c r="BY232" s="25">
        <f t="shared" si="208"/>
        <v>1.1770385659740652</v>
      </c>
      <c r="BZ232" s="25">
        <f t="shared" si="209"/>
        <v>5.2169665128545517E-5</v>
      </c>
      <c r="CA232" s="25">
        <f t="shared" si="210"/>
        <v>1.7082986972323121E-5</v>
      </c>
      <c r="CB232" s="25">
        <f t="shared" si="211"/>
        <v>1.2388054949041645</v>
      </c>
      <c r="CC232" s="5" t="str">
        <f t="shared" si="212"/>
        <v>Check</v>
      </c>
      <c r="CD232" s="5">
        <f t="shared" si="213"/>
        <v>37.545238889226049</v>
      </c>
      <c r="CE232" s="5">
        <f t="shared" si="214"/>
        <v>37.181722419139881</v>
      </c>
      <c r="CF232" s="5">
        <f t="shared" si="215"/>
        <v>1.2506397644909562</v>
      </c>
      <c r="CG232" s="5">
        <f t="shared" si="216"/>
        <v>1.2385309547993069</v>
      </c>
      <c r="CH232" s="5">
        <f t="shared" si="217"/>
        <v>19.077518587094684</v>
      </c>
      <c r="CI232" s="68">
        <f>_xll.DCETCVN5575PhuLucD2Eta(BP232,CH232,CF232)</f>
        <v>1.2126272189349112</v>
      </c>
      <c r="CJ232" s="5">
        <f t="shared" si="218"/>
        <v>23.133918308447704</v>
      </c>
      <c r="CK232" s="5">
        <f>MIN(noisuy2chieu(CJ232,CF232,Data!$DA$2:$EB$24),1)</f>
        <v>7.1994885802268982E-2</v>
      </c>
      <c r="CL232" s="102">
        <f t="shared" si="219"/>
        <v>0.8569730417720024</v>
      </c>
      <c r="CM232" s="5" t="str">
        <f t="shared" si="220"/>
        <v>OK</v>
      </c>
      <c r="CN232" s="5">
        <f t="shared" si="221"/>
        <v>0.86643683692746631</v>
      </c>
      <c r="CO232" s="5">
        <f t="shared" si="222"/>
        <v>0.5370345235716667</v>
      </c>
      <c r="CP232" s="25">
        <f>_xll.DCETCVNPhuLucFHeSoOnDinh(1, 0.2, AG232, AH232, AI232, AJ232, AI232, AJ232, $D$28)</f>
        <v>1</v>
      </c>
      <c r="CQ232" s="68">
        <f t="shared" si="223"/>
        <v>0.9</v>
      </c>
      <c r="CR232" s="68">
        <f t="shared" si="224"/>
        <v>1</v>
      </c>
      <c r="CS232" s="5">
        <f t="shared" si="225"/>
        <v>0.18181818181818182</v>
      </c>
      <c r="CT232" s="5">
        <f t="shared" si="226"/>
        <v>0.10347287704587492</v>
      </c>
      <c r="CU232" s="26">
        <f t="shared" si="227"/>
        <v>9.5387592935473418</v>
      </c>
      <c r="CV232" s="5"/>
      <c r="CW232" s="25"/>
      <c r="CX232" s="72">
        <f>MAX(_xll.Dce_c_925(CU232, CQ232, CR232, CN232, CP232, CS232, CT232),0.3)</f>
        <v>0.3</v>
      </c>
      <c r="CY232" s="102">
        <f t="shared" si="228"/>
        <v>0.23736170042811564</v>
      </c>
      <c r="CZ232" s="5" t="str">
        <f t="shared" si="229"/>
        <v>OK</v>
      </c>
      <c r="DA232" s="47">
        <f t="shared" si="230"/>
        <v>0.34499859601035404</v>
      </c>
      <c r="DB232" s="46">
        <f t="shared" si="231"/>
        <v>0.48385309547993066</v>
      </c>
      <c r="DC232" s="5" t="str">
        <f t="shared" si="232"/>
        <v>OK</v>
      </c>
      <c r="DD232" s="5">
        <f t="shared" si="233"/>
        <v>1.2506397644909562</v>
      </c>
      <c r="DE232" s="5">
        <f t="shared" si="234"/>
        <v>4.4677979100191463</v>
      </c>
      <c r="DF232" s="5" t="str">
        <f t="shared" si="235"/>
        <v>-</v>
      </c>
      <c r="DG232" s="5" t="str">
        <f t="shared" si="236"/>
        <v>-</v>
      </c>
      <c r="DH232" s="203">
        <f t="shared" si="237"/>
        <v>37.545238889226049</v>
      </c>
      <c r="DI232" s="203">
        <f t="shared" si="238"/>
        <v>158.58161749367986</v>
      </c>
      <c r="DJ232" s="46">
        <f t="shared" si="239"/>
        <v>0.23675656411262411</v>
      </c>
      <c r="DK232" s="5" t="str">
        <f t="shared" si="240"/>
        <v>OK</v>
      </c>
      <c r="EB232" s="18"/>
      <c r="EC232" s="77"/>
      <c r="ED232" s="77"/>
      <c r="EE232" s="18"/>
      <c r="EF232" s="18"/>
      <c r="EG232" s="18"/>
      <c r="EH232" s="5"/>
      <c r="EI232" s="5"/>
      <c r="EJ232" s="5"/>
      <c r="EK232" s="5"/>
      <c r="EL232" s="5"/>
      <c r="FE232" s="26"/>
      <c r="FF232" s="26"/>
      <c r="FG232" s="26"/>
      <c r="FH232" s="26"/>
      <c r="FI232" s="26"/>
      <c r="FJ232" s="26"/>
      <c r="FK232" s="26"/>
      <c r="FL232" s="26"/>
      <c r="FM232" s="26"/>
      <c r="FN232" s="205"/>
      <c r="FO232" s="205"/>
      <c r="FP232" s="205"/>
      <c r="FQ232" s="205"/>
      <c r="FR232" s="205"/>
      <c r="FS232" s="205"/>
      <c r="FT232" s="205"/>
      <c r="FU232" s="77"/>
      <c r="FV232" s="77"/>
      <c r="FW232" s="77"/>
      <c r="FX232" s="205"/>
      <c r="FY232" s="205"/>
      <c r="FZ232" s="205"/>
      <c r="GA232" s="205"/>
      <c r="GB232" s="205"/>
      <c r="GC232" s="205"/>
      <c r="GD232" s="205"/>
      <c r="GE232" s="205"/>
      <c r="GF232" s="205"/>
      <c r="GG232" s="205"/>
      <c r="GH232" s="205"/>
      <c r="GI232" s="205"/>
      <c r="GJ232" s="205"/>
      <c r="GK232" s="205"/>
      <c r="GL232" s="205"/>
      <c r="GM232" s="205"/>
      <c r="GN232" s="205"/>
      <c r="GO232" s="205"/>
      <c r="GP232" s="205"/>
      <c r="GQ232" s="205"/>
      <c r="GR232" s="205"/>
      <c r="GS232" s="205"/>
      <c r="GT232" s="205"/>
      <c r="GU232" s="205"/>
      <c r="GV232" s="18"/>
      <c r="GW232" s="5"/>
      <c r="GX232" s="5"/>
      <c r="GY232" s="77"/>
      <c r="GZ232" s="18"/>
      <c r="HA232" s="18"/>
      <c r="HB232" s="18"/>
      <c r="HC232" s="18"/>
      <c r="HD232" s="18"/>
      <c r="HE232" s="18"/>
      <c r="HF232" s="18"/>
      <c r="HG232" s="18"/>
      <c r="HH232" s="205"/>
      <c r="HI232" s="26"/>
      <c r="HJ232" s="26"/>
      <c r="HK232" s="5"/>
    </row>
    <row r="233" spans="27:219">
      <c r="AA233" s="18" t="s">
        <v>488</v>
      </c>
      <c r="AB233" s="22" t="s">
        <v>491</v>
      </c>
      <c r="AC233" s="59">
        <v>0</v>
      </c>
      <c r="AD233" s="59">
        <v>8.6549999999999994</v>
      </c>
      <c r="AE233" s="22">
        <v>528</v>
      </c>
      <c r="AF233" s="22">
        <v>1528</v>
      </c>
      <c r="AG233" s="22">
        <v>528</v>
      </c>
      <c r="AH233" s="6">
        <v>10</v>
      </c>
      <c r="AI233" s="6">
        <v>300</v>
      </c>
      <c r="AJ233" s="6">
        <v>14</v>
      </c>
      <c r="AK233" s="24">
        <v>300</v>
      </c>
      <c r="AL233" s="24">
        <v>14</v>
      </c>
      <c r="AM233" s="5">
        <f t="shared" si="185"/>
        <v>500</v>
      </c>
      <c r="AN233" s="26">
        <f t="shared" si="186"/>
        <v>134</v>
      </c>
      <c r="AO233" s="26">
        <f t="shared" si="187"/>
        <v>65911.546666666676</v>
      </c>
      <c r="AP233" s="15">
        <f t="shared" si="188"/>
        <v>6304.166666666667</v>
      </c>
      <c r="AQ233" s="5">
        <f t="shared" si="189"/>
        <v>2496.6494949494954</v>
      </c>
      <c r="AR233" s="26">
        <f t="shared" si="190"/>
        <v>420.27777777777777</v>
      </c>
      <c r="AS233" s="26">
        <f t="shared" si="191"/>
        <v>1391.9</v>
      </c>
      <c r="AT233" s="26">
        <f t="shared" si="192"/>
        <v>22.178305028345793</v>
      </c>
      <c r="AU233" s="26">
        <f t="shared" si="193"/>
        <v>6.8590101254115021</v>
      </c>
      <c r="AV233" s="95">
        <f t="shared" si="194"/>
        <v>7.201333333333334E-7</v>
      </c>
      <c r="AW233" s="95">
        <f t="shared" si="195"/>
        <v>4161087</v>
      </c>
      <c r="AX233" s="95">
        <f t="shared" si="196"/>
        <v>4.1610870000000001E-6</v>
      </c>
      <c r="AY233" s="54">
        <f t="shared" si="197"/>
        <v>0.25762202780669918</v>
      </c>
      <c r="AZ233" s="54" t="str">
        <f>_xll.Dce_Name_SectI(AE233,AF233,AI233,AH233,AJ233,"x","-",$O$11)</f>
        <v>(528-1528)x300x10x14</v>
      </c>
      <c r="BA233" s="15">
        <f t="shared" si="198"/>
        <v>385.5</v>
      </c>
      <c r="BB233" s="54"/>
      <c r="BC233" s="54"/>
      <c r="BD233" s="22" t="s">
        <v>511</v>
      </c>
      <c r="BE233" s="23">
        <v>-30.324193528042599</v>
      </c>
      <c r="BF233" s="23">
        <v>-49.060317087741964</v>
      </c>
      <c r="BG233" s="23">
        <v>-1.8006732752539295E-3</v>
      </c>
      <c r="BH233" s="23">
        <v>5.437398431116017E-5</v>
      </c>
      <c r="BI233" s="23">
        <v>3.7338663577634899E-6</v>
      </c>
      <c r="BJ233" s="23">
        <v>-0.37651284107604743</v>
      </c>
      <c r="BK233" s="23">
        <v>103.872439001619</v>
      </c>
      <c r="BL233" s="92">
        <v>2.25</v>
      </c>
      <c r="BM233" s="91">
        <v>2</v>
      </c>
      <c r="BN233" s="5">
        <f t="shared" si="199"/>
        <v>19.473749999999999</v>
      </c>
      <c r="BO233" s="54">
        <f>_xll.Bimoment(BH233,AY233,AC233,AD233,$O$101)</f>
        <v>0</v>
      </c>
      <c r="BP233" s="5">
        <f t="shared" si="200"/>
        <v>0.84</v>
      </c>
      <c r="BQ233" s="5">
        <f t="shared" si="201"/>
        <v>0.1010918608701652</v>
      </c>
      <c r="BR233" s="24" t="str">
        <f t="shared" si="202"/>
        <v>Cal</v>
      </c>
      <c r="BS233" s="25">
        <f t="shared" si="203"/>
        <v>9.9006228869542075E-3</v>
      </c>
      <c r="BT233" s="25" t="str">
        <f t="shared" si="204"/>
        <v>CT.105</v>
      </c>
      <c r="BU233" s="25">
        <f t="shared" si="205"/>
        <v>1</v>
      </c>
      <c r="BV233" s="25" cm="1">
        <f t="array" ref="BV233">IF(BT233="CT.104",_xll.TCVN5575AnnexEHeSoCx(1,BP233),1)</f>
        <v>1</v>
      </c>
      <c r="BW233" s="25">
        <f t="shared" si="206"/>
        <v>1</v>
      </c>
      <c r="BX233" s="25">
        <f t="shared" si="207"/>
        <v>1.0421708302057062E-2</v>
      </c>
      <c r="BY233" s="25">
        <f t="shared" si="208"/>
        <v>6.9450706596557038E-4</v>
      </c>
      <c r="BZ233" s="25">
        <f t="shared" si="209"/>
        <v>4.0914457254513497E-8</v>
      </c>
      <c r="CA233" s="25">
        <f t="shared" si="210"/>
        <v>0</v>
      </c>
      <c r="CB233" s="25">
        <f t="shared" si="211"/>
        <v>1.1116256282479886E-2</v>
      </c>
      <c r="CC233" s="5" t="str">
        <f t="shared" si="212"/>
        <v>OK</v>
      </c>
      <c r="CD233" s="5">
        <f t="shared" si="213"/>
        <v>87.805402509844015</v>
      </c>
      <c r="CE233" s="5">
        <f t="shared" si="214"/>
        <v>29.158726455153193</v>
      </c>
      <c r="CF233" s="5">
        <f t="shared" si="215"/>
        <v>2.9248163326364334</v>
      </c>
      <c r="CG233" s="5">
        <f t="shared" si="216"/>
        <v>0.97128328026682387</v>
      </c>
      <c r="CH233" s="5">
        <f t="shared" si="217"/>
        <v>6.6640424567293563E-2</v>
      </c>
      <c r="CI233" s="68">
        <f>_xll.DCETCVN5575PhuLucD2Eta(BP233,CH233,CF233)</f>
        <v>1.5169750421995367</v>
      </c>
      <c r="CJ233" s="5">
        <f t="shared" si="218"/>
        <v>0.1010918608701652</v>
      </c>
      <c r="CK233" s="5">
        <f>MIN(noisuy2chieu(CJ233,CF233,Data!$DA$2:$EB$24),1)</f>
        <v>0.67776799201965332</v>
      </c>
      <c r="CL233" s="102">
        <f t="shared" si="219"/>
        <v>1.5376512943613398E-2</v>
      </c>
      <c r="CM233" s="5" t="str">
        <f t="shared" si="220"/>
        <v>OK</v>
      </c>
      <c r="CN233" s="5">
        <f t="shared" si="221"/>
        <v>0.90492218941026858</v>
      </c>
      <c r="CO233" s="5">
        <f t="shared" si="222"/>
        <v>0.5370345235716667</v>
      </c>
      <c r="CP233" s="25">
        <f>_xll.DCETCVNPhuLucFHeSoOnDinh(1, 0.2, AG233, AH233, AI233, AJ233, AI233, AJ233, $D$28)</f>
        <v>1</v>
      </c>
      <c r="CQ233" s="68">
        <f t="shared" si="223"/>
        <v>0.9</v>
      </c>
      <c r="CR233" s="68">
        <f t="shared" si="224"/>
        <v>1</v>
      </c>
      <c r="CS233" s="5">
        <f t="shared" si="225"/>
        <v>0.18181818181818182</v>
      </c>
      <c r="CT233" s="5">
        <f t="shared" si="226"/>
        <v>9.9510191986788829E-2</v>
      </c>
      <c r="CU233" s="26">
        <f t="shared" si="227"/>
        <v>18.384773852932355</v>
      </c>
      <c r="CV233" s="5"/>
      <c r="CW233" s="25"/>
      <c r="CX233" s="72">
        <f>MAX(_xll.Dce_c_925(CU233, CQ233, CR233, CN233, CP233, CS233, CT233),0.3)</f>
        <v>0.3</v>
      </c>
      <c r="CY233" s="102">
        <f t="shared" si="228"/>
        <v>3.8388966565360408E-2</v>
      </c>
      <c r="CZ233" s="5" t="str">
        <f t="shared" si="229"/>
        <v>OK</v>
      </c>
      <c r="DA233" s="47">
        <f t="shared" si="230"/>
        <v>0.34499859601035404</v>
      </c>
      <c r="DB233" s="46">
        <f t="shared" si="231"/>
        <v>0.45712832802668235</v>
      </c>
      <c r="DC233" s="5" t="str">
        <f t="shared" si="232"/>
        <v>OK</v>
      </c>
      <c r="DD233" s="5">
        <f t="shared" si="233"/>
        <v>2.9248163326364334</v>
      </c>
      <c r="DE233" s="5">
        <f t="shared" si="234"/>
        <v>1.6655104634982609</v>
      </c>
      <c r="DF233" s="5" t="str">
        <f t="shared" si="235"/>
        <v>-</v>
      </c>
      <c r="DG233" s="5" t="str">
        <f t="shared" si="236"/>
        <v>-</v>
      </c>
      <c r="DH233" s="203" t="str">
        <f t="shared" si="237"/>
        <v>-</v>
      </c>
      <c r="DI233" s="203">
        <f t="shared" si="238"/>
        <v>180</v>
      </c>
      <c r="DJ233" s="46">
        <f t="shared" si="239"/>
        <v>0</v>
      </c>
      <c r="DK233" s="5" t="str">
        <f t="shared" si="240"/>
        <v>OK</v>
      </c>
      <c r="EB233" s="18"/>
      <c r="EC233" s="77"/>
      <c r="ED233" s="77"/>
      <c r="EE233" s="18"/>
      <c r="EF233" s="18"/>
      <c r="EG233" s="18"/>
      <c r="EH233" s="5"/>
      <c r="EI233" s="5"/>
      <c r="EJ233" s="5"/>
      <c r="EK233" s="5"/>
      <c r="EL233" s="5"/>
      <c r="FE233" s="26"/>
      <c r="FF233" s="26"/>
      <c r="FG233" s="26"/>
      <c r="FH233" s="26"/>
      <c r="FI233" s="26"/>
      <c r="FJ233" s="26"/>
      <c r="FK233" s="26"/>
      <c r="FL233" s="26"/>
      <c r="FM233" s="26"/>
      <c r="FN233" s="205"/>
      <c r="FO233" s="205"/>
      <c r="FP233" s="205"/>
      <c r="FQ233" s="205"/>
      <c r="FR233" s="205"/>
      <c r="FS233" s="205"/>
      <c r="FT233" s="205"/>
      <c r="FU233" s="77"/>
      <c r="FV233" s="77"/>
      <c r="FW233" s="77"/>
      <c r="FX233" s="205"/>
      <c r="FY233" s="205"/>
      <c r="FZ233" s="205"/>
      <c r="GA233" s="205"/>
      <c r="GB233" s="205"/>
      <c r="GC233" s="205"/>
      <c r="GD233" s="205"/>
      <c r="GE233" s="205"/>
      <c r="GF233" s="205"/>
      <c r="GG233" s="205"/>
      <c r="GH233" s="205"/>
      <c r="GI233" s="205"/>
      <c r="GJ233" s="205"/>
      <c r="GK233" s="205"/>
      <c r="GL233" s="205"/>
      <c r="GM233" s="205"/>
      <c r="GN233" s="205"/>
      <c r="GO233" s="205"/>
      <c r="GP233" s="205"/>
      <c r="GQ233" s="205"/>
      <c r="GR233" s="205"/>
      <c r="GS233" s="205"/>
      <c r="GT233" s="205"/>
      <c r="GU233" s="205"/>
      <c r="GV233" s="18"/>
      <c r="GW233" s="5"/>
      <c r="GX233" s="5"/>
      <c r="GY233" s="77"/>
      <c r="GZ233" s="18"/>
      <c r="HA233" s="18"/>
      <c r="HB233" s="18"/>
      <c r="HC233" s="18"/>
      <c r="HD233" s="18"/>
      <c r="HE233" s="18"/>
      <c r="HF233" s="18"/>
      <c r="HG233" s="18"/>
      <c r="HH233" s="205"/>
      <c r="HI233" s="26"/>
      <c r="HJ233" s="26"/>
      <c r="HK233" s="5"/>
    </row>
    <row r="234" spans="27:219">
      <c r="AA234" s="18" t="s">
        <v>488</v>
      </c>
      <c r="AB234" s="22" t="s">
        <v>491</v>
      </c>
      <c r="AC234" s="59">
        <v>3.6405952380952398</v>
      </c>
      <c r="AD234" s="59">
        <v>8.6549999999999994</v>
      </c>
      <c r="AE234" s="22">
        <v>528</v>
      </c>
      <c r="AF234" s="22">
        <v>1528</v>
      </c>
      <c r="AG234" s="22">
        <v>948.63492063492095</v>
      </c>
      <c r="AH234" s="6">
        <v>10</v>
      </c>
      <c r="AI234" s="6">
        <v>300</v>
      </c>
      <c r="AJ234" s="6">
        <v>14</v>
      </c>
      <c r="AK234" s="24">
        <v>300</v>
      </c>
      <c r="AL234" s="24">
        <v>14</v>
      </c>
      <c r="AM234" s="5">
        <f t="shared" si="185"/>
        <v>920.63492063492095</v>
      </c>
      <c r="AN234" s="26">
        <f t="shared" si="186"/>
        <v>176.06349206349208</v>
      </c>
      <c r="AO234" s="26">
        <f t="shared" si="187"/>
        <v>248482.7399356656</v>
      </c>
      <c r="AP234" s="15">
        <f t="shared" si="188"/>
        <v>6307.6719576719579</v>
      </c>
      <c r="AQ234" s="5">
        <f t="shared" si="189"/>
        <v>5238.7432621467533</v>
      </c>
      <c r="AR234" s="26">
        <f t="shared" si="190"/>
        <v>420.51146384479722</v>
      </c>
      <c r="AS234" s="26">
        <f t="shared" si="191"/>
        <v>3022.1941546989178</v>
      </c>
      <c r="AT234" s="26">
        <f t="shared" si="192"/>
        <v>37.567600585756203</v>
      </c>
      <c r="AU234" s="26">
        <f t="shared" si="193"/>
        <v>5.9854925384629922</v>
      </c>
      <c r="AV234" s="95">
        <f t="shared" si="194"/>
        <v>8.6034497354497351E-7</v>
      </c>
      <c r="AW234" s="95">
        <f t="shared" si="195"/>
        <v>13758293.349206358</v>
      </c>
      <c r="AX234" s="95">
        <f t="shared" si="196"/>
        <v>1.3758293349206359E-5</v>
      </c>
      <c r="AY234" s="54">
        <f t="shared" si="197"/>
        <v>0.1548581140202015</v>
      </c>
      <c r="AZ234" s="54" t="str">
        <f>_xll.Dce_Name_SectI(AE234,AF234,AI234,AH234,AJ234,"x","-",$O$11)</f>
        <v>(528-1528)x300x10x14</v>
      </c>
      <c r="BA234" s="15">
        <f t="shared" si="198"/>
        <v>700.97619047619071</v>
      </c>
      <c r="BB234" s="54"/>
      <c r="BC234" s="54"/>
      <c r="BD234" s="22" t="s">
        <v>511</v>
      </c>
      <c r="BE234" s="23">
        <v>-23.987340341476738</v>
      </c>
      <c r="BF234" s="23">
        <v>-28.498630900024494</v>
      </c>
      <c r="BG234" s="23">
        <v>-1.8006732752526673E-3</v>
      </c>
      <c r="BH234" s="23">
        <v>5.437398431116017E-5</v>
      </c>
      <c r="BI234" s="23">
        <v>6.5746947881136896E-3</v>
      </c>
      <c r="BJ234" s="23">
        <v>141.1041488867146</v>
      </c>
      <c r="BK234" s="23">
        <v>103.872439001619</v>
      </c>
      <c r="BL234" s="92">
        <v>2.25</v>
      </c>
      <c r="BM234" s="91">
        <v>2</v>
      </c>
      <c r="BN234" s="5">
        <f t="shared" si="199"/>
        <v>19.473749999999999</v>
      </c>
      <c r="BO234" s="54">
        <f>_xll.Bimoment(BH234,AY234,AC234,AD234,$O$101)</f>
        <v>-4.1817218996406533E-4</v>
      </c>
      <c r="BP234" s="5">
        <f t="shared" si="200"/>
        <v>0.45620689655172403</v>
      </c>
      <c r="BQ234" s="5">
        <f t="shared" si="201"/>
        <v>24.538958594742539</v>
      </c>
      <c r="BR234" s="24" t="str">
        <f t="shared" si="202"/>
        <v>Cal</v>
      </c>
      <c r="BS234" s="25">
        <f t="shared" si="203"/>
        <v>5.9606118658668637E-3</v>
      </c>
      <c r="BT234" s="25" t="str">
        <f t="shared" si="204"/>
        <v>CT.105</v>
      </c>
      <c r="BU234" s="25">
        <f t="shared" si="205"/>
        <v>1</v>
      </c>
      <c r="BV234" s="25" cm="1">
        <f t="array" ref="BV234">IF(BT234="CT.104",_xll.TCVN5575AnnexEHeSoCx(1,BP234),1)</f>
        <v>1</v>
      </c>
      <c r="BW234" s="25">
        <f t="shared" si="206"/>
        <v>1</v>
      </c>
      <c r="BX234" s="25">
        <f t="shared" si="207"/>
        <v>6.2743282798598567E-3</v>
      </c>
      <c r="BY234" s="25">
        <f t="shared" si="208"/>
        <v>0.12404153167601381</v>
      </c>
      <c r="BZ234" s="25">
        <f t="shared" si="209"/>
        <v>7.200326812797102E-5</v>
      </c>
      <c r="CA234" s="25">
        <f t="shared" si="210"/>
        <v>9.8117912779678108E-6</v>
      </c>
      <c r="CB234" s="25">
        <f t="shared" si="211"/>
        <v>0.1303976750152796</v>
      </c>
      <c r="CC234" s="5" t="str">
        <f t="shared" si="212"/>
        <v>OK</v>
      </c>
      <c r="CD234" s="5">
        <f t="shared" si="213"/>
        <v>51.836555160202302</v>
      </c>
      <c r="CE234" s="5">
        <f t="shared" si="214"/>
        <v>33.414125690541383</v>
      </c>
      <c r="CF234" s="5">
        <f t="shared" si="215"/>
        <v>1.7266865002204341</v>
      </c>
      <c r="CG234" s="5">
        <f t="shared" si="216"/>
        <v>1.1130315193248546</v>
      </c>
      <c r="CH234" s="5">
        <f t="shared" si="217"/>
        <v>19.769691055882145</v>
      </c>
      <c r="CI234" s="68">
        <f>_xll.DCETCVN5575PhuLucD2Eta(BP234,CH234,CF234)</f>
        <v>1.2412413793103447</v>
      </c>
      <c r="CJ234" s="5">
        <f t="shared" si="218"/>
        <v>24.538958594742539</v>
      </c>
      <c r="CK234" s="5">
        <f>MIN(noisuy2chieu(CJ234,CF234,Data!$DA$2:$EB$24),1)</f>
        <v>6.8639881908893585E-2</v>
      </c>
      <c r="CL234" s="102">
        <f t="shared" si="219"/>
        <v>9.140936880089387E-2</v>
      </c>
      <c r="CM234" s="5" t="str">
        <f t="shared" si="220"/>
        <v>OK</v>
      </c>
      <c r="CN234" s="5">
        <f t="shared" si="221"/>
        <v>0.88472625978979058</v>
      </c>
      <c r="CO234" s="5">
        <f t="shared" si="222"/>
        <v>0.5370345235716667</v>
      </c>
      <c r="CP234" s="25">
        <f>_xll.DCETCVNPhuLucFHeSoOnDinh(1, 0.2, AG234, AH234, AI234, AJ234, AI234, AJ234, $D$28)</f>
        <v>1</v>
      </c>
      <c r="CQ234" s="68">
        <f t="shared" si="223"/>
        <v>0.9</v>
      </c>
      <c r="CR234" s="68">
        <f t="shared" si="224"/>
        <v>1</v>
      </c>
      <c r="CS234" s="5">
        <f t="shared" si="225"/>
        <v>0.18181818181818182</v>
      </c>
      <c r="CT234" s="5">
        <f t="shared" si="226"/>
        <v>0.10155106457844131</v>
      </c>
      <c r="CU234" s="26">
        <f t="shared" si="227"/>
        <v>14.553264694801022</v>
      </c>
      <c r="CV234" s="5"/>
      <c r="CW234" s="25"/>
      <c r="CX234" s="72">
        <f>MAX(_xll.Dce_c_925(CU234, CQ234, CR234, CN234, CP234, CS234, CT234),0.3)</f>
        <v>0.3</v>
      </c>
      <c r="CY234" s="102">
        <f t="shared" si="228"/>
        <v>2.3639433517551621E-2</v>
      </c>
      <c r="CZ234" s="5" t="str">
        <f t="shared" si="229"/>
        <v>OK</v>
      </c>
      <c r="DA234" s="47">
        <f t="shared" si="230"/>
        <v>0.34499859601035404</v>
      </c>
      <c r="DB234" s="46">
        <f t="shared" si="231"/>
        <v>0.47130315193248545</v>
      </c>
      <c r="DC234" s="5" t="str">
        <f t="shared" si="232"/>
        <v>OK</v>
      </c>
      <c r="DD234" s="5">
        <f t="shared" si="233"/>
        <v>1.7266865002204341</v>
      </c>
      <c r="DE234" s="5">
        <f t="shared" si="234"/>
        <v>3.0666541867587034</v>
      </c>
      <c r="DF234" s="5" t="str">
        <f t="shared" si="235"/>
        <v>-</v>
      </c>
      <c r="DG234" s="5" t="str">
        <f t="shared" si="236"/>
        <v>-</v>
      </c>
      <c r="DH234" s="203">
        <f t="shared" si="237"/>
        <v>51.836555160202302</v>
      </c>
      <c r="DI234" s="203">
        <f t="shared" si="238"/>
        <v>180</v>
      </c>
      <c r="DJ234" s="46">
        <f t="shared" si="239"/>
        <v>0.28798086200112388</v>
      </c>
      <c r="DK234" s="5" t="str">
        <f t="shared" si="240"/>
        <v>OK</v>
      </c>
      <c r="EB234" s="18"/>
      <c r="EC234" s="77"/>
      <c r="ED234" s="77"/>
      <c r="EE234" s="18"/>
      <c r="EF234" s="18"/>
      <c r="EG234" s="18"/>
      <c r="EH234" s="5"/>
      <c r="EI234" s="5"/>
      <c r="EJ234" s="5"/>
      <c r="EK234" s="5"/>
      <c r="EL234" s="5"/>
      <c r="FE234" s="26"/>
      <c r="FF234" s="26"/>
      <c r="FG234" s="26"/>
      <c r="FH234" s="26"/>
      <c r="FI234" s="26"/>
      <c r="FJ234" s="26"/>
      <c r="FK234" s="26"/>
      <c r="FL234" s="26"/>
      <c r="FM234" s="26"/>
      <c r="FN234" s="205"/>
      <c r="FO234" s="205"/>
      <c r="FP234" s="205"/>
      <c r="FQ234" s="205"/>
      <c r="FR234" s="205"/>
      <c r="FS234" s="205"/>
      <c r="FT234" s="205"/>
      <c r="FU234" s="77"/>
      <c r="FV234" s="77"/>
      <c r="FW234" s="77"/>
      <c r="FX234" s="205"/>
      <c r="FY234" s="205"/>
      <c r="FZ234" s="205"/>
      <c r="GA234" s="205"/>
      <c r="GB234" s="205"/>
      <c r="GC234" s="205"/>
      <c r="GD234" s="205"/>
      <c r="GE234" s="205"/>
      <c r="GF234" s="205"/>
      <c r="GG234" s="205"/>
      <c r="GH234" s="205"/>
      <c r="GI234" s="205"/>
      <c r="GJ234" s="205"/>
      <c r="GK234" s="205"/>
      <c r="GL234" s="205"/>
      <c r="GM234" s="205"/>
      <c r="GN234" s="205"/>
      <c r="GO234" s="205"/>
      <c r="GP234" s="205"/>
      <c r="GQ234" s="205"/>
      <c r="GR234" s="205"/>
      <c r="GS234" s="205"/>
      <c r="GT234" s="205"/>
      <c r="GU234" s="205"/>
      <c r="GV234" s="18"/>
      <c r="GW234" s="5"/>
      <c r="GX234" s="5"/>
      <c r="GY234" s="77"/>
      <c r="GZ234" s="18"/>
      <c r="HA234" s="18"/>
      <c r="HB234" s="18"/>
      <c r="HC234" s="18"/>
      <c r="HD234" s="18"/>
      <c r="HE234" s="18"/>
      <c r="HF234" s="18"/>
      <c r="HG234" s="18"/>
      <c r="HH234" s="205"/>
      <c r="HI234" s="26"/>
      <c r="HJ234" s="26"/>
      <c r="HK234" s="5"/>
    </row>
    <row r="235" spans="27:219">
      <c r="AA235" s="18" t="s">
        <v>488</v>
      </c>
      <c r="AB235" s="22" t="s">
        <v>491</v>
      </c>
      <c r="AC235" s="59">
        <v>7.2811904761904795</v>
      </c>
      <c r="AD235" s="59">
        <v>8.6549999999999994</v>
      </c>
      <c r="AE235" s="22">
        <v>528</v>
      </c>
      <c r="AF235" s="22">
        <v>1528</v>
      </c>
      <c r="AG235" s="22">
        <v>1369.2698412698419</v>
      </c>
      <c r="AH235" s="6">
        <v>10</v>
      </c>
      <c r="AI235" s="6">
        <v>300</v>
      </c>
      <c r="AJ235" s="6">
        <v>14</v>
      </c>
      <c r="AK235" s="24">
        <v>300</v>
      </c>
      <c r="AL235" s="24">
        <v>14</v>
      </c>
      <c r="AM235" s="5">
        <f t="shared" si="185"/>
        <v>1341.2698412698419</v>
      </c>
      <c r="AN235" s="26">
        <f t="shared" si="186"/>
        <v>218.12698412698418</v>
      </c>
      <c r="AO235" s="26">
        <f t="shared" si="187"/>
        <v>586811.79072745051</v>
      </c>
      <c r="AP235" s="15">
        <f t="shared" si="188"/>
        <v>6311.1772486772488</v>
      </c>
      <c r="AQ235" s="5">
        <f t="shared" si="189"/>
        <v>8571.1635945074104</v>
      </c>
      <c r="AR235" s="26">
        <f t="shared" si="190"/>
        <v>420.74514991181661</v>
      </c>
      <c r="AS235" s="26">
        <f t="shared" si="191"/>
        <v>5094.8226505417015</v>
      </c>
      <c r="AT235" s="26">
        <f t="shared" si="192"/>
        <v>51.867428670398397</v>
      </c>
      <c r="AU235" s="26">
        <f t="shared" si="193"/>
        <v>5.3789869588463937</v>
      </c>
      <c r="AV235" s="95">
        <f t="shared" si="194"/>
        <v>1.0005566137566139E-6</v>
      </c>
      <c r="AW235" s="95">
        <f t="shared" si="195"/>
        <v>28928912.396825422</v>
      </c>
      <c r="AX235" s="95">
        <f t="shared" si="196"/>
        <v>2.8928912396825422E-5</v>
      </c>
      <c r="AY235" s="54">
        <f t="shared" si="197"/>
        <v>0.11516876660535029</v>
      </c>
      <c r="AZ235" s="54" t="str">
        <f>_xll.Dce_Name_SectI(AE235,AF235,AI235,AH235,AJ235,"x","-",$O$11)</f>
        <v>(528-1528)x300x10x14</v>
      </c>
      <c r="BA235" s="15">
        <f t="shared" si="198"/>
        <v>1016.4523809523813</v>
      </c>
      <c r="BB235" s="54"/>
      <c r="BC235" s="54"/>
      <c r="BD235" s="22" t="s">
        <v>511</v>
      </c>
      <c r="BE235" s="23">
        <v>-16.109051404418523</v>
      </c>
      <c r="BF235" s="23">
        <v>-8.0427952428990466</v>
      </c>
      <c r="BG235" s="23">
        <v>-1.800673275251412E-3</v>
      </c>
      <c r="BH235" s="23">
        <v>5.437398431116017E-5</v>
      </c>
      <c r="BI235" s="23">
        <v>1.3145655709865025E-2</v>
      </c>
      <c r="BJ235" s="23">
        <v>207.744878003238</v>
      </c>
      <c r="BK235" s="23">
        <v>103.872439001619</v>
      </c>
      <c r="BL235" s="92">
        <v>2.25</v>
      </c>
      <c r="BM235" s="91">
        <v>2</v>
      </c>
      <c r="BN235" s="5">
        <f t="shared" si="199"/>
        <v>19.473749999999999</v>
      </c>
      <c r="BO235" s="54">
        <f>_xll.Bimoment(BH235,AY235,AC235,AD235,$O$101)</f>
        <v>-2.4874305734845276E-4</v>
      </c>
      <c r="BP235" s="5">
        <f t="shared" si="200"/>
        <v>0.31313609467455605</v>
      </c>
      <c r="BQ235" s="5">
        <f t="shared" si="201"/>
        <v>39.797636432756754</v>
      </c>
      <c r="BR235" s="24" t="str">
        <f t="shared" si="202"/>
        <v>Cal</v>
      </c>
      <c r="BS235" s="25">
        <f t="shared" si="203"/>
        <v>3.2310124387591723E-3</v>
      </c>
      <c r="BT235" s="25" t="str">
        <f t="shared" si="204"/>
        <v>CT.105</v>
      </c>
      <c r="BU235" s="25">
        <f t="shared" si="205"/>
        <v>1</v>
      </c>
      <c r="BV235" s="25" cm="1">
        <f t="array" ref="BV235">IF(BT235="CT.104",_xll.TCVN5575AnnexEHeSoCx(1,BP235),1)</f>
        <v>1</v>
      </c>
      <c r="BW235" s="25">
        <f t="shared" si="206"/>
        <v>1</v>
      </c>
      <c r="BX235" s="25">
        <f t="shared" si="207"/>
        <v>3.4010657250096556E-3</v>
      </c>
      <c r="BY235" s="25">
        <f t="shared" si="208"/>
        <v>0.11162076448088516</v>
      </c>
      <c r="BZ235" s="25">
        <f t="shared" si="209"/>
        <v>1.4388568457580157E-4</v>
      </c>
      <c r="CA235" s="25">
        <f t="shared" si="210"/>
        <v>4.0249487167866534E-6</v>
      </c>
      <c r="CB235" s="25">
        <f t="shared" si="211"/>
        <v>0.11516974083918741</v>
      </c>
      <c r="CC235" s="5" t="str">
        <f t="shared" si="212"/>
        <v>OK</v>
      </c>
      <c r="CD235" s="5">
        <f t="shared" si="213"/>
        <v>37.545238889226049</v>
      </c>
      <c r="CE235" s="5">
        <f t="shared" si="214"/>
        <v>37.181722419139881</v>
      </c>
      <c r="CF235" s="5">
        <f t="shared" si="215"/>
        <v>1.2506397644909562</v>
      </c>
      <c r="CG235" s="5">
        <f t="shared" si="216"/>
        <v>1.2385309547993069</v>
      </c>
      <c r="CH235" s="5">
        <f t="shared" si="217"/>
        <v>32.819349435115164</v>
      </c>
      <c r="CI235" s="68">
        <f>_xll.DCETCVN5575PhuLucD2Eta(BP235,CH235,CF235)</f>
        <v>1.2126272189349112</v>
      </c>
      <c r="CJ235" s="5">
        <f t="shared" si="218"/>
        <v>39.797636432756754</v>
      </c>
      <c r="CK235" s="5">
        <f>MIN(noisuy2chieu(CJ235,CF235,Data!$DA$2:$EB$24),1)</f>
        <v>7.1994885802268982E-2</v>
      </c>
      <c r="CL235" s="102">
        <f t="shared" si="219"/>
        <v>4.7240379467376942E-2</v>
      </c>
      <c r="CM235" s="5" t="str">
        <f t="shared" si="220"/>
        <v>OK</v>
      </c>
      <c r="CN235" s="5">
        <f t="shared" si="221"/>
        <v>0.86643683692746631</v>
      </c>
      <c r="CO235" s="5">
        <f t="shared" si="222"/>
        <v>0.5370345235716667</v>
      </c>
      <c r="CP235" s="25">
        <f>_xll.DCETCVNPhuLucFHeSoOnDinh(1, 0.2, AG235, AH235, AI235, AJ235, AI235, AJ235, $D$28)</f>
        <v>1</v>
      </c>
      <c r="CQ235" s="68">
        <f t="shared" si="223"/>
        <v>0.9</v>
      </c>
      <c r="CR235" s="68">
        <f t="shared" si="224"/>
        <v>1</v>
      </c>
      <c r="CS235" s="5">
        <f t="shared" si="225"/>
        <v>0.18181818181818182</v>
      </c>
      <c r="CT235" s="5">
        <f t="shared" si="226"/>
        <v>0.10347287704587492</v>
      </c>
      <c r="CU235" s="26">
        <f t="shared" si="227"/>
        <v>16.409674717557582</v>
      </c>
      <c r="CV235" s="5"/>
      <c r="CW235" s="25"/>
      <c r="CX235" s="72">
        <f>MAX(_xll.Dce_c_925(CU235, CQ235, CR235, CN235, CP235, CS235, CT235),0.3)</f>
        <v>0.3</v>
      </c>
      <c r="CY235" s="102">
        <f t="shared" si="228"/>
        <v>1.308449187159993E-2</v>
      </c>
      <c r="CZ235" s="5" t="str">
        <f t="shared" si="229"/>
        <v>OK</v>
      </c>
      <c r="DA235" s="47">
        <f t="shared" si="230"/>
        <v>0.34499859601035404</v>
      </c>
      <c r="DB235" s="46">
        <f t="shared" si="231"/>
        <v>0.48385309547993066</v>
      </c>
      <c r="DC235" s="5" t="str">
        <f t="shared" si="232"/>
        <v>OK</v>
      </c>
      <c r="DD235" s="5">
        <f t="shared" si="233"/>
        <v>1.2506397644909562</v>
      </c>
      <c r="DE235" s="5">
        <f t="shared" si="234"/>
        <v>4.4677979100191463</v>
      </c>
      <c r="DF235" s="5" t="str">
        <f t="shared" si="235"/>
        <v>-</v>
      </c>
      <c r="DG235" s="5" t="str">
        <f t="shared" si="236"/>
        <v>-</v>
      </c>
      <c r="DH235" s="203">
        <f t="shared" si="237"/>
        <v>37.545238889226049</v>
      </c>
      <c r="DI235" s="203">
        <f t="shared" si="238"/>
        <v>180</v>
      </c>
      <c r="DJ235" s="46">
        <f t="shared" si="239"/>
        <v>0.20858466049570026</v>
      </c>
      <c r="DK235" s="5" t="str">
        <f t="shared" si="240"/>
        <v>OK</v>
      </c>
      <c r="EB235" s="18"/>
      <c r="EC235" s="77"/>
      <c r="ED235" s="77"/>
      <c r="EE235" s="18"/>
      <c r="EF235" s="18"/>
      <c r="EG235" s="18"/>
      <c r="EH235" s="5"/>
      <c r="EI235" s="5"/>
      <c r="EJ235" s="5"/>
      <c r="EK235" s="5"/>
      <c r="EL235" s="5"/>
      <c r="FE235" s="26"/>
      <c r="FF235" s="26"/>
      <c r="FG235" s="26"/>
      <c r="FH235" s="26"/>
      <c r="FI235" s="26"/>
      <c r="FJ235" s="26"/>
      <c r="FK235" s="26"/>
      <c r="FL235" s="26"/>
      <c r="FM235" s="26"/>
      <c r="FN235" s="205"/>
      <c r="FO235" s="205"/>
      <c r="FP235" s="205"/>
      <c r="FQ235" s="205"/>
      <c r="FR235" s="205"/>
      <c r="FS235" s="205"/>
      <c r="FT235" s="205"/>
      <c r="FU235" s="77"/>
      <c r="FV235" s="77"/>
      <c r="FW235" s="77"/>
      <c r="FX235" s="205"/>
      <c r="FY235" s="205"/>
      <c r="FZ235" s="205"/>
      <c r="GA235" s="205"/>
      <c r="GB235" s="205"/>
      <c r="GC235" s="205"/>
      <c r="GD235" s="205"/>
      <c r="GE235" s="205"/>
      <c r="GF235" s="205"/>
      <c r="GG235" s="205"/>
      <c r="GH235" s="205"/>
      <c r="GI235" s="205"/>
      <c r="GJ235" s="205"/>
      <c r="GK235" s="205"/>
      <c r="GL235" s="205"/>
      <c r="GM235" s="205"/>
      <c r="GN235" s="205"/>
      <c r="GO235" s="205"/>
      <c r="GP235" s="205"/>
      <c r="GQ235" s="205"/>
      <c r="GR235" s="205"/>
      <c r="GS235" s="205"/>
      <c r="GT235" s="205"/>
      <c r="GU235" s="205"/>
      <c r="GV235" s="18"/>
      <c r="GW235" s="5"/>
      <c r="GX235" s="5"/>
      <c r="GY235" s="77"/>
      <c r="GZ235" s="18"/>
      <c r="HA235" s="18"/>
      <c r="HB235" s="18"/>
      <c r="HC235" s="18"/>
      <c r="HD235" s="18"/>
      <c r="HE235" s="18"/>
      <c r="HF235" s="18"/>
      <c r="HG235" s="18"/>
      <c r="HH235" s="205"/>
      <c r="HI235" s="26"/>
      <c r="HJ235" s="26"/>
      <c r="HK235" s="5"/>
    </row>
    <row r="236" spans="27:219">
      <c r="AA236" s="18" t="s">
        <v>488</v>
      </c>
      <c r="AB236" s="22" t="s">
        <v>491</v>
      </c>
      <c r="AC236" s="59">
        <v>0</v>
      </c>
      <c r="AD236" s="59">
        <v>8.6549999999999994</v>
      </c>
      <c r="AE236" s="22">
        <v>528</v>
      </c>
      <c r="AF236" s="22">
        <v>1528</v>
      </c>
      <c r="AG236" s="22">
        <v>528</v>
      </c>
      <c r="AH236" s="6">
        <v>10</v>
      </c>
      <c r="AI236" s="6">
        <v>300</v>
      </c>
      <c r="AJ236" s="6">
        <v>14</v>
      </c>
      <c r="AK236" s="24">
        <v>300</v>
      </c>
      <c r="AL236" s="24">
        <v>14</v>
      </c>
      <c r="AM236" s="5">
        <f t="shared" si="185"/>
        <v>500</v>
      </c>
      <c r="AN236" s="26">
        <f t="shared" si="186"/>
        <v>134</v>
      </c>
      <c r="AO236" s="26">
        <f t="shared" si="187"/>
        <v>65911.546666666676</v>
      </c>
      <c r="AP236" s="15">
        <f t="shared" si="188"/>
        <v>6304.166666666667</v>
      </c>
      <c r="AQ236" s="5">
        <f t="shared" si="189"/>
        <v>2496.6494949494954</v>
      </c>
      <c r="AR236" s="26">
        <f t="shared" si="190"/>
        <v>420.27777777777777</v>
      </c>
      <c r="AS236" s="26">
        <f t="shared" si="191"/>
        <v>1391.9</v>
      </c>
      <c r="AT236" s="26">
        <f t="shared" si="192"/>
        <v>22.178305028345793</v>
      </c>
      <c r="AU236" s="26">
        <f t="shared" si="193"/>
        <v>6.8590101254115021</v>
      </c>
      <c r="AV236" s="95">
        <f t="shared" si="194"/>
        <v>7.201333333333334E-7</v>
      </c>
      <c r="AW236" s="95">
        <f t="shared" si="195"/>
        <v>4161087</v>
      </c>
      <c r="AX236" s="95">
        <f t="shared" si="196"/>
        <v>4.1610870000000001E-6</v>
      </c>
      <c r="AY236" s="54">
        <f t="shared" si="197"/>
        <v>0.25762202780669918</v>
      </c>
      <c r="AZ236" s="54" t="str">
        <f>_xll.Dce_Name_SectI(AE236,AF236,AI236,AH236,AJ236,"x","-",$O$11)</f>
        <v>(528-1528)x300x10x14</v>
      </c>
      <c r="BA236" s="15">
        <f t="shared" si="198"/>
        <v>385.5</v>
      </c>
      <c r="BB236" s="54"/>
      <c r="BC236" s="54"/>
      <c r="BD236" s="22" t="s">
        <v>512</v>
      </c>
      <c r="BE236" s="23">
        <v>-141.67429084536599</v>
      </c>
      <c r="BF236" s="23">
        <v>-142.74505710728812</v>
      </c>
      <c r="BG236" s="23">
        <v>-1.1517239770578629E-3</v>
      </c>
      <c r="BH236" s="23">
        <v>1.258346558303834E-4</v>
      </c>
      <c r="BI236" s="23">
        <v>8.6410770463618297E-6</v>
      </c>
      <c r="BJ236" s="23">
        <v>-1.8419692810018582</v>
      </c>
      <c r="BK236" s="23">
        <v>488.58908978321148</v>
      </c>
      <c r="BL236" s="92">
        <v>2.25</v>
      </c>
      <c r="BM236" s="91">
        <v>2</v>
      </c>
      <c r="BN236" s="5">
        <f t="shared" si="199"/>
        <v>19.473749999999999</v>
      </c>
      <c r="BO236" s="54">
        <f>_xll.Bimoment(BH236,AY236,AC236,AD236,$O$101)</f>
        <v>0</v>
      </c>
      <c r="BP236" s="5">
        <f t="shared" si="200"/>
        <v>0.84</v>
      </c>
      <c r="BQ236" s="5">
        <f t="shared" si="201"/>
        <v>0.10584727285559324</v>
      </c>
      <c r="BR236" s="24" t="str">
        <f t="shared" si="202"/>
        <v>Cal</v>
      </c>
      <c r="BS236" s="25">
        <f t="shared" si="203"/>
        <v>4.6255598690184793E-2</v>
      </c>
      <c r="BT236" s="25" t="str">
        <f t="shared" si="204"/>
        <v>CT.105</v>
      </c>
      <c r="BU236" s="25">
        <f t="shared" si="205"/>
        <v>1</v>
      </c>
      <c r="BV236" s="25" cm="1">
        <f t="array" ref="BV236">IF(BT236="CT.104",_xll.TCVN5575AnnexEHeSoCx(1,BP236),1)</f>
        <v>1</v>
      </c>
      <c r="BW236" s="25">
        <f t="shared" si="206"/>
        <v>1</v>
      </c>
      <c r="BX236" s="25">
        <f t="shared" si="207"/>
        <v>4.8690103884405048E-2</v>
      </c>
      <c r="BY236" s="25">
        <f t="shared" si="208"/>
        <v>3.39765485100395E-3</v>
      </c>
      <c r="BZ236" s="25">
        <f t="shared" si="209"/>
        <v>9.4686028789229368E-8</v>
      </c>
      <c r="CA236" s="25">
        <f t="shared" si="210"/>
        <v>0</v>
      </c>
      <c r="CB236" s="25">
        <f t="shared" si="211"/>
        <v>5.2087853421437784E-2</v>
      </c>
      <c r="CC236" s="5" t="str">
        <f t="shared" si="212"/>
        <v>OK</v>
      </c>
      <c r="CD236" s="5">
        <f t="shared" si="213"/>
        <v>87.805402509844015</v>
      </c>
      <c r="CE236" s="5">
        <f t="shared" si="214"/>
        <v>29.158726455153193</v>
      </c>
      <c r="CF236" s="5">
        <f t="shared" si="215"/>
        <v>2.9248163326364334</v>
      </c>
      <c r="CG236" s="5">
        <f t="shared" si="216"/>
        <v>0.97128328026682387</v>
      </c>
      <c r="CH236" s="5">
        <f t="shared" si="217"/>
        <v>6.9781220000481148E-2</v>
      </c>
      <c r="CI236" s="68">
        <f>_xll.DCETCVN5575PhuLucD2Eta(BP236,CH236,CF236)</f>
        <v>1.5168446876518269</v>
      </c>
      <c r="CJ236" s="5">
        <f t="shared" si="218"/>
        <v>0.10584727285559324</v>
      </c>
      <c r="CK236" s="5">
        <f>MIN(noisuy2chieu(CJ236,CF236,Data!$DA$2:$EB$24),1)</f>
        <v>0.67554885149002075</v>
      </c>
      <c r="CL236" s="102">
        <f t="shared" si="219"/>
        <v>7.2074882189514466E-2</v>
      </c>
      <c r="CM236" s="5" t="str">
        <f t="shared" si="220"/>
        <v>OK</v>
      </c>
      <c r="CN236" s="5">
        <f t="shared" si="221"/>
        <v>0.90492218941026858</v>
      </c>
      <c r="CO236" s="5">
        <f t="shared" si="222"/>
        <v>0.5370345235716667</v>
      </c>
      <c r="CP236" s="25">
        <f>_xll.DCETCVNPhuLucFHeSoOnDinh(1, 0.2, AG236, AH236, AI236, AJ236, AI236, AJ236, $D$28)</f>
        <v>1</v>
      </c>
      <c r="CQ236" s="68">
        <f t="shared" si="223"/>
        <v>0.9</v>
      </c>
      <c r="CR236" s="68">
        <f t="shared" si="224"/>
        <v>1</v>
      </c>
      <c r="CS236" s="5">
        <f t="shared" si="225"/>
        <v>0.18181818181818182</v>
      </c>
      <c r="CT236" s="5">
        <f t="shared" si="226"/>
        <v>9.9510191986788829E-2</v>
      </c>
      <c r="CU236" s="26">
        <f t="shared" si="227"/>
        <v>18.509723867627695</v>
      </c>
      <c r="CV236" s="5"/>
      <c r="CW236" s="25"/>
      <c r="CX236" s="72">
        <f>MAX(_xll.Dce_c_925(CU236, CQ236, CR236, CN236, CP236, CS236, CT236),0.3)</f>
        <v>0.3</v>
      </c>
      <c r="CY236" s="102">
        <f t="shared" si="228"/>
        <v>0.17935281970168082</v>
      </c>
      <c r="CZ236" s="5" t="str">
        <f t="shared" si="229"/>
        <v>OK</v>
      </c>
      <c r="DA236" s="47">
        <f t="shared" si="230"/>
        <v>0.34499859601035404</v>
      </c>
      <c r="DB236" s="46">
        <f t="shared" si="231"/>
        <v>0.45712832802668235</v>
      </c>
      <c r="DC236" s="5" t="str">
        <f t="shared" si="232"/>
        <v>OK</v>
      </c>
      <c r="DD236" s="5">
        <f t="shared" si="233"/>
        <v>2.9248163326364334</v>
      </c>
      <c r="DE236" s="5">
        <f t="shared" si="234"/>
        <v>1.6655104634982609</v>
      </c>
      <c r="DF236" s="5" t="str">
        <f t="shared" si="235"/>
        <v>-</v>
      </c>
      <c r="DG236" s="5" t="str">
        <f t="shared" si="236"/>
        <v>-</v>
      </c>
      <c r="DH236" s="203" t="str">
        <f t="shared" si="237"/>
        <v>-</v>
      </c>
      <c r="DI236" s="203">
        <f t="shared" si="238"/>
        <v>180</v>
      </c>
      <c r="DJ236" s="46">
        <f t="shared" si="239"/>
        <v>0</v>
      </c>
      <c r="DK236" s="5" t="str">
        <f t="shared" si="240"/>
        <v>OK</v>
      </c>
      <c r="EB236" s="18"/>
      <c r="EC236" s="77"/>
      <c r="ED236" s="77"/>
      <c r="EE236" s="18"/>
      <c r="EF236" s="18"/>
      <c r="EG236" s="18"/>
      <c r="EH236" s="5"/>
      <c r="EI236" s="5"/>
      <c r="EJ236" s="5"/>
      <c r="EK236" s="5"/>
      <c r="EL236" s="5"/>
      <c r="FE236" s="26"/>
      <c r="FF236" s="26"/>
      <c r="FG236" s="26"/>
      <c r="FH236" s="26"/>
      <c r="FI236" s="26"/>
      <c r="FJ236" s="26"/>
      <c r="FK236" s="26"/>
      <c r="FL236" s="26"/>
      <c r="FM236" s="26"/>
      <c r="FN236" s="205"/>
      <c r="FO236" s="205"/>
      <c r="FP236" s="205"/>
      <c r="FQ236" s="205"/>
      <c r="FR236" s="205"/>
      <c r="FS236" s="205"/>
      <c r="FT236" s="205"/>
      <c r="FU236" s="77"/>
      <c r="FV236" s="77"/>
      <c r="FW236" s="77"/>
      <c r="FX236" s="205"/>
      <c r="FY236" s="205"/>
      <c r="FZ236" s="205"/>
      <c r="GA236" s="205"/>
      <c r="GB236" s="205"/>
      <c r="GC236" s="205"/>
      <c r="GD236" s="205"/>
      <c r="GE236" s="205"/>
      <c r="GF236" s="205"/>
      <c r="GG236" s="205"/>
      <c r="GH236" s="205"/>
      <c r="GI236" s="205"/>
      <c r="GJ236" s="205"/>
      <c r="GK236" s="205"/>
      <c r="GL236" s="205"/>
      <c r="GM236" s="205"/>
      <c r="GN236" s="205"/>
      <c r="GO236" s="205"/>
      <c r="GP236" s="205"/>
      <c r="GQ236" s="205"/>
      <c r="GR236" s="205"/>
      <c r="GS236" s="205"/>
      <c r="GT236" s="205"/>
      <c r="GU236" s="205"/>
      <c r="GV236" s="18"/>
      <c r="GW236" s="5"/>
      <c r="GX236" s="5"/>
      <c r="GY236" s="77"/>
      <c r="GZ236" s="18"/>
      <c r="HA236" s="18"/>
      <c r="HB236" s="18"/>
      <c r="HC236" s="18"/>
      <c r="HD236" s="18"/>
      <c r="HE236" s="18"/>
      <c r="HF236" s="18"/>
      <c r="HG236" s="18"/>
      <c r="HH236" s="205"/>
      <c r="HI236" s="26"/>
      <c r="HJ236" s="26"/>
      <c r="HK236" s="5"/>
    </row>
    <row r="237" spans="27:219">
      <c r="AA237" s="18" t="s">
        <v>488</v>
      </c>
      <c r="AB237" s="22" t="s">
        <v>491</v>
      </c>
      <c r="AC237" s="59">
        <v>3.6405952380952398</v>
      </c>
      <c r="AD237" s="59">
        <v>8.6549999999999994</v>
      </c>
      <c r="AE237" s="22">
        <v>528</v>
      </c>
      <c r="AF237" s="22">
        <v>1528</v>
      </c>
      <c r="AG237" s="22">
        <v>948.63492063492095</v>
      </c>
      <c r="AH237" s="6">
        <v>10</v>
      </c>
      <c r="AI237" s="6">
        <v>300</v>
      </c>
      <c r="AJ237" s="6">
        <v>14</v>
      </c>
      <c r="AK237" s="24">
        <v>300</v>
      </c>
      <c r="AL237" s="24">
        <v>14</v>
      </c>
      <c r="AM237" s="5">
        <f t="shared" si="185"/>
        <v>920.63492063492095</v>
      </c>
      <c r="AN237" s="26">
        <f t="shared" si="186"/>
        <v>176.06349206349208</v>
      </c>
      <c r="AO237" s="26">
        <f t="shared" si="187"/>
        <v>248482.7399356656</v>
      </c>
      <c r="AP237" s="15">
        <f t="shared" si="188"/>
        <v>6307.6719576719579</v>
      </c>
      <c r="AQ237" s="5">
        <f t="shared" si="189"/>
        <v>5238.7432621467533</v>
      </c>
      <c r="AR237" s="26">
        <f t="shared" si="190"/>
        <v>420.51146384479722</v>
      </c>
      <c r="AS237" s="26">
        <f t="shared" si="191"/>
        <v>3022.1941546989178</v>
      </c>
      <c r="AT237" s="26">
        <f t="shared" si="192"/>
        <v>37.567600585756203</v>
      </c>
      <c r="AU237" s="26">
        <f t="shared" si="193"/>
        <v>5.9854925384629922</v>
      </c>
      <c r="AV237" s="95">
        <f t="shared" si="194"/>
        <v>8.6034497354497351E-7</v>
      </c>
      <c r="AW237" s="95">
        <f t="shared" si="195"/>
        <v>13758293.349206358</v>
      </c>
      <c r="AX237" s="95">
        <f t="shared" si="196"/>
        <v>1.3758293349206359E-5</v>
      </c>
      <c r="AY237" s="54">
        <f t="shared" si="197"/>
        <v>0.1548581140202015</v>
      </c>
      <c r="AZ237" s="54" t="str">
        <f>_xll.Dce_Name_SectI(AE237,AF237,AI237,AH237,AJ237,"x","-",$O$11)</f>
        <v>(528-1528)x300x10x14</v>
      </c>
      <c r="BA237" s="15">
        <f t="shared" si="198"/>
        <v>700.97619047619071</v>
      </c>
      <c r="BB237" s="54"/>
      <c r="BC237" s="54"/>
      <c r="BD237" s="22" t="s">
        <v>512</v>
      </c>
      <c r="BE237" s="23">
        <v>-136.15748765880011</v>
      </c>
      <c r="BF237" s="23">
        <v>-134.12525141957065</v>
      </c>
      <c r="BG237" s="23">
        <v>-1.151723977057334E-3</v>
      </c>
      <c r="BH237" s="23">
        <v>1.258346558303834E-4</v>
      </c>
      <c r="BI237" s="23">
        <v>4.2114763997565452E-3</v>
      </c>
      <c r="BJ237" s="23">
        <v>503.29910196226643</v>
      </c>
      <c r="BK237" s="23">
        <v>488.58908978321148</v>
      </c>
      <c r="BL237" s="92">
        <v>2.25</v>
      </c>
      <c r="BM237" s="91">
        <v>2</v>
      </c>
      <c r="BN237" s="5">
        <f t="shared" si="199"/>
        <v>19.473749999999999</v>
      </c>
      <c r="BO237" s="54">
        <f>_xll.Bimoment(BH237,AY237,AC237,AD237,$O$101)</f>
        <v>-9.6775239608780307E-4</v>
      </c>
      <c r="BP237" s="5">
        <f t="shared" si="200"/>
        <v>0.45620689655172403</v>
      </c>
      <c r="BQ237" s="5">
        <f t="shared" si="201"/>
        <v>15.419953624679124</v>
      </c>
      <c r="BR237" s="24" t="str">
        <f t="shared" si="202"/>
        <v>Cal</v>
      </c>
      <c r="BS237" s="25">
        <f t="shared" si="203"/>
        <v>3.3833760851024866E-2</v>
      </c>
      <c r="BT237" s="25" t="str">
        <f t="shared" si="204"/>
        <v>CT.105</v>
      </c>
      <c r="BU237" s="25">
        <f t="shared" si="205"/>
        <v>1</v>
      </c>
      <c r="BV237" s="25" cm="1">
        <f t="array" ref="BV237">IF(BT237="CT.104",_xll.TCVN5575AnnexEHeSoCx(1,BP237),1)</f>
        <v>1</v>
      </c>
      <c r="BW237" s="25">
        <f t="shared" si="206"/>
        <v>1</v>
      </c>
      <c r="BX237" s="25">
        <f t="shared" si="207"/>
        <v>3.5614485106341957E-2</v>
      </c>
      <c r="BY237" s="25">
        <f t="shared" si="208"/>
        <v>0.44243909191276631</v>
      </c>
      <c r="BZ237" s="25">
        <f t="shared" si="209"/>
        <v>4.6122302889940468E-5</v>
      </c>
      <c r="CA237" s="25">
        <f t="shared" si="210"/>
        <v>2.2706877088078767E-5</v>
      </c>
      <c r="CB237" s="25">
        <f t="shared" si="211"/>
        <v>0.47812240619908625</v>
      </c>
      <c r="CC237" s="5" t="str">
        <f t="shared" si="212"/>
        <v>OK</v>
      </c>
      <c r="CD237" s="5">
        <f t="shared" si="213"/>
        <v>51.836555160202302</v>
      </c>
      <c r="CE237" s="5">
        <f t="shared" si="214"/>
        <v>33.414125690541383</v>
      </c>
      <c r="CF237" s="5">
        <f t="shared" si="215"/>
        <v>1.7266865002204341</v>
      </c>
      <c r="CG237" s="5">
        <f t="shared" si="216"/>
        <v>1.1130315193248546</v>
      </c>
      <c r="CH237" s="5">
        <f t="shared" si="217"/>
        <v>12.423009643174092</v>
      </c>
      <c r="CI237" s="68">
        <f>_xll.DCETCVN5575PhuLucD2Eta(BP237,CH237,CF237)</f>
        <v>1.2412413793103447</v>
      </c>
      <c r="CJ237" s="5">
        <f t="shared" si="218"/>
        <v>15.419953624679124</v>
      </c>
      <c r="CK237" s="5">
        <f>MIN(noisuy2chieu(CJ237,CF237,Data!$DA$2:$EB$24),1)</f>
        <v>8.9115910232067108E-2</v>
      </c>
      <c r="CL237" s="102">
        <f t="shared" si="219"/>
        <v>0.39964227502808569</v>
      </c>
      <c r="CM237" s="5" t="str">
        <f t="shared" si="220"/>
        <v>OK</v>
      </c>
      <c r="CN237" s="5">
        <f t="shared" si="221"/>
        <v>0.88472625978979058</v>
      </c>
      <c r="CO237" s="5">
        <f t="shared" si="222"/>
        <v>0.5370345235716667</v>
      </c>
      <c r="CP237" s="25">
        <f>_xll.DCETCVNPhuLucFHeSoOnDinh(1, 0.2, AG237, AH237, AI237, AJ237, AI237, AJ237, $D$28)</f>
        <v>1</v>
      </c>
      <c r="CQ237" s="68">
        <f t="shared" si="223"/>
        <v>0.9</v>
      </c>
      <c r="CR237" s="68">
        <f t="shared" si="224"/>
        <v>1</v>
      </c>
      <c r="CS237" s="5">
        <f t="shared" si="225"/>
        <v>0.18181818181818182</v>
      </c>
      <c r="CT237" s="5">
        <f t="shared" si="226"/>
        <v>0.10155106457844131</v>
      </c>
      <c r="CU237" s="26">
        <f t="shared" si="227"/>
        <v>12.059920135485465</v>
      </c>
      <c r="CV237" s="5"/>
      <c r="CW237" s="25"/>
      <c r="CX237" s="72">
        <f>MAX(_xll.Dce_c_925(CU237, CQ237, CR237, CN237, CP237, CS237, CT237),0.3)</f>
        <v>0.3</v>
      </c>
      <c r="CY237" s="102">
        <f t="shared" si="228"/>
        <v>0.13418269101979599</v>
      </c>
      <c r="CZ237" s="5" t="str">
        <f t="shared" si="229"/>
        <v>OK</v>
      </c>
      <c r="DA237" s="47">
        <f t="shared" si="230"/>
        <v>0.34499859601035404</v>
      </c>
      <c r="DB237" s="46">
        <f t="shared" si="231"/>
        <v>0.47130315193248545</v>
      </c>
      <c r="DC237" s="5" t="str">
        <f t="shared" si="232"/>
        <v>OK</v>
      </c>
      <c r="DD237" s="5">
        <f t="shared" si="233"/>
        <v>1.7266865002204341</v>
      </c>
      <c r="DE237" s="5">
        <f t="shared" si="234"/>
        <v>3.0666541867587034</v>
      </c>
      <c r="DF237" s="5" t="str">
        <f t="shared" si="235"/>
        <v>-</v>
      </c>
      <c r="DG237" s="5" t="str">
        <f t="shared" si="236"/>
        <v>-</v>
      </c>
      <c r="DH237" s="203">
        <f t="shared" si="237"/>
        <v>51.836555160202302</v>
      </c>
      <c r="DI237" s="203">
        <f t="shared" si="238"/>
        <v>180</v>
      </c>
      <c r="DJ237" s="46">
        <f t="shared" si="239"/>
        <v>0.28798086200112388</v>
      </c>
      <c r="DK237" s="5" t="str">
        <f t="shared" si="240"/>
        <v>OK</v>
      </c>
      <c r="EB237" s="18"/>
      <c r="EC237" s="77"/>
      <c r="ED237" s="77"/>
      <c r="EE237" s="18"/>
      <c r="EF237" s="18"/>
      <c r="EG237" s="18"/>
      <c r="EH237" s="5"/>
      <c r="EI237" s="5"/>
      <c r="EJ237" s="5"/>
      <c r="EK237" s="5"/>
      <c r="EL237" s="5"/>
      <c r="FE237" s="26"/>
      <c r="FF237" s="26"/>
      <c r="FG237" s="26"/>
      <c r="FH237" s="26"/>
      <c r="FI237" s="26"/>
      <c r="FJ237" s="26"/>
      <c r="FK237" s="26"/>
      <c r="FL237" s="26"/>
      <c r="FM237" s="26"/>
      <c r="FN237" s="205"/>
      <c r="FO237" s="205"/>
      <c r="FP237" s="205"/>
      <c r="FQ237" s="205"/>
      <c r="FR237" s="205"/>
      <c r="FS237" s="205"/>
      <c r="FT237" s="205"/>
      <c r="FU237" s="77"/>
      <c r="FV237" s="77"/>
      <c r="FW237" s="77"/>
      <c r="FX237" s="205"/>
      <c r="FY237" s="205"/>
      <c r="FZ237" s="205"/>
      <c r="GA237" s="205"/>
      <c r="GB237" s="205"/>
      <c r="GC237" s="205"/>
      <c r="GD237" s="205"/>
      <c r="GE237" s="205"/>
      <c r="GF237" s="205"/>
      <c r="GG237" s="205"/>
      <c r="GH237" s="205"/>
      <c r="GI237" s="205"/>
      <c r="GJ237" s="205"/>
      <c r="GK237" s="205"/>
      <c r="GL237" s="205"/>
      <c r="GM237" s="205"/>
      <c r="GN237" s="205"/>
      <c r="GO237" s="205"/>
      <c r="GP237" s="205"/>
      <c r="GQ237" s="205"/>
      <c r="GR237" s="205"/>
      <c r="GS237" s="205"/>
      <c r="GT237" s="205"/>
      <c r="GU237" s="205"/>
      <c r="GV237" s="18"/>
      <c r="GW237" s="5"/>
      <c r="GX237" s="5"/>
      <c r="GY237" s="77"/>
      <c r="GZ237" s="18"/>
      <c r="HA237" s="18"/>
      <c r="HB237" s="18"/>
      <c r="HC237" s="18"/>
      <c r="HD237" s="18"/>
      <c r="HE237" s="18"/>
      <c r="HF237" s="18"/>
      <c r="HG237" s="18"/>
      <c r="HH237" s="205"/>
      <c r="HI237" s="26"/>
      <c r="HJ237" s="26"/>
      <c r="HK237" s="5"/>
    </row>
    <row r="238" spans="27:219">
      <c r="AA238" s="18" t="s">
        <v>488</v>
      </c>
      <c r="AB238" s="22" t="s">
        <v>491</v>
      </c>
      <c r="AC238" s="59">
        <v>7.2811904761904795</v>
      </c>
      <c r="AD238" s="59">
        <v>8.6549999999999994</v>
      </c>
      <c r="AE238" s="22">
        <v>528</v>
      </c>
      <c r="AF238" s="22">
        <v>1528</v>
      </c>
      <c r="AG238" s="22">
        <v>1369.2698412698419</v>
      </c>
      <c r="AH238" s="6">
        <v>10</v>
      </c>
      <c r="AI238" s="6">
        <v>300</v>
      </c>
      <c r="AJ238" s="6">
        <v>14</v>
      </c>
      <c r="AK238" s="24">
        <v>300</v>
      </c>
      <c r="AL238" s="24">
        <v>14</v>
      </c>
      <c r="AM238" s="5">
        <f t="shared" si="185"/>
        <v>1341.2698412698419</v>
      </c>
      <c r="AN238" s="26">
        <f t="shared" si="186"/>
        <v>218.12698412698418</v>
      </c>
      <c r="AO238" s="26">
        <f t="shared" si="187"/>
        <v>586811.79072745051</v>
      </c>
      <c r="AP238" s="15">
        <f t="shared" si="188"/>
        <v>6311.1772486772488</v>
      </c>
      <c r="AQ238" s="5">
        <f t="shared" si="189"/>
        <v>8571.1635945074104</v>
      </c>
      <c r="AR238" s="26">
        <f t="shared" si="190"/>
        <v>420.74514991181661</v>
      </c>
      <c r="AS238" s="26">
        <f t="shared" si="191"/>
        <v>5094.8226505417015</v>
      </c>
      <c r="AT238" s="26">
        <f t="shared" si="192"/>
        <v>51.867428670398397</v>
      </c>
      <c r="AU238" s="26">
        <f t="shared" si="193"/>
        <v>5.3789869588463937</v>
      </c>
      <c r="AV238" s="95">
        <f t="shared" si="194"/>
        <v>1.0005566137566139E-6</v>
      </c>
      <c r="AW238" s="95">
        <f t="shared" si="195"/>
        <v>28928912.396825422</v>
      </c>
      <c r="AX238" s="95">
        <f t="shared" si="196"/>
        <v>2.8928912396825422E-5</v>
      </c>
      <c r="AY238" s="54">
        <f t="shared" si="197"/>
        <v>0.11516876660535029</v>
      </c>
      <c r="AZ238" s="54" t="str">
        <f>_xll.Dce_Name_SectI(AE238,AF238,AI238,AH238,AJ238,"x","-",$O$11)</f>
        <v>(528-1528)x300x10x14</v>
      </c>
      <c r="BA238" s="15">
        <f t="shared" si="198"/>
        <v>1016.4523809523813</v>
      </c>
      <c r="BB238" s="54"/>
      <c r="BC238" s="54"/>
      <c r="BD238" s="22" t="s">
        <v>512</v>
      </c>
      <c r="BE238" s="23">
        <v>-129.0992487217419</v>
      </c>
      <c r="BF238" s="23">
        <v>-125.61129626244521</v>
      </c>
      <c r="BG238" s="23">
        <v>-1.1517239770568114E-3</v>
      </c>
      <c r="BH238" s="23">
        <v>1.258346558303834E-4</v>
      </c>
      <c r="BI238" s="23">
        <v>8.4143117224648074E-3</v>
      </c>
      <c r="BJ238" s="23">
        <v>977.17817956642295</v>
      </c>
      <c r="BK238" s="23">
        <v>488.58908978321148</v>
      </c>
      <c r="BL238" s="92">
        <v>2.25</v>
      </c>
      <c r="BM238" s="91">
        <v>2</v>
      </c>
      <c r="BN238" s="5">
        <f t="shared" si="199"/>
        <v>19.473749999999999</v>
      </c>
      <c r="BO238" s="54">
        <f>_xll.Bimoment(BH238,AY238,AC238,AD238,$O$101)</f>
        <v>-5.7565207714998178E-4</v>
      </c>
      <c r="BP238" s="5">
        <f t="shared" si="200"/>
        <v>0.31313609467455605</v>
      </c>
      <c r="BQ238" s="5">
        <f t="shared" si="201"/>
        <v>23.358608528098578</v>
      </c>
      <c r="BR238" s="24" t="str">
        <f t="shared" si="202"/>
        <v>Cal</v>
      </c>
      <c r="BS238" s="25">
        <f t="shared" si="203"/>
        <v>2.5893596586326669E-2</v>
      </c>
      <c r="BT238" s="25" t="str">
        <f t="shared" si="204"/>
        <v>CT.105</v>
      </c>
      <c r="BU238" s="25">
        <f t="shared" si="205"/>
        <v>1</v>
      </c>
      <c r="BV238" s="25" cm="1">
        <f t="array" ref="BV238">IF(BT238="CT.104",_xll.TCVN5575AnnexEHeSoCx(1,BP238),1)</f>
        <v>1</v>
      </c>
      <c r="BW238" s="25">
        <f t="shared" si="206"/>
        <v>1</v>
      </c>
      <c r="BX238" s="25">
        <f t="shared" si="207"/>
        <v>2.7256417459291228E-2</v>
      </c>
      <c r="BY238" s="25">
        <f t="shared" si="208"/>
        <v>0.52503520898139189</v>
      </c>
      <c r="BZ238" s="25">
        <f t="shared" si="209"/>
        <v>9.2098791352985458E-5</v>
      </c>
      <c r="CA238" s="25">
        <f t="shared" si="210"/>
        <v>9.3147125951525676E-6</v>
      </c>
      <c r="CB238" s="25">
        <f t="shared" si="211"/>
        <v>0.55239303994463118</v>
      </c>
      <c r="CC238" s="5" t="str">
        <f t="shared" si="212"/>
        <v>OK</v>
      </c>
      <c r="CD238" s="5">
        <f t="shared" si="213"/>
        <v>37.545238889226049</v>
      </c>
      <c r="CE238" s="5">
        <f t="shared" si="214"/>
        <v>37.181722419139881</v>
      </c>
      <c r="CF238" s="5">
        <f t="shared" si="215"/>
        <v>1.2506397644909562</v>
      </c>
      <c r="CG238" s="5">
        <f t="shared" si="216"/>
        <v>1.2385309547993069</v>
      </c>
      <c r="CH238" s="5">
        <f t="shared" si="217"/>
        <v>19.262810667086281</v>
      </c>
      <c r="CI238" s="68">
        <f>_xll.DCETCVN5575PhuLucD2Eta(BP238,CH238,CF238)</f>
        <v>1.2126272189349112</v>
      </c>
      <c r="CJ238" s="5">
        <f t="shared" si="218"/>
        <v>23.358608528098578</v>
      </c>
      <c r="CK238" s="5">
        <f>MIN(noisuy2chieu(CJ238,CF238,Data!$DA$2:$EB$24),1)</f>
        <v>7.1994885802268982E-2</v>
      </c>
      <c r="CL238" s="102">
        <f t="shared" si="219"/>
        <v>0.37858824492270005</v>
      </c>
      <c r="CM238" s="5" t="str">
        <f t="shared" si="220"/>
        <v>OK</v>
      </c>
      <c r="CN238" s="5">
        <f t="shared" si="221"/>
        <v>0.86643683692746631</v>
      </c>
      <c r="CO238" s="5">
        <f t="shared" si="222"/>
        <v>0.5370345235716667</v>
      </c>
      <c r="CP238" s="25">
        <f>_xll.DCETCVNPhuLucFHeSoOnDinh(1, 0.2, AG238, AH238, AI238, AJ238, AI238, AJ238, $D$28)</f>
        <v>1</v>
      </c>
      <c r="CQ238" s="68">
        <f t="shared" si="223"/>
        <v>0.9</v>
      </c>
      <c r="CR238" s="68">
        <f t="shared" si="224"/>
        <v>1</v>
      </c>
      <c r="CS238" s="5">
        <f t="shared" si="225"/>
        <v>0.18181818181818182</v>
      </c>
      <c r="CT238" s="5">
        <f t="shared" si="226"/>
        <v>0.10347287704587492</v>
      </c>
      <c r="CU238" s="26">
        <f t="shared" si="227"/>
        <v>9.6314053335431407</v>
      </c>
      <c r="CV238" s="5"/>
      <c r="CW238" s="25"/>
      <c r="CX238" s="72">
        <f>MAX(_xll.Dce_c_925(CU238, CQ238, CR238, CN238, CP238, CS238, CT238),0.3)</f>
        <v>0.3</v>
      </c>
      <c r="CY238" s="102">
        <f t="shared" si="228"/>
        <v>0.10486018252235275</v>
      </c>
      <c r="CZ238" s="5" t="str">
        <f t="shared" si="229"/>
        <v>OK</v>
      </c>
      <c r="DA238" s="47">
        <f t="shared" si="230"/>
        <v>0.34499859601035404</v>
      </c>
      <c r="DB238" s="46">
        <f t="shared" si="231"/>
        <v>0.48385309547993066</v>
      </c>
      <c r="DC238" s="5" t="str">
        <f t="shared" si="232"/>
        <v>OK</v>
      </c>
      <c r="DD238" s="5">
        <f t="shared" si="233"/>
        <v>1.2506397644909562</v>
      </c>
      <c r="DE238" s="5">
        <f t="shared" si="234"/>
        <v>4.4677979100191463</v>
      </c>
      <c r="DF238" s="5" t="str">
        <f t="shared" si="235"/>
        <v>-</v>
      </c>
      <c r="DG238" s="5" t="str">
        <f t="shared" si="236"/>
        <v>-</v>
      </c>
      <c r="DH238" s="203">
        <f t="shared" si="237"/>
        <v>37.545238889226049</v>
      </c>
      <c r="DI238" s="203">
        <f t="shared" si="238"/>
        <v>180</v>
      </c>
      <c r="DJ238" s="46">
        <f t="shared" si="239"/>
        <v>0.20858466049570026</v>
      </c>
      <c r="DK238" s="5" t="str">
        <f t="shared" si="240"/>
        <v>OK</v>
      </c>
      <c r="EB238" s="18"/>
      <c r="EC238" s="77"/>
      <c r="ED238" s="77"/>
      <c r="EE238" s="18"/>
      <c r="EF238" s="18"/>
      <c r="EG238" s="18"/>
      <c r="EH238" s="5"/>
      <c r="EI238" s="5"/>
      <c r="EJ238" s="5"/>
      <c r="EK238" s="5"/>
      <c r="EL238" s="5"/>
      <c r="FE238" s="26"/>
      <c r="FF238" s="26"/>
      <c r="FG238" s="26"/>
      <c r="FH238" s="26"/>
      <c r="FI238" s="26"/>
      <c r="FJ238" s="26"/>
      <c r="FK238" s="26"/>
      <c r="FL238" s="26"/>
      <c r="FM238" s="26"/>
      <c r="FN238" s="205"/>
      <c r="FO238" s="205"/>
      <c r="FP238" s="205"/>
      <c r="FQ238" s="205"/>
      <c r="FR238" s="205"/>
      <c r="FS238" s="205"/>
      <c r="FT238" s="205"/>
      <c r="FU238" s="77"/>
      <c r="FV238" s="77"/>
      <c r="FW238" s="77"/>
      <c r="FX238" s="205"/>
      <c r="FY238" s="205"/>
      <c r="FZ238" s="205"/>
      <c r="GA238" s="205"/>
      <c r="GB238" s="205"/>
      <c r="GC238" s="205"/>
      <c r="GD238" s="205"/>
      <c r="GE238" s="205"/>
      <c r="GF238" s="205"/>
      <c r="GG238" s="205"/>
      <c r="GH238" s="205"/>
      <c r="GI238" s="205"/>
      <c r="GJ238" s="205"/>
      <c r="GK238" s="205"/>
      <c r="GL238" s="205"/>
      <c r="GM238" s="205"/>
      <c r="GN238" s="205"/>
      <c r="GO238" s="205"/>
      <c r="GP238" s="205"/>
      <c r="GQ238" s="205"/>
      <c r="GR238" s="205"/>
      <c r="GS238" s="205"/>
      <c r="GT238" s="205"/>
      <c r="GU238" s="205"/>
      <c r="GV238" s="18"/>
      <c r="GW238" s="5"/>
      <c r="GX238" s="5"/>
      <c r="GY238" s="77"/>
      <c r="GZ238" s="18"/>
      <c r="HA238" s="18"/>
      <c r="HB238" s="18"/>
      <c r="HC238" s="18"/>
      <c r="HD238" s="18"/>
      <c r="HE238" s="18"/>
      <c r="HF238" s="18"/>
      <c r="HG238" s="18"/>
      <c r="HH238" s="205"/>
      <c r="HI238" s="26"/>
      <c r="HJ238" s="26"/>
      <c r="HK238" s="5"/>
    </row>
    <row r="239" spans="27:219">
      <c r="AA239" s="18" t="s">
        <v>488</v>
      </c>
      <c r="AB239" s="22" t="s">
        <v>491</v>
      </c>
      <c r="AC239" s="59">
        <v>0</v>
      </c>
      <c r="AD239" s="59">
        <v>8.6549999999999994</v>
      </c>
      <c r="AE239" s="22">
        <v>528</v>
      </c>
      <c r="AF239" s="22">
        <v>1528</v>
      </c>
      <c r="AG239" s="22">
        <v>528</v>
      </c>
      <c r="AH239" s="6">
        <v>10</v>
      </c>
      <c r="AI239" s="6">
        <v>300</v>
      </c>
      <c r="AJ239" s="6">
        <v>14</v>
      </c>
      <c r="AK239" s="24">
        <v>300</v>
      </c>
      <c r="AL239" s="24">
        <v>14</v>
      </c>
      <c r="AM239" s="5">
        <f t="shared" si="185"/>
        <v>500</v>
      </c>
      <c r="AN239" s="26">
        <f t="shared" si="186"/>
        <v>134</v>
      </c>
      <c r="AO239" s="26">
        <f t="shared" si="187"/>
        <v>65911.546666666676</v>
      </c>
      <c r="AP239" s="15">
        <f t="shared" si="188"/>
        <v>6304.166666666667</v>
      </c>
      <c r="AQ239" s="5">
        <f t="shared" si="189"/>
        <v>2496.6494949494954</v>
      </c>
      <c r="AR239" s="26">
        <f t="shared" si="190"/>
        <v>420.27777777777777</v>
      </c>
      <c r="AS239" s="26">
        <f t="shared" si="191"/>
        <v>1391.9</v>
      </c>
      <c r="AT239" s="26">
        <f t="shared" si="192"/>
        <v>22.178305028345793</v>
      </c>
      <c r="AU239" s="26">
        <f t="shared" si="193"/>
        <v>6.8590101254115021</v>
      </c>
      <c r="AV239" s="95">
        <f t="shared" si="194"/>
        <v>7.201333333333334E-7</v>
      </c>
      <c r="AW239" s="95">
        <f t="shared" si="195"/>
        <v>4161087</v>
      </c>
      <c r="AX239" s="95">
        <f t="shared" si="196"/>
        <v>4.1610870000000001E-6</v>
      </c>
      <c r="AY239" s="54">
        <f t="shared" si="197"/>
        <v>0.25762202780669918</v>
      </c>
      <c r="AZ239" s="54" t="str">
        <f>_xll.Dce_Name_SectI(AE239,AF239,AI239,AH239,AJ239,"x","-",$O$11)</f>
        <v>(528-1528)x300x10x14</v>
      </c>
      <c r="BA239" s="15">
        <f t="shared" si="198"/>
        <v>385.5</v>
      </c>
      <c r="BB239" s="54"/>
      <c r="BC239" s="54"/>
      <c r="BD239" s="22" t="s">
        <v>513</v>
      </c>
      <c r="BE239" s="23">
        <v>-65.911301781235835</v>
      </c>
      <c r="BF239" s="23">
        <v>-56.413691924058213</v>
      </c>
      <c r="BG239" s="23">
        <v>1.9989794958908498E-3</v>
      </c>
      <c r="BH239" s="23">
        <v>7.8798036169273672E-6</v>
      </c>
      <c r="BI239" s="23">
        <v>5.4110681741434507E-7</v>
      </c>
      <c r="BJ239" s="23">
        <v>-0.86651495829309866</v>
      </c>
      <c r="BK239" s="23">
        <v>130.46114473285581</v>
      </c>
      <c r="BL239" s="92">
        <v>2.25</v>
      </c>
      <c r="BM239" s="91">
        <v>2</v>
      </c>
      <c r="BN239" s="5">
        <f t="shared" si="199"/>
        <v>19.473749999999999</v>
      </c>
      <c r="BO239" s="54">
        <f>_xll.Bimoment(BH239,AY239,AC239,AD239,$O$101)</f>
        <v>0</v>
      </c>
      <c r="BP239" s="5">
        <f t="shared" si="200"/>
        <v>0.84</v>
      </c>
      <c r="BQ239" s="5">
        <f t="shared" si="201"/>
        <v>0.10702746732105853</v>
      </c>
      <c r="BR239" s="24" t="str">
        <f t="shared" si="202"/>
        <v>Cal</v>
      </c>
      <c r="BS239" s="25">
        <f t="shared" si="203"/>
        <v>2.1519548156187073E-2</v>
      </c>
      <c r="BT239" s="25" t="str">
        <f t="shared" si="204"/>
        <v>CT.105</v>
      </c>
      <c r="BU239" s="25">
        <f t="shared" si="205"/>
        <v>1</v>
      </c>
      <c r="BV239" s="25" cm="1">
        <f t="array" ref="BV239">IF(BT239="CT.104",_xll.TCVN5575AnnexEHeSoCx(1,BP239),1)</f>
        <v>1</v>
      </c>
      <c r="BW239" s="25">
        <f t="shared" si="206"/>
        <v>1</v>
      </c>
      <c r="BX239" s="25">
        <f t="shared" si="207"/>
        <v>2.2652155953881131E-2</v>
      </c>
      <c r="BY239" s="25">
        <f t="shared" si="208"/>
        <v>1.5983538823789224E-3</v>
      </c>
      <c r="BZ239" s="25">
        <f t="shared" si="209"/>
        <v>5.9292673143464953E-9</v>
      </c>
      <c r="CA239" s="25">
        <f t="shared" si="210"/>
        <v>0</v>
      </c>
      <c r="CB239" s="25">
        <f t="shared" si="211"/>
        <v>2.4250515765527367E-2</v>
      </c>
      <c r="CC239" s="5" t="str">
        <f t="shared" si="212"/>
        <v>OK</v>
      </c>
      <c r="CD239" s="5">
        <f t="shared" si="213"/>
        <v>87.805402509844015</v>
      </c>
      <c r="CE239" s="5">
        <f t="shared" si="214"/>
        <v>29.158726455153193</v>
      </c>
      <c r="CF239" s="5">
        <f t="shared" si="215"/>
        <v>2.9248163326364334</v>
      </c>
      <c r="CG239" s="5">
        <f t="shared" si="216"/>
        <v>0.97128328026682387</v>
      </c>
      <c r="CH239" s="5">
        <f t="shared" si="217"/>
        <v>7.056078395509488E-2</v>
      </c>
      <c r="CI239" s="68">
        <f>_xll.DCETCVN5575PhuLucD2Eta(BP239,CH239,CF239)</f>
        <v>1.5168123328841012</v>
      </c>
      <c r="CJ239" s="5">
        <f t="shared" si="218"/>
        <v>0.10702746732105853</v>
      </c>
      <c r="CK239" s="5">
        <f>MIN(noisuy2chieu(CJ239,CF239,Data!$DA$2:$EB$24),1)</f>
        <v>0.67499804496765137</v>
      </c>
      <c r="CL239" s="102">
        <f t="shared" si="219"/>
        <v>3.3558846759277228E-2</v>
      </c>
      <c r="CM239" s="5" t="str">
        <f t="shared" si="220"/>
        <v>OK</v>
      </c>
      <c r="CN239" s="5">
        <f t="shared" si="221"/>
        <v>0.90492218941026858</v>
      </c>
      <c r="CO239" s="5">
        <f t="shared" si="222"/>
        <v>0.5370345235716667</v>
      </c>
      <c r="CP239" s="25">
        <f>_xll.DCETCVNPhuLucFHeSoOnDinh(1, 0.2, AG239, AH239, AI239, AJ239, AI239, AJ239, $D$28)</f>
        <v>1</v>
      </c>
      <c r="CQ239" s="68">
        <f t="shared" si="223"/>
        <v>0.9</v>
      </c>
      <c r="CR239" s="68">
        <f t="shared" si="224"/>
        <v>1</v>
      </c>
      <c r="CS239" s="5">
        <f t="shared" si="225"/>
        <v>0.18181818181818182</v>
      </c>
      <c r="CT239" s="5">
        <f t="shared" si="226"/>
        <v>9.9510191986788829E-2</v>
      </c>
      <c r="CU239" s="26">
        <f t="shared" si="227"/>
        <v>10.62352191376212</v>
      </c>
      <c r="CV239" s="5"/>
      <c r="CW239" s="25"/>
      <c r="CX239" s="72">
        <f>MAX(_xll.Dce_c_925(CU239, CQ239, CR239, CN239, CP239, CS239, CT239),0.3)</f>
        <v>0.3</v>
      </c>
      <c r="CY239" s="102">
        <f t="shared" si="228"/>
        <v>8.344052935882211E-2</v>
      </c>
      <c r="CZ239" s="5" t="str">
        <f t="shared" si="229"/>
        <v>OK</v>
      </c>
      <c r="DA239" s="47">
        <f t="shared" si="230"/>
        <v>0.34499859601035404</v>
      </c>
      <c r="DB239" s="46">
        <f t="shared" si="231"/>
        <v>0.45712832802668235</v>
      </c>
      <c r="DC239" s="5" t="str">
        <f t="shared" si="232"/>
        <v>OK</v>
      </c>
      <c r="DD239" s="5">
        <f t="shared" si="233"/>
        <v>2.9248163326364334</v>
      </c>
      <c r="DE239" s="5">
        <f t="shared" si="234"/>
        <v>1.6655104634982609</v>
      </c>
      <c r="DF239" s="5" t="str">
        <f t="shared" si="235"/>
        <v>-</v>
      </c>
      <c r="DG239" s="5" t="str">
        <f t="shared" si="236"/>
        <v>-</v>
      </c>
      <c r="DH239" s="203" t="str">
        <f t="shared" si="237"/>
        <v>-</v>
      </c>
      <c r="DI239" s="203">
        <f t="shared" si="238"/>
        <v>180</v>
      </c>
      <c r="DJ239" s="46">
        <f t="shared" si="239"/>
        <v>0</v>
      </c>
      <c r="DK239" s="5" t="str">
        <f t="shared" si="240"/>
        <v>OK</v>
      </c>
      <c r="EB239" s="18"/>
      <c r="EC239" s="77"/>
      <c r="ED239" s="77"/>
      <c r="EE239" s="18"/>
      <c r="EF239" s="18"/>
      <c r="EG239" s="18"/>
      <c r="EH239" s="5"/>
      <c r="EI239" s="5"/>
      <c r="EJ239" s="5"/>
      <c r="EK239" s="5"/>
      <c r="EL239" s="5"/>
      <c r="FE239" s="26"/>
      <c r="FF239" s="26"/>
      <c r="FG239" s="26"/>
      <c r="FH239" s="26"/>
      <c r="FI239" s="26"/>
      <c r="FJ239" s="26"/>
      <c r="FK239" s="26"/>
      <c r="FL239" s="26"/>
      <c r="FM239" s="26"/>
      <c r="FN239" s="205"/>
      <c r="FO239" s="205"/>
      <c r="FP239" s="205"/>
      <c r="FQ239" s="205"/>
      <c r="FR239" s="205"/>
      <c r="FS239" s="205"/>
      <c r="FT239" s="205"/>
      <c r="FU239" s="77"/>
      <c r="FV239" s="77"/>
      <c r="FW239" s="77"/>
      <c r="FX239" s="205"/>
      <c r="FY239" s="205"/>
      <c r="FZ239" s="205"/>
      <c r="GA239" s="205"/>
      <c r="GB239" s="205"/>
      <c r="GC239" s="205"/>
      <c r="GD239" s="205"/>
      <c r="GE239" s="205"/>
      <c r="GF239" s="205"/>
      <c r="GG239" s="205"/>
      <c r="GH239" s="205"/>
      <c r="GI239" s="205"/>
      <c r="GJ239" s="205"/>
      <c r="GK239" s="205"/>
      <c r="GL239" s="205"/>
      <c r="GM239" s="205"/>
      <c r="GN239" s="205"/>
      <c r="GO239" s="205"/>
      <c r="GP239" s="205"/>
      <c r="GQ239" s="205"/>
      <c r="GR239" s="205"/>
      <c r="GS239" s="205"/>
      <c r="GT239" s="205"/>
      <c r="GU239" s="205"/>
      <c r="GV239" s="18"/>
      <c r="GW239" s="5"/>
      <c r="GX239" s="5"/>
      <c r="GY239" s="77"/>
      <c r="GZ239" s="18"/>
      <c r="HA239" s="18"/>
      <c r="HB239" s="18"/>
      <c r="HC239" s="18"/>
      <c r="HD239" s="18"/>
      <c r="HE239" s="18"/>
      <c r="HF239" s="18"/>
      <c r="HG239" s="18"/>
      <c r="HH239" s="205"/>
      <c r="HI239" s="26"/>
      <c r="HJ239" s="26"/>
      <c r="HK239" s="5"/>
    </row>
    <row r="240" spans="27:219">
      <c r="AA240" s="18" t="s">
        <v>488</v>
      </c>
      <c r="AB240" s="22" t="s">
        <v>491</v>
      </c>
      <c r="AC240" s="59">
        <v>3.6405952380952398</v>
      </c>
      <c r="AD240" s="59">
        <v>8.6549999999999994</v>
      </c>
      <c r="AE240" s="22">
        <v>528</v>
      </c>
      <c r="AF240" s="22">
        <v>1528</v>
      </c>
      <c r="AG240" s="22">
        <v>948.63492063492095</v>
      </c>
      <c r="AH240" s="6">
        <v>10</v>
      </c>
      <c r="AI240" s="6">
        <v>300</v>
      </c>
      <c r="AJ240" s="6">
        <v>14</v>
      </c>
      <c r="AK240" s="24">
        <v>300</v>
      </c>
      <c r="AL240" s="24">
        <v>14</v>
      </c>
      <c r="AM240" s="5">
        <f t="shared" si="185"/>
        <v>920.63492063492095</v>
      </c>
      <c r="AN240" s="26">
        <f t="shared" si="186"/>
        <v>176.06349206349208</v>
      </c>
      <c r="AO240" s="26">
        <f t="shared" si="187"/>
        <v>248482.7399356656</v>
      </c>
      <c r="AP240" s="15">
        <f t="shared" si="188"/>
        <v>6307.6719576719579</v>
      </c>
      <c r="AQ240" s="5">
        <f t="shared" si="189"/>
        <v>5238.7432621467533</v>
      </c>
      <c r="AR240" s="26">
        <f t="shared" si="190"/>
        <v>420.51146384479722</v>
      </c>
      <c r="AS240" s="26">
        <f t="shared" si="191"/>
        <v>3022.1941546989178</v>
      </c>
      <c r="AT240" s="26">
        <f t="shared" si="192"/>
        <v>37.567600585756203</v>
      </c>
      <c r="AU240" s="26">
        <f t="shared" si="193"/>
        <v>5.9854925384629922</v>
      </c>
      <c r="AV240" s="95">
        <f t="shared" si="194"/>
        <v>8.6034497354497351E-7</v>
      </c>
      <c r="AW240" s="95">
        <f t="shared" si="195"/>
        <v>13758293.349206358</v>
      </c>
      <c r="AX240" s="95">
        <f t="shared" si="196"/>
        <v>1.3758293349206359E-5</v>
      </c>
      <c r="AY240" s="54">
        <f t="shared" si="197"/>
        <v>0.1548581140202015</v>
      </c>
      <c r="AZ240" s="54" t="str">
        <f>_xll.Dce_Name_SectI(AE240,AF240,AI240,AH240,AJ240,"x","-",$O$11)</f>
        <v>(528-1528)x300x10x14</v>
      </c>
      <c r="BA240" s="15">
        <f t="shared" si="198"/>
        <v>700.97619047619071</v>
      </c>
      <c r="BB240" s="54"/>
      <c r="BC240" s="54"/>
      <c r="BD240" s="22" t="s">
        <v>513</v>
      </c>
      <c r="BE240" s="23">
        <v>-59.574448594669974</v>
      </c>
      <c r="BF240" s="23">
        <v>-35.852005736340715</v>
      </c>
      <c r="BG240" s="23">
        <v>1.9989794958921118E-3</v>
      </c>
      <c r="BH240" s="23">
        <v>7.8798036169273672E-6</v>
      </c>
      <c r="BI240" s="23">
        <v>-7.2940727086992169E-3</v>
      </c>
      <c r="BJ240" s="23">
        <v>167.44785355934278</v>
      </c>
      <c r="BK240" s="23">
        <v>130.46114473285581</v>
      </c>
      <c r="BL240" s="92">
        <v>2.25</v>
      </c>
      <c r="BM240" s="91">
        <v>2</v>
      </c>
      <c r="BN240" s="5">
        <f t="shared" si="199"/>
        <v>19.473749999999999</v>
      </c>
      <c r="BO240" s="54">
        <f>_xll.Bimoment(BH240,AY240,AC240,AD240,$O$101)</f>
        <v>-6.0600943203291494E-5</v>
      </c>
      <c r="BP240" s="5">
        <f t="shared" si="200"/>
        <v>0.45620689655172403</v>
      </c>
      <c r="BQ240" s="5">
        <f t="shared" si="201"/>
        <v>11.725138866699609</v>
      </c>
      <c r="BR240" s="24" t="str">
        <f t="shared" si="202"/>
        <v>Cal</v>
      </c>
      <c r="BS240" s="25">
        <f t="shared" si="203"/>
        <v>1.4803648930676082E-2</v>
      </c>
      <c r="BT240" s="25" t="str">
        <f t="shared" si="204"/>
        <v>CT.105</v>
      </c>
      <c r="BU240" s="25">
        <f t="shared" si="205"/>
        <v>1</v>
      </c>
      <c r="BV240" s="25" cm="1">
        <f t="array" ref="BV240">IF(BT240="CT.104",_xll.TCVN5575AnnexEHeSoCx(1,BP240),1)</f>
        <v>1</v>
      </c>
      <c r="BW240" s="25">
        <f t="shared" si="206"/>
        <v>1</v>
      </c>
      <c r="BX240" s="25">
        <f t="shared" si="207"/>
        <v>1.5582788348080088E-2</v>
      </c>
      <c r="BY240" s="25">
        <f t="shared" si="208"/>
        <v>0.14719969891202361</v>
      </c>
      <c r="BZ240" s="25">
        <f t="shared" si="209"/>
        <v>7.9881589931578702E-5</v>
      </c>
      <c r="CA240" s="25">
        <f t="shared" si="210"/>
        <v>1.4219114045096451E-6</v>
      </c>
      <c r="CB240" s="25">
        <f t="shared" si="211"/>
        <v>0.16286379076143978</v>
      </c>
      <c r="CC240" s="5" t="str">
        <f t="shared" si="212"/>
        <v>OK</v>
      </c>
      <c r="CD240" s="5">
        <f t="shared" si="213"/>
        <v>51.836555160202302</v>
      </c>
      <c r="CE240" s="5">
        <f t="shared" si="214"/>
        <v>33.414125690541383</v>
      </c>
      <c r="CF240" s="5">
        <f t="shared" si="215"/>
        <v>1.7266865002204341</v>
      </c>
      <c r="CG240" s="5">
        <f t="shared" si="216"/>
        <v>1.1130315193248546</v>
      </c>
      <c r="CH240" s="5">
        <f t="shared" si="217"/>
        <v>9.446300342657203</v>
      </c>
      <c r="CI240" s="68">
        <f>_xll.DCETCVN5575PhuLucD2Eta(BP240,CH240,CF240)</f>
        <v>1.2412413793103447</v>
      </c>
      <c r="CJ240" s="5">
        <f t="shared" si="218"/>
        <v>11.725138866699609</v>
      </c>
      <c r="CK240" s="5">
        <f>MIN(noisuy2chieu(CJ240,CF240,Data!$DA$2:$EB$24),1)</f>
        <v>0.11345038563013077</v>
      </c>
      <c r="CL240" s="102">
        <f t="shared" si="219"/>
        <v>0.13735333081090495</v>
      </c>
      <c r="CM240" s="5" t="str">
        <f t="shared" si="220"/>
        <v>OK</v>
      </c>
      <c r="CN240" s="5">
        <f t="shared" si="221"/>
        <v>0.88472625978979058</v>
      </c>
      <c r="CO240" s="5">
        <f t="shared" si="222"/>
        <v>0.5370345235716667</v>
      </c>
      <c r="CP240" s="25">
        <f>_xll.DCETCVNPhuLucFHeSoOnDinh(1, 0.2, AG240, AH240, AI240, AJ240, AI240, AJ240, $D$28)</f>
        <v>1</v>
      </c>
      <c r="CQ240" s="68">
        <f t="shared" si="223"/>
        <v>0.9</v>
      </c>
      <c r="CR240" s="68">
        <f t="shared" si="224"/>
        <v>1</v>
      </c>
      <c r="CS240" s="5">
        <f t="shared" si="225"/>
        <v>0.18181818181818182</v>
      </c>
      <c r="CT240" s="5">
        <f t="shared" si="226"/>
        <v>0.10155106457844131</v>
      </c>
      <c r="CU240" s="26">
        <f t="shared" si="227"/>
        <v>7.3597548729203552</v>
      </c>
      <c r="CV240" s="5"/>
      <c r="CW240" s="25"/>
      <c r="CX240" s="72">
        <f>MAX(_xll.Dce_c_925(CU240, CQ240, CR240, CN240, CP240, CS240, CT240),0.3)</f>
        <v>0.3</v>
      </c>
      <c r="CY240" s="102">
        <f t="shared" si="228"/>
        <v>5.8710394601913483E-2</v>
      </c>
      <c r="CZ240" s="5" t="str">
        <f t="shared" si="229"/>
        <v>OK</v>
      </c>
      <c r="DA240" s="47">
        <f t="shared" si="230"/>
        <v>0.34499859601035404</v>
      </c>
      <c r="DB240" s="46">
        <f t="shared" si="231"/>
        <v>0.47130315193248545</v>
      </c>
      <c r="DC240" s="5" t="str">
        <f t="shared" si="232"/>
        <v>OK</v>
      </c>
      <c r="DD240" s="5">
        <f t="shared" si="233"/>
        <v>1.7266865002204341</v>
      </c>
      <c r="DE240" s="5">
        <f t="shared" si="234"/>
        <v>3.0666541867587034</v>
      </c>
      <c r="DF240" s="5">
        <f t="shared" si="235"/>
        <v>1.7472169405065237</v>
      </c>
      <c r="DG240" s="5" t="str">
        <f t="shared" si="236"/>
        <v>Gia cường</v>
      </c>
      <c r="DH240" s="203">
        <f t="shared" si="237"/>
        <v>51.836555160202302</v>
      </c>
      <c r="DI240" s="203">
        <f t="shared" si="238"/>
        <v>180</v>
      </c>
      <c r="DJ240" s="46">
        <f t="shared" si="239"/>
        <v>0.28798086200112388</v>
      </c>
      <c r="DK240" s="5" t="str">
        <f t="shared" si="240"/>
        <v>OK</v>
      </c>
      <c r="EB240" s="18"/>
      <c r="EC240" s="77"/>
      <c r="ED240" s="77"/>
      <c r="EE240" s="18"/>
      <c r="EF240" s="18"/>
      <c r="EG240" s="18"/>
      <c r="EH240" s="5"/>
      <c r="EI240" s="5"/>
      <c r="EJ240" s="5"/>
      <c r="EK240" s="5"/>
      <c r="EL240" s="5"/>
      <c r="FE240" s="26"/>
      <c r="FF240" s="26"/>
      <c r="FG240" s="26"/>
      <c r="FH240" s="26"/>
      <c r="FI240" s="26"/>
      <c r="FJ240" s="26"/>
      <c r="FK240" s="26"/>
      <c r="FL240" s="26"/>
      <c r="FM240" s="26"/>
      <c r="FN240" s="205"/>
      <c r="FO240" s="205"/>
      <c r="FP240" s="205"/>
      <c r="FQ240" s="205"/>
      <c r="FR240" s="205"/>
      <c r="FS240" s="205"/>
      <c r="FT240" s="205"/>
      <c r="FU240" s="77"/>
      <c r="FV240" s="77"/>
      <c r="FW240" s="77"/>
      <c r="FX240" s="205"/>
      <c r="FY240" s="205"/>
      <c r="FZ240" s="205"/>
      <c r="GA240" s="205"/>
      <c r="GB240" s="205"/>
      <c r="GC240" s="205"/>
      <c r="GD240" s="205"/>
      <c r="GE240" s="205"/>
      <c r="GF240" s="205"/>
      <c r="GG240" s="205"/>
      <c r="GH240" s="205"/>
      <c r="GI240" s="205"/>
      <c r="GJ240" s="205"/>
      <c r="GK240" s="205"/>
      <c r="GL240" s="205"/>
      <c r="GM240" s="205"/>
      <c r="GN240" s="205"/>
      <c r="GO240" s="205"/>
      <c r="GP240" s="205"/>
      <c r="GQ240" s="205"/>
      <c r="GR240" s="205"/>
      <c r="GS240" s="205"/>
      <c r="GT240" s="205"/>
      <c r="GU240" s="205"/>
      <c r="GV240" s="18"/>
      <c r="GW240" s="5"/>
      <c r="GX240" s="5"/>
      <c r="GY240" s="77"/>
      <c r="GZ240" s="18"/>
      <c r="HA240" s="18"/>
      <c r="HB240" s="18"/>
      <c r="HC240" s="18"/>
      <c r="HD240" s="18"/>
      <c r="HE240" s="18"/>
      <c r="HF240" s="18"/>
      <c r="HG240" s="18"/>
      <c r="HH240" s="205"/>
      <c r="HI240" s="26"/>
      <c r="HJ240" s="26"/>
      <c r="HK240" s="5"/>
    </row>
    <row r="241" spans="27:219">
      <c r="AA241" s="18" t="s">
        <v>488</v>
      </c>
      <c r="AB241" s="22" t="s">
        <v>491</v>
      </c>
      <c r="AC241" s="59">
        <v>7.2811904761904795</v>
      </c>
      <c r="AD241" s="59">
        <v>8.6549999999999994</v>
      </c>
      <c r="AE241" s="22">
        <v>528</v>
      </c>
      <c r="AF241" s="22">
        <v>1528</v>
      </c>
      <c r="AG241" s="22">
        <v>1369.2698412698419</v>
      </c>
      <c r="AH241" s="6">
        <v>10</v>
      </c>
      <c r="AI241" s="6">
        <v>300</v>
      </c>
      <c r="AJ241" s="6">
        <v>14</v>
      </c>
      <c r="AK241" s="24">
        <v>300</v>
      </c>
      <c r="AL241" s="24">
        <v>14</v>
      </c>
      <c r="AM241" s="5">
        <f t="shared" si="185"/>
        <v>1341.2698412698419</v>
      </c>
      <c r="AN241" s="26">
        <f t="shared" si="186"/>
        <v>218.12698412698418</v>
      </c>
      <c r="AO241" s="26">
        <f t="shared" si="187"/>
        <v>586811.79072745051</v>
      </c>
      <c r="AP241" s="15">
        <f t="shared" si="188"/>
        <v>6311.1772486772488</v>
      </c>
      <c r="AQ241" s="5">
        <f t="shared" si="189"/>
        <v>8571.1635945074104</v>
      </c>
      <c r="AR241" s="26">
        <f t="shared" si="190"/>
        <v>420.74514991181661</v>
      </c>
      <c r="AS241" s="26">
        <f t="shared" si="191"/>
        <v>5094.8226505417015</v>
      </c>
      <c r="AT241" s="26">
        <f t="shared" si="192"/>
        <v>51.867428670398397</v>
      </c>
      <c r="AU241" s="26">
        <f t="shared" si="193"/>
        <v>5.3789869588463937</v>
      </c>
      <c r="AV241" s="95">
        <f t="shared" si="194"/>
        <v>1.0005566137566139E-6</v>
      </c>
      <c r="AW241" s="95">
        <f t="shared" si="195"/>
        <v>28928912.396825422</v>
      </c>
      <c r="AX241" s="95">
        <f t="shared" si="196"/>
        <v>2.8928912396825422E-5</v>
      </c>
      <c r="AY241" s="54">
        <f t="shared" si="197"/>
        <v>0.11516876660535029</v>
      </c>
      <c r="AZ241" s="54" t="str">
        <f>_xll.Dce_Name_SectI(AE241,AF241,AI241,AH241,AJ241,"x","-",$O$11)</f>
        <v>(528-1528)x300x10x14</v>
      </c>
      <c r="BA241" s="15">
        <f t="shared" si="198"/>
        <v>1016.4523809523813</v>
      </c>
      <c r="BB241" s="54"/>
      <c r="BC241" s="54"/>
      <c r="BD241" s="22" t="s">
        <v>513</v>
      </c>
      <c r="BE241" s="23">
        <v>-51.696159657611759</v>
      </c>
      <c r="BF241" s="23">
        <v>-15.396170079215267</v>
      </c>
      <c r="BG241" s="23">
        <v>1.9989794958933677E-3</v>
      </c>
      <c r="BH241" s="23">
        <v>7.8798036169273672E-6</v>
      </c>
      <c r="BI241" s="23">
        <v>-1.4588686524220443E-2</v>
      </c>
      <c r="BJ241" s="23">
        <v>260.92228946571163</v>
      </c>
      <c r="BK241" s="23">
        <v>130.46114473285581</v>
      </c>
      <c r="BL241" s="92">
        <v>2.25</v>
      </c>
      <c r="BM241" s="91">
        <v>2</v>
      </c>
      <c r="BN241" s="5">
        <f t="shared" si="199"/>
        <v>19.473749999999999</v>
      </c>
      <c r="BO241" s="54">
        <f>_xll.Bimoment(BH241,AY241,AC241,AD241,$O$101)</f>
        <v>-3.604750447867425E-5</v>
      </c>
      <c r="BP241" s="5">
        <f t="shared" si="200"/>
        <v>0.31313609467455605</v>
      </c>
      <c r="BQ241" s="5">
        <f t="shared" si="201"/>
        <v>15.575780607137608</v>
      </c>
      <c r="BR241" s="24" t="str">
        <f t="shared" si="202"/>
        <v>Cal</v>
      </c>
      <c r="BS241" s="25">
        <f t="shared" si="203"/>
        <v>1.0368762920702402E-2</v>
      </c>
      <c r="BT241" s="25" t="str">
        <f t="shared" si="204"/>
        <v>CT.105</v>
      </c>
      <c r="BU241" s="25">
        <f t="shared" si="205"/>
        <v>1</v>
      </c>
      <c r="BV241" s="25" cm="1">
        <f t="array" ref="BV241">IF(BT241="CT.104",_xll.TCVN5575AnnexEHeSoCx(1,BP241),1)</f>
        <v>1</v>
      </c>
      <c r="BW241" s="25">
        <f t="shared" si="206"/>
        <v>1</v>
      </c>
      <c r="BX241" s="25">
        <f t="shared" si="207"/>
        <v>1.0914487284949894E-2</v>
      </c>
      <c r="BY241" s="25">
        <f t="shared" si="208"/>
        <v>0.14019284470547377</v>
      </c>
      <c r="BZ241" s="25">
        <f t="shared" si="209"/>
        <v>1.596803684751898E-4</v>
      </c>
      <c r="CA241" s="25">
        <f t="shared" si="210"/>
        <v>5.8329007627960461E-7</v>
      </c>
      <c r="CB241" s="25">
        <f t="shared" si="211"/>
        <v>0.15126759564897513</v>
      </c>
      <c r="CC241" s="5" t="str">
        <f t="shared" si="212"/>
        <v>OK</v>
      </c>
      <c r="CD241" s="5">
        <f t="shared" si="213"/>
        <v>37.545238889226049</v>
      </c>
      <c r="CE241" s="5">
        <f t="shared" si="214"/>
        <v>37.181722419139881</v>
      </c>
      <c r="CF241" s="5">
        <f t="shared" si="215"/>
        <v>1.2506397644909562</v>
      </c>
      <c r="CG241" s="5">
        <f t="shared" si="216"/>
        <v>1.2385309547993069</v>
      </c>
      <c r="CH241" s="5">
        <f t="shared" si="217"/>
        <v>12.844656926650803</v>
      </c>
      <c r="CI241" s="68">
        <f>_xll.DCETCVN5575PhuLucD2Eta(BP241,CH241,CF241)</f>
        <v>1.2126272189349112</v>
      </c>
      <c r="CJ241" s="5">
        <f t="shared" si="218"/>
        <v>15.575780607137608</v>
      </c>
      <c r="CK241" s="5">
        <f>MIN(noisuy2chieu(CJ241,CF241,Data!$DA$2:$EB$24),1)</f>
        <v>9.2065460979938507E-2</v>
      </c>
      <c r="CL241" s="102">
        <f t="shared" si="219"/>
        <v>0.11855137821259826</v>
      </c>
      <c r="CM241" s="5" t="str">
        <f t="shared" si="220"/>
        <v>OK</v>
      </c>
      <c r="CN241" s="5">
        <f t="shared" si="221"/>
        <v>0.86643683692746631</v>
      </c>
      <c r="CO241" s="5">
        <f t="shared" si="222"/>
        <v>0.5370345235716667</v>
      </c>
      <c r="CP241" s="25">
        <f>_xll.DCETCVNPhuLucFHeSoOnDinh(1, 0.2, AG241, AH241, AI241, AJ241, AI241, AJ241, $D$28)</f>
        <v>1</v>
      </c>
      <c r="CQ241" s="68">
        <f t="shared" si="223"/>
        <v>0.9</v>
      </c>
      <c r="CR241" s="68">
        <f t="shared" si="224"/>
        <v>1</v>
      </c>
      <c r="CS241" s="5">
        <f t="shared" si="225"/>
        <v>0.18181818181818182</v>
      </c>
      <c r="CT241" s="5">
        <f t="shared" si="226"/>
        <v>0.10347287704587492</v>
      </c>
      <c r="CU241" s="26">
        <f t="shared" si="227"/>
        <v>6.4223284633254014</v>
      </c>
      <c r="CV241" s="5"/>
      <c r="CW241" s="25"/>
      <c r="CX241" s="72">
        <f>MAX(_xll.Dce_c_925(CU241, CQ241, CR241, CN241, CP241, CS241, CT241),0.3)</f>
        <v>0.3</v>
      </c>
      <c r="CY241" s="102">
        <f t="shared" si="228"/>
        <v>4.1989932482766786E-2</v>
      </c>
      <c r="CZ241" s="5" t="str">
        <f t="shared" si="229"/>
        <v>OK</v>
      </c>
      <c r="DA241" s="47">
        <f t="shared" si="230"/>
        <v>0.34499859601035404</v>
      </c>
      <c r="DB241" s="46">
        <f t="shared" si="231"/>
        <v>0.48385309547993066</v>
      </c>
      <c r="DC241" s="5" t="str">
        <f t="shared" si="232"/>
        <v>OK</v>
      </c>
      <c r="DD241" s="5">
        <f t="shared" si="233"/>
        <v>1.2506397644909562</v>
      </c>
      <c r="DE241" s="5">
        <f t="shared" si="234"/>
        <v>4.4677979100191463</v>
      </c>
      <c r="DF241" s="5" t="str">
        <f t="shared" si="235"/>
        <v>-</v>
      </c>
      <c r="DG241" s="5" t="str">
        <f t="shared" si="236"/>
        <v>-</v>
      </c>
      <c r="DH241" s="203">
        <f t="shared" si="237"/>
        <v>37.545238889226049</v>
      </c>
      <c r="DI241" s="203">
        <f t="shared" si="238"/>
        <v>180</v>
      </c>
      <c r="DJ241" s="46">
        <f t="shared" si="239"/>
        <v>0.20858466049570026</v>
      </c>
      <c r="DK241" s="5" t="str">
        <f t="shared" si="240"/>
        <v>OK</v>
      </c>
      <c r="EB241" s="18"/>
      <c r="EC241" s="77"/>
      <c r="ED241" s="77"/>
      <c r="EE241" s="18"/>
      <c r="EF241" s="18"/>
      <c r="EG241" s="18"/>
      <c r="EH241" s="5"/>
      <c r="EI241" s="5"/>
      <c r="EJ241" s="5"/>
      <c r="EK241" s="5"/>
      <c r="EL241" s="5"/>
      <c r="FE241" s="26"/>
      <c r="FF241" s="26"/>
      <c r="FG241" s="26"/>
      <c r="FH241" s="26"/>
      <c r="FI241" s="26"/>
      <c r="FJ241" s="26"/>
      <c r="FK241" s="26"/>
      <c r="FL241" s="26"/>
      <c r="FM241" s="26"/>
      <c r="FN241" s="205"/>
      <c r="FO241" s="205"/>
      <c r="FP241" s="205"/>
      <c r="FQ241" s="205"/>
      <c r="FR241" s="205"/>
      <c r="FS241" s="205"/>
      <c r="FT241" s="205"/>
      <c r="FU241" s="77"/>
      <c r="FV241" s="77"/>
      <c r="FW241" s="77"/>
      <c r="FX241" s="205"/>
      <c r="FY241" s="205"/>
      <c r="FZ241" s="205"/>
      <c r="GA241" s="205"/>
      <c r="GB241" s="205"/>
      <c r="GC241" s="205"/>
      <c r="GD241" s="205"/>
      <c r="GE241" s="205"/>
      <c r="GF241" s="205"/>
      <c r="GG241" s="205"/>
      <c r="GH241" s="205"/>
      <c r="GI241" s="205"/>
      <c r="GJ241" s="205"/>
      <c r="GK241" s="205"/>
      <c r="GL241" s="205"/>
      <c r="GM241" s="205"/>
      <c r="GN241" s="205"/>
      <c r="GO241" s="205"/>
      <c r="GP241" s="205"/>
      <c r="GQ241" s="205"/>
      <c r="GR241" s="205"/>
      <c r="GS241" s="205"/>
      <c r="GT241" s="205"/>
      <c r="GU241" s="205"/>
      <c r="GV241" s="18"/>
      <c r="GW241" s="5"/>
      <c r="GX241" s="5"/>
      <c r="GY241" s="77"/>
      <c r="GZ241" s="18"/>
      <c r="HA241" s="18"/>
      <c r="HB241" s="18"/>
      <c r="HC241" s="18"/>
      <c r="HD241" s="18"/>
      <c r="HE241" s="18"/>
      <c r="HF241" s="18"/>
      <c r="HG241" s="18"/>
      <c r="HH241" s="205"/>
      <c r="HI241" s="26"/>
      <c r="HJ241" s="26"/>
      <c r="HK241" s="5"/>
    </row>
    <row r="242" spans="27:219">
      <c r="AA242" s="18" t="s">
        <v>488</v>
      </c>
      <c r="AB242" s="22" t="s">
        <v>491</v>
      </c>
      <c r="AC242" s="59">
        <v>0</v>
      </c>
      <c r="AD242" s="59">
        <v>8.6549999999999994</v>
      </c>
      <c r="AE242" s="22">
        <v>528</v>
      </c>
      <c r="AF242" s="22">
        <v>1528</v>
      </c>
      <c r="AG242" s="22">
        <v>528</v>
      </c>
      <c r="AH242" s="6">
        <v>10</v>
      </c>
      <c r="AI242" s="6">
        <v>300</v>
      </c>
      <c r="AJ242" s="6">
        <v>14</v>
      </c>
      <c r="AK242" s="24">
        <v>300</v>
      </c>
      <c r="AL242" s="24">
        <v>14</v>
      </c>
      <c r="AM242" s="5">
        <f t="shared" si="185"/>
        <v>500</v>
      </c>
      <c r="AN242" s="26">
        <f t="shared" si="186"/>
        <v>134</v>
      </c>
      <c r="AO242" s="26">
        <f t="shared" si="187"/>
        <v>65911.546666666676</v>
      </c>
      <c r="AP242" s="15">
        <f t="shared" si="188"/>
        <v>6304.166666666667</v>
      </c>
      <c r="AQ242" s="5">
        <f t="shared" si="189"/>
        <v>2496.6494949494954</v>
      </c>
      <c r="AR242" s="26">
        <f t="shared" si="190"/>
        <v>420.27777777777777</v>
      </c>
      <c r="AS242" s="26">
        <f t="shared" si="191"/>
        <v>1391.9</v>
      </c>
      <c r="AT242" s="26">
        <f t="shared" si="192"/>
        <v>22.178305028345793</v>
      </c>
      <c r="AU242" s="26">
        <f t="shared" si="193"/>
        <v>6.8590101254115021</v>
      </c>
      <c r="AV242" s="95">
        <f t="shared" si="194"/>
        <v>7.201333333333334E-7</v>
      </c>
      <c r="AW242" s="95">
        <f t="shared" si="195"/>
        <v>4161087</v>
      </c>
      <c r="AX242" s="95">
        <f t="shared" si="196"/>
        <v>4.1610870000000001E-6</v>
      </c>
      <c r="AY242" s="54">
        <f t="shared" si="197"/>
        <v>0.25762202780669918</v>
      </c>
      <c r="AZ242" s="54" t="str">
        <f>_xll.Dce_Name_SectI(AE242,AF242,AI242,AH242,AJ242,"x","-",$O$11)</f>
        <v>(528-1528)x300x10x14</v>
      </c>
      <c r="BA242" s="15">
        <f t="shared" si="198"/>
        <v>385.5</v>
      </c>
      <c r="BB242" s="54"/>
      <c r="BC242" s="54"/>
      <c r="BD242" s="22" t="s">
        <v>514</v>
      </c>
      <c r="BE242" s="23">
        <v>-177.26856194743402</v>
      </c>
      <c r="BF242" s="23">
        <v>-150.10106893313275</v>
      </c>
      <c r="BG242" s="23">
        <v>2.6582987083162966E-3</v>
      </c>
      <c r="BH242" s="23">
        <v>7.919959974980849E-5</v>
      </c>
      <c r="BI242" s="23">
        <v>5.4386435835495924E-6</v>
      </c>
      <c r="BJ242" s="23">
        <v>-2.332068916885297</v>
      </c>
      <c r="BK242" s="23">
        <v>515.18736957530155</v>
      </c>
      <c r="BL242" s="92">
        <v>2.25</v>
      </c>
      <c r="BM242" s="91">
        <v>2</v>
      </c>
      <c r="BN242" s="5">
        <f t="shared" si="199"/>
        <v>19.473749999999999</v>
      </c>
      <c r="BO242" s="54">
        <f>_xll.Bimoment(BH242,AY242,AC242,AD242,$O$101)</f>
        <v>0</v>
      </c>
      <c r="BP242" s="5">
        <f t="shared" si="200"/>
        <v>0.84</v>
      </c>
      <c r="BQ242" s="5">
        <f t="shared" si="201"/>
        <v>0.10709967812791474</v>
      </c>
      <c r="BR242" s="24" t="str">
        <f t="shared" si="202"/>
        <v>Cal</v>
      </c>
      <c r="BS242" s="25">
        <f t="shared" si="203"/>
        <v>5.7876862576121187E-2</v>
      </c>
      <c r="BT242" s="25" t="str">
        <f t="shared" si="204"/>
        <v>CT.105</v>
      </c>
      <c r="BU242" s="25">
        <f t="shared" si="205"/>
        <v>1</v>
      </c>
      <c r="BV242" s="25" cm="1">
        <f t="array" ref="BV242">IF(BT242="CT.104",_xll.TCVN5575AnnexEHeSoCx(1,BP242),1)</f>
        <v>1</v>
      </c>
      <c r="BW242" s="25">
        <f t="shared" si="206"/>
        <v>1</v>
      </c>
      <c r="BX242" s="25">
        <f t="shared" si="207"/>
        <v>6.0923013238022301E-2</v>
      </c>
      <c r="BY242" s="25">
        <f t="shared" si="208"/>
        <v>4.301681548142422E-3</v>
      </c>
      <c r="BZ242" s="25">
        <f t="shared" si="209"/>
        <v>5.9594835246047291E-8</v>
      </c>
      <c r="CA242" s="25">
        <f t="shared" si="210"/>
        <v>0</v>
      </c>
      <c r="CB242" s="25">
        <f t="shared" si="211"/>
        <v>6.5224754380999964E-2</v>
      </c>
      <c r="CC242" s="5" t="str">
        <f t="shared" si="212"/>
        <v>OK</v>
      </c>
      <c r="CD242" s="5">
        <f t="shared" si="213"/>
        <v>87.805402509844015</v>
      </c>
      <c r="CE242" s="5">
        <f t="shared" si="214"/>
        <v>29.158726455153193</v>
      </c>
      <c r="CF242" s="5">
        <f t="shared" si="215"/>
        <v>2.9248163326364334</v>
      </c>
      <c r="CG242" s="5">
        <f t="shared" si="216"/>
        <v>0.97128328026682387</v>
      </c>
      <c r="CH242" s="5">
        <f t="shared" si="217"/>
        <v>7.0608483059365915E-2</v>
      </c>
      <c r="CI242" s="68">
        <f>_xll.DCETCVN5575PhuLucD2Eta(BP242,CH242,CF242)</f>
        <v>1.5168103531960586</v>
      </c>
      <c r="CJ242" s="5">
        <f t="shared" si="218"/>
        <v>0.10709967812791474</v>
      </c>
      <c r="CK242" s="5">
        <f>MIN(noisuy2chieu(CJ242,CF242,Data!$DA$2:$EB$24),1)</f>
        <v>0.67496436834335327</v>
      </c>
      <c r="CL242" s="102">
        <f t="shared" si="219"/>
        <v>9.0261080577561492E-2</v>
      </c>
      <c r="CM242" s="5" t="str">
        <f t="shared" si="220"/>
        <v>OK</v>
      </c>
      <c r="CN242" s="5">
        <f t="shared" si="221"/>
        <v>0.90492218941026858</v>
      </c>
      <c r="CO242" s="5">
        <f t="shared" si="222"/>
        <v>0.5370345235716667</v>
      </c>
      <c r="CP242" s="25">
        <f>_xll.DCETCVNPhuLucFHeSoOnDinh(1, 0.2, AG242, AH242, AI242, AJ242, AI242, AJ242, $D$28)</f>
        <v>1</v>
      </c>
      <c r="CQ242" s="68">
        <f t="shared" si="223"/>
        <v>0.9</v>
      </c>
      <c r="CR242" s="68">
        <f t="shared" si="224"/>
        <v>1</v>
      </c>
      <c r="CS242" s="5">
        <f t="shared" si="225"/>
        <v>0.18181818181818182</v>
      </c>
      <c r="CT242" s="5">
        <f t="shared" si="226"/>
        <v>9.9510191986788829E-2</v>
      </c>
      <c r="CU242" s="26">
        <f t="shared" si="227"/>
        <v>15.598423525854207</v>
      </c>
      <c r="CV242" s="5"/>
      <c r="CW242" s="25"/>
      <c r="CX242" s="72">
        <f>MAX(_xll.Dce_c_925(CU242, CQ242, CR242, CN242, CP242, CS242, CT242),0.3)</f>
        <v>0.3</v>
      </c>
      <c r="CY242" s="102">
        <f t="shared" si="228"/>
        <v>0.22441345031637622</v>
      </c>
      <c r="CZ242" s="5" t="str">
        <f t="shared" si="229"/>
        <v>OK</v>
      </c>
      <c r="DA242" s="47">
        <f t="shared" si="230"/>
        <v>0.34499859601035404</v>
      </c>
      <c r="DB242" s="46">
        <f t="shared" si="231"/>
        <v>0.45712832802668235</v>
      </c>
      <c r="DC242" s="5" t="str">
        <f t="shared" si="232"/>
        <v>OK</v>
      </c>
      <c r="DD242" s="5">
        <f t="shared" si="233"/>
        <v>2.9248163326364334</v>
      </c>
      <c r="DE242" s="5">
        <f t="shared" si="234"/>
        <v>1.6655104634982609</v>
      </c>
      <c r="DF242" s="5" t="str">
        <f t="shared" si="235"/>
        <v>-</v>
      </c>
      <c r="DG242" s="5" t="str">
        <f t="shared" si="236"/>
        <v>-</v>
      </c>
      <c r="DH242" s="203" t="str">
        <f t="shared" si="237"/>
        <v>-</v>
      </c>
      <c r="DI242" s="203">
        <f t="shared" si="238"/>
        <v>180</v>
      </c>
      <c r="DJ242" s="46">
        <f t="shared" si="239"/>
        <v>0</v>
      </c>
      <c r="DK242" s="5" t="str">
        <f t="shared" si="240"/>
        <v>OK</v>
      </c>
      <c r="EB242" s="18"/>
      <c r="EC242" s="77"/>
      <c r="ED242" s="77"/>
      <c r="EE242" s="18"/>
      <c r="EF242" s="18"/>
      <c r="EG242" s="18"/>
      <c r="EH242" s="5"/>
      <c r="EI242" s="5"/>
      <c r="EJ242" s="5"/>
      <c r="EK242" s="5"/>
      <c r="EL242" s="5"/>
      <c r="FE242" s="26"/>
      <c r="FF242" s="26"/>
      <c r="FG242" s="26"/>
      <c r="FH242" s="26"/>
      <c r="FI242" s="26"/>
      <c r="FJ242" s="26"/>
      <c r="FK242" s="26"/>
      <c r="FL242" s="26"/>
      <c r="FM242" s="26"/>
      <c r="FN242" s="205"/>
      <c r="FO242" s="205"/>
      <c r="FP242" s="205"/>
      <c r="FQ242" s="205"/>
      <c r="FR242" s="205"/>
      <c r="FS242" s="205"/>
      <c r="FT242" s="205"/>
      <c r="FU242" s="77"/>
      <c r="FV242" s="77"/>
      <c r="FW242" s="77"/>
      <c r="FX242" s="205"/>
      <c r="FY242" s="205"/>
      <c r="FZ242" s="205"/>
      <c r="GA242" s="205"/>
      <c r="GB242" s="205"/>
      <c r="GC242" s="205"/>
      <c r="GD242" s="205"/>
      <c r="GE242" s="205"/>
      <c r="GF242" s="205"/>
      <c r="GG242" s="205"/>
      <c r="GH242" s="205"/>
      <c r="GI242" s="205"/>
      <c r="GJ242" s="205"/>
      <c r="GK242" s="205"/>
      <c r="GL242" s="205"/>
      <c r="GM242" s="205"/>
      <c r="GN242" s="205"/>
      <c r="GO242" s="205"/>
      <c r="GP242" s="205"/>
      <c r="GQ242" s="205"/>
      <c r="GR242" s="205"/>
      <c r="GS242" s="205"/>
      <c r="GT242" s="205"/>
      <c r="GU242" s="205"/>
      <c r="GV242" s="18"/>
      <c r="GW242" s="5"/>
      <c r="GX242" s="5"/>
      <c r="GY242" s="77"/>
      <c r="GZ242" s="18"/>
      <c r="HA242" s="18"/>
      <c r="HB242" s="18"/>
      <c r="HC242" s="18"/>
      <c r="HD242" s="18"/>
      <c r="HE242" s="18"/>
      <c r="HF242" s="18"/>
      <c r="HG242" s="18"/>
      <c r="HH242" s="205"/>
      <c r="HI242" s="26"/>
      <c r="HJ242" s="26"/>
      <c r="HK242" s="5"/>
    </row>
    <row r="243" spans="27:219">
      <c r="AA243" s="18" t="s">
        <v>488</v>
      </c>
      <c r="AB243" s="22" t="s">
        <v>491</v>
      </c>
      <c r="AC243" s="59">
        <v>3.6405952380952398</v>
      </c>
      <c r="AD243" s="59">
        <v>8.6549999999999994</v>
      </c>
      <c r="AE243" s="22">
        <v>528</v>
      </c>
      <c r="AF243" s="22">
        <v>1528</v>
      </c>
      <c r="AG243" s="22">
        <v>948.63492063492095</v>
      </c>
      <c r="AH243" s="6">
        <v>10</v>
      </c>
      <c r="AI243" s="6">
        <v>300</v>
      </c>
      <c r="AJ243" s="6">
        <v>14</v>
      </c>
      <c r="AK243" s="24">
        <v>300</v>
      </c>
      <c r="AL243" s="24">
        <v>14</v>
      </c>
      <c r="AM243" s="5">
        <f t="shared" si="185"/>
        <v>920.63492063492095</v>
      </c>
      <c r="AN243" s="26">
        <f t="shared" si="186"/>
        <v>176.06349206349208</v>
      </c>
      <c r="AO243" s="26">
        <f t="shared" si="187"/>
        <v>248482.7399356656</v>
      </c>
      <c r="AP243" s="15">
        <f t="shared" si="188"/>
        <v>6307.6719576719579</v>
      </c>
      <c r="AQ243" s="5">
        <f t="shared" si="189"/>
        <v>5238.7432621467533</v>
      </c>
      <c r="AR243" s="26">
        <f t="shared" si="190"/>
        <v>420.51146384479722</v>
      </c>
      <c r="AS243" s="26">
        <f t="shared" si="191"/>
        <v>3022.1941546989178</v>
      </c>
      <c r="AT243" s="26">
        <f t="shared" si="192"/>
        <v>37.567600585756203</v>
      </c>
      <c r="AU243" s="26">
        <f t="shared" si="193"/>
        <v>5.9854925384629922</v>
      </c>
      <c r="AV243" s="95">
        <f t="shared" si="194"/>
        <v>8.6034497354497351E-7</v>
      </c>
      <c r="AW243" s="95">
        <f t="shared" si="195"/>
        <v>13758293.349206358</v>
      </c>
      <c r="AX243" s="95">
        <f t="shared" si="196"/>
        <v>1.3758293349206359E-5</v>
      </c>
      <c r="AY243" s="54">
        <f t="shared" si="197"/>
        <v>0.1548581140202015</v>
      </c>
      <c r="AZ243" s="54" t="str">
        <f>_xll.Dce_Name_SectI(AE243,AF243,AI243,AH243,AJ243,"x","-",$O$11)</f>
        <v>(528-1528)x300x10x14</v>
      </c>
      <c r="BA243" s="15">
        <f t="shared" si="198"/>
        <v>700.97619047619071</v>
      </c>
      <c r="BB243" s="54"/>
      <c r="BC243" s="54"/>
      <c r="BD243" s="22" t="s">
        <v>514</v>
      </c>
      <c r="BE243" s="23">
        <v>-171.75175876086814</v>
      </c>
      <c r="BF243" s="23">
        <v>-141.48126324541528</v>
      </c>
      <c r="BG243" s="23">
        <v>2.6582987083168252E-3</v>
      </c>
      <c r="BH243" s="23">
        <v>7.919959974980849E-5</v>
      </c>
      <c r="BI243" s="23">
        <v>-9.6951423395185872E-3</v>
      </c>
      <c r="BJ243" s="23">
        <v>529.65233193641473</v>
      </c>
      <c r="BK243" s="23">
        <v>515.18736957530155</v>
      </c>
      <c r="BL243" s="92">
        <v>2.25</v>
      </c>
      <c r="BM243" s="91">
        <v>2</v>
      </c>
      <c r="BN243" s="5">
        <f t="shared" si="199"/>
        <v>19.473749999999999</v>
      </c>
      <c r="BO243" s="54">
        <f>_xll.Bimoment(BH243,AY243,AC243,AD243,$O$101)</f>
        <v>-6.0909772368579636E-4</v>
      </c>
      <c r="BP243" s="5">
        <f t="shared" si="200"/>
        <v>0.45620689655172403</v>
      </c>
      <c r="BQ243" s="5">
        <f t="shared" si="201"/>
        <v>12.864358582969853</v>
      </c>
      <c r="BR243" s="24" t="str">
        <f t="shared" si="202"/>
        <v>Cal</v>
      </c>
      <c r="BS243" s="25">
        <f t="shared" si="203"/>
        <v>4.2678577811453552E-2</v>
      </c>
      <c r="BT243" s="25" t="str">
        <f t="shared" si="204"/>
        <v>CT.105</v>
      </c>
      <c r="BU243" s="25">
        <f t="shared" si="205"/>
        <v>1</v>
      </c>
      <c r="BV243" s="25" cm="1">
        <f t="array" ref="BV243">IF(BT243="CT.104",_xll.TCVN5575AnnexEHeSoCx(1,BP243),1)</f>
        <v>1</v>
      </c>
      <c r="BW243" s="25">
        <f t="shared" si="206"/>
        <v>1</v>
      </c>
      <c r="BX243" s="25">
        <f t="shared" si="207"/>
        <v>4.4924818748898476E-2</v>
      </c>
      <c r="BY243" s="25">
        <f t="shared" si="208"/>
        <v>0.46560563263034666</v>
      </c>
      <c r="BZ243" s="25">
        <f t="shared" si="209"/>
        <v>1.0617708591937297E-4</v>
      </c>
      <c r="CA243" s="25">
        <f t="shared" si="210"/>
        <v>1.4291576236104813E-5</v>
      </c>
      <c r="CB243" s="25">
        <f t="shared" si="211"/>
        <v>0.51065092004140067</v>
      </c>
      <c r="CC243" s="5" t="str">
        <f t="shared" si="212"/>
        <v>OK</v>
      </c>
      <c r="CD243" s="5">
        <f t="shared" si="213"/>
        <v>51.836555160202302</v>
      </c>
      <c r="CE243" s="5">
        <f t="shared" si="214"/>
        <v>33.414125690541383</v>
      </c>
      <c r="CF243" s="5">
        <f t="shared" si="215"/>
        <v>1.7266865002204341</v>
      </c>
      <c r="CG243" s="5">
        <f t="shared" si="216"/>
        <v>1.1130315193248546</v>
      </c>
      <c r="CH243" s="5">
        <f t="shared" si="217"/>
        <v>10.364107092624897</v>
      </c>
      <c r="CI243" s="68">
        <f>_xll.DCETCVN5575PhuLucD2Eta(BP243,CH243,CF243)</f>
        <v>1.2412413793103447</v>
      </c>
      <c r="CJ243" s="5">
        <f t="shared" si="218"/>
        <v>12.864358582969853</v>
      </c>
      <c r="CK243" s="5">
        <f>MIN(noisuy2chieu(CJ243,CF243,Data!$DA$2:$EB$24),1)</f>
        <v>0.10473557561635971</v>
      </c>
      <c r="CL243" s="102">
        <f t="shared" si="219"/>
        <v>0.42893561700043037</v>
      </c>
      <c r="CM243" s="5" t="str">
        <f t="shared" si="220"/>
        <v>OK</v>
      </c>
      <c r="CN243" s="5">
        <f t="shared" si="221"/>
        <v>0.88472625978979058</v>
      </c>
      <c r="CO243" s="5">
        <f t="shared" si="222"/>
        <v>0.5370345235716667</v>
      </c>
      <c r="CP243" s="25">
        <f>_xll.DCETCVNPhuLucFHeSoOnDinh(1, 0.2, AG243, AH243, AI243, AJ243, AI243, AJ243, $D$28)</f>
        <v>1</v>
      </c>
      <c r="CQ243" s="68">
        <f t="shared" si="223"/>
        <v>0.9</v>
      </c>
      <c r="CR243" s="68">
        <f t="shared" si="224"/>
        <v>1</v>
      </c>
      <c r="CS243" s="5">
        <f t="shared" si="225"/>
        <v>0.18181818181818182</v>
      </c>
      <c r="CT243" s="5">
        <f t="shared" si="226"/>
        <v>0.10155106457844131</v>
      </c>
      <c r="CU243" s="26">
        <f t="shared" si="227"/>
        <v>10.081060252345219</v>
      </c>
      <c r="CV243" s="5"/>
      <c r="CW243" s="25"/>
      <c r="CX243" s="72">
        <f>MAX(_xll.Dce_c_925(CU243, CQ243, CR243, CN243, CP243, CS243, CT243),0.3)</f>
        <v>0.3</v>
      </c>
      <c r="CY243" s="102">
        <f t="shared" si="228"/>
        <v>0.16926071106473295</v>
      </c>
      <c r="CZ243" s="5" t="str">
        <f t="shared" si="229"/>
        <v>OK</v>
      </c>
      <c r="DA243" s="47">
        <f t="shared" si="230"/>
        <v>0.34499859601035404</v>
      </c>
      <c r="DB243" s="46">
        <f t="shared" si="231"/>
        <v>0.47130315193248545</v>
      </c>
      <c r="DC243" s="5" t="str">
        <f t="shared" si="232"/>
        <v>OK</v>
      </c>
      <c r="DD243" s="5">
        <f t="shared" si="233"/>
        <v>1.7266865002204341</v>
      </c>
      <c r="DE243" s="5">
        <f t="shared" si="234"/>
        <v>3.0666541867587034</v>
      </c>
      <c r="DF243" s="5" t="str">
        <f t="shared" si="235"/>
        <v>-</v>
      </c>
      <c r="DG243" s="5" t="str">
        <f t="shared" si="236"/>
        <v>-</v>
      </c>
      <c r="DH243" s="203">
        <f t="shared" si="237"/>
        <v>51.836555160202302</v>
      </c>
      <c r="DI243" s="203">
        <f t="shared" si="238"/>
        <v>180</v>
      </c>
      <c r="DJ243" s="46">
        <f t="shared" si="239"/>
        <v>0.28798086200112388</v>
      </c>
      <c r="DK243" s="5" t="str">
        <f t="shared" si="240"/>
        <v>OK</v>
      </c>
      <c r="EB243" s="18"/>
      <c r="EC243" s="77"/>
      <c r="ED243" s="77"/>
      <c r="EE243" s="18"/>
      <c r="EF243" s="18"/>
      <c r="EG243" s="18"/>
      <c r="EH243" s="5"/>
      <c r="EI243" s="5"/>
      <c r="EJ243" s="5"/>
      <c r="EK243" s="5"/>
      <c r="EL243" s="5"/>
      <c r="FE243" s="26"/>
      <c r="FF243" s="26"/>
      <c r="FG243" s="26"/>
      <c r="FH243" s="26"/>
      <c r="FI243" s="26"/>
      <c r="FJ243" s="26"/>
      <c r="FK243" s="26"/>
      <c r="FL243" s="26"/>
      <c r="FM243" s="26"/>
      <c r="FN243" s="205"/>
      <c r="FO243" s="205"/>
      <c r="FP243" s="205"/>
      <c r="FQ243" s="205"/>
      <c r="FR243" s="205"/>
      <c r="FS243" s="205"/>
      <c r="FT243" s="205"/>
      <c r="FU243" s="77"/>
      <c r="FV243" s="77"/>
      <c r="FW243" s="77"/>
      <c r="FX243" s="205"/>
      <c r="FY243" s="205"/>
      <c r="FZ243" s="205"/>
      <c r="GA243" s="205"/>
      <c r="GB243" s="205"/>
      <c r="GC243" s="205"/>
      <c r="GD243" s="205"/>
      <c r="GE243" s="205"/>
      <c r="GF243" s="205"/>
      <c r="GG243" s="205"/>
      <c r="GH243" s="205"/>
      <c r="GI243" s="205"/>
      <c r="GJ243" s="205"/>
      <c r="GK243" s="205"/>
      <c r="GL243" s="205"/>
      <c r="GM243" s="205"/>
      <c r="GN243" s="205"/>
      <c r="GO243" s="205"/>
      <c r="GP243" s="205"/>
      <c r="GQ243" s="205"/>
      <c r="GR243" s="205"/>
      <c r="GS243" s="205"/>
      <c r="GT243" s="205"/>
      <c r="GU243" s="205"/>
      <c r="GV243" s="18"/>
      <c r="GW243" s="5"/>
      <c r="GX243" s="5"/>
      <c r="GY243" s="77"/>
      <c r="GZ243" s="18"/>
      <c r="HA243" s="18"/>
      <c r="HB243" s="18"/>
      <c r="HC243" s="18"/>
      <c r="HD243" s="18"/>
      <c r="HE243" s="18"/>
      <c r="HF243" s="18"/>
      <c r="HG243" s="18"/>
      <c r="HH243" s="205"/>
      <c r="HI243" s="26"/>
      <c r="HJ243" s="26"/>
      <c r="HK243" s="5"/>
    </row>
    <row r="244" spans="27:219">
      <c r="AA244" s="18" t="s">
        <v>488</v>
      </c>
      <c r="AB244" s="22" t="s">
        <v>491</v>
      </c>
      <c r="AC244" s="59">
        <v>7.2811904761904795</v>
      </c>
      <c r="AD244" s="59">
        <v>8.6549999999999994</v>
      </c>
      <c r="AE244" s="22">
        <v>528</v>
      </c>
      <c r="AF244" s="22">
        <v>1528</v>
      </c>
      <c r="AG244" s="22">
        <v>1369.2698412698419</v>
      </c>
      <c r="AH244" s="6">
        <v>10</v>
      </c>
      <c r="AI244" s="6">
        <v>300</v>
      </c>
      <c r="AJ244" s="6">
        <v>14</v>
      </c>
      <c r="AK244" s="24">
        <v>300</v>
      </c>
      <c r="AL244" s="24">
        <v>14</v>
      </c>
      <c r="AM244" s="5">
        <f t="shared" si="185"/>
        <v>1341.2698412698419</v>
      </c>
      <c r="AN244" s="26">
        <f t="shared" si="186"/>
        <v>218.12698412698418</v>
      </c>
      <c r="AO244" s="26">
        <f t="shared" si="187"/>
        <v>586811.79072745051</v>
      </c>
      <c r="AP244" s="15">
        <f t="shared" si="188"/>
        <v>6311.1772486772488</v>
      </c>
      <c r="AQ244" s="5">
        <f t="shared" si="189"/>
        <v>8571.1635945074104</v>
      </c>
      <c r="AR244" s="26">
        <f t="shared" si="190"/>
        <v>420.74514991181661</v>
      </c>
      <c r="AS244" s="26">
        <f t="shared" si="191"/>
        <v>5094.8226505417015</v>
      </c>
      <c r="AT244" s="26">
        <f t="shared" si="192"/>
        <v>51.867428670398397</v>
      </c>
      <c r="AU244" s="26">
        <f t="shared" si="193"/>
        <v>5.3789869588463937</v>
      </c>
      <c r="AV244" s="95">
        <f t="shared" si="194"/>
        <v>1.0005566137566139E-6</v>
      </c>
      <c r="AW244" s="95">
        <f t="shared" si="195"/>
        <v>28928912.396825422</v>
      </c>
      <c r="AX244" s="95">
        <f t="shared" si="196"/>
        <v>2.8928912396825422E-5</v>
      </c>
      <c r="AY244" s="54">
        <f t="shared" si="197"/>
        <v>0.11516876660535029</v>
      </c>
      <c r="AZ244" s="54" t="str">
        <f>_xll.Dce_Name_SectI(AE244,AF244,AI244,AH244,AJ244,"x","-",$O$11)</f>
        <v>(528-1528)x300x10x14</v>
      </c>
      <c r="BA244" s="15">
        <f t="shared" si="198"/>
        <v>1016.4523809523813</v>
      </c>
      <c r="BB244" s="54"/>
      <c r="BC244" s="54"/>
      <c r="BD244" s="22" t="s">
        <v>514</v>
      </c>
      <c r="BE244" s="23">
        <v>-164.69351982380994</v>
      </c>
      <c r="BF244" s="23">
        <v>-132.96730808828985</v>
      </c>
      <c r="BG244" s="23">
        <v>2.6582987083173478E-3</v>
      </c>
      <c r="BH244" s="23">
        <v>7.919959974980849E-5</v>
      </c>
      <c r="BI244" s="23">
        <v>-1.9395723322622647E-2</v>
      </c>
      <c r="BJ244" s="23">
        <v>1030.3747391506031</v>
      </c>
      <c r="BK244" s="23">
        <v>515.18736957530155</v>
      </c>
      <c r="BL244" s="92">
        <v>2.25</v>
      </c>
      <c r="BM244" s="91">
        <v>2</v>
      </c>
      <c r="BN244" s="5">
        <f t="shared" si="199"/>
        <v>19.473749999999999</v>
      </c>
      <c r="BO244" s="54">
        <f>_xll.Bimoment(BH244,AY244,AC244,AD244,$O$101)</f>
        <v>-3.6231206581816835E-4</v>
      </c>
      <c r="BP244" s="5">
        <f t="shared" si="200"/>
        <v>0.31313609467455605</v>
      </c>
      <c r="BQ244" s="5">
        <f t="shared" si="201"/>
        <v>19.307036347229463</v>
      </c>
      <c r="BR244" s="24" t="str">
        <f t="shared" si="202"/>
        <v>Cal</v>
      </c>
      <c r="BS244" s="25">
        <f t="shared" si="203"/>
        <v>3.3032783729761026E-2</v>
      </c>
      <c r="BT244" s="25" t="str">
        <f t="shared" si="204"/>
        <v>CT.105</v>
      </c>
      <c r="BU244" s="25">
        <f t="shared" si="205"/>
        <v>1</v>
      </c>
      <c r="BV244" s="25" cm="1">
        <f t="array" ref="BV244">IF(BT244="CT.104",_xll.TCVN5575AnnexEHeSoCx(1,BP244),1)</f>
        <v>1</v>
      </c>
      <c r="BW244" s="25">
        <f t="shared" si="206"/>
        <v>1</v>
      </c>
      <c r="BX244" s="25">
        <f t="shared" si="207"/>
        <v>3.4771351294485296E-2</v>
      </c>
      <c r="BY244" s="25">
        <f t="shared" si="208"/>
        <v>0.55361757744029849</v>
      </c>
      <c r="BZ244" s="25">
        <f t="shared" si="209"/>
        <v>2.1229575684262729E-4</v>
      </c>
      <c r="CA244" s="25">
        <f t="shared" si="210"/>
        <v>5.8626258756171426E-6</v>
      </c>
      <c r="CB244" s="25">
        <f t="shared" si="211"/>
        <v>0.58860708711750209</v>
      </c>
      <c r="CC244" s="5" t="str">
        <f t="shared" si="212"/>
        <v>OK</v>
      </c>
      <c r="CD244" s="5">
        <f t="shared" si="213"/>
        <v>37.545238889226049</v>
      </c>
      <c r="CE244" s="5">
        <f t="shared" si="214"/>
        <v>37.181722419139881</v>
      </c>
      <c r="CF244" s="5">
        <f t="shared" si="215"/>
        <v>1.2506397644909562</v>
      </c>
      <c r="CG244" s="5">
        <f t="shared" si="216"/>
        <v>1.2385309547993069</v>
      </c>
      <c r="CH244" s="5">
        <f t="shared" si="217"/>
        <v>15.921658400664503</v>
      </c>
      <c r="CI244" s="68">
        <f>_xll.DCETCVN5575PhuLucD2Eta(BP244,CH244,CF244)</f>
        <v>1.2126272189349112</v>
      </c>
      <c r="CJ244" s="5">
        <f t="shared" si="218"/>
        <v>19.307036347229463</v>
      </c>
      <c r="CK244" s="5">
        <f>MIN(noisuy2chieu(CJ244,CF244,Data!$DA$2:$EB$24),1)</f>
        <v>7.4766747653484344E-2</v>
      </c>
      <c r="CL244" s="102">
        <f t="shared" si="219"/>
        <v>0.4650643820383546</v>
      </c>
      <c r="CM244" s="5" t="str">
        <f t="shared" si="220"/>
        <v>OK</v>
      </c>
      <c r="CN244" s="5">
        <f t="shared" si="221"/>
        <v>0.86643683692746631</v>
      </c>
      <c r="CO244" s="5">
        <f t="shared" si="222"/>
        <v>0.5370345235716667</v>
      </c>
      <c r="CP244" s="25">
        <f>_xll.DCETCVNPhuLucFHeSoOnDinh(1, 0.2, AG244, AH244, AI244, AJ244, AI244, AJ244, $D$28)</f>
        <v>1</v>
      </c>
      <c r="CQ244" s="68">
        <f t="shared" si="223"/>
        <v>0.9</v>
      </c>
      <c r="CR244" s="68">
        <f t="shared" si="224"/>
        <v>1</v>
      </c>
      <c r="CS244" s="5">
        <f t="shared" si="225"/>
        <v>0.18181818181818182</v>
      </c>
      <c r="CT244" s="5">
        <f t="shared" si="226"/>
        <v>0.10347287704587492</v>
      </c>
      <c r="CU244" s="26">
        <f t="shared" si="227"/>
        <v>7.9608292003322516</v>
      </c>
      <c r="CV244" s="5"/>
      <c r="CW244" s="25"/>
      <c r="CX244" s="72">
        <f>MAX(_xll.Dce_c_925(CU244, CQ244, CR244, CN244, CP244, CS244, CT244),0.3)</f>
        <v>0.3</v>
      </c>
      <c r="CY244" s="102">
        <f t="shared" si="228"/>
        <v>0.1337714411196646</v>
      </c>
      <c r="CZ244" s="5" t="str">
        <f t="shared" si="229"/>
        <v>OK</v>
      </c>
      <c r="DA244" s="47">
        <f t="shared" si="230"/>
        <v>0.34499859601035404</v>
      </c>
      <c r="DB244" s="46">
        <f t="shared" si="231"/>
        <v>0.48385309547993066</v>
      </c>
      <c r="DC244" s="5" t="str">
        <f t="shared" si="232"/>
        <v>OK</v>
      </c>
      <c r="DD244" s="5">
        <f t="shared" si="233"/>
        <v>1.2506397644909562</v>
      </c>
      <c r="DE244" s="5">
        <f t="shared" si="234"/>
        <v>4.4677979100191463</v>
      </c>
      <c r="DF244" s="5" t="str">
        <f t="shared" si="235"/>
        <v>-</v>
      </c>
      <c r="DG244" s="5" t="str">
        <f t="shared" si="236"/>
        <v>-</v>
      </c>
      <c r="DH244" s="203">
        <f t="shared" si="237"/>
        <v>37.545238889226049</v>
      </c>
      <c r="DI244" s="203">
        <f t="shared" si="238"/>
        <v>180</v>
      </c>
      <c r="DJ244" s="46">
        <f t="shared" si="239"/>
        <v>0.20858466049570026</v>
      </c>
      <c r="DK244" s="5" t="str">
        <f t="shared" si="240"/>
        <v>OK</v>
      </c>
      <c r="EB244" s="18"/>
      <c r="EC244" s="77"/>
      <c r="ED244" s="77"/>
      <c r="EE244" s="18"/>
      <c r="EF244" s="18"/>
      <c r="EG244" s="18"/>
      <c r="EH244" s="5"/>
      <c r="EI244" s="5"/>
      <c r="EJ244" s="5"/>
      <c r="EK244" s="5"/>
      <c r="EL244" s="5"/>
      <c r="FE244" s="26"/>
      <c r="FF244" s="26"/>
      <c r="FG244" s="26"/>
      <c r="FH244" s="26"/>
      <c r="FI244" s="26"/>
      <c r="FJ244" s="26"/>
      <c r="FK244" s="26"/>
      <c r="FL244" s="26"/>
      <c r="FM244" s="26"/>
      <c r="FN244" s="205"/>
      <c r="FO244" s="205"/>
      <c r="FP244" s="205"/>
      <c r="FQ244" s="205"/>
      <c r="FR244" s="205"/>
      <c r="FS244" s="205"/>
      <c r="FT244" s="205"/>
      <c r="FU244" s="77"/>
      <c r="FV244" s="77"/>
      <c r="FW244" s="77"/>
      <c r="FX244" s="205"/>
      <c r="FY244" s="205"/>
      <c r="FZ244" s="205"/>
      <c r="GA244" s="205"/>
      <c r="GB244" s="205"/>
      <c r="GC244" s="205"/>
      <c r="GD244" s="205"/>
      <c r="GE244" s="205"/>
      <c r="GF244" s="205"/>
      <c r="GG244" s="205"/>
      <c r="GH244" s="205"/>
      <c r="GI244" s="205"/>
      <c r="GJ244" s="205"/>
      <c r="GK244" s="205"/>
      <c r="GL244" s="205"/>
      <c r="GM244" s="205"/>
      <c r="GN244" s="205"/>
      <c r="GO244" s="205"/>
      <c r="GP244" s="205"/>
      <c r="GQ244" s="205"/>
      <c r="GR244" s="205"/>
      <c r="GS244" s="205"/>
      <c r="GT244" s="205"/>
      <c r="GU244" s="205"/>
      <c r="GV244" s="18"/>
      <c r="GW244" s="5"/>
      <c r="GX244" s="5"/>
      <c r="GY244" s="77"/>
      <c r="GZ244" s="18"/>
      <c r="HA244" s="18"/>
      <c r="HB244" s="18"/>
      <c r="HC244" s="18"/>
      <c r="HD244" s="18"/>
      <c r="HE244" s="18"/>
      <c r="HF244" s="18"/>
      <c r="HG244" s="18"/>
      <c r="HH244" s="205"/>
      <c r="HI244" s="26"/>
      <c r="HJ244" s="26"/>
      <c r="HK244" s="5"/>
    </row>
    <row r="245" spans="27:219">
      <c r="AA245" s="18" t="s">
        <v>488</v>
      </c>
      <c r="AB245" s="22" t="s">
        <v>491</v>
      </c>
      <c r="AC245" s="59">
        <v>0</v>
      </c>
      <c r="AD245" s="59">
        <v>8.6549999999999994</v>
      </c>
      <c r="AE245" s="22">
        <v>528</v>
      </c>
      <c r="AF245" s="22">
        <v>1528</v>
      </c>
      <c r="AG245" s="22">
        <v>528</v>
      </c>
      <c r="AH245" s="6">
        <v>10</v>
      </c>
      <c r="AI245" s="6">
        <v>300</v>
      </c>
      <c r="AJ245" s="6">
        <v>14</v>
      </c>
      <c r="AK245" s="24">
        <v>300</v>
      </c>
      <c r="AL245" s="24">
        <v>14</v>
      </c>
      <c r="AM245" s="5">
        <f t="shared" si="185"/>
        <v>500</v>
      </c>
      <c r="AN245" s="26">
        <f t="shared" si="186"/>
        <v>134</v>
      </c>
      <c r="AO245" s="26">
        <f t="shared" si="187"/>
        <v>65911.546666666676</v>
      </c>
      <c r="AP245" s="15">
        <f t="shared" si="188"/>
        <v>6304.166666666667</v>
      </c>
      <c r="AQ245" s="5">
        <f t="shared" si="189"/>
        <v>2496.6494949494954</v>
      </c>
      <c r="AR245" s="26">
        <f t="shared" si="190"/>
        <v>420.27777777777777</v>
      </c>
      <c r="AS245" s="26">
        <f t="shared" si="191"/>
        <v>1391.9</v>
      </c>
      <c r="AT245" s="26">
        <f t="shared" si="192"/>
        <v>22.178305028345793</v>
      </c>
      <c r="AU245" s="26">
        <f t="shared" si="193"/>
        <v>6.8590101254115021</v>
      </c>
      <c r="AV245" s="95">
        <f t="shared" si="194"/>
        <v>7.201333333333334E-7</v>
      </c>
      <c r="AW245" s="95">
        <f t="shared" si="195"/>
        <v>4161087</v>
      </c>
      <c r="AX245" s="95">
        <f t="shared" si="196"/>
        <v>4.1610870000000001E-6</v>
      </c>
      <c r="AY245" s="54">
        <f t="shared" si="197"/>
        <v>0.25762202780669918</v>
      </c>
      <c r="AZ245" s="54" t="str">
        <f>_xll.Dce_Name_SectI(AE245,AF245,AI245,AH245,AJ245,"x","-",$O$11)</f>
        <v>(528-1528)x300x10x14</v>
      </c>
      <c r="BA245" s="15">
        <f t="shared" si="198"/>
        <v>385.5</v>
      </c>
      <c r="BB245" s="54"/>
      <c r="BC245" s="54"/>
      <c r="BD245" s="22" t="s">
        <v>515</v>
      </c>
      <c r="BE245" s="23">
        <v>-46.263631201636287</v>
      </c>
      <c r="BF245" s="23">
        <v>5.910574380325329</v>
      </c>
      <c r="BG245" s="23">
        <v>-6.1957071821379264E-4</v>
      </c>
      <c r="BH245" s="23">
        <v>1.0374951020640472E-5</v>
      </c>
      <c r="BI245" s="23">
        <v>7.1244881295615258E-7</v>
      </c>
      <c r="BJ245" s="23">
        <v>-0.65183961908796073</v>
      </c>
      <c r="BK245" s="23">
        <v>33.800777754410433</v>
      </c>
      <c r="BL245" s="92">
        <v>2.25</v>
      </c>
      <c r="BM245" s="91">
        <v>2</v>
      </c>
      <c r="BN245" s="5">
        <f t="shared" si="199"/>
        <v>19.473749999999999</v>
      </c>
      <c r="BO245" s="54">
        <f>_xll.Bimoment(BH245,AY245,AC245,AD245,$O$101)</f>
        <v>0</v>
      </c>
      <c r="BP245" s="5">
        <f t="shared" si="200"/>
        <v>0.84</v>
      </c>
      <c r="BQ245" s="5">
        <f t="shared" si="201"/>
        <v>0.11468852339378297</v>
      </c>
      <c r="BR245" s="24" t="str">
        <f t="shared" si="202"/>
        <v>Cal</v>
      </c>
      <c r="BS245" s="25">
        <f t="shared" si="203"/>
        <v>1.5104730336355131E-2</v>
      </c>
      <c r="BT245" s="25" t="str">
        <f t="shared" si="204"/>
        <v>CT.105</v>
      </c>
      <c r="BU245" s="25">
        <f t="shared" si="205"/>
        <v>1</v>
      </c>
      <c r="BV245" s="25" cm="1">
        <f t="array" ref="BV245">IF(BT245="CT.104",_xll.TCVN5575AnnexEHeSoCx(1,BP245),1)</f>
        <v>1</v>
      </c>
      <c r="BW245" s="25">
        <f t="shared" si="206"/>
        <v>1</v>
      </c>
      <c r="BX245" s="25">
        <f t="shared" si="207"/>
        <v>1.5899716143531719E-2</v>
      </c>
      <c r="BY245" s="25">
        <f t="shared" si="208"/>
        <v>1.2023686098967805E-3</v>
      </c>
      <c r="BZ245" s="25">
        <f t="shared" si="209"/>
        <v>7.8067755272267735E-9</v>
      </c>
      <c r="CA245" s="25">
        <f t="shared" si="210"/>
        <v>0</v>
      </c>
      <c r="CB245" s="25">
        <f t="shared" si="211"/>
        <v>1.7102092560204028E-2</v>
      </c>
      <c r="CC245" s="5" t="str">
        <f t="shared" si="212"/>
        <v>OK</v>
      </c>
      <c r="CD245" s="5">
        <f t="shared" si="213"/>
        <v>87.805402509844015</v>
      </c>
      <c r="CE245" s="5">
        <f t="shared" si="214"/>
        <v>29.158726455153193</v>
      </c>
      <c r="CF245" s="5">
        <f t="shared" si="215"/>
        <v>2.9248163326364334</v>
      </c>
      <c r="CG245" s="5">
        <f t="shared" si="216"/>
        <v>0.97128328026682387</v>
      </c>
      <c r="CH245" s="5">
        <f t="shared" si="217"/>
        <v>7.5622017339342582E-2</v>
      </c>
      <c r="CI245" s="68">
        <f>_xll.DCETCVN5575PhuLucD2Eta(BP245,CH245,CF245)</f>
        <v>1.5166022731069873</v>
      </c>
      <c r="CJ245" s="5">
        <f t="shared" si="218"/>
        <v>0.11468852339378297</v>
      </c>
      <c r="CK245" s="5">
        <f>MIN(noisuy2chieu(CJ245,CF245,Data!$DA$2:$EB$24),1)</f>
        <v>0.67142289876937866</v>
      </c>
      <c r="CL245" s="102">
        <f t="shared" si="219"/>
        <v>2.3680628368013074E-2</v>
      </c>
      <c r="CM245" s="5" t="str">
        <f t="shared" si="220"/>
        <v>OK</v>
      </c>
      <c r="CN245" s="5">
        <f t="shared" si="221"/>
        <v>0.90492218941026858</v>
      </c>
      <c r="CO245" s="5">
        <f t="shared" si="222"/>
        <v>0.5370345235716667</v>
      </c>
      <c r="CP245" s="25">
        <f>_xll.DCETCVNPhuLucFHeSoOnDinh(1, 0.2, AG245, AH245, AI245, AJ245, AI245, AJ245, $D$28)</f>
        <v>1</v>
      </c>
      <c r="CQ245" s="68">
        <f t="shared" si="223"/>
        <v>0.84606686419304378</v>
      </c>
      <c r="CR245" s="68">
        <f t="shared" si="224"/>
        <v>1</v>
      </c>
      <c r="CS245" s="5">
        <f t="shared" si="225"/>
        <v>0.19119236718609176</v>
      </c>
      <c r="CT245" s="5">
        <f t="shared" si="226"/>
        <v>9.9510191986788829E-2</v>
      </c>
      <c r="CU245" s="26">
        <f t="shared" si="227"/>
        <v>3.9213372838608738</v>
      </c>
      <c r="CV245" s="5"/>
      <c r="CW245" s="25"/>
      <c r="CX245" s="72">
        <f>MAX(_xll.Dce_c_925(CU245, CQ245, CR245, CN245, CP245, CS245, CT245),0.3)</f>
        <v>0.3</v>
      </c>
      <c r="CY245" s="102">
        <f t="shared" si="228"/>
        <v>5.8567525950835066E-2</v>
      </c>
      <c r="CZ245" s="5" t="str">
        <f t="shared" si="229"/>
        <v>OK</v>
      </c>
      <c r="DA245" s="47">
        <f t="shared" si="230"/>
        <v>0.34499859601035404</v>
      </c>
      <c r="DB245" s="46">
        <f t="shared" si="231"/>
        <v>0.45712832802668235</v>
      </c>
      <c r="DC245" s="5" t="str">
        <f t="shared" si="232"/>
        <v>OK</v>
      </c>
      <c r="DD245" s="5">
        <f t="shared" si="233"/>
        <v>2.9248163326364334</v>
      </c>
      <c r="DE245" s="5">
        <f t="shared" si="234"/>
        <v>1.6655104634982609</v>
      </c>
      <c r="DF245" s="5" t="str">
        <f t="shared" si="235"/>
        <v>-</v>
      </c>
      <c r="DG245" s="5" t="str">
        <f t="shared" si="236"/>
        <v>-</v>
      </c>
      <c r="DH245" s="203" t="str">
        <f t="shared" si="237"/>
        <v>-</v>
      </c>
      <c r="DI245" s="203">
        <f t="shared" si="238"/>
        <v>180</v>
      </c>
      <c r="DJ245" s="46">
        <f t="shared" si="239"/>
        <v>0</v>
      </c>
      <c r="DK245" s="5" t="str">
        <f t="shared" si="240"/>
        <v>OK</v>
      </c>
      <c r="EB245" s="18"/>
      <c r="EC245" s="77"/>
      <c r="ED245" s="77"/>
      <c r="EE245" s="18"/>
      <c r="EF245" s="18"/>
      <c r="EG245" s="18"/>
      <c r="EH245" s="5"/>
      <c r="EI245" s="5"/>
      <c r="EJ245" s="5"/>
      <c r="EK245" s="5"/>
      <c r="EL245" s="5"/>
      <c r="FE245" s="26"/>
      <c r="FF245" s="26"/>
      <c r="FG245" s="26"/>
      <c r="FH245" s="26"/>
      <c r="FI245" s="26"/>
      <c r="FJ245" s="26"/>
      <c r="FK245" s="26"/>
      <c r="FL245" s="26"/>
      <c r="FM245" s="26"/>
      <c r="FN245" s="205"/>
      <c r="FO245" s="205"/>
      <c r="FP245" s="205"/>
      <c r="FQ245" s="205"/>
      <c r="FR245" s="205"/>
      <c r="FS245" s="205"/>
      <c r="FT245" s="205"/>
      <c r="FU245" s="77"/>
      <c r="FV245" s="77"/>
      <c r="FW245" s="77"/>
      <c r="FX245" s="205"/>
      <c r="FY245" s="205"/>
      <c r="FZ245" s="205"/>
      <c r="GA245" s="205"/>
      <c r="GB245" s="205"/>
      <c r="GC245" s="205"/>
      <c r="GD245" s="205"/>
      <c r="GE245" s="205"/>
      <c r="GF245" s="205"/>
      <c r="GG245" s="205"/>
      <c r="GH245" s="205"/>
      <c r="GI245" s="205"/>
      <c r="GJ245" s="205"/>
      <c r="GK245" s="205"/>
      <c r="GL245" s="205"/>
      <c r="GM245" s="205"/>
      <c r="GN245" s="205"/>
      <c r="GO245" s="205"/>
      <c r="GP245" s="205"/>
      <c r="GQ245" s="205"/>
      <c r="GR245" s="205"/>
      <c r="GS245" s="205"/>
      <c r="GT245" s="205"/>
      <c r="GU245" s="205"/>
      <c r="GV245" s="18"/>
      <c r="GW245" s="5"/>
      <c r="GX245" s="5"/>
      <c r="GY245" s="77"/>
      <c r="GZ245" s="18"/>
      <c r="HA245" s="18"/>
      <c r="HB245" s="18"/>
      <c r="HC245" s="18"/>
      <c r="HD245" s="18"/>
      <c r="HE245" s="18"/>
      <c r="HF245" s="18"/>
      <c r="HG245" s="18"/>
      <c r="HH245" s="205"/>
      <c r="HI245" s="26"/>
      <c r="HJ245" s="26"/>
      <c r="HK245" s="5"/>
    </row>
    <row r="246" spans="27:219">
      <c r="AA246" s="18" t="s">
        <v>488</v>
      </c>
      <c r="AB246" s="22" t="s">
        <v>491</v>
      </c>
      <c r="AC246" s="59">
        <v>3.6405952380952398</v>
      </c>
      <c r="AD246" s="59">
        <v>8.6549999999999994</v>
      </c>
      <c r="AE246" s="22">
        <v>528</v>
      </c>
      <c r="AF246" s="22">
        <v>1528</v>
      </c>
      <c r="AG246" s="22">
        <v>948.63492063492095</v>
      </c>
      <c r="AH246" s="6">
        <v>10</v>
      </c>
      <c r="AI246" s="6">
        <v>300</v>
      </c>
      <c r="AJ246" s="6">
        <v>14</v>
      </c>
      <c r="AK246" s="24">
        <v>300</v>
      </c>
      <c r="AL246" s="24">
        <v>14</v>
      </c>
      <c r="AM246" s="5">
        <f t="shared" si="185"/>
        <v>920.63492063492095</v>
      </c>
      <c r="AN246" s="26">
        <f t="shared" si="186"/>
        <v>176.06349206349208</v>
      </c>
      <c r="AO246" s="26">
        <f t="shared" si="187"/>
        <v>248482.7399356656</v>
      </c>
      <c r="AP246" s="15">
        <f t="shared" si="188"/>
        <v>6307.6719576719579</v>
      </c>
      <c r="AQ246" s="5">
        <f t="shared" si="189"/>
        <v>5238.7432621467533</v>
      </c>
      <c r="AR246" s="26">
        <f t="shared" si="190"/>
        <v>420.51146384479722</v>
      </c>
      <c r="AS246" s="26">
        <f t="shared" si="191"/>
        <v>3022.1941546989178</v>
      </c>
      <c r="AT246" s="26">
        <f t="shared" si="192"/>
        <v>37.567600585756203</v>
      </c>
      <c r="AU246" s="26">
        <f t="shared" si="193"/>
        <v>5.9854925384629922</v>
      </c>
      <c r="AV246" s="95">
        <f t="shared" si="194"/>
        <v>8.6034497354497351E-7</v>
      </c>
      <c r="AW246" s="95">
        <f t="shared" si="195"/>
        <v>13758293.349206358</v>
      </c>
      <c r="AX246" s="95">
        <f t="shared" si="196"/>
        <v>1.3758293349206359E-5</v>
      </c>
      <c r="AY246" s="54">
        <f t="shared" si="197"/>
        <v>0.1548581140202015</v>
      </c>
      <c r="AZ246" s="54" t="str">
        <f>_xll.Dce_Name_SectI(AE246,AF246,AI246,AH246,AJ246,"x","-",$O$11)</f>
        <v>(528-1528)x300x10x14</v>
      </c>
      <c r="BA246" s="15">
        <f t="shared" si="198"/>
        <v>700.97619047619071</v>
      </c>
      <c r="BB246" s="54"/>
      <c r="BC246" s="54"/>
      <c r="BD246" s="22" t="s">
        <v>515</v>
      </c>
      <c r="BE246" s="23">
        <v>-42.385615515070441</v>
      </c>
      <c r="BF246" s="23">
        <v>-9.3342678069572003</v>
      </c>
      <c r="BG246" s="23">
        <v>-6.1957071821472842E-4</v>
      </c>
      <c r="BH246" s="23">
        <v>1.0374951020640472E-5</v>
      </c>
      <c r="BI246" s="23">
        <v>2.2616306473559255E-3</v>
      </c>
      <c r="BJ246" s="23">
        <v>5.5627893029684401</v>
      </c>
      <c r="BK246" s="23">
        <v>33.800777754410433</v>
      </c>
      <c r="BL246" s="92">
        <v>2.25</v>
      </c>
      <c r="BM246" s="91">
        <v>2</v>
      </c>
      <c r="BN246" s="5">
        <f t="shared" si="199"/>
        <v>19.473749999999999</v>
      </c>
      <c r="BO246" s="54">
        <f>_xll.Bimoment(BH246,AY246,AC246,AD246,$O$101)</f>
        <v>-7.9790290228569266E-5</v>
      </c>
      <c r="BP246" s="5">
        <f t="shared" si="200"/>
        <v>0.45620689655172403</v>
      </c>
      <c r="BQ246" s="5">
        <f t="shared" si="201"/>
        <v>0.66759781451653954</v>
      </c>
      <c r="BR246" s="24" t="str">
        <f t="shared" si="202"/>
        <v>Cal</v>
      </c>
      <c r="BS246" s="25">
        <f t="shared" si="203"/>
        <v>1.0532397472359619E-2</v>
      </c>
      <c r="BT246" s="25" t="str">
        <f t="shared" si="204"/>
        <v>CT.105</v>
      </c>
      <c r="BU246" s="25">
        <f t="shared" si="205"/>
        <v>1</v>
      </c>
      <c r="BV246" s="25" cm="1">
        <f t="array" ref="BV246">IF(BT246="CT.104",_xll.TCVN5575AnnexEHeSoCx(1,BP246),1)</f>
        <v>1</v>
      </c>
      <c r="BW246" s="25">
        <f t="shared" si="206"/>
        <v>1</v>
      </c>
      <c r="BX246" s="25">
        <f t="shared" si="207"/>
        <v>1.108673418143118E-2</v>
      </c>
      <c r="BY246" s="25">
        <f t="shared" si="208"/>
        <v>4.8901248544089976E-3</v>
      </c>
      <c r="BZ246" s="25">
        <f t="shared" si="209"/>
        <v>2.4768419395286682E-5</v>
      </c>
      <c r="CA246" s="25">
        <f t="shared" si="210"/>
        <v>1.8721610200775705E-6</v>
      </c>
      <c r="CB246" s="25">
        <f t="shared" si="211"/>
        <v>1.6003499616255544E-2</v>
      </c>
      <c r="CC246" s="5" t="str">
        <f t="shared" si="212"/>
        <v>OK</v>
      </c>
      <c r="CD246" s="5">
        <f t="shared" si="213"/>
        <v>51.836555160202302</v>
      </c>
      <c r="CE246" s="5">
        <f t="shared" si="214"/>
        <v>33.414125690541383</v>
      </c>
      <c r="CF246" s="5">
        <f t="shared" si="215"/>
        <v>1.7266865002204341</v>
      </c>
      <c r="CG246" s="5">
        <f t="shared" si="216"/>
        <v>1.1130315193248546</v>
      </c>
      <c r="CH246" s="5">
        <f t="shared" si="217"/>
        <v>0.44107893040308599</v>
      </c>
      <c r="CI246" s="68">
        <f>_xll.DCETCVN5575PhuLucD2Eta(BP246,CH246,CF246)</f>
        <v>1.5135563467210873</v>
      </c>
      <c r="CJ246" s="5">
        <f t="shared" si="218"/>
        <v>0.66759781451653954</v>
      </c>
      <c r="CK246" s="5">
        <f>MIN(noisuy2chieu(CJ246,CF246,Data!$DA$2:$EB$24),1)</f>
        <v>0.64209228754043579</v>
      </c>
      <c r="CL246" s="102">
        <f t="shared" si="219"/>
        <v>1.7266574286228274E-2</v>
      </c>
      <c r="CM246" s="5" t="str">
        <f t="shared" si="220"/>
        <v>OK</v>
      </c>
      <c r="CN246" s="5">
        <f t="shared" si="221"/>
        <v>0.88472625978979058</v>
      </c>
      <c r="CO246" s="5">
        <f t="shared" si="222"/>
        <v>0.5370345235716667</v>
      </c>
      <c r="CP246" s="25">
        <f>_xll.DCETCVNPhuLucFHeSoOnDinh(1, 0.2, AG246, AH246, AI246, AJ246, AI246, AJ246, $D$28)</f>
        <v>1</v>
      </c>
      <c r="CQ246" s="68">
        <f t="shared" si="223"/>
        <v>0.78400481383280207</v>
      </c>
      <c r="CR246" s="68">
        <f t="shared" si="224"/>
        <v>1</v>
      </c>
      <c r="CS246" s="5">
        <f t="shared" si="225"/>
        <v>0.20325103819459886</v>
      </c>
      <c r="CT246" s="5">
        <f t="shared" si="226"/>
        <v>0.10155106457844131</v>
      </c>
      <c r="CU246" s="26">
        <f t="shared" si="227"/>
        <v>2.6800962766560414</v>
      </c>
      <c r="CV246" s="5"/>
      <c r="CW246" s="25"/>
      <c r="CX246" s="72">
        <f>MAX(_xll.Dce_c_925(CU246, CQ246, CR246, CN246, CP246, CS246, CT246),0.3)</f>
        <v>0.32245495196786472</v>
      </c>
      <c r="CY246" s="102">
        <f t="shared" si="228"/>
        <v>3.8862046420367169E-2</v>
      </c>
      <c r="CZ246" s="5" t="str">
        <f t="shared" si="229"/>
        <v>OK</v>
      </c>
      <c r="DA246" s="47">
        <f t="shared" si="230"/>
        <v>0.34499859601035404</v>
      </c>
      <c r="DB246" s="46">
        <f t="shared" si="231"/>
        <v>0.47130315193248545</v>
      </c>
      <c r="DC246" s="5" t="str">
        <f t="shared" si="232"/>
        <v>OK</v>
      </c>
      <c r="DD246" s="5">
        <f t="shared" si="233"/>
        <v>1.7266865002204341</v>
      </c>
      <c r="DE246" s="5">
        <f t="shared" si="234"/>
        <v>3.0666541867587034</v>
      </c>
      <c r="DF246" s="5" t="str">
        <f t="shared" si="235"/>
        <v>-</v>
      </c>
      <c r="DG246" s="5" t="str">
        <f t="shared" si="236"/>
        <v>-</v>
      </c>
      <c r="DH246" s="203">
        <f t="shared" si="237"/>
        <v>51.836555160202302</v>
      </c>
      <c r="DI246" s="203">
        <f t="shared" si="238"/>
        <v>180</v>
      </c>
      <c r="DJ246" s="46">
        <f t="shared" si="239"/>
        <v>0.28798086200112388</v>
      </c>
      <c r="DK246" s="5" t="str">
        <f t="shared" si="240"/>
        <v>OK</v>
      </c>
      <c r="EB246" s="18"/>
      <c r="EC246" s="77"/>
      <c r="ED246" s="77"/>
      <c r="EE246" s="18"/>
      <c r="EF246" s="18"/>
      <c r="EG246" s="18"/>
      <c r="EH246" s="5"/>
      <c r="EI246" s="5"/>
      <c r="EJ246" s="5"/>
      <c r="EK246" s="5"/>
      <c r="EL246" s="5"/>
      <c r="FE246" s="26"/>
      <c r="FF246" s="26"/>
      <c r="FG246" s="26"/>
      <c r="FH246" s="26"/>
      <c r="FI246" s="26"/>
      <c r="FJ246" s="26"/>
      <c r="FK246" s="26"/>
      <c r="FL246" s="26"/>
      <c r="FM246" s="26"/>
      <c r="FN246" s="205"/>
      <c r="FO246" s="205"/>
      <c r="FP246" s="205"/>
      <c r="FQ246" s="205"/>
      <c r="FR246" s="205"/>
      <c r="FS246" s="205"/>
      <c r="FT246" s="205"/>
      <c r="FU246" s="77"/>
      <c r="FV246" s="77"/>
      <c r="FW246" s="77"/>
      <c r="FX246" s="205"/>
      <c r="FY246" s="205"/>
      <c r="FZ246" s="205"/>
      <c r="GA246" s="205"/>
      <c r="GB246" s="205"/>
      <c r="GC246" s="205"/>
      <c r="GD246" s="205"/>
      <c r="GE246" s="205"/>
      <c r="GF246" s="205"/>
      <c r="GG246" s="205"/>
      <c r="GH246" s="205"/>
      <c r="GI246" s="205"/>
      <c r="GJ246" s="205"/>
      <c r="GK246" s="205"/>
      <c r="GL246" s="205"/>
      <c r="GM246" s="205"/>
      <c r="GN246" s="205"/>
      <c r="GO246" s="205"/>
      <c r="GP246" s="205"/>
      <c r="GQ246" s="205"/>
      <c r="GR246" s="205"/>
      <c r="GS246" s="205"/>
      <c r="GT246" s="205"/>
      <c r="GU246" s="205"/>
      <c r="GV246" s="18"/>
      <c r="GW246" s="5"/>
      <c r="GX246" s="5"/>
      <c r="GY246" s="77"/>
      <c r="GZ246" s="18"/>
      <c r="HA246" s="18"/>
      <c r="HB246" s="18"/>
      <c r="HC246" s="18"/>
      <c r="HD246" s="18"/>
      <c r="HE246" s="18"/>
      <c r="HF246" s="18"/>
      <c r="HG246" s="18"/>
      <c r="HH246" s="205"/>
      <c r="HI246" s="26"/>
      <c r="HJ246" s="26"/>
      <c r="HK246" s="5"/>
    </row>
    <row r="247" spans="27:219">
      <c r="AA247" s="18" t="s">
        <v>488</v>
      </c>
      <c r="AB247" s="22" t="s">
        <v>491</v>
      </c>
      <c r="AC247" s="59">
        <v>7.2811904761904795</v>
      </c>
      <c r="AD247" s="59">
        <v>8.6549999999999994</v>
      </c>
      <c r="AE247" s="22">
        <v>528</v>
      </c>
      <c r="AF247" s="22">
        <v>1528</v>
      </c>
      <c r="AG247" s="22">
        <v>1369.2698412698419</v>
      </c>
      <c r="AH247" s="6">
        <v>10</v>
      </c>
      <c r="AI247" s="6">
        <v>300</v>
      </c>
      <c r="AJ247" s="6">
        <v>14</v>
      </c>
      <c r="AK247" s="24">
        <v>300</v>
      </c>
      <c r="AL247" s="24">
        <v>14</v>
      </c>
      <c r="AM247" s="5">
        <f t="shared" si="185"/>
        <v>1341.2698412698419</v>
      </c>
      <c r="AN247" s="26">
        <f t="shared" si="186"/>
        <v>218.12698412698418</v>
      </c>
      <c r="AO247" s="26">
        <f t="shared" si="187"/>
        <v>586811.79072745051</v>
      </c>
      <c r="AP247" s="15">
        <f t="shared" si="188"/>
        <v>6311.1772486772488</v>
      </c>
      <c r="AQ247" s="5">
        <f t="shared" si="189"/>
        <v>8571.1635945074104</v>
      </c>
      <c r="AR247" s="26">
        <f t="shared" si="190"/>
        <v>420.74514991181661</v>
      </c>
      <c r="AS247" s="26">
        <f t="shared" si="191"/>
        <v>5094.8226505417015</v>
      </c>
      <c r="AT247" s="26">
        <f t="shared" si="192"/>
        <v>51.867428670398397</v>
      </c>
      <c r="AU247" s="26">
        <f t="shared" si="193"/>
        <v>5.3789869588463937</v>
      </c>
      <c r="AV247" s="95">
        <f t="shared" si="194"/>
        <v>1.0005566137566139E-6</v>
      </c>
      <c r="AW247" s="95">
        <f t="shared" si="195"/>
        <v>28928912.396825422</v>
      </c>
      <c r="AX247" s="95">
        <f t="shared" si="196"/>
        <v>2.8928912396825422E-5</v>
      </c>
      <c r="AY247" s="54">
        <f t="shared" si="197"/>
        <v>0.11516876660535029</v>
      </c>
      <c r="AZ247" s="54" t="str">
        <f>_xll.Dce_Name_SectI(AE247,AF247,AI247,AH247,AJ247,"x","-",$O$11)</f>
        <v>(528-1528)x300x10x14</v>
      </c>
      <c r="BA247" s="15">
        <f t="shared" si="198"/>
        <v>1016.4523809523813</v>
      </c>
      <c r="BB247" s="54"/>
      <c r="BC247" s="54"/>
      <c r="BD247" s="22" t="s">
        <v>515</v>
      </c>
      <c r="BE247" s="23">
        <v>-36.966164078012184</v>
      </c>
      <c r="BF247" s="23">
        <v>-24.68496052483178</v>
      </c>
      <c r="BG247" s="23">
        <v>-6.1957071821567059E-4</v>
      </c>
      <c r="BH247" s="23">
        <v>1.0374951020640472E-5</v>
      </c>
      <c r="BI247" s="23">
        <v>4.5225488459023216E-3</v>
      </c>
      <c r="BJ247" s="23">
        <v>67.601555508820866</v>
      </c>
      <c r="BK247" s="23">
        <v>33.800777754410433</v>
      </c>
      <c r="BL247" s="92">
        <v>2.25</v>
      </c>
      <c r="BM247" s="91">
        <v>2</v>
      </c>
      <c r="BN247" s="5">
        <f t="shared" si="199"/>
        <v>19.473749999999999</v>
      </c>
      <c r="BO247" s="54">
        <f>_xll.Bimoment(BH247,AY247,AC247,AD247,$O$101)</f>
        <v>-4.7461981486335143E-5</v>
      </c>
      <c r="BP247" s="5">
        <f t="shared" si="200"/>
        <v>0.31313609467455605</v>
      </c>
      <c r="BQ247" s="5">
        <f t="shared" si="201"/>
        <v>5.7191415244854156</v>
      </c>
      <c r="BR247" s="24" t="str">
        <f t="shared" si="202"/>
        <v>Cal</v>
      </c>
      <c r="BS247" s="25">
        <f t="shared" si="203"/>
        <v>7.4143494207554259E-3</v>
      </c>
      <c r="BT247" s="25" t="str">
        <f t="shared" si="204"/>
        <v>CT.105</v>
      </c>
      <c r="BU247" s="25">
        <f t="shared" si="205"/>
        <v>1</v>
      </c>
      <c r="BV247" s="25" cm="1">
        <f t="array" ref="BV247">IF(BT247="CT.104",_xll.TCVN5575AnnexEHeSoCx(1,BP247),1)</f>
        <v>1</v>
      </c>
      <c r="BW247" s="25">
        <f t="shared" si="206"/>
        <v>1</v>
      </c>
      <c r="BX247" s="25">
        <f t="shared" si="207"/>
        <v>7.8045783376372909E-3</v>
      </c>
      <c r="BY247" s="25">
        <f t="shared" si="208"/>
        <v>3.6322134044979769E-2</v>
      </c>
      <c r="BZ247" s="25">
        <f t="shared" si="209"/>
        <v>4.9501527430984147E-5</v>
      </c>
      <c r="CA247" s="25">
        <f t="shared" si="210"/>
        <v>7.6798944065388934E-7</v>
      </c>
      <c r="CB247" s="25">
        <f t="shared" si="211"/>
        <v>4.4176981899488696E-2</v>
      </c>
      <c r="CC247" s="5" t="str">
        <f t="shared" si="212"/>
        <v>OK</v>
      </c>
      <c r="CD247" s="5">
        <f t="shared" si="213"/>
        <v>37.545238889226049</v>
      </c>
      <c r="CE247" s="5">
        <f t="shared" si="214"/>
        <v>37.181722419139881</v>
      </c>
      <c r="CF247" s="5">
        <f t="shared" si="215"/>
        <v>1.2506397644909562</v>
      </c>
      <c r="CG247" s="5">
        <f t="shared" si="216"/>
        <v>1.2385309547993069</v>
      </c>
      <c r="CH247" s="5">
        <f t="shared" si="217"/>
        <v>4.6539521385566234</v>
      </c>
      <c r="CI247" s="68">
        <f>_xll.DCETCVN5575PhuLucD2Eta(BP247,CH247,CF247)</f>
        <v>1.2288784573231881</v>
      </c>
      <c r="CJ247" s="5">
        <f t="shared" si="218"/>
        <v>5.7191415244854156</v>
      </c>
      <c r="CK247" s="5">
        <f>MIN(noisuy2chieu(CJ247,CF247,Data!$DA$2:$EB$24),1)</f>
        <v>0.22468429803848267</v>
      </c>
      <c r="CL247" s="102">
        <f t="shared" si="219"/>
        <v>3.4735753258114045E-2</v>
      </c>
      <c r="CM247" s="5" t="str">
        <f t="shared" si="220"/>
        <v>OK</v>
      </c>
      <c r="CN247" s="5">
        <f t="shared" si="221"/>
        <v>0.86643683692746631</v>
      </c>
      <c r="CO247" s="5">
        <f t="shared" si="222"/>
        <v>0.5370345235716667</v>
      </c>
      <c r="CP247" s="25">
        <f>_xll.DCETCVNPhuLucFHeSoOnDinh(1, 0.2, AG247, AH247, AI247, AJ247, AI247, AJ247, $D$28)</f>
        <v>1</v>
      </c>
      <c r="CQ247" s="68">
        <f t="shared" si="223"/>
        <v>0.76634880346391565</v>
      </c>
      <c r="CR247" s="68">
        <f t="shared" si="224"/>
        <v>1</v>
      </c>
      <c r="CS247" s="5">
        <f t="shared" si="225"/>
        <v>0.2069646066545455</v>
      </c>
      <c r="CT247" s="5">
        <f t="shared" si="226"/>
        <v>0.10347287704587492</v>
      </c>
      <c r="CU247" s="26">
        <f t="shared" si="227"/>
        <v>2.3269760692783117</v>
      </c>
      <c r="CV247" s="5"/>
      <c r="CW247" s="25"/>
      <c r="CX247" s="72">
        <f>MAX(_xll.Dce_c_925(CU247, CQ247, CR247, CN247, CP247, CS247, CT247),0.3)</f>
        <v>0.35928892500204446</v>
      </c>
      <c r="CY247" s="102">
        <f t="shared" si="228"/>
        <v>2.5070829625597812E-2</v>
      </c>
      <c r="CZ247" s="5" t="str">
        <f t="shared" si="229"/>
        <v>OK</v>
      </c>
      <c r="DA247" s="47">
        <f t="shared" si="230"/>
        <v>0.34499859601035404</v>
      </c>
      <c r="DB247" s="46">
        <f t="shared" si="231"/>
        <v>0.48385309547993066</v>
      </c>
      <c r="DC247" s="5" t="str">
        <f t="shared" si="232"/>
        <v>OK</v>
      </c>
      <c r="DD247" s="5">
        <f t="shared" si="233"/>
        <v>1.2506397644909562</v>
      </c>
      <c r="DE247" s="5">
        <f t="shared" si="234"/>
        <v>4.4677979100191463</v>
      </c>
      <c r="DF247" s="5">
        <f t="shared" si="235"/>
        <v>1.5346149730788992</v>
      </c>
      <c r="DG247" s="5" t="str">
        <f t="shared" si="236"/>
        <v>Gia cường</v>
      </c>
      <c r="DH247" s="203">
        <f t="shared" si="237"/>
        <v>37.545238889226049</v>
      </c>
      <c r="DI247" s="203">
        <f t="shared" si="238"/>
        <v>180</v>
      </c>
      <c r="DJ247" s="46">
        <f t="shared" si="239"/>
        <v>0.20858466049570026</v>
      </c>
      <c r="DK247" s="5" t="str">
        <f t="shared" si="240"/>
        <v>OK</v>
      </c>
      <c r="EB247" s="18"/>
      <c r="EC247" s="77"/>
      <c r="ED247" s="77"/>
      <c r="EE247" s="18"/>
      <c r="EF247" s="18"/>
      <c r="EG247" s="18"/>
      <c r="EH247" s="5"/>
      <c r="EI247" s="5"/>
      <c r="EJ247" s="5"/>
      <c r="EK247" s="5"/>
      <c r="EL247" s="5"/>
      <c r="FE247" s="26"/>
      <c r="FF247" s="26"/>
      <c r="FG247" s="26"/>
      <c r="FH247" s="26"/>
      <c r="FI247" s="26"/>
      <c r="FJ247" s="26"/>
      <c r="FK247" s="26"/>
      <c r="FL247" s="26"/>
      <c r="FM247" s="26"/>
      <c r="FN247" s="205"/>
      <c r="FO247" s="205"/>
      <c r="FP247" s="205"/>
      <c r="FQ247" s="205"/>
      <c r="FR247" s="205"/>
      <c r="FS247" s="205"/>
      <c r="FT247" s="205"/>
      <c r="FU247" s="77"/>
      <c r="FV247" s="77"/>
      <c r="FW247" s="77"/>
      <c r="FX247" s="205"/>
      <c r="FY247" s="205"/>
      <c r="FZ247" s="205"/>
      <c r="GA247" s="205"/>
      <c r="GB247" s="205"/>
      <c r="GC247" s="205"/>
      <c r="GD247" s="205"/>
      <c r="GE247" s="205"/>
      <c r="GF247" s="205"/>
      <c r="GG247" s="205"/>
      <c r="GH247" s="205"/>
      <c r="GI247" s="205"/>
      <c r="GJ247" s="205"/>
      <c r="GK247" s="205"/>
      <c r="GL247" s="205"/>
      <c r="GM247" s="205"/>
      <c r="GN247" s="205"/>
      <c r="GO247" s="205"/>
      <c r="GP247" s="205"/>
      <c r="GQ247" s="205"/>
      <c r="GR247" s="205"/>
      <c r="GS247" s="205"/>
      <c r="GT247" s="205"/>
      <c r="GU247" s="205"/>
      <c r="GV247" s="18"/>
      <c r="GW247" s="5"/>
      <c r="GX247" s="5"/>
      <c r="GY247" s="77"/>
      <c r="GZ247" s="18"/>
      <c r="HA247" s="18"/>
      <c r="HB247" s="18"/>
      <c r="HC247" s="18"/>
      <c r="HD247" s="18"/>
      <c r="HE247" s="18"/>
      <c r="HF247" s="18"/>
      <c r="HG247" s="18"/>
      <c r="HH247" s="205"/>
      <c r="HI247" s="26"/>
      <c r="HJ247" s="26"/>
      <c r="HK247" s="5"/>
    </row>
    <row r="248" spans="27:219">
      <c r="AA248" s="18" t="s">
        <v>488</v>
      </c>
      <c r="AB248" s="22" t="s">
        <v>491</v>
      </c>
      <c r="AC248" s="59">
        <v>0</v>
      </c>
      <c r="AD248" s="59">
        <v>8.6549999999999994</v>
      </c>
      <c r="AE248" s="22">
        <v>528</v>
      </c>
      <c r="AF248" s="22">
        <v>1528</v>
      </c>
      <c r="AG248" s="22">
        <v>528</v>
      </c>
      <c r="AH248" s="6">
        <v>10</v>
      </c>
      <c r="AI248" s="6">
        <v>300</v>
      </c>
      <c r="AJ248" s="6">
        <v>14</v>
      </c>
      <c r="AK248" s="24">
        <v>300</v>
      </c>
      <c r="AL248" s="24">
        <v>14</v>
      </c>
      <c r="AM248" s="5">
        <f t="shared" si="185"/>
        <v>500</v>
      </c>
      <c r="AN248" s="26">
        <f t="shared" si="186"/>
        <v>134</v>
      </c>
      <c r="AO248" s="26">
        <f t="shared" si="187"/>
        <v>65911.546666666676</v>
      </c>
      <c r="AP248" s="15">
        <f t="shared" si="188"/>
        <v>6304.166666666667</v>
      </c>
      <c r="AQ248" s="5">
        <f t="shared" si="189"/>
        <v>2496.6494949494954</v>
      </c>
      <c r="AR248" s="26">
        <f t="shared" si="190"/>
        <v>420.27777777777777</v>
      </c>
      <c r="AS248" s="26">
        <f t="shared" si="191"/>
        <v>1391.9</v>
      </c>
      <c r="AT248" s="26">
        <f t="shared" si="192"/>
        <v>22.178305028345793</v>
      </c>
      <c r="AU248" s="26">
        <f t="shared" si="193"/>
        <v>6.8590101254115021</v>
      </c>
      <c r="AV248" s="95">
        <f t="shared" si="194"/>
        <v>7.201333333333334E-7</v>
      </c>
      <c r="AW248" s="95">
        <f t="shared" si="195"/>
        <v>4161087</v>
      </c>
      <c r="AX248" s="95">
        <f t="shared" si="196"/>
        <v>4.1610870000000001E-6</v>
      </c>
      <c r="AY248" s="54">
        <f t="shared" si="197"/>
        <v>0.25762202780669918</v>
      </c>
      <c r="AZ248" s="54" t="str">
        <f>_xll.Dce_Name_SectI(AE248,AF248,AI248,AH248,AJ248,"x","-",$O$11)</f>
        <v>(528-1528)x300x10x14</v>
      </c>
      <c r="BA248" s="15">
        <f t="shared" si="198"/>
        <v>385.5</v>
      </c>
      <c r="BB248" s="54"/>
      <c r="BC248" s="54"/>
      <c r="BD248" s="22" t="s">
        <v>516</v>
      </c>
      <c r="BE248" s="23">
        <v>-302.18153954140661</v>
      </c>
      <c r="BF248" s="23">
        <v>-212.27420754666028</v>
      </c>
      <c r="BG248" s="23">
        <v>4.0652159949223273E-4</v>
      </c>
      <c r="BH248" s="23">
        <v>1.7580187559649115E-4</v>
      </c>
      <c r="BI248" s="23">
        <v>1.2072330491223722E-5</v>
      </c>
      <c r="BJ248" s="23">
        <v>-4.0171691408008749</v>
      </c>
      <c r="BK248" s="23">
        <v>871.8333758144388</v>
      </c>
      <c r="BL248" s="92">
        <v>2.25</v>
      </c>
      <c r="BM248" s="91">
        <v>2</v>
      </c>
      <c r="BN248" s="5">
        <f t="shared" si="199"/>
        <v>19.473749999999999</v>
      </c>
      <c r="BO248" s="54">
        <f>_xll.Bimoment(BH248,AY248,AC248,AD248,$O$101)</f>
        <v>0</v>
      </c>
      <c r="BP248" s="5">
        <f t="shared" si="200"/>
        <v>0.84</v>
      </c>
      <c r="BQ248" s="5">
        <f t="shared" si="201"/>
        <v>0.10822357415618913</v>
      </c>
      <c r="BR248" s="24" t="str">
        <f t="shared" si="202"/>
        <v>Cal</v>
      </c>
      <c r="BS248" s="25">
        <f t="shared" si="203"/>
        <v>9.8660017574153269E-2</v>
      </c>
      <c r="BT248" s="25" t="str">
        <f t="shared" si="204"/>
        <v>CT.105</v>
      </c>
      <c r="BU248" s="25">
        <f t="shared" si="205"/>
        <v>1</v>
      </c>
      <c r="BV248" s="25" cm="1">
        <f t="array" ref="BV248">IF(BT248="CT.104",_xll.TCVN5575AnnexEHeSoCx(1,BP248),1)</f>
        <v>1</v>
      </c>
      <c r="BW248" s="25">
        <f t="shared" si="206"/>
        <v>1</v>
      </c>
      <c r="BX248" s="25">
        <f t="shared" si="207"/>
        <v>0.10385265007805608</v>
      </c>
      <c r="BY248" s="25">
        <f t="shared" si="208"/>
        <v>7.4099792864741557E-3</v>
      </c>
      <c r="BZ248" s="25">
        <f t="shared" si="209"/>
        <v>1.3228455507480685E-7</v>
      </c>
      <c r="CA248" s="25">
        <f t="shared" si="210"/>
        <v>0</v>
      </c>
      <c r="CB248" s="25">
        <f t="shared" si="211"/>
        <v>0.11126276164908531</v>
      </c>
      <c r="CC248" s="5" t="str">
        <f t="shared" si="212"/>
        <v>OK</v>
      </c>
      <c r="CD248" s="5">
        <f t="shared" si="213"/>
        <v>87.805402509844015</v>
      </c>
      <c r="CE248" s="5">
        <f t="shared" si="214"/>
        <v>29.158726455153193</v>
      </c>
      <c r="CF248" s="5">
        <f t="shared" si="215"/>
        <v>2.9248163326364334</v>
      </c>
      <c r="CG248" s="5">
        <f t="shared" si="216"/>
        <v>0.97128328026682387</v>
      </c>
      <c r="CH248" s="5">
        <f t="shared" si="217"/>
        <v>7.1350892643613661E-2</v>
      </c>
      <c r="CI248" s="68">
        <f>_xll.DCETCVN5575PhuLucD2Eta(BP248,CH248,CF248)</f>
        <v>1.5167795404711844</v>
      </c>
      <c r="CJ248" s="5">
        <f t="shared" si="218"/>
        <v>0.10822357415618913</v>
      </c>
      <c r="CK248" s="5">
        <f>MIN(noisuy2chieu(CJ248,CF248,Data!$DA$2:$EB$24),1)</f>
        <v>0.67443990707397461</v>
      </c>
      <c r="CL248" s="102">
        <f t="shared" si="219"/>
        <v>0.15398354840628553</v>
      </c>
      <c r="CM248" s="5" t="str">
        <f t="shared" si="220"/>
        <v>OK</v>
      </c>
      <c r="CN248" s="5">
        <f t="shared" si="221"/>
        <v>0.90492218941026858</v>
      </c>
      <c r="CO248" s="5">
        <f t="shared" si="222"/>
        <v>0.5370345235716667</v>
      </c>
      <c r="CP248" s="25">
        <f>_xll.DCETCVNPhuLucFHeSoOnDinh(1, 0.2, AG248, AH248, AI248, AJ248, AI248, AJ248, $D$28)</f>
        <v>1</v>
      </c>
      <c r="CQ248" s="68">
        <f t="shared" si="223"/>
        <v>0.9</v>
      </c>
      <c r="CR248" s="68">
        <f t="shared" si="224"/>
        <v>1</v>
      </c>
      <c r="CS248" s="5">
        <f t="shared" si="225"/>
        <v>0.18181818181818182</v>
      </c>
      <c r="CT248" s="5">
        <f t="shared" si="226"/>
        <v>9.9510191986788829E-2</v>
      </c>
      <c r="CU248" s="26">
        <f t="shared" si="227"/>
        <v>15.48505612299255</v>
      </c>
      <c r="CV248" s="5"/>
      <c r="CW248" s="25"/>
      <c r="CX248" s="72">
        <f>MAX(_xll.Dce_c_925(CU248, CQ248, CR248, CN248, CP248, CS248, CT248),0.3)</f>
        <v>0.3</v>
      </c>
      <c r="CY248" s="102">
        <f t="shared" si="228"/>
        <v>0.38254725578758003</v>
      </c>
      <c r="CZ248" s="5" t="str">
        <f t="shared" si="229"/>
        <v>OK</v>
      </c>
      <c r="DA248" s="47">
        <f t="shared" si="230"/>
        <v>0.34499859601035404</v>
      </c>
      <c r="DB248" s="46">
        <f t="shared" si="231"/>
        <v>0.45712832802668235</v>
      </c>
      <c r="DC248" s="5" t="str">
        <f t="shared" si="232"/>
        <v>OK</v>
      </c>
      <c r="DD248" s="5">
        <f t="shared" si="233"/>
        <v>2.9248163326364334</v>
      </c>
      <c r="DE248" s="5">
        <f t="shared" si="234"/>
        <v>1.6655104634982609</v>
      </c>
      <c r="DF248" s="5" t="str">
        <f t="shared" si="235"/>
        <v>-</v>
      </c>
      <c r="DG248" s="5" t="str">
        <f t="shared" si="236"/>
        <v>-</v>
      </c>
      <c r="DH248" s="203" t="str">
        <f t="shared" si="237"/>
        <v>-</v>
      </c>
      <c r="DI248" s="203">
        <f t="shared" si="238"/>
        <v>180</v>
      </c>
      <c r="DJ248" s="46">
        <f t="shared" si="239"/>
        <v>0</v>
      </c>
      <c r="DK248" s="5" t="str">
        <f t="shared" si="240"/>
        <v>OK</v>
      </c>
      <c r="EB248" s="18"/>
      <c r="EC248" s="77"/>
      <c r="ED248" s="77"/>
      <c r="EE248" s="18"/>
      <c r="EF248" s="18"/>
      <c r="EG248" s="18"/>
      <c r="EH248" s="5"/>
      <c r="EI248" s="5"/>
      <c r="EJ248" s="5"/>
      <c r="EK248" s="5"/>
      <c r="EL248" s="5"/>
      <c r="FE248" s="26"/>
      <c r="FF248" s="26"/>
      <c r="FG248" s="26"/>
      <c r="FH248" s="26"/>
      <c r="FI248" s="26"/>
      <c r="FJ248" s="26"/>
      <c r="FK248" s="26"/>
      <c r="FL248" s="26"/>
      <c r="FM248" s="26"/>
      <c r="FN248" s="205"/>
      <c r="FO248" s="205"/>
      <c r="FP248" s="205"/>
      <c r="FQ248" s="205"/>
      <c r="FR248" s="205"/>
      <c r="FS248" s="205"/>
      <c r="FT248" s="205"/>
      <c r="FU248" s="77"/>
      <c r="FV248" s="77"/>
      <c r="FW248" s="77"/>
      <c r="FX248" s="205"/>
      <c r="FY248" s="205"/>
      <c r="FZ248" s="205"/>
      <c r="GA248" s="205"/>
      <c r="GB248" s="205"/>
      <c r="GC248" s="205"/>
      <c r="GD248" s="205"/>
      <c r="GE248" s="205"/>
      <c r="GF248" s="205"/>
      <c r="GG248" s="205"/>
      <c r="GH248" s="205"/>
      <c r="GI248" s="205"/>
      <c r="GJ248" s="205"/>
      <c r="GK248" s="205"/>
      <c r="GL248" s="205"/>
      <c r="GM248" s="205"/>
      <c r="GN248" s="205"/>
      <c r="GO248" s="205"/>
      <c r="GP248" s="205"/>
      <c r="GQ248" s="205"/>
      <c r="GR248" s="205"/>
      <c r="GS248" s="205"/>
      <c r="GT248" s="205"/>
      <c r="GU248" s="205"/>
      <c r="GV248" s="18"/>
      <c r="GW248" s="5"/>
      <c r="GX248" s="5"/>
      <c r="GY248" s="77"/>
      <c r="GZ248" s="18"/>
      <c r="HA248" s="18"/>
      <c r="HB248" s="18"/>
      <c r="HC248" s="18"/>
      <c r="HD248" s="18"/>
      <c r="HE248" s="18"/>
      <c r="HF248" s="18"/>
      <c r="HG248" s="18"/>
      <c r="HH248" s="205"/>
      <c r="HI248" s="26"/>
      <c r="HJ248" s="26"/>
      <c r="HK248" s="5"/>
    </row>
    <row r="249" spans="27:219">
      <c r="AA249" s="18" t="s">
        <v>488</v>
      </c>
      <c r="AB249" s="22" t="s">
        <v>491</v>
      </c>
      <c r="AC249" s="59">
        <v>3.6405952380952398</v>
      </c>
      <c r="AD249" s="59">
        <v>8.6549999999999994</v>
      </c>
      <c r="AE249" s="22">
        <v>528</v>
      </c>
      <c r="AF249" s="22">
        <v>1528</v>
      </c>
      <c r="AG249" s="22">
        <v>948.63492063492095</v>
      </c>
      <c r="AH249" s="6">
        <v>10</v>
      </c>
      <c r="AI249" s="6">
        <v>300</v>
      </c>
      <c r="AJ249" s="6">
        <v>14</v>
      </c>
      <c r="AK249" s="24">
        <v>300</v>
      </c>
      <c r="AL249" s="24">
        <v>14</v>
      </c>
      <c r="AM249" s="5">
        <f t="shared" si="185"/>
        <v>920.63492063492095</v>
      </c>
      <c r="AN249" s="26">
        <f t="shared" si="186"/>
        <v>176.06349206349208</v>
      </c>
      <c r="AO249" s="26">
        <f t="shared" si="187"/>
        <v>248482.7399356656</v>
      </c>
      <c r="AP249" s="15">
        <f t="shared" si="188"/>
        <v>6307.6719576719579</v>
      </c>
      <c r="AQ249" s="5">
        <f t="shared" si="189"/>
        <v>5238.7432621467533</v>
      </c>
      <c r="AR249" s="26">
        <f t="shared" si="190"/>
        <v>420.51146384479722</v>
      </c>
      <c r="AS249" s="26">
        <f t="shared" si="191"/>
        <v>3022.1941546989178</v>
      </c>
      <c r="AT249" s="26">
        <f t="shared" si="192"/>
        <v>37.567600585756203</v>
      </c>
      <c r="AU249" s="26">
        <f t="shared" si="193"/>
        <v>5.9854925384629922</v>
      </c>
      <c r="AV249" s="95">
        <f t="shared" si="194"/>
        <v>8.6034497354497351E-7</v>
      </c>
      <c r="AW249" s="95">
        <f t="shared" si="195"/>
        <v>13758293.349206358</v>
      </c>
      <c r="AX249" s="95">
        <f t="shared" si="196"/>
        <v>1.3758293349206359E-5</v>
      </c>
      <c r="AY249" s="54">
        <f t="shared" si="197"/>
        <v>0.1548581140202015</v>
      </c>
      <c r="AZ249" s="54" t="str">
        <f>_xll.Dce_Name_SectI(AE249,AF249,AI249,AH249,AJ249,"x","-",$O$11)</f>
        <v>(528-1528)x300x10x14</v>
      </c>
      <c r="BA249" s="15">
        <f t="shared" si="198"/>
        <v>700.97619047619071</v>
      </c>
      <c r="BB249" s="54"/>
      <c r="BC249" s="54"/>
      <c r="BD249" s="22" t="s">
        <v>516</v>
      </c>
      <c r="BE249" s="23">
        <v>-299.12252385484078</v>
      </c>
      <c r="BF249" s="23">
        <v>-239.44563973394284</v>
      </c>
      <c r="BG249" s="23">
        <v>4.0652159949056496E-4</v>
      </c>
      <c r="BH249" s="23">
        <v>1.7580187559649115E-4</v>
      </c>
      <c r="BI249" s="23">
        <v>-1.4713936490502015E-3</v>
      </c>
      <c r="BJ249" s="23">
        <v>820.15165192462348</v>
      </c>
      <c r="BK249" s="23">
        <v>871.8333758144388</v>
      </c>
      <c r="BL249" s="92">
        <v>2.25</v>
      </c>
      <c r="BM249" s="91">
        <v>2</v>
      </c>
      <c r="BN249" s="5">
        <f t="shared" si="199"/>
        <v>19.473749999999999</v>
      </c>
      <c r="BO249" s="54">
        <f>_xll.Bimoment(BH249,AY249,AC249,AD249,$O$101)</f>
        <v>-1.3520336287529688E-3</v>
      </c>
      <c r="BP249" s="5">
        <f t="shared" si="200"/>
        <v>0.45620689655172403</v>
      </c>
      <c r="BQ249" s="5">
        <f t="shared" si="201"/>
        <v>11.437826089274573</v>
      </c>
      <c r="BR249" s="24" t="str">
        <f t="shared" si="202"/>
        <v>Cal</v>
      </c>
      <c r="BS249" s="25">
        <f t="shared" si="203"/>
        <v>7.4328926827885403E-2</v>
      </c>
      <c r="BT249" s="25" t="str">
        <f t="shared" si="204"/>
        <v>CT.105</v>
      </c>
      <c r="BU249" s="25">
        <f t="shared" si="205"/>
        <v>1</v>
      </c>
      <c r="BV249" s="25" cm="1">
        <f t="array" ref="BV249">IF(BT249="CT.104",_xll.TCVN5575AnnexEHeSoCx(1,BP249),1)</f>
        <v>1</v>
      </c>
      <c r="BW249" s="25">
        <f t="shared" si="206"/>
        <v>1</v>
      </c>
      <c r="BX249" s="25">
        <f t="shared" si="207"/>
        <v>7.8240975608300428E-2</v>
      </c>
      <c r="BY249" s="25">
        <f t="shared" si="208"/>
        <v>0.72097714995623152</v>
      </c>
      <c r="BZ249" s="25">
        <f t="shared" si="209"/>
        <v>1.611407903312748E-5</v>
      </c>
      <c r="CA249" s="25">
        <f t="shared" si="210"/>
        <v>3.1723467233097258E-5</v>
      </c>
      <c r="CB249" s="25">
        <f t="shared" si="211"/>
        <v>0.79926596311079823</v>
      </c>
      <c r="CC249" s="5" t="str">
        <f t="shared" si="212"/>
        <v>OK</v>
      </c>
      <c r="CD249" s="5">
        <f t="shared" si="213"/>
        <v>51.836555160202302</v>
      </c>
      <c r="CE249" s="5">
        <f t="shared" si="214"/>
        <v>33.414125690541383</v>
      </c>
      <c r="CF249" s="5">
        <f t="shared" si="215"/>
        <v>1.7266865002204341</v>
      </c>
      <c r="CG249" s="5">
        <f t="shared" si="216"/>
        <v>1.1130315193248546</v>
      </c>
      <c r="CH249" s="5">
        <f t="shared" si="217"/>
        <v>9.2148282194955726</v>
      </c>
      <c r="CI249" s="68">
        <f>_xll.DCETCVN5575PhuLucD2Eta(BP249,CH249,CF249)</f>
        <v>1.2412413793103447</v>
      </c>
      <c r="CJ249" s="5">
        <f t="shared" si="218"/>
        <v>11.437826089274573</v>
      </c>
      <c r="CK249" s="5">
        <f>MIN(noisuy2chieu(CJ249,CF249,Data!$DA$2:$EB$24),1)</f>
        <v>0.1161932498216629</v>
      </c>
      <c r="CL249" s="102">
        <f t="shared" si="219"/>
        <v>0.6733693715287864</v>
      </c>
      <c r="CM249" s="5" t="str">
        <f t="shared" si="220"/>
        <v>OK</v>
      </c>
      <c r="CN249" s="5">
        <f t="shared" si="221"/>
        <v>0.88472625978979058</v>
      </c>
      <c r="CO249" s="5">
        <f t="shared" si="222"/>
        <v>0.5370345235716667</v>
      </c>
      <c r="CP249" s="25">
        <f>_xll.DCETCVNPhuLucFHeSoOnDinh(1, 0.2, AG249, AH249, AI249, AJ249, AI249, AJ249, $D$28)</f>
        <v>1</v>
      </c>
      <c r="CQ249" s="68">
        <f t="shared" si="223"/>
        <v>0.9</v>
      </c>
      <c r="CR249" s="68">
        <f t="shared" si="224"/>
        <v>1</v>
      </c>
      <c r="CS249" s="5">
        <f t="shared" si="225"/>
        <v>0.18181818181818182</v>
      </c>
      <c r="CT249" s="5">
        <f t="shared" si="226"/>
        <v>0.10155106457844131</v>
      </c>
      <c r="CU249" s="26">
        <f t="shared" si="227"/>
        <v>9.7954991315329671</v>
      </c>
      <c r="CV249" s="5"/>
      <c r="CW249" s="25"/>
      <c r="CX249" s="72">
        <f>MAX(_xll.Dce_c_925(CU249, CQ249, CR249, CN249, CP249, CS249, CT249),0.3)</f>
        <v>0.3</v>
      </c>
      <c r="CY249" s="102">
        <f t="shared" si="228"/>
        <v>0.29478412010697463</v>
      </c>
      <c r="CZ249" s="5" t="str">
        <f t="shared" si="229"/>
        <v>OK</v>
      </c>
      <c r="DA249" s="47">
        <f t="shared" si="230"/>
        <v>0.34499859601035404</v>
      </c>
      <c r="DB249" s="46">
        <f t="shared" si="231"/>
        <v>0.47130315193248545</v>
      </c>
      <c r="DC249" s="5" t="str">
        <f t="shared" si="232"/>
        <v>OK</v>
      </c>
      <c r="DD249" s="5">
        <f t="shared" si="233"/>
        <v>1.7266865002204341</v>
      </c>
      <c r="DE249" s="5">
        <f t="shared" si="234"/>
        <v>3.0666541867587034</v>
      </c>
      <c r="DF249" s="5">
        <f t="shared" si="235"/>
        <v>1.7472169405065237</v>
      </c>
      <c r="DG249" s="5" t="str">
        <f t="shared" si="236"/>
        <v>Gia cường</v>
      </c>
      <c r="DH249" s="203">
        <f t="shared" si="237"/>
        <v>51.836555160202302</v>
      </c>
      <c r="DI249" s="203">
        <f t="shared" si="238"/>
        <v>169.59783770827281</v>
      </c>
      <c r="DJ249" s="46">
        <f t="shared" si="239"/>
        <v>0.30564396256847898</v>
      </c>
      <c r="DK249" s="5" t="str">
        <f t="shared" si="240"/>
        <v>OK</v>
      </c>
      <c r="EB249" s="18"/>
      <c r="EC249" s="77"/>
      <c r="ED249" s="77"/>
      <c r="EE249" s="18"/>
      <c r="EF249" s="18"/>
      <c r="EG249" s="18"/>
      <c r="EH249" s="5"/>
      <c r="EI249" s="5"/>
      <c r="EJ249" s="5"/>
      <c r="EK249" s="5"/>
      <c r="EL249" s="5"/>
      <c r="FE249" s="26"/>
      <c r="FF249" s="26"/>
      <c r="FG249" s="26"/>
      <c r="FH249" s="26"/>
      <c r="FI249" s="26"/>
      <c r="FJ249" s="26"/>
      <c r="FK249" s="26"/>
      <c r="FL249" s="26"/>
      <c r="FM249" s="26"/>
      <c r="FN249" s="205"/>
      <c r="FO249" s="205"/>
      <c r="FP249" s="205"/>
      <c r="FQ249" s="205"/>
      <c r="FR249" s="205"/>
      <c r="FS249" s="205"/>
      <c r="FT249" s="205"/>
      <c r="FU249" s="77"/>
      <c r="FV249" s="77"/>
      <c r="FW249" s="77"/>
      <c r="FX249" s="205"/>
      <c r="FY249" s="205"/>
      <c r="FZ249" s="205"/>
      <c r="GA249" s="205"/>
      <c r="GB249" s="205"/>
      <c r="GC249" s="205"/>
      <c r="GD249" s="205"/>
      <c r="GE249" s="205"/>
      <c r="GF249" s="205"/>
      <c r="GG249" s="205"/>
      <c r="GH249" s="205"/>
      <c r="GI249" s="205"/>
      <c r="GJ249" s="205"/>
      <c r="GK249" s="205"/>
      <c r="GL249" s="205"/>
      <c r="GM249" s="205"/>
      <c r="GN249" s="205"/>
      <c r="GO249" s="205"/>
      <c r="GP249" s="205"/>
      <c r="GQ249" s="205"/>
      <c r="GR249" s="205"/>
      <c r="GS249" s="205"/>
      <c r="GT249" s="205"/>
      <c r="GU249" s="205"/>
      <c r="GV249" s="18"/>
      <c r="GW249" s="5"/>
      <c r="GX249" s="5"/>
      <c r="GY249" s="77"/>
      <c r="GZ249" s="18"/>
      <c r="HA249" s="18"/>
      <c r="HB249" s="18"/>
      <c r="HC249" s="18"/>
      <c r="HD249" s="18"/>
      <c r="HE249" s="18"/>
      <c r="HF249" s="18"/>
      <c r="HG249" s="18"/>
      <c r="HH249" s="205"/>
      <c r="HI249" s="26"/>
      <c r="HJ249" s="26"/>
      <c r="HK249" s="5"/>
    </row>
    <row r="250" spans="27:219">
      <c r="AA250" s="18" t="s">
        <v>488</v>
      </c>
      <c r="AB250" s="22" t="s">
        <v>491</v>
      </c>
      <c r="AC250" s="59">
        <v>7.2811904761904795</v>
      </c>
      <c r="AD250" s="59">
        <v>8.6549999999999994</v>
      </c>
      <c r="AE250" s="22">
        <v>528</v>
      </c>
      <c r="AF250" s="22">
        <v>1528</v>
      </c>
      <c r="AG250" s="22">
        <v>1369.2698412698419</v>
      </c>
      <c r="AH250" s="6">
        <v>10</v>
      </c>
      <c r="AI250" s="6">
        <v>300</v>
      </c>
      <c r="AJ250" s="6">
        <v>14</v>
      </c>
      <c r="AK250" s="24">
        <v>300</v>
      </c>
      <c r="AL250" s="24">
        <v>14</v>
      </c>
      <c r="AM250" s="5">
        <f t="shared" si="185"/>
        <v>1341.2698412698419</v>
      </c>
      <c r="AN250" s="26">
        <f t="shared" si="186"/>
        <v>218.12698412698418</v>
      </c>
      <c r="AO250" s="26">
        <f t="shared" si="187"/>
        <v>586811.79072745051</v>
      </c>
      <c r="AP250" s="15">
        <f t="shared" si="188"/>
        <v>6311.1772486772488</v>
      </c>
      <c r="AQ250" s="5">
        <f t="shared" si="189"/>
        <v>8571.1635945074104</v>
      </c>
      <c r="AR250" s="26">
        <f t="shared" si="190"/>
        <v>420.74514991181661</v>
      </c>
      <c r="AS250" s="26">
        <f t="shared" si="191"/>
        <v>5094.8226505417015</v>
      </c>
      <c r="AT250" s="26">
        <f t="shared" si="192"/>
        <v>51.867428670398397</v>
      </c>
      <c r="AU250" s="26">
        <f t="shared" si="193"/>
        <v>5.3789869588463937</v>
      </c>
      <c r="AV250" s="95">
        <f t="shared" si="194"/>
        <v>1.0005566137566139E-6</v>
      </c>
      <c r="AW250" s="95">
        <f t="shared" si="195"/>
        <v>28928912.396825422</v>
      </c>
      <c r="AX250" s="95">
        <f t="shared" si="196"/>
        <v>2.8928912396825422E-5</v>
      </c>
      <c r="AY250" s="54">
        <f t="shared" si="197"/>
        <v>0.11516876660535029</v>
      </c>
      <c r="AZ250" s="54" t="str">
        <f>_xll.Dce_Name_SectI(AE250,AF250,AI250,AH250,AJ250,"x","-",$O$11)</f>
        <v>(528-1528)x300x10x14</v>
      </c>
      <c r="BA250" s="15">
        <f t="shared" si="198"/>
        <v>1016.4523809523813</v>
      </c>
      <c r="BB250" s="54"/>
      <c r="BC250" s="54"/>
      <c r="BD250" s="22" t="s">
        <v>516</v>
      </c>
      <c r="BE250" s="23">
        <v>-294.52207241778257</v>
      </c>
      <c r="BF250" s="23">
        <v>-266.72292245181745</v>
      </c>
      <c r="BG250" s="23">
        <v>4.0652159948889084E-4</v>
      </c>
      <c r="BH250" s="23">
        <v>1.7580187559649115E-4</v>
      </c>
      <c r="BI250" s="23">
        <v>-2.9548596285855302E-3</v>
      </c>
      <c r="BJ250" s="23">
        <v>1743.6667516288776</v>
      </c>
      <c r="BK250" s="23">
        <v>871.8333758144388</v>
      </c>
      <c r="BL250" s="92">
        <v>2.25</v>
      </c>
      <c r="BM250" s="91">
        <v>2</v>
      </c>
      <c r="BN250" s="5">
        <f t="shared" si="199"/>
        <v>19.473749999999999</v>
      </c>
      <c r="BO250" s="54">
        <f>_xll.Bimoment(BH250,AY250,AC250,AD250,$O$101)</f>
        <v>-8.0423563911037783E-4</v>
      </c>
      <c r="BP250" s="5">
        <f t="shared" si="200"/>
        <v>0.31313609467455605</v>
      </c>
      <c r="BQ250" s="5">
        <f t="shared" si="201"/>
        <v>18.270168863404709</v>
      </c>
      <c r="BR250" s="24" t="str">
        <f t="shared" si="202"/>
        <v>Cal</v>
      </c>
      <c r="BS250" s="25">
        <f t="shared" si="203"/>
        <v>5.9072657699134994E-2</v>
      </c>
      <c r="BT250" s="25" t="str">
        <f t="shared" si="204"/>
        <v>CT.105</v>
      </c>
      <c r="BU250" s="25">
        <f t="shared" si="205"/>
        <v>1</v>
      </c>
      <c r="BV250" s="25" cm="1">
        <f t="array" ref="BV250">IF(BT250="CT.104",_xll.TCVN5575AnnexEHeSoCx(1,BP250),1)</f>
        <v>1</v>
      </c>
      <c r="BW250" s="25">
        <f t="shared" si="206"/>
        <v>1</v>
      </c>
      <c r="BX250" s="25">
        <f t="shared" si="207"/>
        <v>6.2181744946457888E-2</v>
      </c>
      <c r="BY250" s="25">
        <f t="shared" si="208"/>
        <v>0.93686745823732631</v>
      </c>
      <c r="BZ250" s="25">
        <f t="shared" si="209"/>
        <v>3.2342395835406617E-5</v>
      </c>
      <c r="CA250" s="25">
        <f t="shared" si="210"/>
        <v>1.3013457493596831E-5</v>
      </c>
      <c r="CB250" s="25">
        <f t="shared" si="211"/>
        <v>0.99909455903711319</v>
      </c>
      <c r="CC250" s="5" t="str">
        <f t="shared" si="212"/>
        <v>OK</v>
      </c>
      <c r="CD250" s="5">
        <f t="shared" si="213"/>
        <v>37.545238889226049</v>
      </c>
      <c r="CE250" s="5">
        <f t="shared" si="214"/>
        <v>37.181722419139881</v>
      </c>
      <c r="CF250" s="5">
        <f t="shared" si="215"/>
        <v>1.2506397644909562</v>
      </c>
      <c r="CG250" s="5">
        <f t="shared" si="216"/>
        <v>1.2385309547993069</v>
      </c>
      <c r="CH250" s="5">
        <f t="shared" si="217"/>
        <v>15.066599675580411</v>
      </c>
      <c r="CI250" s="68">
        <f>_xll.DCETCVN5575PhuLucD2Eta(BP250,CH250,CF250)</f>
        <v>1.2126272189349112</v>
      </c>
      <c r="CJ250" s="5">
        <f t="shared" si="218"/>
        <v>18.270168863404709</v>
      </c>
      <c r="CK250" s="5">
        <f>MIN(noisuy2chieu(CJ250,CF250,Data!$DA$2:$EB$24),1)</f>
        <v>7.8914210200309753E-2</v>
      </c>
      <c r="CL250" s="102">
        <f t="shared" si="219"/>
        <v>0.78796638512405481</v>
      </c>
      <c r="CM250" s="5" t="str">
        <f t="shared" si="220"/>
        <v>OK</v>
      </c>
      <c r="CN250" s="5">
        <f t="shared" si="221"/>
        <v>0.86643683692746631</v>
      </c>
      <c r="CO250" s="5">
        <f t="shared" si="222"/>
        <v>0.5370345235716667</v>
      </c>
      <c r="CP250" s="25">
        <f>_xll.DCETCVNPhuLucFHeSoOnDinh(1, 0.2, AG250, AH250, AI250, AJ250, AI250, AJ250, $D$28)</f>
        <v>1</v>
      </c>
      <c r="CQ250" s="68">
        <f t="shared" si="223"/>
        <v>0.9</v>
      </c>
      <c r="CR250" s="68">
        <f t="shared" si="224"/>
        <v>1</v>
      </c>
      <c r="CS250" s="5">
        <f t="shared" si="225"/>
        <v>0.18181818181818182</v>
      </c>
      <c r="CT250" s="5">
        <f t="shared" si="226"/>
        <v>0.10347287704587492</v>
      </c>
      <c r="CU250" s="26">
        <f t="shared" si="227"/>
        <v>7.5332998377902056</v>
      </c>
      <c r="CV250" s="5"/>
      <c r="CW250" s="25"/>
      <c r="CX250" s="72">
        <f>MAX(_xll.Dce_c_925(CU250, CQ250, CR250, CN250, CP250, CS250, CT250),0.3)</f>
        <v>0.3</v>
      </c>
      <c r="CY250" s="102">
        <f t="shared" si="228"/>
        <v>0.23922399685807849</v>
      </c>
      <c r="CZ250" s="5" t="str">
        <f t="shared" si="229"/>
        <v>OK</v>
      </c>
      <c r="DA250" s="47">
        <f t="shared" si="230"/>
        <v>0.34499859601035404</v>
      </c>
      <c r="DB250" s="46">
        <f t="shared" si="231"/>
        <v>0.48385309547993066</v>
      </c>
      <c r="DC250" s="5" t="str">
        <f t="shared" si="232"/>
        <v>OK</v>
      </c>
      <c r="DD250" s="5">
        <f t="shared" si="233"/>
        <v>1.2506397644909562</v>
      </c>
      <c r="DE250" s="5">
        <f t="shared" si="234"/>
        <v>4.4677979100191463</v>
      </c>
      <c r="DF250" s="5" t="str">
        <f t="shared" si="235"/>
        <v>-</v>
      </c>
      <c r="DG250" s="5" t="str">
        <f t="shared" si="236"/>
        <v>-</v>
      </c>
      <c r="DH250" s="203">
        <f t="shared" si="237"/>
        <v>37.545238889226049</v>
      </c>
      <c r="DI250" s="203">
        <f t="shared" si="238"/>
        <v>162.72201689255672</v>
      </c>
      <c r="DJ250" s="46">
        <f t="shared" si="239"/>
        <v>0.23073238401424617</v>
      </c>
      <c r="DK250" s="5" t="str">
        <f t="shared" si="240"/>
        <v>OK</v>
      </c>
      <c r="EB250" s="18"/>
      <c r="EC250" s="77"/>
      <c r="ED250" s="77"/>
      <c r="EE250" s="18"/>
      <c r="EF250" s="18"/>
      <c r="EG250" s="18"/>
      <c r="EH250" s="5"/>
      <c r="EI250" s="5"/>
      <c r="EJ250" s="5"/>
      <c r="EK250" s="5"/>
      <c r="EL250" s="5"/>
      <c r="FE250" s="26"/>
      <c r="FF250" s="26"/>
      <c r="FG250" s="26"/>
      <c r="FH250" s="26"/>
      <c r="FI250" s="26"/>
      <c r="FJ250" s="26"/>
      <c r="FK250" s="26"/>
      <c r="FL250" s="26"/>
      <c r="FM250" s="26"/>
      <c r="FN250" s="205"/>
      <c r="FO250" s="205"/>
      <c r="FP250" s="205"/>
      <c r="FQ250" s="205"/>
      <c r="FR250" s="205"/>
      <c r="FS250" s="205"/>
      <c r="FT250" s="205"/>
      <c r="FU250" s="77"/>
      <c r="FV250" s="77"/>
      <c r="FW250" s="77"/>
      <c r="FX250" s="205"/>
      <c r="FY250" s="205"/>
      <c r="FZ250" s="205"/>
      <c r="GA250" s="205"/>
      <c r="GB250" s="205"/>
      <c r="GC250" s="205"/>
      <c r="GD250" s="205"/>
      <c r="GE250" s="205"/>
      <c r="GF250" s="205"/>
      <c r="GG250" s="205"/>
      <c r="GH250" s="205"/>
      <c r="GI250" s="205"/>
      <c r="GJ250" s="205"/>
      <c r="GK250" s="205"/>
      <c r="GL250" s="205"/>
      <c r="GM250" s="205"/>
      <c r="GN250" s="205"/>
      <c r="GO250" s="205"/>
      <c r="GP250" s="205"/>
      <c r="GQ250" s="205"/>
      <c r="GR250" s="205"/>
      <c r="GS250" s="205"/>
      <c r="GT250" s="205"/>
      <c r="GU250" s="205"/>
      <c r="GV250" s="18"/>
      <c r="GW250" s="5"/>
      <c r="GX250" s="5"/>
      <c r="GY250" s="77"/>
      <c r="GZ250" s="18"/>
      <c r="HA250" s="18"/>
      <c r="HB250" s="18"/>
      <c r="HC250" s="18"/>
      <c r="HD250" s="18"/>
      <c r="HE250" s="18"/>
      <c r="HF250" s="18"/>
      <c r="HG250" s="18"/>
      <c r="HH250" s="205"/>
      <c r="HI250" s="26"/>
      <c r="HJ250" s="26"/>
      <c r="HK250" s="5"/>
    </row>
    <row r="251" spans="27:219">
      <c r="AA251" s="18" t="s">
        <v>488</v>
      </c>
      <c r="AB251" s="22" t="s">
        <v>491</v>
      </c>
      <c r="AC251" s="59">
        <v>0</v>
      </c>
      <c r="AD251" s="59">
        <v>8.6549999999999994</v>
      </c>
      <c r="AE251" s="22">
        <v>528</v>
      </c>
      <c r="AF251" s="22">
        <v>1528</v>
      </c>
      <c r="AG251" s="22">
        <v>528</v>
      </c>
      <c r="AH251" s="6">
        <v>10</v>
      </c>
      <c r="AI251" s="6">
        <v>300</v>
      </c>
      <c r="AJ251" s="6">
        <v>14</v>
      </c>
      <c r="AK251" s="24">
        <v>300</v>
      </c>
      <c r="AL251" s="24">
        <v>14</v>
      </c>
      <c r="AM251" s="5">
        <f t="shared" si="185"/>
        <v>500</v>
      </c>
      <c r="AN251" s="26">
        <f t="shared" si="186"/>
        <v>134</v>
      </c>
      <c r="AO251" s="26">
        <f t="shared" si="187"/>
        <v>65911.546666666676</v>
      </c>
      <c r="AP251" s="15">
        <f t="shared" si="188"/>
        <v>6304.166666666667</v>
      </c>
      <c r="AQ251" s="5">
        <f t="shared" si="189"/>
        <v>2496.6494949494954</v>
      </c>
      <c r="AR251" s="26">
        <f t="shared" si="190"/>
        <v>420.27777777777777</v>
      </c>
      <c r="AS251" s="26">
        <f t="shared" si="191"/>
        <v>1391.9</v>
      </c>
      <c r="AT251" s="26">
        <f t="shared" si="192"/>
        <v>22.178305028345793</v>
      </c>
      <c r="AU251" s="26">
        <f t="shared" si="193"/>
        <v>6.8590101254115021</v>
      </c>
      <c r="AV251" s="95">
        <f t="shared" si="194"/>
        <v>7.201333333333334E-7</v>
      </c>
      <c r="AW251" s="95">
        <f t="shared" si="195"/>
        <v>4161087</v>
      </c>
      <c r="AX251" s="95">
        <f t="shared" si="196"/>
        <v>4.1610870000000001E-6</v>
      </c>
      <c r="AY251" s="54">
        <f t="shared" si="197"/>
        <v>0.25762202780669918</v>
      </c>
      <c r="AZ251" s="54" t="str">
        <f>_xll.Dce_Name_SectI(AE251,AF251,AI251,AH251,AJ251,"x","-",$O$11)</f>
        <v>(528-1528)x300x10x14</v>
      </c>
      <c r="BA251" s="15">
        <f t="shared" si="198"/>
        <v>385.5</v>
      </c>
      <c r="BB251" s="54"/>
      <c r="BC251" s="54"/>
      <c r="BD251" s="22" t="s">
        <v>517</v>
      </c>
      <c r="BE251" s="23">
        <v>-63.872398515872447</v>
      </c>
      <c r="BF251" s="23">
        <v>-71.215330678919088</v>
      </c>
      <c r="BG251" s="23">
        <v>-4.9704464151404109E-4</v>
      </c>
      <c r="BH251" s="23">
        <v>5.6006280283426533E-5</v>
      </c>
      <c r="BI251" s="23">
        <v>3.8459562667014522E-6</v>
      </c>
      <c r="BJ251" s="23">
        <v>-0.82385279044110948</v>
      </c>
      <c r="BK251" s="23">
        <v>206.35487219211984</v>
      </c>
      <c r="BL251" s="92">
        <v>2.25</v>
      </c>
      <c r="BM251" s="91">
        <v>2</v>
      </c>
      <c r="BN251" s="5">
        <f t="shared" si="199"/>
        <v>19.473749999999999</v>
      </c>
      <c r="BO251" s="54">
        <f>_xll.Bimoment(BH251,AY251,AC251,AD251,$O$101)</f>
        <v>0</v>
      </c>
      <c r="BP251" s="5">
        <f t="shared" si="200"/>
        <v>0.84</v>
      </c>
      <c r="BQ251" s="5">
        <f t="shared" si="201"/>
        <v>0.10501015507680485</v>
      </c>
      <c r="BR251" s="24" t="str">
        <f t="shared" si="202"/>
        <v>Cal</v>
      </c>
      <c r="BS251" s="25">
        <f t="shared" si="203"/>
        <v>2.0853861455741935E-2</v>
      </c>
      <c r="BT251" s="25" t="str">
        <f t="shared" si="204"/>
        <v>CT.105</v>
      </c>
      <c r="BU251" s="25">
        <f t="shared" si="205"/>
        <v>1</v>
      </c>
      <c r="BV251" s="25" cm="1">
        <f t="array" ref="BV251">IF(BT251="CT.104",_xll.TCVN5575AnnexEHeSoCx(1,BP251),1)</f>
        <v>1</v>
      </c>
      <c r="BW251" s="25">
        <f t="shared" si="206"/>
        <v>1</v>
      </c>
      <c r="BX251" s="25">
        <f t="shared" si="207"/>
        <v>2.1951433111307303E-2</v>
      </c>
      <c r="BY251" s="25">
        <f t="shared" si="208"/>
        <v>1.5196602130264042E-3</v>
      </c>
      <c r="BZ251" s="25">
        <f t="shared" si="209"/>
        <v>4.2142700943088236E-8</v>
      </c>
      <c r="CA251" s="25">
        <f t="shared" si="210"/>
        <v>0</v>
      </c>
      <c r="CB251" s="25">
        <f t="shared" si="211"/>
        <v>2.3471135467034651E-2</v>
      </c>
      <c r="CC251" s="5" t="str">
        <f t="shared" si="212"/>
        <v>OK</v>
      </c>
      <c r="CD251" s="5">
        <f t="shared" si="213"/>
        <v>87.805402509844015</v>
      </c>
      <c r="CE251" s="5">
        <f t="shared" si="214"/>
        <v>29.158726455153193</v>
      </c>
      <c r="CF251" s="5">
        <f t="shared" si="215"/>
        <v>2.9248163326364334</v>
      </c>
      <c r="CG251" s="5">
        <f t="shared" si="216"/>
        <v>0.97128328026682387</v>
      </c>
      <c r="CH251" s="5">
        <f t="shared" si="217"/>
        <v>6.9228291625461985E-2</v>
      </c>
      <c r="CI251" s="68">
        <f>_xll.DCETCVN5575PhuLucD2Eta(BP251,CH251,CF251)</f>
        <v>1.516867636210488</v>
      </c>
      <c r="CJ251" s="5">
        <f t="shared" si="218"/>
        <v>0.10501015507680485</v>
      </c>
      <c r="CK251" s="5">
        <f>MIN(noisuy2chieu(CJ251,CF251,Data!$DA$2:$EB$24),1)</f>
        <v>0.67593950033187866</v>
      </c>
      <c r="CL251" s="102">
        <f t="shared" si="219"/>
        <v>3.2475440628235812E-2</v>
      </c>
      <c r="CM251" s="5" t="str">
        <f t="shared" si="220"/>
        <v>OK</v>
      </c>
      <c r="CN251" s="5">
        <f t="shared" si="221"/>
        <v>0.90492218941026858</v>
      </c>
      <c r="CO251" s="5">
        <f t="shared" si="222"/>
        <v>0.5370345235716667</v>
      </c>
      <c r="CP251" s="25">
        <f>_xll.DCETCVNPhuLucFHeSoOnDinh(1, 0.2, AG251, AH251, AI251, AJ251, AI251, AJ251, $D$28)</f>
        <v>1</v>
      </c>
      <c r="CQ251" s="68">
        <f t="shared" si="223"/>
        <v>0.9</v>
      </c>
      <c r="CR251" s="68">
        <f t="shared" si="224"/>
        <v>1</v>
      </c>
      <c r="CS251" s="5">
        <f t="shared" si="225"/>
        <v>0.18181818181818182</v>
      </c>
      <c r="CT251" s="5">
        <f t="shared" si="226"/>
        <v>9.9510191986788829E-2</v>
      </c>
      <c r="CU251" s="26">
        <f t="shared" si="227"/>
        <v>17.33998529373455</v>
      </c>
      <c r="CV251" s="5"/>
      <c r="CW251" s="25"/>
      <c r="CX251" s="72">
        <f>MAX(_xll.Dce_c_925(CU251, CQ251, CR251, CN251, CP251, CS251, CT251),0.3)</f>
        <v>0.3</v>
      </c>
      <c r="CY251" s="102">
        <f t="shared" si="228"/>
        <v>8.0859376154808399E-2</v>
      </c>
      <c r="CZ251" s="5" t="str">
        <f t="shared" si="229"/>
        <v>OK</v>
      </c>
      <c r="DA251" s="47">
        <f t="shared" si="230"/>
        <v>0.34499859601035404</v>
      </c>
      <c r="DB251" s="46">
        <f t="shared" si="231"/>
        <v>0.45712832802668235</v>
      </c>
      <c r="DC251" s="5" t="str">
        <f t="shared" si="232"/>
        <v>OK</v>
      </c>
      <c r="DD251" s="5">
        <f t="shared" si="233"/>
        <v>2.9248163326364334</v>
      </c>
      <c r="DE251" s="5">
        <f t="shared" si="234"/>
        <v>1.6655104634982609</v>
      </c>
      <c r="DF251" s="5" t="str">
        <f t="shared" si="235"/>
        <v>-</v>
      </c>
      <c r="DG251" s="5" t="str">
        <f t="shared" si="236"/>
        <v>-</v>
      </c>
      <c r="DH251" s="203" t="str">
        <f t="shared" si="237"/>
        <v>-</v>
      </c>
      <c r="DI251" s="203">
        <f t="shared" si="238"/>
        <v>180</v>
      </c>
      <c r="DJ251" s="46">
        <f t="shared" si="239"/>
        <v>0</v>
      </c>
      <c r="DK251" s="5" t="str">
        <f t="shared" si="240"/>
        <v>OK</v>
      </c>
      <c r="EB251" s="18"/>
      <c r="EC251" s="77"/>
      <c r="ED251" s="77"/>
      <c r="EE251" s="18"/>
      <c r="EF251" s="18"/>
      <c r="EG251" s="18"/>
      <c r="EH251" s="5"/>
      <c r="EI251" s="5"/>
      <c r="EJ251" s="5"/>
      <c r="EK251" s="5"/>
      <c r="EL251" s="5"/>
      <c r="FE251" s="26"/>
      <c r="FF251" s="26"/>
      <c r="FG251" s="26"/>
      <c r="FH251" s="26"/>
      <c r="FI251" s="26"/>
      <c r="FJ251" s="26"/>
      <c r="FK251" s="26"/>
      <c r="FL251" s="26"/>
      <c r="FM251" s="26"/>
      <c r="FN251" s="205"/>
      <c r="FO251" s="205"/>
      <c r="FP251" s="205"/>
      <c r="FQ251" s="205"/>
      <c r="FR251" s="205"/>
      <c r="FS251" s="205"/>
      <c r="FT251" s="205"/>
      <c r="FU251" s="77"/>
      <c r="FV251" s="77"/>
      <c r="FW251" s="77"/>
      <c r="FX251" s="205"/>
      <c r="FY251" s="205"/>
      <c r="FZ251" s="205"/>
      <c r="GA251" s="205"/>
      <c r="GB251" s="205"/>
      <c r="GC251" s="205"/>
      <c r="GD251" s="205"/>
      <c r="GE251" s="205"/>
      <c r="GF251" s="205"/>
      <c r="GG251" s="205"/>
      <c r="GH251" s="205"/>
      <c r="GI251" s="205"/>
      <c r="GJ251" s="205"/>
      <c r="GK251" s="205"/>
      <c r="GL251" s="205"/>
      <c r="GM251" s="205"/>
      <c r="GN251" s="205"/>
      <c r="GO251" s="205"/>
      <c r="GP251" s="205"/>
      <c r="GQ251" s="205"/>
      <c r="GR251" s="205"/>
      <c r="GS251" s="205"/>
      <c r="GT251" s="205"/>
      <c r="GU251" s="205"/>
      <c r="GV251" s="18"/>
      <c r="GW251" s="5"/>
      <c r="GX251" s="5"/>
      <c r="GY251" s="77"/>
      <c r="GZ251" s="18"/>
      <c r="HA251" s="18"/>
      <c r="HB251" s="18"/>
      <c r="HC251" s="18"/>
      <c r="HD251" s="18"/>
      <c r="HE251" s="18"/>
      <c r="HF251" s="18"/>
      <c r="HG251" s="18"/>
      <c r="HH251" s="205"/>
      <c r="HI251" s="26"/>
      <c r="HJ251" s="26"/>
      <c r="HK251" s="5"/>
    </row>
    <row r="252" spans="27:219">
      <c r="AA252" s="18" t="s">
        <v>488</v>
      </c>
      <c r="AB252" s="22" t="s">
        <v>491</v>
      </c>
      <c r="AC252" s="59">
        <v>3.6405952380952398</v>
      </c>
      <c r="AD252" s="59">
        <v>8.6549999999999994</v>
      </c>
      <c r="AE252" s="22">
        <v>528</v>
      </c>
      <c r="AF252" s="22">
        <v>1528</v>
      </c>
      <c r="AG252" s="22">
        <v>948.63492063492095</v>
      </c>
      <c r="AH252" s="6">
        <v>10</v>
      </c>
      <c r="AI252" s="6">
        <v>300</v>
      </c>
      <c r="AJ252" s="6">
        <v>14</v>
      </c>
      <c r="AK252" s="24">
        <v>300</v>
      </c>
      <c r="AL252" s="24">
        <v>14</v>
      </c>
      <c r="AM252" s="5">
        <f t="shared" si="185"/>
        <v>920.63492063492095</v>
      </c>
      <c r="AN252" s="26">
        <f t="shared" si="186"/>
        <v>176.06349206349208</v>
      </c>
      <c r="AO252" s="26">
        <f t="shared" si="187"/>
        <v>248482.7399356656</v>
      </c>
      <c r="AP252" s="15">
        <f t="shared" si="188"/>
        <v>6307.6719576719579</v>
      </c>
      <c r="AQ252" s="5">
        <f t="shared" si="189"/>
        <v>5238.7432621467533</v>
      </c>
      <c r="AR252" s="26">
        <f t="shared" si="190"/>
        <v>420.51146384479722</v>
      </c>
      <c r="AS252" s="26">
        <f t="shared" si="191"/>
        <v>3022.1941546989178</v>
      </c>
      <c r="AT252" s="26">
        <f t="shared" si="192"/>
        <v>37.567600585756203</v>
      </c>
      <c r="AU252" s="26">
        <f t="shared" si="193"/>
        <v>5.9854925384629922</v>
      </c>
      <c r="AV252" s="95">
        <f t="shared" si="194"/>
        <v>8.6034497354497351E-7</v>
      </c>
      <c r="AW252" s="95">
        <f t="shared" si="195"/>
        <v>13758293.349206358</v>
      </c>
      <c r="AX252" s="95">
        <f t="shared" si="196"/>
        <v>1.3758293349206359E-5</v>
      </c>
      <c r="AY252" s="54">
        <f t="shared" si="197"/>
        <v>0.1548581140202015</v>
      </c>
      <c r="AZ252" s="54" t="str">
        <f>_xll.Dce_Name_SectI(AE252,AF252,AI252,AH252,AJ252,"x","-",$O$11)</f>
        <v>(528-1528)x300x10x14</v>
      </c>
      <c r="BA252" s="15">
        <f t="shared" si="198"/>
        <v>700.97619047619071</v>
      </c>
      <c r="BB252" s="54"/>
      <c r="BC252" s="54"/>
      <c r="BD252" s="22" t="s">
        <v>517</v>
      </c>
      <c r="BE252" s="23">
        <v>-57.946882829306617</v>
      </c>
      <c r="BF252" s="23">
        <v>-56.643697866201649</v>
      </c>
      <c r="BG252" s="23">
        <v>-4.9704464151314673E-4</v>
      </c>
      <c r="BH252" s="23">
        <v>5.6006280283426533E-5</v>
      </c>
      <c r="BI252" s="23">
        <v>1.8176458058227372E-3</v>
      </c>
      <c r="BJ252" s="23">
        <v>232.43355384879271</v>
      </c>
      <c r="BK252" s="23">
        <v>206.35487219211984</v>
      </c>
      <c r="BL252" s="92">
        <v>2.25</v>
      </c>
      <c r="BM252" s="91">
        <v>2</v>
      </c>
      <c r="BN252" s="5">
        <f t="shared" si="199"/>
        <v>19.473749999999999</v>
      </c>
      <c r="BO252" s="54">
        <f>_xll.Bimoment(BH252,AY252,AC252,AD252,$O$101)</f>
        <v>-4.307256342267851E-4</v>
      </c>
      <c r="BP252" s="5">
        <f t="shared" si="200"/>
        <v>0.45620689655172403</v>
      </c>
      <c r="BQ252" s="5">
        <f t="shared" si="201"/>
        <v>16.732744715967989</v>
      </c>
      <c r="BR252" s="24" t="str">
        <f t="shared" si="202"/>
        <v>Cal</v>
      </c>
      <c r="BS252" s="25">
        <f t="shared" si="203"/>
        <v>1.4399215272112905E-2</v>
      </c>
      <c r="BT252" s="25" t="str">
        <f t="shared" si="204"/>
        <v>CT.105</v>
      </c>
      <c r="BU252" s="25">
        <f t="shared" si="205"/>
        <v>1</v>
      </c>
      <c r="BV252" s="25" cm="1">
        <f t="array" ref="BV252">IF(BT252="CT.104",_xll.TCVN5575AnnexEHeSoCx(1,BP252),1)</f>
        <v>1</v>
      </c>
      <c r="BW252" s="25">
        <f t="shared" si="206"/>
        <v>1</v>
      </c>
      <c r="BX252" s="25">
        <f t="shared" si="207"/>
        <v>1.5157068707487269E-2</v>
      </c>
      <c r="BY252" s="25">
        <f t="shared" si="208"/>
        <v>0.20432718853256948</v>
      </c>
      <c r="BZ252" s="25">
        <f t="shared" si="209"/>
        <v>1.9906085763090689E-5</v>
      </c>
      <c r="CA252" s="25">
        <f t="shared" si="210"/>
        <v>1.0106339260548848E-5</v>
      </c>
      <c r="CB252" s="25">
        <f t="shared" si="211"/>
        <v>0.21951426966508036</v>
      </c>
      <c r="CC252" s="5" t="str">
        <f t="shared" si="212"/>
        <v>OK</v>
      </c>
      <c r="CD252" s="5">
        <f t="shared" si="213"/>
        <v>51.836555160202302</v>
      </c>
      <c r="CE252" s="5">
        <f t="shared" si="214"/>
        <v>33.414125690541383</v>
      </c>
      <c r="CF252" s="5">
        <f t="shared" si="215"/>
        <v>1.7266865002204341</v>
      </c>
      <c r="CG252" s="5">
        <f t="shared" si="216"/>
        <v>1.1130315193248546</v>
      </c>
      <c r="CH252" s="5">
        <f t="shared" si="217"/>
        <v>13.480653316009326</v>
      </c>
      <c r="CI252" s="68">
        <f>_xll.DCETCVN5575PhuLucD2Eta(BP252,CH252,CF252)</f>
        <v>1.2412413793103447</v>
      </c>
      <c r="CJ252" s="5">
        <f t="shared" si="218"/>
        <v>16.732744715967989</v>
      </c>
      <c r="CK252" s="5">
        <f>MIN(noisuy2chieu(CJ252,CF252,Data!$DA$2:$EB$24),1)</f>
        <v>8.2073554396629333E-2</v>
      </c>
      <c r="CL252" s="102">
        <f t="shared" si="219"/>
        <v>0.18467664546656645</v>
      </c>
      <c r="CM252" s="5" t="str">
        <f t="shared" si="220"/>
        <v>OK</v>
      </c>
      <c r="CN252" s="5">
        <f t="shared" si="221"/>
        <v>0.88472625978979058</v>
      </c>
      <c r="CO252" s="5">
        <f t="shared" si="222"/>
        <v>0.5370345235716667</v>
      </c>
      <c r="CP252" s="25">
        <f>_xll.DCETCVNPhuLucFHeSoOnDinh(1, 0.2, AG252, AH252, AI252, AJ252, AI252, AJ252, $D$28)</f>
        <v>1</v>
      </c>
      <c r="CQ252" s="68">
        <f t="shared" si="223"/>
        <v>0.9</v>
      </c>
      <c r="CR252" s="68">
        <f t="shared" si="224"/>
        <v>1</v>
      </c>
      <c r="CS252" s="5">
        <f t="shared" si="225"/>
        <v>0.18181818181818182</v>
      </c>
      <c r="CT252" s="5">
        <f t="shared" si="226"/>
        <v>0.10155106457844131</v>
      </c>
      <c r="CU252" s="26">
        <f t="shared" si="227"/>
        <v>11.96814507212264</v>
      </c>
      <c r="CV252" s="5"/>
      <c r="CW252" s="25"/>
      <c r="CX252" s="72">
        <f>MAX(_xll.Dce_c_925(CU252, CQ252, CR252, CN252, CP252, CS252, CT252),0.3)</f>
        <v>0.3</v>
      </c>
      <c r="CY252" s="102">
        <f t="shared" si="228"/>
        <v>5.7106434673132929E-2</v>
      </c>
      <c r="CZ252" s="5" t="str">
        <f t="shared" si="229"/>
        <v>OK</v>
      </c>
      <c r="DA252" s="47">
        <f t="shared" si="230"/>
        <v>0.34499859601035404</v>
      </c>
      <c r="DB252" s="46">
        <f t="shared" si="231"/>
        <v>0.47130315193248545</v>
      </c>
      <c r="DC252" s="5" t="str">
        <f t="shared" si="232"/>
        <v>OK</v>
      </c>
      <c r="DD252" s="5">
        <f t="shared" si="233"/>
        <v>1.7266865002204341</v>
      </c>
      <c r="DE252" s="5">
        <f t="shared" si="234"/>
        <v>3.0666541867587034</v>
      </c>
      <c r="DF252" s="5" t="str">
        <f t="shared" si="235"/>
        <v>-</v>
      </c>
      <c r="DG252" s="5" t="str">
        <f t="shared" si="236"/>
        <v>-</v>
      </c>
      <c r="DH252" s="203">
        <f t="shared" si="237"/>
        <v>51.836555160202302</v>
      </c>
      <c r="DI252" s="203">
        <f t="shared" si="238"/>
        <v>180</v>
      </c>
      <c r="DJ252" s="46">
        <f t="shared" si="239"/>
        <v>0.28798086200112388</v>
      </c>
      <c r="DK252" s="5" t="str">
        <f t="shared" si="240"/>
        <v>OK</v>
      </c>
      <c r="EB252" s="18"/>
      <c r="EC252" s="77"/>
      <c r="ED252" s="77"/>
      <c r="EE252" s="18"/>
      <c r="EF252" s="18"/>
      <c r="EG252" s="18"/>
      <c r="EH252" s="5"/>
      <c r="EI252" s="5"/>
      <c r="EJ252" s="5"/>
      <c r="EK252" s="5"/>
      <c r="EL252" s="5"/>
      <c r="FE252" s="26"/>
      <c r="FF252" s="26"/>
      <c r="FG252" s="26"/>
      <c r="FH252" s="26"/>
      <c r="FI252" s="26"/>
      <c r="FJ252" s="26"/>
      <c r="FK252" s="26"/>
      <c r="FL252" s="26"/>
      <c r="FM252" s="26"/>
      <c r="FN252" s="205"/>
      <c r="FO252" s="205"/>
      <c r="FP252" s="205"/>
      <c r="FQ252" s="205"/>
      <c r="FR252" s="205"/>
      <c r="FS252" s="205"/>
      <c r="FT252" s="205"/>
      <c r="FU252" s="77"/>
      <c r="FV252" s="77"/>
      <c r="FW252" s="77"/>
      <c r="FX252" s="205"/>
      <c r="FY252" s="205"/>
      <c r="FZ252" s="205"/>
      <c r="GA252" s="205"/>
      <c r="GB252" s="205"/>
      <c r="GC252" s="205"/>
      <c r="GD252" s="205"/>
      <c r="GE252" s="205"/>
      <c r="GF252" s="205"/>
      <c r="GG252" s="205"/>
      <c r="GH252" s="205"/>
      <c r="GI252" s="205"/>
      <c r="GJ252" s="205"/>
      <c r="GK252" s="205"/>
      <c r="GL252" s="205"/>
      <c r="GM252" s="205"/>
      <c r="GN252" s="205"/>
      <c r="GO252" s="205"/>
      <c r="GP252" s="205"/>
      <c r="GQ252" s="205"/>
      <c r="GR252" s="205"/>
      <c r="GS252" s="205"/>
      <c r="GT252" s="205"/>
      <c r="GU252" s="205"/>
      <c r="GV252" s="18"/>
      <c r="GW252" s="5"/>
      <c r="GX252" s="5"/>
      <c r="GY252" s="77"/>
      <c r="GZ252" s="18"/>
      <c r="HA252" s="18"/>
      <c r="HB252" s="18"/>
      <c r="HC252" s="18"/>
      <c r="HD252" s="18"/>
      <c r="HE252" s="18"/>
      <c r="HF252" s="18"/>
      <c r="HG252" s="18"/>
      <c r="HH252" s="205"/>
      <c r="HI252" s="26"/>
      <c r="HJ252" s="26"/>
      <c r="HK252" s="5"/>
    </row>
    <row r="253" spans="27:219">
      <c r="AA253" s="18" t="s">
        <v>488</v>
      </c>
      <c r="AB253" s="22" t="s">
        <v>491</v>
      </c>
      <c r="AC253" s="59">
        <v>7.2811904761904795</v>
      </c>
      <c r="AD253" s="59">
        <v>8.6549999999999994</v>
      </c>
      <c r="AE253" s="22">
        <v>528</v>
      </c>
      <c r="AF253" s="22">
        <v>1528</v>
      </c>
      <c r="AG253" s="22">
        <v>1369.2698412698419</v>
      </c>
      <c r="AH253" s="6">
        <v>10</v>
      </c>
      <c r="AI253" s="6">
        <v>300</v>
      </c>
      <c r="AJ253" s="6">
        <v>14</v>
      </c>
      <c r="AK253" s="24">
        <v>300</v>
      </c>
      <c r="AL253" s="24">
        <v>14</v>
      </c>
      <c r="AM253" s="5">
        <f t="shared" si="185"/>
        <v>1341.2698412698419</v>
      </c>
      <c r="AN253" s="26">
        <f t="shared" si="186"/>
        <v>218.12698412698418</v>
      </c>
      <c r="AO253" s="26">
        <f t="shared" si="187"/>
        <v>586811.79072745051</v>
      </c>
      <c r="AP253" s="15">
        <f t="shared" si="188"/>
        <v>6311.1772486772488</v>
      </c>
      <c r="AQ253" s="5">
        <f t="shared" si="189"/>
        <v>8571.1635945074104</v>
      </c>
      <c r="AR253" s="26">
        <f t="shared" si="190"/>
        <v>420.74514991181661</v>
      </c>
      <c r="AS253" s="26">
        <f t="shared" si="191"/>
        <v>5094.8226505417015</v>
      </c>
      <c r="AT253" s="26">
        <f t="shared" si="192"/>
        <v>51.867428670398397</v>
      </c>
      <c r="AU253" s="26">
        <f t="shared" si="193"/>
        <v>5.3789869588463937</v>
      </c>
      <c r="AV253" s="95">
        <f t="shared" si="194"/>
        <v>1.0005566137566139E-6</v>
      </c>
      <c r="AW253" s="95">
        <f t="shared" si="195"/>
        <v>28928912.396825422</v>
      </c>
      <c r="AX253" s="95">
        <f t="shared" si="196"/>
        <v>2.8928912396825422E-5</v>
      </c>
      <c r="AY253" s="54">
        <f t="shared" si="197"/>
        <v>0.11516876660535029</v>
      </c>
      <c r="AZ253" s="54" t="str">
        <f>_xll.Dce_Name_SectI(AE253,AF253,AI253,AH253,AJ253,"x","-",$O$11)</f>
        <v>(528-1528)x300x10x14</v>
      </c>
      <c r="BA253" s="15">
        <f t="shared" si="198"/>
        <v>1016.4523809523813</v>
      </c>
      <c r="BB253" s="54"/>
      <c r="BC253" s="54"/>
      <c r="BD253" s="22" t="s">
        <v>517</v>
      </c>
      <c r="BE253" s="23">
        <v>-50.479931392248375</v>
      </c>
      <c r="BF253" s="23">
        <v>-42.177915584076203</v>
      </c>
      <c r="BG253" s="23">
        <v>-4.9704464151225877E-4</v>
      </c>
      <c r="BH253" s="23">
        <v>5.6006280283426533E-5</v>
      </c>
      <c r="BI253" s="23">
        <v>3.6314456553755182E-3</v>
      </c>
      <c r="BJ253" s="23">
        <v>412.70974438423968</v>
      </c>
      <c r="BK253" s="23">
        <v>206.35487219211984</v>
      </c>
      <c r="BL253" s="92">
        <v>2.25</v>
      </c>
      <c r="BM253" s="91">
        <v>2</v>
      </c>
      <c r="BN253" s="5">
        <f t="shared" si="199"/>
        <v>19.473749999999999</v>
      </c>
      <c r="BO253" s="54">
        <f>_xll.Bimoment(BH253,AY253,AC253,AD253,$O$101)</f>
        <v>-2.5621027344053821E-4</v>
      </c>
      <c r="BP253" s="5">
        <f t="shared" si="200"/>
        <v>0.31313609467455605</v>
      </c>
      <c r="BQ253" s="5">
        <f t="shared" si="201"/>
        <v>25.230327604927176</v>
      </c>
      <c r="BR253" s="24" t="str">
        <f t="shared" si="202"/>
        <v>Cal</v>
      </c>
      <c r="BS253" s="25">
        <f t="shared" si="203"/>
        <v>1.012482250763241E-2</v>
      </c>
      <c r="BT253" s="25" t="str">
        <f t="shared" si="204"/>
        <v>CT.105</v>
      </c>
      <c r="BU253" s="25">
        <f t="shared" si="205"/>
        <v>1</v>
      </c>
      <c r="BV253" s="25" cm="1">
        <f t="array" ref="BV253">IF(BT253="CT.104",_xll.TCVN5575AnnexEHeSoCx(1,BP253),1)</f>
        <v>1</v>
      </c>
      <c r="BW253" s="25">
        <f t="shared" si="206"/>
        <v>1</v>
      </c>
      <c r="BX253" s="25">
        <f t="shared" si="207"/>
        <v>1.0657707902770958E-2</v>
      </c>
      <c r="BY253" s="25">
        <f t="shared" si="208"/>
        <v>0.22174783619051014</v>
      </c>
      <c r="BZ253" s="25">
        <f t="shared" si="209"/>
        <v>3.9747963559658133E-5</v>
      </c>
      <c r="CA253" s="25">
        <f t="shared" si="210"/>
        <v>4.1457768602861723E-6</v>
      </c>
      <c r="CB253" s="25">
        <f t="shared" si="211"/>
        <v>0.23244943783370103</v>
      </c>
      <c r="CC253" s="5" t="str">
        <f t="shared" si="212"/>
        <v>OK</v>
      </c>
      <c r="CD253" s="5">
        <f t="shared" si="213"/>
        <v>37.545238889226049</v>
      </c>
      <c r="CE253" s="5">
        <f t="shared" si="214"/>
        <v>37.181722419139881</v>
      </c>
      <c r="CF253" s="5">
        <f t="shared" si="215"/>
        <v>1.2506397644909562</v>
      </c>
      <c r="CG253" s="5">
        <f t="shared" si="216"/>
        <v>1.2385309547993069</v>
      </c>
      <c r="CH253" s="5">
        <f t="shared" si="217"/>
        <v>20.806334552747192</v>
      </c>
      <c r="CI253" s="68">
        <f>_xll.DCETCVN5575PhuLucD2Eta(BP253,CH253,CF253)</f>
        <v>1.2126272189349112</v>
      </c>
      <c r="CJ253" s="5">
        <f t="shared" si="218"/>
        <v>25.230327604927176</v>
      </c>
      <c r="CK253" s="5">
        <f>MIN(noisuy2chieu(CJ253,CF253,Data!$DA$2:$EB$24),1)</f>
        <v>7.1994885802268982E-2</v>
      </c>
      <c r="CL253" s="102">
        <f t="shared" si="219"/>
        <v>0.14803423582116537</v>
      </c>
      <c r="CM253" s="5" t="str">
        <f t="shared" si="220"/>
        <v>OK</v>
      </c>
      <c r="CN253" s="5">
        <f t="shared" si="221"/>
        <v>0.86643683692746631</v>
      </c>
      <c r="CO253" s="5">
        <f t="shared" si="222"/>
        <v>0.5370345235716667</v>
      </c>
      <c r="CP253" s="25">
        <f>_xll.DCETCVNPhuLucFHeSoOnDinh(1, 0.2, AG253, AH253, AI253, AJ253, AI253, AJ253, $D$28)</f>
        <v>1</v>
      </c>
      <c r="CQ253" s="68">
        <f t="shared" si="223"/>
        <v>0.9</v>
      </c>
      <c r="CR253" s="68">
        <f t="shared" si="224"/>
        <v>1</v>
      </c>
      <c r="CS253" s="5">
        <f t="shared" si="225"/>
        <v>0.18181818181818182</v>
      </c>
      <c r="CT253" s="5">
        <f t="shared" si="226"/>
        <v>0.10347287704587492</v>
      </c>
      <c r="CU253" s="26">
        <f t="shared" si="227"/>
        <v>10.403167276373596</v>
      </c>
      <c r="CV253" s="5"/>
      <c r="CW253" s="25"/>
      <c r="CX253" s="72">
        <f>MAX(_xll.Dce_c_925(CU253, CQ253, CR253, CN253, CP253, CS253, CT253),0.3)</f>
        <v>0.3</v>
      </c>
      <c r="CY253" s="102">
        <f t="shared" si="228"/>
        <v>4.1002057501637088E-2</v>
      </c>
      <c r="CZ253" s="5" t="str">
        <f t="shared" si="229"/>
        <v>OK</v>
      </c>
      <c r="DA253" s="47">
        <f t="shared" si="230"/>
        <v>0.34499859601035404</v>
      </c>
      <c r="DB253" s="46">
        <f t="shared" si="231"/>
        <v>0.48385309547993066</v>
      </c>
      <c r="DC253" s="5" t="str">
        <f t="shared" si="232"/>
        <v>OK</v>
      </c>
      <c r="DD253" s="5">
        <f t="shared" si="233"/>
        <v>1.2506397644909562</v>
      </c>
      <c r="DE253" s="5">
        <f t="shared" si="234"/>
        <v>4.4677979100191463</v>
      </c>
      <c r="DF253" s="5" t="str">
        <f t="shared" si="235"/>
        <v>-</v>
      </c>
      <c r="DG253" s="5" t="str">
        <f t="shared" si="236"/>
        <v>-</v>
      </c>
      <c r="DH253" s="203">
        <f t="shared" si="237"/>
        <v>37.545238889226049</v>
      </c>
      <c r="DI253" s="203">
        <f t="shared" si="238"/>
        <v>180</v>
      </c>
      <c r="DJ253" s="46">
        <f t="shared" si="239"/>
        <v>0.20858466049570026</v>
      </c>
      <c r="DK253" s="5" t="str">
        <f t="shared" si="240"/>
        <v>OK</v>
      </c>
      <c r="EB253" s="18"/>
      <c r="EC253" s="77"/>
      <c r="ED253" s="77"/>
      <c r="EE253" s="18"/>
      <c r="EF253" s="18"/>
      <c r="EG253" s="18"/>
      <c r="EH253" s="5"/>
      <c r="EI253" s="5"/>
      <c r="EJ253" s="5"/>
      <c r="EK253" s="5"/>
      <c r="EL253" s="5"/>
      <c r="FE253" s="26"/>
      <c r="FF253" s="26"/>
      <c r="FG253" s="26"/>
      <c r="FH253" s="26"/>
      <c r="FI253" s="26"/>
      <c r="FJ253" s="26"/>
      <c r="FK253" s="26"/>
      <c r="FL253" s="26"/>
      <c r="FM253" s="26"/>
      <c r="FN253" s="205"/>
      <c r="FO253" s="205"/>
      <c r="FP253" s="205"/>
      <c r="FQ253" s="205"/>
      <c r="FR253" s="205"/>
      <c r="FS253" s="205"/>
      <c r="FT253" s="205"/>
      <c r="FU253" s="77"/>
      <c r="FV253" s="77"/>
      <c r="FW253" s="77"/>
      <c r="FX253" s="205"/>
      <c r="FY253" s="205"/>
      <c r="FZ253" s="205"/>
      <c r="GA253" s="205"/>
      <c r="GB253" s="205"/>
      <c r="GC253" s="205"/>
      <c r="GD253" s="205"/>
      <c r="GE253" s="205"/>
      <c r="GF253" s="205"/>
      <c r="GG253" s="205"/>
      <c r="GH253" s="205"/>
      <c r="GI253" s="205"/>
      <c r="GJ253" s="205"/>
      <c r="GK253" s="205"/>
      <c r="GL253" s="205"/>
      <c r="GM253" s="205"/>
      <c r="GN253" s="205"/>
      <c r="GO253" s="205"/>
      <c r="GP253" s="205"/>
      <c r="GQ253" s="205"/>
      <c r="GR253" s="205"/>
      <c r="GS253" s="205"/>
      <c r="GT253" s="205"/>
      <c r="GU253" s="205"/>
      <c r="GV253" s="18"/>
      <c r="GW253" s="5"/>
      <c r="GX253" s="5"/>
      <c r="GY253" s="77"/>
      <c r="GZ253" s="18"/>
      <c r="HA253" s="18"/>
      <c r="HB253" s="18"/>
      <c r="HC253" s="18"/>
      <c r="HD253" s="18"/>
      <c r="HE253" s="18"/>
      <c r="HF253" s="18"/>
      <c r="HG253" s="18"/>
      <c r="HH253" s="205"/>
      <c r="HI253" s="26"/>
      <c r="HJ253" s="26"/>
      <c r="HK253" s="5"/>
    </row>
    <row r="254" spans="27:219">
      <c r="AA254" s="18" t="s">
        <v>488</v>
      </c>
      <c r="AB254" s="22" t="s">
        <v>491</v>
      </c>
      <c r="AC254" s="59">
        <v>0</v>
      </c>
      <c r="AD254" s="59">
        <v>8.6549999999999994</v>
      </c>
      <c r="AE254" s="22">
        <v>528</v>
      </c>
      <c r="AF254" s="22">
        <v>1528</v>
      </c>
      <c r="AG254" s="22">
        <v>528</v>
      </c>
      <c r="AH254" s="6">
        <v>10</v>
      </c>
      <c r="AI254" s="6">
        <v>300</v>
      </c>
      <c r="AJ254" s="6">
        <v>14</v>
      </c>
      <c r="AK254" s="24">
        <v>300</v>
      </c>
      <c r="AL254" s="24">
        <v>14</v>
      </c>
      <c r="AM254" s="5">
        <f t="shared" si="185"/>
        <v>500</v>
      </c>
      <c r="AN254" s="26">
        <f t="shared" si="186"/>
        <v>134</v>
      </c>
      <c r="AO254" s="26">
        <f t="shared" si="187"/>
        <v>65911.546666666676</v>
      </c>
      <c r="AP254" s="15">
        <f t="shared" si="188"/>
        <v>6304.166666666667</v>
      </c>
      <c r="AQ254" s="5">
        <f t="shared" si="189"/>
        <v>2496.6494949494954</v>
      </c>
      <c r="AR254" s="26">
        <f t="shared" si="190"/>
        <v>420.27777777777777</v>
      </c>
      <c r="AS254" s="26">
        <f t="shared" si="191"/>
        <v>1391.9</v>
      </c>
      <c r="AT254" s="26">
        <f t="shared" si="192"/>
        <v>22.178305028345793</v>
      </c>
      <c r="AU254" s="26">
        <f t="shared" si="193"/>
        <v>6.8590101254115021</v>
      </c>
      <c r="AV254" s="95">
        <f t="shared" si="194"/>
        <v>7.201333333333334E-7</v>
      </c>
      <c r="AW254" s="95">
        <f t="shared" si="195"/>
        <v>4161087</v>
      </c>
      <c r="AX254" s="95">
        <f t="shared" si="196"/>
        <v>4.1610870000000001E-6</v>
      </c>
      <c r="AY254" s="54">
        <f t="shared" si="197"/>
        <v>0.25762202780669918</v>
      </c>
      <c r="AZ254" s="54" t="str">
        <f>_xll.Dce_Name_SectI(AE254,AF254,AI254,AH254,AJ254,"x","-",$O$11)</f>
        <v>(528-1528)x300x10x14</v>
      </c>
      <c r="BA254" s="15">
        <f t="shared" si="198"/>
        <v>385.5</v>
      </c>
      <c r="BB254" s="54"/>
      <c r="BC254" s="54"/>
      <c r="BD254" s="22" t="s">
        <v>518</v>
      </c>
      <c r="BE254" s="23">
        <v>-296.37418699712151</v>
      </c>
      <c r="BF254" s="23">
        <v>-298.64990496792558</v>
      </c>
      <c r="BG254" s="23">
        <v>6.0980556566785831E-4</v>
      </c>
      <c r="BH254" s="23">
        <v>2.2772911251993697E-4</v>
      </c>
      <c r="BI254" s="23">
        <v>1.5638178486367784E-5</v>
      </c>
      <c r="BJ254" s="23">
        <v>-3.8532618863329824</v>
      </c>
      <c r="BK254" s="23">
        <v>1078.3094851181136</v>
      </c>
      <c r="BL254" s="92">
        <v>2.25</v>
      </c>
      <c r="BM254" s="91">
        <v>2</v>
      </c>
      <c r="BN254" s="5">
        <f t="shared" si="199"/>
        <v>19.473749999999999</v>
      </c>
      <c r="BO254" s="54">
        <f>_xll.Bimoment(BH254,AY254,AC254,AD254,$O$101)</f>
        <v>0</v>
      </c>
      <c r="BP254" s="5">
        <f t="shared" si="200"/>
        <v>0.84</v>
      </c>
      <c r="BQ254" s="5">
        <f t="shared" si="201"/>
        <v>0.10584649820420204</v>
      </c>
      <c r="BR254" s="24" t="str">
        <f t="shared" si="202"/>
        <v>Cal</v>
      </c>
      <c r="BS254" s="25">
        <f t="shared" si="203"/>
        <v>9.6763960306896019E-2</v>
      </c>
      <c r="BT254" s="25" t="str">
        <f t="shared" si="204"/>
        <v>CT.105</v>
      </c>
      <c r="BU254" s="25">
        <f t="shared" si="205"/>
        <v>1</v>
      </c>
      <c r="BV254" s="25" cm="1">
        <f t="array" ref="BV254">IF(BT254="CT.104",_xll.TCVN5575AnnexEHeSoCx(1,BP254),1)</f>
        <v>1</v>
      </c>
      <c r="BW254" s="25">
        <f t="shared" si="206"/>
        <v>1</v>
      </c>
      <c r="BX254" s="25">
        <f t="shared" si="207"/>
        <v>0.10185680032304845</v>
      </c>
      <c r="BY254" s="25">
        <f t="shared" si="208"/>
        <v>7.1076396741899198E-3</v>
      </c>
      <c r="BZ254" s="25">
        <f t="shared" si="209"/>
        <v>1.7135792337307725E-7</v>
      </c>
      <c r="CA254" s="25">
        <f t="shared" si="210"/>
        <v>0</v>
      </c>
      <c r="CB254" s="25">
        <f t="shared" si="211"/>
        <v>0.10896461135516175</v>
      </c>
      <c r="CC254" s="5" t="str">
        <f t="shared" si="212"/>
        <v>OK</v>
      </c>
      <c r="CD254" s="5">
        <f t="shared" si="213"/>
        <v>87.805402509844015</v>
      </c>
      <c r="CE254" s="5">
        <f t="shared" si="214"/>
        <v>29.158726455153193</v>
      </c>
      <c r="CF254" s="5">
        <f t="shared" si="215"/>
        <v>2.9248163326364334</v>
      </c>
      <c r="CG254" s="5">
        <f t="shared" si="216"/>
        <v>0.97128328026682387</v>
      </c>
      <c r="CH254" s="5">
        <f t="shared" si="217"/>
        <v>6.9780708324307966E-2</v>
      </c>
      <c r="CI254" s="68">
        <f>_xll.DCETCVN5575PhuLucD2Eta(BP254,CH254,CF254)</f>
        <v>1.5168447088882677</v>
      </c>
      <c r="CJ254" s="5">
        <f t="shared" si="218"/>
        <v>0.10584649820420204</v>
      </c>
      <c r="CK254" s="5">
        <f>MIN(noisuy2chieu(CJ254,CF254,Data!$DA$2:$EB$24),1)</f>
        <v>0.6755492091178894</v>
      </c>
      <c r="CL254" s="102">
        <f t="shared" si="219"/>
        <v>0.15077628535166196</v>
      </c>
      <c r="CM254" s="5" t="str">
        <f t="shared" si="220"/>
        <v>OK</v>
      </c>
      <c r="CN254" s="5">
        <f t="shared" si="221"/>
        <v>0.90492218941026858</v>
      </c>
      <c r="CO254" s="5">
        <f t="shared" si="222"/>
        <v>0.5370345235716667</v>
      </c>
      <c r="CP254" s="25">
        <f>_xll.DCETCVNPhuLucFHeSoOnDinh(1, 0.2, AG254, AH254, AI254, AJ254, AI254, AJ254, $D$28)</f>
        <v>1</v>
      </c>
      <c r="CQ254" s="68">
        <f t="shared" si="223"/>
        <v>0.9</v>
      </c>
      <c r="CR254" s="68">
        <f t="shared" si="224"/>
        <v>1</v>
      </c>
      <c r="CS254" s="5">
        <f t="shared" si="225"/>
        <v>0.18181818181818182</v>
      </c>
      <c r="CT254" s="5">
        <f t="shared" si="226"/>
        <v>9.9510191986788829E-2</v>
      </c>
      <c r="CU254" s="26">
        <f t="shared" si="227"/>
        <v>19.527663025253148</v>
      </c>
      <c r="CV254" s="5"/>
      <c r="CW254" s="25"/>
      <c r="CX254" s="72">
        <f>MAX(_xll.Dce_c_925(CU254, CQ254, CR254, CN254, CP254, CS254, CT254),0.3)</f>
        <v>0.3</v>
      </c>
      <c r="CY254" s="102">
        <f t="shared" si="228"/>
        <v>0.37519542753699009</v>
      </c>
      <c r="CZ254" s="5" t="str">
        <f t="shared" si="229"/>
        <v>OK</v>
      </c>
      <c r="DA254" s="47">
        <f t="shared" si="230"/>
        <v>0.34499859601035404</v>
      </c>
      <c r="DB254" s="46">
        <f t="shared" si="231"/>
        <v>0.45712832802668235</v>
      </c>
      <c r="DC254" s="5" t="str">
        <f t="shared" si="232"/>
        <v>OK</v>
      </c>
      <c r="DD254" s="5">
        <f t="shared" si="233"/>
        <v>2.9248163326364334</v>
      </c>
      <c r="DE254" s="5">
        <f t="shared" si="234"/>
        <v>1.6655104634982609</v>
      </c>
      <c r="DF254" s="5" t="str">
        <f t="shared" si="235"/>
        <v>-</v>
      </c>
      <c r="DG254" s="5" t="str">
        <f t="shared" si="236"/>
        <v>-</v>
      </c>
      <c r="DH254" s="203" t="str">
        <f t="shared" si="237"/>
        <v>-</v>
      </c>
      <c r="DI254" s="203">
        <f t="shared" si="238"/>
        <v>180</v>
      </c>
      <c r="DJ254" s="46">
        <f t="shared" si="239"/>
        <v>0</v>
      </c>
      <c r="DK254" s="5" t="str">
        <f t="shared" si="240"/>
        <v>OK</v>
      </c>
      <c r="EB254" s="18"/>
      <c r="EC254" s="77"/>
      <c r="ED254" s="77"/>
      <c r="EE254" s="18"/>
      <c r="EF254" s="18"/>
      <c r="EG254" s="18"/>
      <c r="EH254" s="5"/>
      <c r="EI254" s="5"/>
      <c r="EJ254" s="5"/>
      <c r="EK254" s="5"/>
      <c r="EL254" s="5"/>
      <c r="FE254" s="26"/>
      <c r="FF254" s="26"/>
      <c r="FG254" s="26"/>
      <c r="FH254" s="26"/>
      <c r="FI254" s="26"/>
      <c r="FJ254" s="26"/>
      <c r="FK254" s="26"/>
      <c r="FL254" s="26"/>
      <c r="FM254" s="26"/>
      <c r="FN254" s="205"/>
      <c r="FO254" s="205"/>
      <c r="FP254" s="205"/>
      <c r="FQ254" s="205"/>
      <c r="FR254" s="205"/>
      <c r="FS254" s="205"/>
      <c r="FT254" s="205"/>
      <c r="FU254" s="77"/>
      <c r="FV254" s="77"/>
      <c r="FW254" s="77"/>
      <c r="FX254" s="205"/>
      <c r="FY254" s="205"/>
      <c r="FZ254" s="205"/>
      <c r="GA254" s="205"/>
      <c r="GB254" s="205"/>
      <c r="GC254" s="205"/>
      <c r="GD254" s="205"/>
      <c r="GE254" s="205"/>
      <c r="GF254" s="205"/>
      <c r="GG254" s="205"/>
      <c r="GH254" s="205"/>
      <c r="GI254" s="205"/>
      <c r="GJ254" s="205"/>
      <c r="GK254" s="205"/>
      <c r="GL254" s="205"/>
      <c r="GM254" s="205"/>
      <c r="GN254" s="205"/>
      <c r="GO254" s="205"/>
      <c r="GP254" s="205"/>
      <c r="GQ254" s="205"/>
      <c r="GR254" s="205"/>
      <c r="GS254" s="205"/>
      <c r="GT254" s="205"/>
      <c r="GU254" s="205"/>
      <c r="GV254" s="18"/>
      <c r="GW254" s="5"/>
      <c r="GX254" s="5"/>
      <c r="GY254" s="77"/>
      <c r="GZ254" s="18"/>
      <c r="HA254" s="18"/>
      <c r="HB254" s="18"/>
      <c r="HC254" s="18"/>
      <c r="HD254" s="18"/>
      <c r="HE254" s="18"/>
      <c r="HF254" s="18"/>
      <c r="HG254" s="18"/>
      <c r="HH254" s="205"/>
      <c r="HI254" s="26"/>
      <c r="HJ254" s="26"/>
      <c r="HK254" s="5"/>
    </row>
    <row r="255" spans="27:219">
      <c r="AA255" s="18" t="s">
        <v>488</v>
      </c>
      <c r="AB255" s="22" t="s">
        <v>491</v>
      </c>
      <c r="AC255" s="59">
        <v>3.6405952380952398</v>
      </c>
      <c r="AD255" s="59">
        <v>8.6549999999999994</v>
      </c>
      <c r="AE255" s="22">
        <v>528</v>
      </c>
      <c r="AF255" s="22">
        <v>1528</v>
      </c>
      <c r="AG255" s="22">
        <v>948.63492063492095</v>
      </c>
      <c r="AH255" s="6">
        <v>10</v>
      </c>
      <c r="AI255" s="6">
        <v>300</v>
      </c>
      <c r="AJ255" s="6">
        <v>14</v>
      </c>
      <c r="AK255" s="24">
        <v>300</v>
      </c>
      <c r="AL255" s="24">
        <v>14</v>
      </c>
      <c r="AM255" s="5">
        <f t="shared" si="185"/>
        <v>920.63492063492095</v>
      </c>
      <c r="AN255" s="26">
        <f t="shared" si="186"/>
        <v>176.06349206349208</v>
      </c>
      <c r="AO255" s="26">
        <f t="shared" si="187"/>
        <v>248482.7399356656</v>
      </c>
      <c r="AP255" s="15">
        <f t="shared" si="188"/>
        <v>6307.6719576719579</v>
      </c>
      <c r="AQ255" s="5">
        <f t="shared" si="189"/>
        <v>5238.7432621467533</v>
      </c>
      <c r="AR255" s="26">
        <f t="shared" si="190"/>
        <v>420.51146384479722</v>
      </c>
      <c r="AS255" s="26">
        <f t="shared" si="191"/>
        <v>3022.1941546989178</v>
      </c>
      <c r="AT255" s="26">
        <f t="shared" si="192"/>
        <v>37.567600585756203</v>
      </c>
      <c r="AU255" s="26">
        <f t="shared" si="193"/>
        <v>5.9854925384629922</v>
      </c>
      <c r="AV255" s="95">
        <f t="shared" si="194"/>
        <v>8.6034497354497351E-7</v>
      </c>
      <c r="AW255" s="95">
        <f t="shared" si="195"/>
        <v>13758293.349206358</v>
      </c>
      <c r="AX255" s="95">
        <f t="shared" si="196"/>
        <v>1.3758293349206359E-5</v>
      </c>
      <c r="AY255" s="54">
        <f t="shared" si="197"/>
        <v>0.1548581140202015</v>
      </c>
      <c r="AZ255" s="54" t="str">
        <f>_xll.Dce_Name_SectI(AE255,AF255,AI255,AH255,AJ255,"x","-",$O$11)</f>
        <v>(528-1528)x300x10x14</v>
      </c>
      <c r="BA255" s="15">
        <f t="shared" si="198"/>
        <v>700.97619047619071</v>
      </c>
      <c r="BB255" s="54"/>
      <c r="BC255" s="54"/>
      <c r="BD255" s="22" t="s">
        <v>518</v>
      </c>
      <c r="BE255" s="23">
        <v>-291.26767131055561</v>
      </c>
      <c r="BF255" s="23">
        <v>-296.00486215520812</v>
      </c>
      <c r="BG255" s="23">
        <v>6.0980556566802061E-4</v>
      </c>
      <c r="BH255" s="23">
        <v>2.2772911251993697E-4</v>
      </c>
      <c r="BI255" s="23">
        <v>-2.2096453290448041E-3</v>
      </c>
      <c r="BJ255" s="23">
        <v>1081.112391549324</v>
      </c>
      <c r="BK255" s="23">
        <v>1078.3094851181136</v>
      </c>
      <c r="BL255" s="92">
        <v>2.25</v>
      </c>
      <c r="BM255" s="91">
        <v>2</v>
      </c>
      <c r="BN255" s="5">
        <f t="shared" si="199"/>
        <v>19.473749999999999</v>
      </c>
      <c r="BO255" s="54">
        <f>_xll.Bimoment(BH255,AY255,AC255,AD255,$O$101)</f>
        <v>-1.751388700082611E-3</v>
      </c>
      <c r="BP255" s="5">
        <f t="shared" si="200"/>
        <v>0.45620689655172403</v>
      </c>
      <c r="BQ255" s="5">
        <f t="shared" si="201"/>
        <v>15.483780389954982</v>
      </c>
      <c r="BR255" s="24" t="str">
        <f t="shared" si="202"/>
        <v>Cal</v>
      </c>
      <c r="BS255" s="25">
        <f t="shared" si="203"/>
        <v>7.2377075283963116E-2</v>
      </c>
      <c r="BT255" s="25" t="str">
        <f t="shared" si="204"/>
        <v>CT.105</v>
      </c>
      <c r="BU255" s="25">
        <f t="shared" si="205"/>
        <v>1</v>
      </c>
      <c r="BV255" s="25" cm="1">
        <f t="array" ref="BV255">IF(BT255="CT.104",_xll.TCVN5575AnnexEHeSoCx(1,BP255),1)</f>
        <v>1</v>
      </c>
      <c r="BW255" s="25">
        <f t="shared" si="206"/>
        <v>1</v>
      </c>
      <c r="BX255" s="25">
        <f t="shared" si="207"/>
        <v>7.6186395035750643E-2</v>
      </c>
      <c r="BY255" s="25">
        <f t="shared" si="208"/>
        <v>0.95038195559622385</v>
      </c>
      <c r="BZ255" s="25">
        <f t="shared" si="209"/>
        <v>2.4199098242943498E-5</v>
      </c>
      <c r="CA255" s="25">
        <f t="shared" si="210"/>
        <v>4.1093742683554915E-5</v>
      </c>
      <c r="CB255" s="25">
        <f t="shared" si="211"/>
        <v>1.0266336434729011</v>
      </c>
      <c r="CC255" s="5" t="str">
        <f t="shared" si="212"/>
        <v>Check</v>
      </c>
      <c r="CD255" s="5">
        <f t="shared" si="213"/>
        <v>51.836555160202302</v>
      </c>
      <c r="CE255" s="5">
        <f t="shared" si="214"/>
        <v>33.414125690541383</v>
      </c>
      <c r="CF255" s="5">
        <f t="shared" si="215"/>
        <v>1.7266865002204341</v>
      </c>
      <c r="CG255" s="5">
        <f t="shared" si="216"/>
        <v>1.1130315193248546</v>
      </c>
      <c r="CH255" s="5">
        <f t="shared" si="217"/>
        <v>12.474431362059521</v>
      </c>
      <c r="CI255" s="68">
        <f>_xll.DCETCVN5575PhuLucD2Eta(BP255,CH255,CF255)</f>
        <v>1.2412413793103447</v>
      </c>
      <c r="CJ255" s="5">
        <f t="shared" si="218"/>
        <v>15.483780389954982</v>
      </c>
      <c r="CK255" s="5">
        <f>MIN(noisuy2chieu(CJ255,CF255,Data!$DA$2:$EB$24),1)</f>
        <v>8.8773511350154877E-2</v>
      </c>
      <c r="CL255" s="102">
        <f t="shared" si="219"/>
        <v>0.85821089959192809</v>
      </c>
      <c r="CM255" s="5" t="str">
        <f t="shared" si="220"/>
        <v>OK</v>
      </c>
      <c r="CN255" s="5">
        <f t="shared" si="221"/>
        <v>0.88472625978979058</v>
      </c>
      <c r="CO255" s="5">
        <f t="shared" si="222"/>
        <v>0.5370345235716667</v>
      </c>
      <c r="CP255" s="25">
        <f>_xll.DCETCVNPhuLucFHeSoOnDinh(1, 0.2, AG255, AH255, AI255, AJ255, AI255, AJ255, $D$28)</f>
        <v>1</v>
      </c>
      <c r="CQ255" s="68">
        <f t="shared" si="223"/>
        <v>0.9</v>
      </c>
      <c r="CR255" s="68">
        <f t="shared" si="224"/>
        <v>1</v>
      </c>
      <c r="CS255" s="5">
        <f t="shared" si="225"/>
        <v>0.18181818181818182</v>
      </c>
      <c r="CT255" s="5">
        <f t="shared" si="226"/>
        <v>0.10155106457844131</v>
      </c>
      <c r="CU255" s="26">
        <f t="shared" si="227"/>
        <v>12.442089984637786</v>
      </c>
      <c r="CV255" s="5"/>
      <c r="CW255" s="25"/>
      <c r="CX255" s="72">
        <f>MAX(_xll.Dce_c_925(CU255, CQ255, CR255, CN255, CP255, CS255, CT255),0.3)</f>
        <v>0.3</v>
      </c>
      <c r="CY255" s="102">
        <f t="shared" si="228"/>
        <v>0.28704319252319699</v>
      </c>
      <c r="CZ255" s="5" t="str">
        <f t="shared" si="229"/>
        <v>OK</v>
      </c>
      <c r="DA255" s="47">
        <f t="shared" si="230"/>
        <v>0.34499859601035404</v>
      </c>
      <c r="DB255" s="46">
        <f t="shared" si="231"/>
        <v>0.47130315193248545</v>
      </c>
      <c r="DC255" s="5" t="str">
        <f t="shared" si="232"/>
        <v>OK</v>
      </c>
      <c r="DD255" s="5">
        <f t="shared" si="233"/>
        <v>1.7266865002204341</v>
      </c>
      <c r="DE255" s="5">
        <f t="shared" si="234"/>
        <v>3.0666541867587034</v>
      </c>
      <c r="DF255" s="5" t="str">
        <f t="shared" si="235"/>
        <v>-</v>
      </c>
      <c r="DG255" s="5" t="str">
        <f t="shared" si="236"/>
        <v>-</v>
      </c>
      <c r="DH255" s="203">
        <f t="shared" si="237"/>
        <v>51.836555160202302</v>
      </c>
      <c r="DI255" s="203">
        <f t="shared" si="238"/>
        <v>158.50734602448432</v>
      </c>
      <c r="DJ255" s="46">
        <f t="shared" si="239"/>
        <v>0.32702935517067588</v>
      </c>
      <c r="DK255" s="5" t="str">
        <f t="shared" si="240"/>
        <v>OK</v>
      </c>
      <c r="EB255" s="18"/>
      <c r="EC255" s="77"/>
      <c r="ED255" s="77"/>
      <c r="EE255" s="18"/>
      <c r="EF255" s="18"/>
      <c r="EG255" s="18"/>
      <c r="EH255" s="5"/>
      <c r="EI255" s="5"/>
      <c r="EJ255" s="5"/>
      <c r="EK255" s="5"/>
      <c r="EL255" s="5"/>
      <c r="FE255" s="26"/>
      <c r="FF255" s="26"/>
      <c r="FG255" s="26"/>
      <c r="FH255" s="26"/>
      <c r="FI255" s="26"/>
      <c r="FJ255" s="26"/>
      <c r="FK255" s="26"/>
      <c r="FL255" s="26"/>
      <c r="FM255" s="26"/>
      <c r="FN255" s="205"/>
      <c r="FO255" s="205"/>
      <c r="FP255" s="205"/>
      <c r="FQ255" s="205"/>
      <c r="FR255" s="205"/>
      <c r="FS255" s="205"/>
      <c r="FT255" s="205"/>
      <c r="FU255" s="77"/>
      <c r="FV255" s="77"/>
      <c r="FW255" s="77"/>
      <c r="FX255" s="205"/>
      <c r="FY255" s="205"/>
      <c r="FZ255" s="205"/>
      <c r="GA255" s="205"/>
      <c r="GB255" s="205"/>
      <c r="GC255" s="205"/>
      <c r="GD255" s="205"/>
      <c r="GE255" s="205"/>
      <c r="GF255" s="205"/>
      <c r="GG255" s="205"/>
      <c r="GH255" s="205"/>
      <c r="GI255" s="205"/>
      <c r="GJ255" s="205"/>
      <c r="GK255" s="205"/>
      <c r="GL255" s="205"/>
      <c r="GM255" s="205"/>
      <c r="GN255" s="205"/>
      <c r="GO255" s="205"/>
      <c r="GP255" s="205"/>
      <c r="GQ255" s="205"/>
      <c r="GR255" s="205"/>
      <c r="GS255" s="205"/>
      <c r="GT255" s="205"/>
      <c r="GU255" s="205"/>
      <c r="GV255" s="18"/>
      <c r="GW255" s="5"/>
      <c r="GX255" s="5"/>
      <c r="GY255" s="77"/>
      <c r="GZ255" s="18"/>
      <c r="HA255" s="18"/>
      <c r="HB255" s="18"/>
      <c r="HC255" s="18"/>
      <c r="HD255" s="18"/>
      <c r="HE255" s="18"/>
      <c r="HF255" s="18"/>
      <c r="HG255" s="18"/>
      <c r="HH255" s="205"/>
      <c r="HI255" s="26"/>
      <c r="HJ255" s="26"/>
      <c r="HK255" s="5"/>
    </row>
    <row r="256" spans="27:219">
      <c r="AA256" s="18" t="s">
        <v>488</v>
      </c>
      <c r="AB256" s="22" t="s">
        <v>491</v>
      </c>
      <c r="AC256" s="59">
        <v>7.2811904761904795</v>
      </c>
      <c r="AD256" s="59">
        <v>8.6549999999999994</v>
      </c>
      <c r="AE256" s="22">
        <v>528</v>
      </c>
      <c r="AF256" s="22">
        <v>1528</v>
      </c>
      <c r="AG256" s="22">
        <v>1369.2698412698419</v>
      </c>
      <c r="AH256" s="6">
        <v>10</v>
      </c>
      <c r="AI256" s="6">
        <v>300</v>
      </c>
      <c r="AJ256" s="6">
        <v>14</v>
      </c>
      <c r="AK256" s="24">
        <v>300</v>
      </c>
      <c r="AL256" s="24">
        <v>14</v>
      </c>
      <c r="AM256" s="5">
        <f t="shared" si="185"/>
        <v>1341.2698412698419</v>
      </c>
      <c r="AN256" s="26">
        <f t="shared" si="186"/>
        <v>218.12698412698418</v>
      </c>
      <c r="AO256" s="26">
        <f t="shared" si="187"/>
        <v>586811.79072745051</v>
      </c>
      <c r="AP256" s="15">
        <f t="shared" si="188"/>
        <v>6311.1772486772488</v>
      </c>
      <c r="AQ256" s="5">
        <f t="shared" si="189"/>
        <v>8571.1635945074104</v>
      </c>
      <c r="AR256" s="26">
        <f t="shared" si="190"/>
        <v>420.74514991181661</v>
      </c>
      <c r="AS256" s="26">
        <f t="shared" si="191"/>
        <v>5094.8226505417015</v>
      </c>
      <c r="AT256" s="26">
        <f t="shared" si="192"/>
        <v>51.867428670398397</v>
      </c>
      <c r="AU256" s="26">
        <f t="shared" si="193"/>
        <v>5.3789869588463937</v>
      </c>
      <c r="AV256" s="95">
        <f t="shared" si="194"/>
        <v>1.0005566137566139E-6</v>
      </c>
      <c r="AW256" s="95">
        <f t="shared" si="195"/>
        <v>28928912.396825422</v>
      </c>
      <c r="AX256" s="95">
        <f t="shared" si="196"/>
        <v>2.8928912396825422E-5</v>
      </c>
      <c r="AY256" s="54">
        <f t="shared" si="197"/>
        <v>0.11516876660535029</v>
      </c>
      <c r="AZ256" s="54" t="str">
        <f>_xll.Dce_Name_SectI(AE256,AF256,AI256,AH256,AJ256,"x","-",$O$11)</f>
        <v>(528-1528)x300x10x14</v>
      </c>
      <c r="BA256" s="15">
        <f t="shared" si="198"/>
        <v>1016.4523809523813</v>
      </c>
      <c r="BB256" s="54"/>
      <c r="BC256" s="54"/>
      <c r="BD256" s="22" t="s">
        <v>518</v>
      </c>
      <c r="BE256" s="23">
        <v>-284.61971987349739</v>
      </c>
      <c r="BF256" s="23">
        <v>-293.46566987308267</v>
      </c>
      <c r="BG256" s="23">
        <v>6.0980556566817652E-4</v>
      </c>
      <c r="BH256" s="23">
        <v>2.2772911251993697E-4</v>
      </c>
      <c r="BI256" s="23">
        <v>-4.4349288365765575E-3</v>
      </c>
      <c r="BJ256" s="23">
        <v>2156.6189702362271</v>
      </c>
      <c r="BK256" s="23">
        <v>1078.3094851181136</v>
      </c>
      <c r="BL256" s="92">
        <v>2.25</v>
      </c>
      <c r="BM256" s="91">
        <v>2</v>
      </c>
      <c r="BN256" s="5">
        <f t="shared" si="199"/>
        <v>19.473749999999999</v>
      </c>
      <c r="BO256" s="54">
        <f>_xll.Bimoment(BH256,AY256,AC256,AD256,$O$101)</f>
        <v>-1.0417856335724221E-3</v>
      </c>
      <c r="BP256" s="5">
        <f t="shared" si="200"/>
        <v>0.31313609467455605</v>
      </c>
      <c r="BQ256" s="5">
        <f t="shared" si="201"/>
        <v>23.38327605588465</v>
      </c>
      <c r="BR256" s="24" t="str">
        <f t="shared" si="202"/>
        <v>Cal</v>
      </c>
      <c r="BS256" s="25">
        <f t="shared" si="203"/>
        <v>5.7086530556056399E-2</v>
      </c>
      <c r="BT256" s="25" t="str">
        <f t="shared" si="204"/>
        <v>CT.105</v>
      </c>
      <c r="BU256" s="25">
        <f t="shared" si="205"/>
        <v>1</v>
      </c>
      <c r="BV256" s="25" cm="1">
        <f t="array" ref="BV256">IF(BT256="CT.104",_xll.TCVN5575AnnexEHeSoCx(1,BP256),1)</f>
        <v>1</v>
      </c>
      <c r="BW256" s="25">
        <f t="shared" si="206"/>
        <v>1</v>
      </c>
      <c r="BX256" s="25">
        <f t="shared" si="207"/>
        <v>6.0091084795848848E-2</v>
      </c>
      <c r="BY256" s="25">
        <f t="shared" si="208"/>
        <v>1.158745575176082</v>
      </c>
      <c r="BZ256" s="25">
        <f t="shared" si="209"/>
        <v>4.8542483218764695E-5</v>
      </c>
      <c r="CA256" s="25">
        <f t="shared" si="210"/>
        <v>1.6857289581112295E-5</v>
      </c>
      <c r="CB256" s="25">
        <f t="shared" si="211"/>
        <v>1.2189020597447309</v>
      </c>
      <c r="CC256" s="5" t="str">
        <f t="shared" si="212"/>
        <v>Check</v>
      </c>
      <c r="CD256" s="5">
        <f t="shared" si="213"/>
        <v>37.545238889226049</v>
      </c>
      <c r="CE256" s="5">
        <f t="shared" si="214"/>
        <v>37.181722419139881</v>
      </c>
      <c r="CF256" s="5">
        <f t="shared" si="215"/>
        <v>1.2506397644909562</v>
      </c>
      <c r="CG256" s="5">
        <f t="shared" si="216"/>
        <v>1.2385309547993069</v>
      </c>
      <c r="CH256" s="5">
        <f t="shared" si="217"/>
        <v>19.283152885536349</v>
      </c>
      <c r="CI256" s="68">
        <f>_xll.DCETCVN5575PhuLucD2Eta(BP256,CH256,CF256)</f>
        <v>1.2126272189349112</v>
      </c>
      <c r="CJ256" s="5">
        <f t="shared" si="218"/>
        <v>23.38327605588465</v>
      </c>
      <c r="CK256" s="5">
        <f>MIN(noisuy2chieu(CJ256,CF256,Data!$DA$2:$EB$24),1)</f>
        <v>7.1994885802268982E-2</v>
      </c>
      <c r="CL256" s="102">
        <f t="shared" si="219"/>
        <v>0.83465768611518543</v>
      </c>
      <c r="CM256" s="5" t="str">
        <f t="shared" si="220"/>
        <v>OK</v>
      </c>
      <c r="CN256" s="5">
        <f t="shared" si="221"/>
        <v>0.86643683692746631</v>
      </c>
      <c r="CO256" s="5">
        <f t="shared" si="222"/>
        <v>0.5370345235716667</v>
      </c>
      <c r="CP256" s="25">
        <f>_xll.DCETCVNPhuLucFHeSoOnDinh(1, 0.2, AG256, AH256, AI256, AJ256, AI256, AJ256, $D$28)</f>
        <v>1</v>
      </c>
      <c r="CQ256" s="68">
        <f t="shared" si="223"/>
        <v>0.9</v>
      </c>
      <c r="CR256" s="68">
        <f t="shared" si="224"/>
        <v>1</v>
      </c>
      <c r="CS256" s="5">
        <f t="shared" si="225"/>
        <v>0.18181818181818182</v>
      </c>
      <c r="CT256" s="5">
        <f t="shared" si="226"/>
        <v>0.10347287704587492</v>
      </c>
      <c r="CU256" s="26">
        <f t="shared" si="227"/>
        <v>9.6415764427681747</v>
      </c>
      <c r="CV256" s="5"/>
      <c r="CW256" s="25"/>
      <c r="CX256" s="72">
        <f>MAX(_xll.Dce_c_925(CU256, CQ256, CR256, CN256, CP256, CS256, CT256),0.3)</f>
        <v>0.3</v>
      </c>
      <c r="CY256" s="102">
        <f t="shared" si="228"/>
        <v>0.23118086333502835</v>
      </c>
      <c r="CZ256" s="5" t="str">
        <f t="shared" si="229"/>
        <v>OK</v>
      </c>
      <c r="DA256" s="47">
        <f t="shared" si="230"/>
        <v>0.34499859601035404</v>
      </c>
      <c r="DB256" s="46">
        <f t="shared" si="231"/>
        <v>0.48385309547993066</v>
      </c>
      <c r="DC256" s="5" t="str">
        <f t="shared" si="232"/>
        <v>OK</v>
      </c>
      <c r="DD256" s="5">
        <f t="shared" si="233"/>
        <v>1.2506397644909562</v>
      </c>
      <c r="DE256" s="5">
        <f t="shared" si="234"/>
        <v>4.4677979100191463</v>
      </c>
      <c r="DF256" s="5" t="str">
        <f t="shared" si="235"/>
        <v>-</v>
      </c>
      <c r="DG256" s="5" t="str">
        <f t="shared" si="236"/>
        <v>-</v>
      </c>
      <c r="DH256" s="203">
        <f t="shared" si="237"/>
        <v>37.545238889226049</v>
      </c>
      <c r="DI256" s="203">
        <f t="shared" si="238"/>
        <v>159.92053883308887</v>
      </c>
      <c r="DJ256" s="46">
        <f t="shared" si="239"/>
        <v>0.23477433957630983</v>
      </c>
      <c r="DK256" s="5" t="str">
        <f t="shared" si="240"/>
        <v>OK</v>
      </c>
      <c r="EB256" s="18"/>
      <c r="EC256" s="77"/>
      <c r="ED256" s="77"/>
      <c r="EE256" s="18"/>
      <c r="EF256" s="18"/>
      <c r="EG256" s="18"/>
      <c r="EH256" s="5"/>
      <c r="EI256" s="5"/>
      <c r="EJ256" s="5"/>
      <c r="EK256" s="5"/>
      <c r="EL256" s="5"/>
      <c r="FE256" s="26"/>
      <c r="FF256" s="26"/>
      <c r="FG256" s="26"/>
      <c r="FH256" s="26"/>
      <c r="FI256" s="26"/>
      <c r="FJ256" s="26"/>
      <c r="FK256" s="26"/>
      <c r="FL256" s="26"/>
      <c r="FM256" s="26"/>
      <c r="FN256" s="205"/>
      <c r="FO256" s="205"/>
      <c r="FP256" s="205"/>
      <c r="FQ256" s="205"/>
      <c r="FR256" s="205"/>
      <c r="FS256" s="205"/>
      <c r="FT256" s="205"/>
      <c r="FU256" s="77"/>
      <c r="FV256" s="77"/>
      <c r="FW256" s="77"/>
      <c r="FX256" s="205"/>
      <c r="FY256" s="205"/>
      <c r="FZ256" s="205"/>
      <c r="GA256" s="205"/>
      <c r="GB256" s="205"/>
      <c r="GC256" s="205"/>
      <c r="GD256" s="205"/>
      <c r="GE256" s="205"/>
      <c r="GF256" s="205"/>
      <c r="GG256" s="205"/>
      <c r="GH256" s="205"/>
      <c r="GI256" s="205"/>
      <c r="GJ256" s="205"/>
      <c r="GK256" s="205"/>
      <c r="GL256" s="205"/>
      <c r="GM256" s="205"/>
      <c r="GN256" s="205"/>
      <c r="GO256" s="205"/>
      <c r="GP256" s="205"/>
      <c r="GQ256" s="205"/>
      <c r="GR256" s="205"/>
      <c r="GS256" s="205"/>
      <c r="GT256" s="205"/>
      <c r="GU256" s="205"/>
      <c r="GV256" s="18"/>
      <c r="GW256" s="5"/>
      <c r="GX256" s="5"/>
      <c r="GY256" s="77"/>
      <c r="GZ256" s="18"/>
      <c r="HA256" s="18"/>
      <c r="HB256" s="18"/>
      <c r="HC256" s="18"/>
      <c r="HD256" s="18"/>
      <c r="HE256" s="18"/>
      <c r="HF256" s="18"/>
      <c r="HG256" s="18"/>
      <c r="HH256" s="205"/>
      <c r="HI256" s="26"/>
      <c r="HJ256" s="26"/>
      <c r="HK256" s="5"/>
    </row>
    <row r="257" spans="40:219">
      <c r="AN257" s="26"/>
      <c r="AO257" s="26"/>
      <c r="AP257" s="15"/>
      <c r="AQ257" s="5"/>
      <c r="AR257" s="26"/>
      <c r="AS257" s="26"/>
      <c r="AT257" s="26"/>
      <c r="AU257" s="26"/>
      <c r="AV257" s="95"/>
      <c r="AW257" s="95"/>
      <c r="AX257" s="95"/>
      <c r="AY257" s="54"/>
      <c r="AZ257" s="54"/>
      <c r="BA257" s="15"/>
      <c r="BB257" s="54"/>
      <c r="BC257" s="54"/>
      <c r="BD257" s="22"/>
      <c r="BE257" s="23"/>
      <c r="BL257" s="92"/>
      <c r="BN257" s="5"/>
      <c r="BO257" s="54"/>
      <c r="BP257" s="5"/>
      <c r="BQ257" s="5"/>
      <c r="BR257" s="24"/>
      <c r="BS257" s="25"/>
      <c r="BT257" s="25"/>
      <c r="BU257" s="25"/>
      <c r="BV257" s="25"/>
      <c r="BW257" s="25"/>
      <c r="BX257" s="25"/>
      <c r="BY257" s="25"/>
      <c r="BZ257" s="25"/>
      <c r="CA257" s="25"/>
      <c r="CB257" s="25"/>
      <c r="CC257" s="5"/>
      <c r="CD257" s="5"/>
      <c r="CE257" s="5"/>
      <c r="CF257" s="5"/>
      <c r="CG257" s="5"/>
      <c r="CH257" s="5"/>
      <c r="CI257" s="68"/>
      <c r="CJ257" s="5"/>
      <c r="CK257" s="5"/>
      <c r="CL257" s="102"/>
      <c r="CM257" s="5"/>
      <c r="CN257" s="5"/>
      <c r="CO257" s="5"/>
      <c r="CP257" s="25"/>
      <c r="CQ257" s="68"/>
      <c r="CR257" s="68"/>
      <c r="CS257" s="5"/>
      <c r="CT257" s="5"/>
      <c r="CU257" s="68"/>
      <c r="CV257" s="5"/>
      <c r="CW257" s="25"/>
      <c r="CX257" s="72"/>
      <c r="CY257" s="102"/>
      <c r="CZ257" s="5"/>
      <c r="DA257" s="47"/>
      <c r="DB257" s="46"/>
      <c r="DC257" s="5"/>
      <c r="DD257" s="5"/>
      <c r="DE257" s="5"/>
      <c r="DF257" s="5"/>
      <c r="DG257" s="5"/>
      <c r="DH257" s="203"/>
      <c r="DI257" s="203"/>
      <c r="DJ257" s="46"/>
      <c r="DK257" s="5"/>
      <c r="EB257" s="18"/>
      <c r="EC257" s="77"/>
      <c r="ED257" s="77"/>
      <c r="EE257" s="18"/>
      <c r="EF257" s="18"/>
      <c r="EG257" s="18"/>
      <c r="EH257" s="5"/>
      <c r="EI257" s="5"/>
      <c r="EJ257" s="5"/>
      <c r="EK257" s="5"/>
      <c r="EL257" s="5"/>
      <c r="FE257" s="26"/>
      <c r="FF257" s="26"/>
      <c r="FG257" s="26"/>
      <c r="FH257" s="26"/>
      <c r="FI257" s="26"/>
      <c r="FJ257" s="26"/>
      <c r="FK257" s="26"/>
      <c r="FL257" s="26"/>
      <c r="FM257" s="26"/>
      <c r="FN257" s="205"/>
      <c r="FO257" s="205"/>
      <c r="FP257" s="205"/>
      <c r="FQ257" s="205"/>
      <c r="FR257" s="205"/>
      <c r="FS257" s="205"/>
      <c r="FT257" s="205"/>
      <c r="FU257" s="77"/>
      <c r="FV257" s="77"/>
      <c r="FW257" s="77"/>
      <c r="FX257" s="205"/>
      <c r="FY257" s="205"/>
      <c r="FZ257" s="205"/>
      <c r="GA257" s="205"/>
      <c r="GB257" s="205"/>
      <c r="GC257" s="205"/>
      <c r="GD257" s="205"/>
      <c r="GE257" s="205"/>
      <c r="GF257" s="205"/>
      <c r="GG257" s="205"/>
      <c r="GH257" s="205"/>
      <c r="GI257" s="205"/>
      <c r="GJ257" s="205"/>
      <c r="GK257" s="205"/>
      <c r="GL257" s="205"/>
      <c r="GM257" s="205"/>
      <c r="GN257" s="205"/>
      <c r="GO257" s="205"/>
      <c r="GP257" s="205"/>
      <c r="GQ257" s="205"/>
      <c r="GR257" s="205"/>
      <c r="GS257" s="205"/>
      <c r="GT257" s="205"/>
      <c r="GU257" s="205"/>
      <c r="GV257" s="18"/>
      <c r="GW257" s="5"/>
      <c r="GX257" s="5"/>
      <c r="GY257" s="77"/>
      <c r="GZ257" s="18"/>
      <c r="HA257" s="18"/>
      <c r="HB257" s="18"/>
      <c r="HC257" s="18"/>
      <c r="HD257" s="18"/>
      <c r="HE257" s="18"/>
      <c r="HF257" s="18"/>
      <c r="HG257" s="18"/>
      <c r="HH257" s="205"/>
      <c r="HI257" s="26"/>
      <c r="HJ257" s="26"/>
      <c r="HK257" s="5"/>
    </row>
    <row r="258" spans="40:219">
      <c r="AN258" s="26"/>
      <c r="AO258" s="26"/>
      <c r="AP258" s="15"/>
      <c r="AQ258" s="5"/>
      <c r="AR258" s="26"/>
      <c r="AS258" s="26"/>
      <c r="AT258" s="26"/>
      <c r="AU258" s="26"/>
      <c r="AV258" s="95"/>
      <c r="AW258" s="95"/>
      <c r="AX258" s="95"/>
      <c r="AY258" s="54"/>
      <c r="AZ258" s="54"/>
      <c r="BA258" s="15"/>
      <c r="BB258" s="54"/>
      <c r="BC258" s="54"/>
      <c r="BD258" s="22"/>
      <c r="BE258" s="23"/>
      <c r="BL258" s="92"/>
      <c r="BN258" s="5"/>
      <c r="BO258" s="54"/>
      <c r="BP258" s="5"/>
      <c r="BQ258" s="5"/>
      <c r="BR258" s="24"/>
      <c r="BS258" s="25"/>
      <c r="BT258" s="25"/>
      <c r="BU258" s="25"/>
      <c r="BV258" s="25"/>
      <c r="BW258" s="25"/>
      <c r="BX258" s="25"/>
      <c r="BY258" s="25"/>
      <c r="BZ258" s="25"/>
      <c r="CA258" s="25"/>
      <c r="CB258" s="25"/>
      <c r="CC258" s="5"/>
      <c r="CD258" s="5"/>
      <c r="CE258" s="5"/>
      <c r="CF258" s="5"/>
      <c r="CG258" s="5"/>
      <c r="CH258" s="5"/>
      <c r="CI258" s="68"/>
      <c r="CJ258" s="5"/>
      <c r="CK258" s="5"/>
      <c r="CL258" s="102"/>
      <c r="CM258" s="5"/>
      <c r="CN258" s="5"/>
      <c r="CO258" s="5"/>
      <c r="CP258" s="25"/>
      <c r="CQ258" s="68"/>
      <c r="CR258" s="68"/>
      <c r="CS258" s="5"/>
      <c r="CT258" s="5"/>
      <c r="CU258" s="68"/>
      <c r="CV258" s="5"/>
      <c r="CW258" s="25"/>
      <c r="CX258" s="72"/>
      <c r="CY258" s="102"/>
      <c r="CZ258" s="5"/>
      <c r="DA258" s="47"/>
      <c r="DB258" s="46"/>
      <c r="DC258" s="5"/>
      <c r="DD258" s="5"/>
      <c r="DE258" s="5"/>
      <c r="DF258" s="5"/>
      <c r="DG258" s="5"/>
      <c r="DH258" s="203"/>
      <c r="DI258" s="203"/>
      <c r="DJ258" s="46"/>
      <c r="DK258" s="5"/>
      <c r="EB258" s="18"/>
      <c r="EC258" s="77"/>
      <c r="ED258" s="77"/>
      <c r="EE258" s="18"/>
      <c r="EF258" s="18"/>
      <c r="EG258" s="18"/>
      <c r="EH258" s="5"/>
      <c r="EI258" s="5"/>
      <c r="EJ258" s="5"/>
      <c r="EK258" s="5"/>
      <c r="EL258" s="5"/>
      <c r="FE258" s="26"/>
      <c r="FF258" s="26"/>
      <c r="FG258" s="26"/>
      <c r="FH258" s="26"/>
      <c r="FI258" s="26"/>
      <c r="FJ258" s="26"/>
      <c r="FK258" s="26"/>
      <c r="FL258" s="26"/>
      <c r="FM258" s="26"/>
      <c r="FN258" s="205"/>
      <c r="FO258" s="205"/>
      <c r="FP258" s="205"/>
      <c r="FQ258" s="205"/>
      <c r="FR258" s="205"/>
      <c r="FS258" s="205"/>
      <c r="FT258" s="205"/>
      <c r="FU258" s="77"/>
      <c r="FV258" s="77"/>
      <c r="FW258" s="77"/>
      <c r="FX258" s="205"/>
      <c r="FY258" s="205"/>
      <c r="FZ258" s="205"/>
      <c r="GA258" s="205"/>
      <c r="GB258" s="205"/>
      <c r="GC258" s="205"/>
      <c r="GD258" s="205"/>
      <c r="GE258" s="205"/>
      <c r="GF258" s="205"/>
      <c r="GG258" s="205"/>
      <c r="GH258" s="205"/>
      <c r="GI258" s="205"/>
      <c r="GJ258" s="205"/>
      <c r="GK258" s="205"/>
      <c r="GL258" s="205"/>
      <c r="GM258" s="205"/>
      <c r="GN258" s="205"/>
      <c r="GO258" s="205"/>
      <c r="GP258" s="205"/>
      <c r="GQ258" s="205"/>
      <c r="GR258" s="205"/>
      <c r="GS258" s="205"/>
      <c r="GT258" s="205"/>
      <c r="GU258" s="205"/>
      <c r="GV258" s="18"/>
      <c r="GW258" s="5"/>
      <c r="GX258" s="5"/>
      <c r="GY258" s="77"/>
      <c r="GZ258" s="18"/>
      <c r="HA258" s="18"/>
      <c r="HB258" s="18"/>
      <c r="HC258" s="18"/>
      <c r="HD258" s="18"/>
      <c r="HE258" s="18"/>
      <c r="HF258" s="18"/>
      <c r="HG258" s="18"/>
      <c r="HH258" s="205"/>
      <c r="HI258" s="26"/>
      <c r="HJ258" s="26"/>
      <c r="HK258" s="5"/>
    </row>
    <row r="259" spans="40:219">
      <c r="AN259" s="26"/>
      <c r="AO259" s="26"/>
      <c r="AP259" s="15"/>
      <c r="AQ259" s="5"/>
      <c r="AR259" s="26"/>
      <c r="AS259" s="26"/>
      <c r="AT259" s="26"/>
      <c r="AU259" s="26"/>
      <c r="AV259" s="95"/>
      <c r="AW259" s="95"/>
      <c r="AX259" s="95"/>
      <c r="AY259" s="54"/>
      <c r="AZ259" s="54"/>
      <c r="BA259" s="15"/>
      <c r="BB259" s="54"/>
      <c r="BC259" s="54"/>
      <c r="BD259" s="22"/>
      <c r="BE259" s="23"/>
      <c r="BL259" s="92"/>
      <c r="BN259" s="5"/>
      <c r="BO259" s="54"/>
      <c r="BP259" s="5"/>
      <c r="BQ259" s="5"/>
      <c r="BR259" s="24"/>
      <c r="BS259" s="25"/>
      <c r="BT259" s="25"/>
      <c r="BU259" s="25"/>
      <c r="BV259" s="25"/>
      <c r="BW259" s="25"/>
      <c r="BX259" s="25"/>
      <c r="BY259" s="25"/>
      <c r="BZ259" s="25"/>
      <c r="CA259" s="25"/>
      <c r="CB259" s="25"/>
      <c r="CC259" s="5"/>
      <c r="CD259" s="5"/>
      <c r="CE259" s="5"/>
      <c r="CF259" s="5"/>
      <c r="CG259" s="5"/>
      <c r="CH259" s="5"/>
      <c r="CI259" s="68"/>
      <c r="CJ259" s="5"/>
      <c r="CK259" s="5"/>
      <c r="CL259" s="102"/>
      <c r="CM259" s="5"/>
      <c r="CN259" s="5"/>
      <c r="CO259" s="5"/>
      <c r="CP259" s="25"/>
      <c r="CQ259" s="68"/>
      <c r="CR259" s="68"/>
      <c r="CS259" s="5"/>
      <c r="CT259" s="5"/>
      <c r="CU259" s="68"/>
      <c r="CV259" s="5"/>
      <c r="CW259" s="25"/>
      <c r="CX259" s="72"/>
      <c r="CY259" s="102"/>
      <c r="CZ259" s="5"/>
      <c r="DA259" s="47"/>
      <c r="DB259" s="46"/>
      <c r="DC259" s="5"/>
      <c r="DD259" s="5"/>
      <c r="DE259" s="5"/>
      <c r="DF259" s="5"/>
      <c r="DG259" s="5"/>
      <c r="DH259" s="203"/>
      <c r="DI259" s="203"/>
      <c r="DJ259" s="46"/>
      <c r="DK259" s="5"/>
      <c r="EB259" s="18"/>
      <c r="EC259" s="77"/>
      <c r="ED259" s="77"/>
      <c r="EE259" s="18"/>
      <c r="EF259" s="18"/>
      <c r="EG259" s="18"/>
      <c r="EH259" s="5"/>
      <c r="EI259" s="5"/>
      <c r="EJ259" s="5"/>
      <c r="EK259" s="5"/>
      <c r="EL259" s="5"/>
      <c r="FE259" s="26"/>
      <c r="FF259" s="26"/>
      <c r="FG259" s="26"/>
      <c r="FH259" s="26"/>
      <c r="FI259" s="26"/>
      <c r="FJ259" s="26"/>
      <c r="FK259" s="26"/>
      <c r="FL259" s="26"/>
      <c r="FM259" s="26"/>
      <c r="FN259" s="205"/>
      <c r="FO259" s="205"/>
      <c r="FP259" s="205"/>
      <c r="FQ259" s="205"/>
      <c r="FR259" s="205"/>
      <c r="FS259" s="205"/>
      <c r="FT259" s="205"/>
      <c r="FU259" s="77"/>
      <c r="FV259" s="77"/>
      <c r="FW259" s="77"/>
      <c r="FX259" s="205"/>
      <c r="FY259" s="205"/>
      <c r="FZ259" s="205"/>
      <c r="GA259" s="205"/>
      <c r="GB259" s="205"/>
      <c r="GC259" s="205"/>
      <c r="GD259" s="205"/>
      <c r="GE259" s="205"/>
      <c r="GF259" s="205"/>
      <c r="GG259" s="205"/>
      <c r="GH259" s="205"/>
      <c r="GI259" s="205"/>
      <c r="GJ259" s="205"/>
      <c r="GK259" s="205"/>
      <c r="GL259" s="205"/>
      <c r="GM259" s="205"/>
      <c r="GN259" s="205"/>
      <c r="GO259" s="205"/>
      <c r="GP259" s="205"/>
      <c r="GQ259" s="205"/>
      <c r="GR259" s="205"/>
      <c r="GS259" s="205"/>
      <c r="GT259" s="205"/>
      <c r="GU259" s="205"/>
      <c r="GV259" s="18"/>
      <c r="GW259" s="5"/>
      <c r="GX259" s="5"/>
      <c r="GY259" s="77"/>
      <c r="GZ259" s="18"/>
      <c r="HA259" s="18"/>
      <c r="HB259" s="18"/>
      <c r="HC259" s="18"/>
      <c r="HD259" s="18"/>
      <c r="HE259" s="18"/>
      <c r="HF259" s="18"/>
      <c r="HG259" s="18"/>
      <c r="HH259" s="205"/>
      <c r="HI259" s="26"/>
      <c r="HJ259" s="26"/>
      <c r="HK259" s="5"/>
    </row>
    <row r="260" spans="40:219">
      <c r="AN260" s="26"/>
      <c r="AO260" s="26"/>
      <c r="AP260" s="15"/>
      <c r="AQ260" s="5"/>
      <c r="AR260" s="26"/>
      <c r="AS260" s="26"/>
      <c r="AT260" s="26"/>
      <c r="AU260" s="26"/>
      <c r="AV260" s="95"/>
      <c r="AW260" s="95"/>
      <c r="AX260" s="95"/>
      <c r="AY260" s="54"/>
      <c r="AZ260" s="54"/>
      <c r="BA260" s="15"/>
      <c r="BB260" s="54"/>
      <c r="BC260" s="54"/>
      <c r="BD260" s="22"/>
      <c r="BE260" s="23"/>
      <c r="BL260" s="92"/>
      <c r="BN260" s="5"/>
      <c r="BO260" s="54"/>
      <c r="BP260" s="5"/>
      <c r="BQ260" s="5"/>
      <c r="BR260" s="24"/>
      <c r="BS260" s="25"/>
      <c r="BT260" s="25"/>
      <c r="BU260" s="25"/>
      <c r="BV260" s="25"/>
      <c r="BW260" s="25"/>
      <c r="BX260" s="25"/>
      <c r="BY260" s="25"/>
      <c r="BZ260" s="25"/>
      <c r="CA260" s="25"/>
      <c r="CB260" s="25"/>
      <c r="CC260" s="5"/>
      <c r="CD260" s="5"/>
      <c r="CE260" s="5"/>
      <c r="CF260" s="5"/>
      <c r="CG260" s="5"/>
      <c r="CH260" s="5"/>
      <c r="CI260" s="68"/>
      <c r="CJ260" s="5"/>
      <c r="CK260" s="5"/>
      <c r="CL260" s="102"/>
      <c r="CM260" s="5"/>
      <c r="CN260" s="5"/>
      <c r="CO260" s="5"/>
      <c r="CP260" s="25"/>
      <c r="CQ260" s="68"/>
      <c r="CR260" s="68"/>
      <c r="CS260" s="5"/>
      <c r="CT260" s="5"/>
      <c r="CU260" s="68"/>
      <c r="CV260" s="5"/>
      <c r="CW260" s="25"/>
      <c r="CX260" s="72"/>
      <c r="CY260" s="102"/>
      <c r="CZ260" s="5"/>
      <c r="DA260" s="47"/>
      <c r="DB260" s="46"/>
      <c r="DC260" s="5"/>
      <c r="DD260" s="5"/>
      <c r="DE260" s="5"/>
      <c r="DF260" s="5"/>
      <c r="DG260" s="5"/>
      <c r="DH260" s="203"/>
      <c r="DI260" s="203"/>
      <c r="DJ260" s="46"/>
      <c r="DK260" s="5"/>
      <c r="EB260" s="18"/>
      <c r="EC260" s="77"/>
      <c r="ED260" s="77"/>
      <c r="EE260" s="18"/>
      <c r="EF260" s="18"/>
      <c r="EG260" s="18"/>
      <c r="EH260" s="5"/>
      <c r="EI260" s="5"/>
      <c r="EJ260" s="5"/>
      <c r="EK260" s="5"/>
      <c r="EL260" s="5"/>
      <c r="FE260" s="26"/>
      <c r="FF260" s="26"/>
      <c r="FG260" s="26"/>
      <c r="FH260" s="26"/>
      <c r="FI260" s="26"/>
      <c r="FJ260" s="26"/>
      <c r="FK260" s="26"/>
      <c r="FL260" s="26"/>
      <c r="FM260" s="26"/>
      <c r="FN260" s="205"/>
      <c r="FO260" s="205"/>
      <c r="FP260" s="205"/>
      <c r="FQ260" s="205"/>
      <c r="FR260" s="205"/>
      <c r="FS260" s="205"/>
      <c r="FT260" s="205"/>
      <c r="FU260" s="77"/>
      <c r="FV260" s="77"/>
      <c r="FW260" s="77"/>
      <c r="FX260" s="205"/>
      <c r="FY260" s="205"/>
      <c r="FZ260" s="205"/>
      <c r="GA260" s="205"/>
      <c r="GB260" s="205"/>
      <c r="GC260" s="205"/>
      <c r="GD260" s="205"/>
      <c r="GE260" s="205"/>
      <c r="GF260" s="205"/>
      <c r="GG260" s="205"/>
      <c r="GH260" s="205"/>
      <c r="GI260" s="205"/>
      <c r="GJ260" s="205"/>
      <c r="GK260" s="205"/>
      <c r="GL260" s="205"/>
      <c r="GM260" s="205"/>
      <c r="GN260" s="205"/>
      <c r="GO260" s="205"/>
      <c r="GP260" s="205"/>
      <c r="GQ260" s="205"/>
      <c r="GR260" s="205"/>
      <c r="GS260" s="205"/>
      <c r="GT260" s="205"/>
      <c r="GU260" s="205"/>
      <c r="GV260" s="18"/>
      <c r="GW260" s="5"/>
      <c r="GX260" s="5"/>
      <c r="GY260" s="77"/>
      <c r="GZ260" s="18"/>
      <c r="HA260" s="18"/>
      <c r="HB260" s="18"/>
      <c r="HC260" s="18"/>
      <c r="HD260" s="18"/>
      <c r="HE260" s="18"/>
      <c r="HF260" s="18"/>
      <c r="HG260" s="18"/>
      <c r="HH260" s="205"/>
      <c r="HI260" s="26"/>
      <c r="HJ260" s="26"/>
      <c r="HK260" s="5"/>
    </row>
    <row r="261" spans="40:219">
      <c r="AN261" s="26"/>
      <c r="AO261" s="26"/>
      <c r="AP261" s="15"/>
      <c r="AQ261" s="5"/>
      <c r="AR261" s="26"/>
      <c r="AS261" s="26"/>
      <c r="AT261" s="26"/>
      <c r="AU261" s="26"/>
      <c r="AV261" s="95"/>
      <c r="AW261" s="95"/>
      <c r="AX261" s="95"/>
      <c r="AY261" s="54"/>
      <c r="AZ261" s="54"/>
      <c r="BA261" s="15"/>
      <c r="BB261" s="54"/>
      <c r="BC261" s="54"/>
      <c r="BD261" s="22"/>
      <c r="BE261" s="23"/>
      <c r="BL261" s="92"/>
      <c r="BN261" s="5"/>
      <c r="BO261" s="54"/>
      <c r="BP261" s="5"/>
      <c r="BQ261" s="5"/>
      <c r="BR261" s="24"/>
      <c r="BS261" s="25"/>
      <c r="BT261" s="25"/>
      <c r="BU261" s="25"/>
      <c r="BV261" s="25"/>
      <c r="BW261" s="25"/>
      <c r="BX261" s="25"/>
      <c r="BY261" s="25"/>
      <c r="BZ261" s="25"/>
      <c r="CA261" s="25"/>
      <c r="CB261" s="25"/>
      <c r="CC261" s="5"/>
      <c r="CD261" s="5"/>
      <c r="CE261" s="5"/>
      <c r="CF261" s="5"/>
      <c r="CG261" s="5"/>
      <c r="CH261" s="5"/>
      <c r="CI261" s="68"/>
      <c r="CJ261" s="5"/>
      <c r="CK261" s="5"/>
      <c r="CL261" s="102"/>
      <c r="CM261" s="5"/>
      <c r="CN261" s="5"/>
      <c r="CO261" s="5"/>
      <c r="CP261" s="25"/>
      <c r="CQ261" s="68"/>
      <c r="CR261" s="68"/>
      <c r="CS261" s="5"/>
      <c r="CT261" s="5"/>
      <c r="CU261" s="68"/>
      <c r="CV261" s="5"/>
      <c r="CW261" s="25"/>
      <c r="CX261" s="72"/>
      <c r="CY261" s="102"/>
      <c r="CZ261" s="5"/>
      <c r="DA261" s="47"/>
      <c r="DB261" s="46"/>
      <c r="DC261" s="5"/>
      <c r="DD261" s="5"/>
      <c r="DE261" s="5"/>
      <c r="DF261" s="5"/>
      <c r="DG261" s="5"/>
      <c r="DH261" s="203"/>
      <c r="DI261" s="203"/>
      <c r="DJ261" s="46"/>
      <c r="DK261" s="5"/>
      <c r="EB261" s="18"/>
      <c r="EC261" s="77"/>
      <c r="ED261" s="77"/>
      <c r="EE261" s="18"/>
      <c r="EF261" s="18"/>
      <c r="EG261" s="18"/>
      <c r="EH261" s="5"/>
      <c r="EI261" s="5"/>
      <c r="EJ261" s="5"/>
      <c r="EK261" s="5"/>
      <c r="EL261" s="5"/>
      <c r="FE261" s="26"/>
      <c r="FF261" s="26"/>
      <c r="FG261" s="26"/>
      <c r="FH261" s="26"/>
      <c r="FI261" s="26"/>
      <c r="FJ261" s="26"/>
      <c r="FK261" s="26"/>
      <c r="FL261" s="26"/>
      <c r="FM261" s="26"/>
      <c r="FN261" s="205"/>
      <c r="FO261" s="205"/>
      <c r="FP261" s="205"/>
      <c r="FQ261" s="205"/>
      <c r="FR261" s="205"/>
      <c r="FS261" s="205"/>
      <c r="FT261" s="205"/>
      <c r="FU261" s="77"/>
      <c r="FV261" s="77"/>
      <c r="FW261" s="77"/>
      <c r="FX261" s="205"/>
      <c r="FY261" s="205"/>
      <c r="FZ261" s="205"/>
      <c r="GA261" s="205"/>
      <c r="GB261" s="205"/>
      <c r="GC261" s="205"/>
      <c r="GD261" s="205"/>
      <c r="GE261" s="205"/>
      <c r="GF261" s="205"/>
      <c r="GG261" s="205"/>
      <c r="GH261" s="205"/>
      <c r="GI261" s="205"/>
      <c r="GJ261" s="205"/>
      <c r="GK261" s="205"/>
      <c r="GL261" s="205"/>
      <c r="GM261" s="205"/>
      <c r="GN261" s="205"/>
      <c r="GO261" s="205"/>
      <c r="GP261" s="205"/>
      <c r="GQ261" s="205"/>
      <c r="GR261" s="205"/>
      <c r="GS261" s="205"/>
      <c r="GT261" s="205"/>
      <c r="GU261" s="205"/>
      <c r="GV261" s="18"/>
      <c r="GW261" s="5"/>
      <c r="GX261" s="5"/>
      <c r="GY261" s="77"/>
      <c r="GZ261" s="18"/>
      <c r="HA261" s="18"/>
      <c r="HB261" s="18"/>
      <c r="HC261" s="18"/>
      <c r="HD261" s="18"/>
      <c r="HE261" s="18"/>
      <c r="HF261" s="18"/>
      <c r="HG261" s="18"/>
      <c r="HH261" s="205"/>
      <c r="HI261" s="26"/>
      <c r="HJ261" s="26"/>
      <c r="HK261" s="5"/>
    </row>
    <row r="262" spans="40:219">
      <c r="AN262" s="26"/>
      <c r="AO262" s="26"/>
      <c r="AP262" s="15"/>
      <c r="AQ262" s="5"/>
      <c r="AR262" s="26"/>
      <c r="AS262" s="26"/>
      <c r="AT262" s="26"/>
      <c r="AU262" s="26"/>
      <c r="AV262" s="95"/>
      <c r="AW262" s="95"/>
      <c r="AX262" s="95"/>
      <c r="AY262" s="54"/>
      <c r="AZ262" s="54"/>
      <c r="BA262" s="15"/>
      <c r="BB262" s="54"/>
      <c r="BC262" s="54"/>
      <c r="BD262" s="22"/>
      <c r="BE262" s="23"/>
      <c r="BL262" s="92"/>
      <c r="BN262" s="5"/>
      <c r="BO262" s="54"/>
      <c r="BP262" s="5"/>
      <c r="BQ262" s="5"/>
      <c r="BR262" s="24"/>
      <c r="BS262" s="25"/>
      <c r="BT262" s="25"/>
      <c r="BU262" s="25"/>
      <c r="BV262" s="25"/>
      <c r="BW262" s="25"/>
      <c r="BX262" s="25"/>
      <c r="BY262" s="25"/>
      <c r="BZ262" s="25"/>
      <c r="CA262" s="25"/>
      <c r="CB262" s="25"/>
      <c r="CC262" s="5"/>
      <c r="CD262" s="5"/>
      <c r="CE262" s="5"/>
      <c r="CF262" s="5"/>
      <c r="CG262" s="5"/>
      <c r="CH262" s="5"/>
      <c r="CI262" s="68"/>
      <c r="CJ262" s="5"/>
      <c r="CK262" s="5"/>
      <c r="CL262" s="102"/>
      <c r="CM262" s="5"/>
      <c r="CN262" s="5"/>
      <c r="CO262" s="5"/>
      <c r="CP262" s="25"/>
      <c r="CQ262" s="68"/>
      <c r="CR262" s="68"/>
      <c r="CS262" s="5"/>
      <c r="CT262" s="5"/>
      <c r="CU262" s="68"/>
      <c r="CV262" s="5"/>
      <c r="CW262" s="25"/>
      <c r="CX262" s="72"/>
      <c r="CY262" s="102"/>
      <c r="CZ262" s="5"/>
      <c r="DA262" s="47"/>
      <c r="DB262" s="46"/>
      <c r="DC262" s="5"/>
      <c r="DD262" s="5"/>
      <c r="DE262" s="5"/>
      <c r="DF262" s="5"/>
      <c r="DG262" s="5"/>
      <c r="DH262" s="203"/>
      <c r="DI262" s="203"/>
      <c r="DJ262" s="46"/>
      <c r="DK262" s="5"/>
      <c r="EB262" s="18"/>
      <c r="EC262" s="77"/>
      <c r="ED262" s="77"/>
      <c r="EE262" s="18"/>
      <c r="EF262" s="18"/>
      <c r="EG262" s="18"/>
      <c r="EH262" s="5"/>
      <c r="EI262" s="5"/>
      <c r="EJ262" s="5"/>
      <c r="EK262" s="5"/>
      <c r="EL262" s="5"/>
      <c r="FE262" s="26"/>
      <c r="FF262" s="26"/>
      <c r="FG262" s="26"/>
      <c r="FH262" s="26"/>
      <c r="FI262" s="26"/>
      <c r="FJ262" s="26"/>
      <c r="FK262" s="26"/>
      <c r="FL262" s="26"/>
      <c r="FM262" s="26"/>
      <c r="FN262" s="205"/>
      <c r="FO262" s="205"/>
      <c r="FP262" s="205"/>
      <c r="FQ262" s="205"/>
      <c r="FR262" s="205"/>
      <c r="FS262" s="205"/>
      <c r="FT262" s="205"/>
      <c r="FU262" s="77"/>
      <c r="FV262" s="77"/>
      <c r="FW262" s="77"/>
      <c r="FX262" s="205"/>
      <c r="FY262" s="205"/>
      <c r="FZ262" s="205"/>
      <c r="GA262" s="205"/>
      <c r="GB262" s="205"/>
      <c r="GC262" s="205"/>
      <c r="GD262" s="205"/>
      <c r="GE262" s="205"/>
      <c r="GF262" s="205"/>
      <c r="GG262" s="205"/>
      <c r="GH262" s="205"/>
      <c r="GI262" s="205"/>
      <c r="GJ262" s="205"/>
      <c r="GK262" s="205"/>
      <c r="GL262" s="205"/>
      <c r="GM262" s="205"/>
      <c r="GN262" s="205"/>
      <c r="GO262" s="205"/>
      <c r="GP262" s="205"/>
      <c r="GQ262" s="205"/>
      <c r="GR262" s="205"/>
      <c r="GS262" s="205"/>
      <c r="GT262" s="205"/>
      <c r="GU262" s="205"/>
      <c r="GV262" s="18"/>
      <c r="GW262" s="5"/>
      <c r="GX262" s="5"/>
      <c r="GY262" s="77"/>
      <c r="GZ262" s="18"/>
      <c r="HA262" s="18"/>
      <c r="HB262" s="18"/>
      <c r="HC262" s="18"/>
      <c r="HD262" s="18"/>
      <c r="HE262" s="18"/>
      <c r="HF262" s="18"/>
      <c r="HG262" s="18"/>
      <c r="HH262" s="205"/>
      <c r="HI262" s="26"/>
      <c r="HJ262" s="26"/>
      <c r="HK262" s="5"/>
    </row>
    <row r="263" spans="40:219">
      <c r="AN263" s="26"/>
      <c r="AO263" s="26"/>
      <c r="AP263" s="15"/>
      <c r="AQ263" s="5"/>
      <c r="AR263" s="26"/>
      <c r="AS263" s="26"/>
      <c r="AT263" s="26"/>
      <c r="AU263" s="26"/>
      <c r="AV263" s="95"/>
      <c r="AW263" s="95"/>
      <c r="AX263" s="95"/>
      <c r="AY263" s="54"/>
      <c r="AZ263" s="54"/>
      <c r="BA263" s="15"/>
      <c r="BB263" s="54"/>
      <c r="BC263" s="54"/>
      <c r="BD263" s="22"/>
      <c r="BE263" s="23"/>
      <c r="BL263" s="92"/>
      <c r="BN263" s="5"/>
      <c r="BO263" s="54"/>
      <c r="BP263" s="5"/>
      <c r="BQ263" s="5"/>
      <c r="BR263" s="24"/>
      <c r="BS263" s="25"/>
      <c r="BT263" s="25"/>
      <c r="BU263" s="25"/>
      <c r="BV263" s="25"/>
      <c r="BW263" s="25"/>
      <c r="BX263" s="25"/>
      <c r="BY263" s="25"/>
      <c r="BZ263" s="25"/>
      <c r="CA263" s="25"/>
      <c r="CB263" s="25"/>
      <c r="CC263" s="5"/>
      <c r="CD263" s="5"/>
      <c r="CE263" s="5"/>
      <c r="CF263" s="5"/>
      <c r="CG263" s="5"/>
      <c r="CH263" s="5"/>
      <c r="CI263" s="68"/>
      <c r="CJ263" s="5"/>
      <c r="CK263" s="5"/>
      <c r="CL263" s="102"/>
      <c r="CM263" s="5"/>
      <c r="CN263" s="5"/>
      <c r="CO263" s="5"/>
      <c r="CP263" s="25"/>
      <c r="CQ263" s="68"/>
      <c r="CR263" s="68"/>
      <c r="CS263" s="5"/>
      <c r="CT263" s="5"/>
      <c r="CU263" s="68"/>
      <c r="CV263" s="5"/>
      <c r="CW263" s="25"/>
      <c r="CX263" s="72"/>
      <c r="CY263" s="102"/>
      <c r="CZ263" s="5"/>
      <c r="DA263" s="47"/>
      <c r="DB263" s="46"/>
      <c r="DC263" s="5"/>
      <c r="DD263" s="5"/>
      <c r="DE263" s="5"/>
      <c r="DF263" s="5"/>
      <c r="DG263" s="5"/>
      <c r="DH263" s="203"/>
      <c r="DI263" s="203"/>
      <c r="DJ263" s="46"/>
      <c r="DK263" s="5"/>
      <c r="EB263" s="18"/>
      <c r="EC263" s="77"/>
      <c r="ED263" s="77"/>
      <c r="EE263" s="18"/>
      <c r="EF263" s="18"/>
      <c r="EG263" s="18"/>
      <c r="EH263" s="5"/>
      <c r="EI263" s="5"/>
      <c r="EJ263" s="5"/>
      <c r="EK263" s="5"/>
      <c r="EL263" s="5"/>
      <c r="FE263" s="26"/>
      <c r="FF263" s="26"/>
      <c r="FG263" s="26"/>
      <c r="FH263" s="26"/>
      <c r="FI263" s="26"/>
      <c r="FJ263" s="26"/>
      <c r="FK263" s="26"/>
      <c r="FL263" s="26"/>
      <c r="FM263" s="26"/>
      <c r="FN263" s="205"/>
      <c r="FO263" s="205"/>
      <c r="FP263" s="205"/>
      <c r="FQ263" s="205"/>
      <c r="FR263" s="205"/>
      <c r="FS263" s="205"/>
      <c r="FT263" s="205"/>
      <c r="FU263" s="77"/>
      <c r="FV263" s="77"/>
      <c r="FW263" s="77"/>
      <c r="FX263" s="205"/>
      <c r="FY263" s="205"/>
      <c r="FZ263" s="205"/>
      <c r="GA263" s="205"/>
      <c r="GB263" s="205"/>
      <c r="GC263" s="205"/>
      <c r="GD263" s="205"/>
      <c r="GE263" s="205"/>
      <c r="GF263" s="205"/>
      <c r="GG263" s="205"/>
      <c r="GH263" s="205"/>
      <c r="GI263" s="205"/>
      <c r="GJ263" s="205"/>
      <c r="GK263" s="205"/>
      <c r="GL263" s="205"/>
      <c r="GM263" s="205"/>
      <c r="GN263" s="205"/>
      <c r="GO263" s="205"/>
      <c r="GP263" s="205"/>
      <c r="GQ263" s="205"/>
      <c r="GR263" s="205"/>
      <c r="GS263" s="205"/>
      <c r="GT263" s="205"/>
      <c r="GU263" s="205"/>
      <c r="GV263" s="18"/>
      <c r="GW263" s="5"/>
      <c r="GX263" s="5"/>
      <c r="GY263" s="77"/>
      <c r="GZ263" s="18"/>
      <c r="HA263" s="18"/>
      <c r="HB263" s="18"/>
      <c r="HC263" s="18"/>
      <c r="HD263" s="18"/>
      <c r="HE263" s="18"/>
      <c r="HF263" s="18"/>
      <c r="HG263" s="18"/>
      <c r="HH263" s="205"/>
      <c r="HI263" s="26"/>
      <c r="HJ263" s="26"/>
      <c r="HK263" s="5"/>
    </row>
    <row r="264" spans="40:219">
      <c r="AN264" s="26"/>
      <c r="AO264" s="26"/>
      <c r="AP264" s="15"/>
      <c r="AQ264" s="5"/>
      <c r="AR264" s="26"/>
      <c r="AS264" s="26"/>
      <c r="AT264" s="26"/>
      <c r="AU264" s="26"/>
      <c r="AV264" s="95"/>
      <c r="AW264" s="95"/>
      <c r="AX264" s="95"/>
      <c r="AY264" s="54"/>
      <c r="AZ264" s="54"/>
      <c r="BA264" s="15"/>
      <c r="BB264" s="54"/>
      <c r="BC264" s="54"/>
      <c r="BD264" s="22"/>
      <c r="BE264" s="23"/>
      <c r="BL264" s="92"/>
      <c r="BN264" s="5"/>
      <c r="BO264" s="54"/>
      <c r="BP264" s="5"/>
      <c r="BQ264" s="5"/>
      <c r="BR264" s="24"/>
      <c r="BS264" s="25"/>
      <c r="BT264" s="25"/>
      <c r="BU264" s="25"/>
      <c r="BV264" s="25"/>
      <c r="BW264" s="25"/>
      <c r="BX264" s="25"/>
      <c r="BY264" s="25"/>
      <c r="BZ264" s="25"/>
      <c r="CA264" s="25"/>
      <c r="CB264" s="25"/>
      <c r="CC264" s="5"/>
      <c r="CD264" s="5"/>
      <c r="CE264" s="5"/>
      <c r="CF264" s="5"/>
      <c r="CG264" s="5"/>
      <c r="CH264" s="5"/>
      <c r="CI264" s="68"/>
      <c r="CJ264" s="5"/>
      <c r="CK264" s="5"/>
      <c r="CL264" s="102"/>
      <c r="CM264" s="5"/>
      <c r="CN264" s="5"/>
      <c r="CO264" s="5"/>
      <c r="CP264" s="25"/>
      <c r="CQ264" s="68"/>
      <c r="CR264" s="68"/>
      <c r="CS264" s="5"/>
      <c r="CT264" s="5"/>
      <c r="CU264" s="68"/>
      <c r="CV264" s="5"/>
      <c r="CW264" s="25"/>
      <c r="CX264" s="72"/>
      <c r="CY264" s="102"/>
      <c r="CZ264" s="5"/>
      <c r="DA264" s="47"/>
      <c r="DB264" s="46"/>
      <c r="DC264" s="5"/>
      <c r="DD264" s="5"/>
      <c r="DE264" s="5"/>
      <c r="DF264" s="5"/>
      <c r="DG264" s="5"/>
      <c r="DH264" s="203"/>
      <c r="DI264" s="203"/>
      <c r="DJ264" s="46"/>
      <c r="DK264" s="5"/>
      <c r="EB264" s="18"/>
      <c r="EC264" s="77"/>
      <c r="ED264" s="77"/>
      <c r="EE264" s="18"/>
      <c r="EF264" s="18"/>
      <c r="EG264" s="18"/>
      <c r="EH264" s="5"/>
      <c r="EI264" s="5"/>
      <c r="EJ264" s="5"/>
      <c r="EK264" s="5"/>
      <c r="EL264" s="5"/>
      <c r="FE264" s="26"/>
      <c r="FF264" s="26"/>
      <c r="FG264" s="26"/>
      <c r="FH264" s="26"/>
      <c r="FI264" s="26"/>
      <c r="FJ264" s="26"/>
      <c r="FK264" s="26"/>
      <c r="FL264" s="26"/>
      <c r="FM264" s="26"/>
      <c r="FN264" s="205"/>
      <c r="FO264" s="205"/>
      <c r="FP264" s="205"/>
      <c r="FQ264" s="205"/>
      <c r="FR264" s="205"/>
      <c r="FS264" s="205"/>
      <c r="FT264" s="205"/>
      <c r="FU264" s="77"/>
      <c r="FV264" s="77"/>
      <c r="FW264" s="77"/>
      <c r="FX264" s="205"/>
      <c r="FY264" s="205"/>
      <c r="FZ264" s="205"/>
      <c r="GA264" s="205"/>
      <c r="GB264" s="205"/>
      <c r="GC264" s="205"/>
      <c r="GD264" s="205"/>
      <c r="GE264" s="205"/>
      <c r="GF264" s="205"/>
      <c r="GG264" s="205"/>
      <c r="GH264" s="205"/>
      <c r="GI264" s="205"/>
      <c r="GJ264" s="205"/>
      <c r="GK264" s="205"/>
      <c r="GL264" s="205"/>
      <c r="GM264" s="205"/>
      <c r="GN264" s="205"/>
      <c r="GO264" s="205"/>
      <c r="GP264" s="205"/>
      <c r="GQ264" s="205"/>
      <c r="GR264" s="205"/>
      <c r="GS264" s="205"/>
      <c r="GT264" s="205"/>
      <c r="GU264" s="205"/>
      <c r="GV264" s="18"/>
      <c r="GW264" s="5"/>
      <c r="GX264" s="5"/>
      <c r="GY264" s="77"/>
      <c r="GZ264" s="18"/>
      <c r="HA264" s="18"/>
      <c r="HB264" s="18"/>
      <c r="HC264" s="18"/>
      <c r="HD264" s="18"/>
      <c r="HE264" s="18"/>
      <c r="HF264" s="18"/>
      <c r="HG264" s="18"/>
      <c r="HH264" s="205"/>
      <c r="HI264" s="26"/>
      <c r="HJ264" s="26"/>
      <c r="HK264" s="5"/>
    </row>
    <row r="265" spans="40:219">
      <c r="AN265" s="26"/>
      <c r="AO265" s="26"/>
      <c r="AP265" s="15"/>
      <c r="AQ265" s="5"/>
      <c r="AR265" s="26"/>
      <c r="AS265" s="26"/>
      <c r="AT265" s="26"/>
      <c r="AU265" s="26"/>
      <c r="AV265" s="95"/>
      <c r="AW265" s="95"/>
      <c r="AX265" s="95"/>
      <c r="AY265" s="54"/>
      <c r="AZ265" s="54"/>
      <c r="BA265" s="15"/>
      <c r="BB265" s="54"/>
      <c r="BC265" s="54"/>
      <c r="BD265" s="22"/>
      <c r="BE265" s="23"/>
      <c r="BL265" s="92"/>
      <c r="BN265" s="5"/>
      <c r="BO265" s="54"/>
      <c r="BP265" s="5"/>
      <c r="BQ265" s="5"/>
      <c r="BR265" s="24"/>
      <c r="BS265" s="25"/>
      <c r="BT265" s="25"/>
      <c r="BU265" s="25"/>
      <c r="BV265" s="25"/>
      <c r="BW265" s="25"/>
      <c r="BX265" s="25"/>
      <c r="BY265" s="25"/>
      <c r="BZ265" s="25"/>
      <c r="CA265" s="25"/>
      <c r="CB265" s="25"/>
      <c r="CC265" s="5"/>
      <c r="CD265" s="5"/>
      <c r="CE265" s="5"/>
      <c r="CF265" s="5"/>
      <c r="CG265" s="5"/>
      <c r="CH265" s="5"/>
      <c r="CI265" s="68"/>
      <c r="CJ265" s="5"/>
      <c r="CK265" s="5"/>
      <c r="CL265" s="102"/>
      <c r="CM265" s="5"/>
      <c r="CN265" s="5"/>
      <c r="CO265" s="5"/>
      <c r="CP265" s="25"/>
      <c r="CQ265" s="68"/>
      <c r="CR265" s="68"/>
      <c r="CS265" s="5"/>
      <c r="CT265" s="5"/>
      <c r="CU265" s="68"/>
      <c r="CV265" s="5"/>
      <c r="CW265" s="25"/>
      <c r="CX265" s="72"/>
      <c r="CY265" s="102"/>
      <c r="CZ265" s="5"/>
      <c r="DA265" s="47"/>
      <c r="DB265" s="46"/>
      <c r="DC265" s="5"/>
      <c r="DD265" s="5"/>
      <c r="DE265" s="5"/>
      <c r="DF265" s="5"/>
      <c r="DG265" s="5"/>
      <c r="DH265" s="203"/>
      <c r="DI265" s="203"/>
      <c r="DJ265" s="46"/>
      <c r="DK265" s="5"/>
      <c r="EB265" s="18"/>
      <c r="EC265" s="77"/>
      <c r="ED265" s="77"/>
      <c r="EE265" s="18"/>
      <c r="EF265" s="18"/>
      <c r="EG265" s="18"/>
      <c r="EH265" s="5"/>
      <c r="EI265" s="5"/>
      <c r="EJ265" s="5"/>
      <c r="EK265" s="5"/>
      <c r="EL265" s="5"/>
      <c r="FE265" s="26"/>
      <c r="FF265" s="26"/>
      <c r="FG265" s="26"/>
      <c r="FH265" s="26"/>
      <c r="FI265" s="26"/>
      <c r="FJ265" s="26"/>
      <c r="FK265" s="26"/>
      <c r="FL265" s="26"/>
      <c r="FM265" s="26"/>
      <c r="FN265" s="205"/>
      <c r="FO265" s="205"/>
      <c r="FP265" s="205"/>
      <c r="FQ265" s="205"/>
      <c r="FR265" s="205"/>
      <c r="FS265" s="205"/>
      <c r="FT265" s="205"/>
      <c r="FU265" s="77"/>
      <c r="FV265" s="77"/>
      <c r="FW265" s="77"/>
      <c r="FX265" s="205"/>
      <c r="FY265" s="205"/>
      <c r="FZ265" s="205"/>
      <c r="GA265" s="205"/>
      <c r="GB265" s="205"/>
      <c r="GC265" s="205"/>
      <c r="GD265" s="205"/>
      <c r="GE265" s="205"/>
      <c r="GF265" s="205"/>
      <c r="GG265" s="205"/>
      <c r="GH265" s="205"/>
      <c r="GI265" s="205"/>
      <c r="GJ265" s="205"/>
      <c r="GK265" s="205"/>
      <c r="GL265" s="205"/>
      <c r="GM265" s="205"/>
      <c r="GN265" s="205"/>
      <c r="GO265" s="205"/>
      <c r="GP265" s="205"/>
      <c r="GQ265" s="205"/>
      <c r="GR265" s="205"/>
      <c r="GS265" s="205"/>
      <c r="GT265" s="205"/>
      <c r="GU265" s="205"/>
      <c r="GV265" s="18"/>
      <c r="GW265" s="5"/>
      <c r="GX265" s="5"/>
      <c r="GY265" s="77"/>
      <c r="GZ265" s="18"/>
      <c r="HA265" s="18"/>
      <c r="HB265" s="18"/>
      <c r="HC265" s="18"/>
      <c r="HD265" s="18"/>
      <c r="HE265" s="18"/>
      <c r="HF265" s="18"/>
      <c r="HG265" s="18"/>
      <c r="HH265" s="205"/>
      <c r="HI265" s="26"/>
      <c r="HJ265" s="26"/>
      <c r="HK265" s="5"/>
    </row>
    <row r="266" spans="40:219">
      <c r="AN266" s="26"/>
      <c r="AO266" s="26"/>
      <c r="AP266" s="15"/>
      <c r="AQ266" s="5"/>
      <c r="AR266" s="26"/>
      <c r="AS266" s="26"/>
      <c r="AT266" s="26"/>
      <c r="AU266" s="26"/>
      <c r="AV266" s="95"/>
      <c r="AW266" s="95"/>
      <c r="AX266" s="95"/>
      <c r="AY266" s="54"/>
      <c r="AZ266" s="54"/>
      <c r="BA266" s="15"/>
      <c r="BB266" s="54"/>
      <c r="BC266" s="54"/>
      <c r="BD266" s="22"/>
      <c r="BE266" s="23"/>
      <c r="BL266" s="92"/>
      <c r="BN266" s="5"/>
      <c r="BO266" s="54"/>
      <c r="BP266" s="5"/>
      <c r="BQ266" s="5"/>
      <c r="BR266" s="24"/>
      <c r="BS266" s="25"/>
      <c r="BT266" s="25"/>
      <c r="BU266" s="25"/>
      <c r="BV266" s="25"/>
      <c r="BW266" s="25"/>
      <c r="BX266" s="25"/>
      <c r="BY266" s="25"/>
      <c r="BZ266" s="25"/>
      <c r="CA266" s="25"/>
      <c r="CB266" s="25"/>
      <c r="CC266" s="5"/>
      <c r="CD266" s="5"/>
      <c r="CE266" s="5"/>
      <c r="CF266" s="5"/>
      <c r="CG266" s="5"/>
      <c r="CH266" s="5"/>
      <c r="CI266" s="68"/>
      <c r="CJ266" s="5"/>
      <c r="CK266" s="5"/>
      <c r="CL266" s="102"/>
      <c r="CM266" s="5"/>
      <c r="CN266" s="5"/>
      <c r="CO266" s="5"/>
      <c r="CP266" s="25"/>
      <c r="CQ266" s="68"/>
      <c r="CR266" s="68"/>
      <c r="CS266" s="5"/>
      <c r="CT266" s="5"/>
      <c r="CU266" s="68"/>
      <c r="CV266" s="5"/>
      <c r="CW266" s="25"/>
      <c r="CX266" s="72"/>
      <c r="CY266" s="102"/>
      <c r="CZ266" s="5"/>
      <c r="DA266" s="47"/>
      <c r="DB266" s="46"/>
      <c r="DC266" s="5"/>
      <c r="DD266" s="5"/>
      <c r="DE266" s="5"/>
      <c r="DF266" s="5"/>
      <c r="DG266" s="5"/>
      <c r="DH266" s="203"/>
      <c r="DI266" s="203"/>
      <c r="DJ266" s="46"/>
      <c r="DK266" s="5"/>
      <c r="EB266" s="18"/>
      <c r="EC266" s="77"/>
      <c r="ED266" s="77"/>
      <c r="EE266" s="18"/>
      <c r="EF266" s="18"/>
      <c r="EG266" s="18"/>
      <c r="EH266" s="5"/>
      <c r="EI266" s="5"/>
      <c r="EJ266" s="5"/>
      <c r="EK266" s="5"/>
      <c r="EL266" s="5"/>
      <c r="FE266" s="26"/>
      <c r="FF266" s="26"/>
      <c r="FG266" s="26"/>
      <c r="FH266" s="26"/>
      <c r="FI266" s="26"/>
      <c r="FJ266" s="26"/>
      <c r="FK266" s="26"/>
      <c r="FL266" s="26"/>
      <c r="FM266" s="26"/>
      <c r="FN266" s="205"/>
      <c r="FO266" s="205"/>
      <c r="FP266" s="205"/>
      <c r="FQ266" s="205"/>
      <c r="FR266" s="205"/>
      <c r="FS266" s="205"/>
      <c r="FT266" s="205"/>
      <c r="FU266" s="77"/>
      <c r="FV266" s="77"/>
      <c r="FW266" s="77"/>
      <c r="FX266" s="205"/>
      <c r="FY266" s="205"/>
      <c r="FZ266" s="205"/>
      <c r="GA266" s="205"/>
      <c r="GB266" s="205"/>
      <c r="GC266" s="205"/>
      <c r="GD266" s="205"/>
      <c r="GE266" s="205"/>
      <c r="GF266" s="205"/>
      <c r="GG266" s="205"/>
      <c r="GH266" s="205"/>
      <c r="GI266" s="205"/>
      <c r="GJ266" s="205"/>
      <c r="GK266" s="205"/>
      <c r="GL266" s="205"/>
      <c r="GM266" s="205"/>
      <c r="GN266" s="205"/>
      <c r="GO266" s="205"/>
      <c r="GP266" s="205"/>
      <c r="GQ266" s="205"/>
      <c r="GR266" s="205"/>
      <c r="GS266" s="205"/>
      <c r="GT266" s="205"/>
      <c r="GU266" s="205"/>
      <c r="GV266" s="18"/>
      <c r="GW266" s="5"/>
      <c r="GX266" s="5"/>
      <c r="GY266" s="77"/>
      <c r="GZ266" s="18"/>
      <c r="HA266" s="18"/>
      <c r="HB266" s="18"/>
      <c r="HC266" s="18"/>
      <c r="HD266" s="18"/>
      <c r="HE266" s="18"/>
      <c r="HF266" s="18"/>
      <c r="HG266" s="18"/>
      <c r="HH266" s="205"/>
      <c r="HI266" s="26"/>
      <c r="HJ266" s="26"/>
      <c r="HK266" s="5"/>
    </row>
    <row r="267" spans="40:219">
      <c r="AN267" s="26"/>
      <c r="AO267" s="26"/>
      <c r="AP267" s="15"/>
      <c r="AQ267" s="5"/>
      <c r="AR267" s="26"/>
      <c r="AS267" s="26"/>
      <c r="AT267" s="26"/>
      <c r="AU267" s="26"/>
      <c r="AV267" s="95"/>
      <c r="AW267" s="95"/>
      <c r="AX267" s="95"/>
      <c r="AY267" s="54"/>
      <c r="AZ267" s="54"/>
      <c r="BA267" s="15"/>
      <c r="BB267" s="54"/>
      <c r="BC267" s="54"/>
      <c r="BD267" s="22"/>
      <c r="BE267" s="23"/>
      <c r="BL267" s="92"/>
      <c r="BN267" s="5"/>
      <c r="BO267" s="54"/>
      <c r="BP267" s="5"/>
      <c r="BQ267" s="5"/>
      <c r="BR267" s="24"/>
      <c r="BS267" s="25"/>
      <c r="BT267" s="25"/>
      <c r="BU267" s="25"/>
      <c r="BV267" s="25"/>
      <c r="BW267" s="25"/>
      <c r="BX267" s="25"/>
      <c r="BY267" s="25"/>
      <c r="BZ267" s="25"/>
      <c r="CA267" s="25"/>
      <c r="CB267" s="25"/>
      <c r="CC267" s="5"/>
      <c r="CD267" s="5"/>
      <c r="CE267" s="5"/>
      <c r="CF267" s="5"/>
      <c r="CG267" s="5"/>
      <c r="CH267" s="5"/>
      <c r="CI267" s="68"/>
      <c r="CJ267" s="5"/>
      <c r="CK267" s="5"/>
      <c r="CL267" s="102"/>
      <c r="CM267" s="5"/>
      <c r="CN267" s="5"/>
      <c r="CO267" s="5"/>
      <c r="CP267" s="25"/>
      <c r="CQ267" s="68"/>
      <c r="CR267" s="68"/>
      <c r="CS267" s="5"/>
      <c r="CT267" s="5"/>
      <c r="CU267" s="68"/>
      <c r="CV267" s="5"/>
      <c r="CW267" s="25"/>
      <c r="CX267" s="72"/>
      <c r="CY267" s="102"/>
      <c r="CZ267" s="5"/>
      <c r="DA267" s="47"/>
      <c r="DB267" s="46"/>
      <c r="DC267" s="5"/>
      <c r="DD267" s="5"/>
      <c r="DE267" s="5"/>
      <c r="DF267" s="5"/>
      <c r="DG267" s="5"/>
      <c r="DH267" s="203"/>
      <c r="DI267" s="203"/>
      <c r="DJ267" s="46"/>
      <c r="DK267" s="5"/>
      <c r="EB267" s="18"/>
      <c r="EC267" s="77"/>
      <c r="ED267" s="77"/>
      <c r="EE267" s="18"/>
      <c r="EF267" s="18"/>
      <c r="EG267" s="18"/>
      <c r="EH267" s="5"/>
      <c r="EI267" s="5"/>
      <c r="EJ267" s="5"/>
      <c r="EK267" s="5"/>
      <c r="EL267" s="5"/>
      <c r="FE267" s="26"/>
      <c r="FF267" s="26"/>
      <c r="FG267" s="26"/>
      <c r="FH267" s="26"/>
      <c r="FI267" s="26"/>
      <c r="FJ267" s="26"/>
      <c r="FK267" s="26"/>
      <c r="FL267" s="26"/>
      <c r="FM267" s="26"/>
      <c r="FN267" s="205"/>
      <c r="FO267" s="205"/>
      <c r="FP267" s="205"/>
      <c r="FQ267" s="205"/>
      <c r="FR267" s="205"/>
      <c r="FS267" s="205"/>
      <c r="FT267" s="205"/>
      <c r="FU267" s="77"/>
      <c r="FV267" s="77"/>
      <c r="FW267" s="77"/>
      <c r="FX267" s="205"/>
      <c r="FY267" s="205"/>
      <c r="FZ267" s="205"/>
      <c r="GA267" s="205"/>
      <c r="GB267" s="205"/>
      <c r="GC267" s="205"/>
      <c r="GD267" s="205"/>
      <c r="GE267" s="205"/>
      <c r="GF267" s="205"/>
      <c r="GG267" s="205"/>
      <c r="GH267" s="205"/>
      <c r="GI267" s="205"/>
      <c r="GJ267" s="205"/>
      <c r="GK267" s="205"/>
      <c r="GL267" s="205"/>
      <c r="GM267" s="205"/>
      <c r="GN267" s="205"/>
      <c r="GO267" s="205"/>
      <c r="GP267" s="205"/>
      <c r="GQ267" s="205"/>
      <c r="GR267" s="205"/>
      <c r="GS267" s="205"/>
      <c r="GT267" s="205"/>
      <c r="GU267" s="205"/>
      <c r="GV267" s="18"/>
      <c r="GW267" s="5"/>
      <c r="GX267" s="5"/>
      <c r="GY267" s="77"/>
      <c r="GZ267" s="18"/>
      <c r="HA267" s="18"/>
      <c r="HB267" s="18"/>
      <c r="HC267" s="18"/>
      <c r="HD267" s="18"/>
      <c r="HE267" s="18"/>
      <c r="HF267" s="18"/>
      <c r="HG267" s="18"/>
      <c r="HH267" s="205"/>
      <c r="HI267" s="26"/>
      <c r="HJ267" s="26"/>
      <c r="HK267" s="5"/>
    </row>
    <row r="268" spans="40:219">
      <c r="AN268" s="26"/>
      <c r="AO268" s="26"/>
      <c r="AP268" s="15"/>
      <c r="AQ268" s="5"/>
      <c r="AR268" s="26"/>
      <c r="AS268" s="26"/>
      <c r="AT268" s="26"/>
      <c r="AU268" s="26"/>
      <c r="AV268" s="95"/>
      <c r="AW268" s="95"/>
      <c r="AX268" s="95"/>
      <c r="AY268" s="54"/>
      <c r="AZ268" s="54"/>
      <c r="BA268" s="15"/>
      <c r="BB268" s="54"/>
      <c r="BC268" s="54"/>
      <c r="BD268" s="22"/>
      <c r="BE268" s="23"/>
      <c r="BL268" s="92"/>
      <c r="BN268" s="5"/>
      <c r="BO268" s="54"/>
      <c r="BP268" s="5"/>
      <c r="BQ268" s="5"/>
      <c r="BR268" s="24"/>
      <c r="BS268" s="25"/>
      <c r="BT268" s="25"/>
      <c r="BU268" s="25"/>
      <c r="BV268" s="25"/>
      <c r="BW268" s="25"/>
      <c r="BX268" s="25"/>
      <c r="BY268" s="25"/>
      <c r="BZ268" s="25"/>
      <c r="CA268" s="25"/>
      <c r="CB268" s="25"/>
      <c r="CC268" s="5"/>
      <c r="CD268" s="5"/>
      <c r="CE268" s="5"/>
      <c r="CF268" s="5"/>
      <c r="CG268" s="5"/>
      <c r="CH268" s="5"/>
      <c r="CI268" s="68"/>
      <c r="CJ268" s="5"/>
      <c r="CK268" s="5"/>
      <c r="CL268" s="102"/>
      <c r="CM268" s="5"/>
      <c r="CN268" s="5"/>
      <c r="CO268" s="5"/>
      <c r="CP268" s="25"/>
      <c r="CQ268" s="68"/>
      <c r="CR268" s="68"/>
      <c r="CS268" s="5"/>
      <c r="CT268" s="5"/>
      <c r="CU268" s="68"/>
      <c r="CV268" s="5"/>
      <c r="CW268" s="25"/>
      <c r="CX268" s="72"/>
      <c r="CY268" s="102"/>
      <c r="CZ268" s="5"/>
      <c r="DA268" s="47"/>
      <c r="DB268" s="46"/>
      <c r="DC268" s="5"/>
      <c r="DD268" s="5"/>
      <c r="DE268" s="5"/>
      <c r="DF268" s="5"/>
      <c r="DG268" s="5"/>
      <c r="DH268" s="203"/>
      <c r="DI268" s="203"/>
      <c r="DJ268" s="46"/>
      <c r="DK268" s="5"/>
      <c r="EB268" s="18"/>
      <c r="EC268" s="77"/>
      <c r="ED268" s="77"/>
      <c r="EE268" s="18"/>
      <c r="EF268" s="18"/>
      <c r="EG268" s="18"/>
      <c r="EH268" s="5"/>
      <c r="EI268" s="5"/>
      <c r="EJ268" s="5"/>
      <c r="EK268" s="5"/>
      <c r="EL268" s="5"/>
      <c r="FE268" s="26"/>
      <c r="FF268" s="26"/>
      <c r="FG268" s="26"/>
      <c r="FH268" s="26"/>
      <c r="FI268" s="26"/>
      <c r="FJ268" s="26"/>
      <c r="FK268" s="26"/>
      <c r="FL268" s="26"/>
      <c r="FM268" s="26"/>
      <c r="FN268" s="205"/>
      <c r="FO268" s="205"/>
      <c r="FP268" s="205"/>
      <c r="FQ268" s="205"/>
      <c r="FR268" s="205"/>
      <c r="FS268" s="205"/>
      <c r="FT268" s="205"/>
      <c r="FU268" s="77"/>
      <c r="FV268" s="77"/>
      <c r="FW268" s="77"/>
      <c r="FX268" s="205"/>
      <c r="FY268" s="205"/>
      <c r="FZ268" s="205"/>
      <c r="GA268" s="205"/>
      <c r="GB268" s="205"/>
      <c r="GC268" s="205"/>
      <c r="GD268" s="205"/>
      <c r="GE268" s="205"/>
      <c r="GF268" s="205"/>
      <c r="GG268" s="205"/>
      <c r="GH268" s="205"/>
      <c r="GI268" s="205"/>
      <c r="GJ268" s="205"/>
      <c r="GK268" s="205"/>
      <c r="GL268" s="205"/>
      <c r="GM268" s="205"/>
      <c r="GN268" s="205"/>
      <c r="GO268" s="205"/>
      <c r="GP268" s="205"/>
      <c r="GQ268" s="205"/>
      <c r="GR268" s="205"/>
      <c r="GS268" s="205"/>
      <c r="GT268" s="205"/>
      <c r="GU268" s="205"/>
      <c r="GV268" s="18"/>
      <c r="GW268" s="5"/>
      <c r="GX268" s="5"/>
      <c r="GY268" s="77"/>
      <c r="GZ268" s="18"/>
      <c r="HA268" s="18"/>
      <c r="HB268" s="18"/>
      <c r="HC268" s="18"/>
      <c r="HD268" s="18"/>
      <c r="HE268" s="18"/>
      <c r="HF268" s="18"/>
      <c r="HG268" s="18"/>
      <c r="HH268" s="205"/>
      <c r="HI268" s="26"/>
      <c r="HJ268" s="26"/>
      <c r="HK268" s="5"/>
    </row>
    <row r="269" spans="40:219">
      <c r="AN269" s="26"/>
      <c r="AO269" s="26"/>
      <c r="AP269" s="15"/>
      <c r="AQ269" s="5"/>
      <c r="AR269" s="26"/>
      <c r="AS269" s="26"/>
      <c r="AT269" s="26"/>
      <c r="AU269" s="26"/>
      <c r="AV269" s="95"/>
      <c r="AW269" s="95"/>
      <c r="AX269" s="95"/>
      <c r="AY269" s="54"/>
      <c r="AZ269" s="54"/>
      <c r="BA269" s="15"/>
      <c r="BB269" s="54"/>
      <c r="BC269" s="54"/>
      <c r="BD269" s="22"/>
      <c r="BE269" s="23"/>
      <c r="BL269" s="92"/>
      <c r="BN269" s="5"/>
      <c r="BO269" s="54"/>
      <c r="BP269" s="5"/>
      <c r="BQ269" s="5"/>
      <c r="BR269" s="24"/>
      <c r="BS269" s="25"/>
      <c r="BT269" s="25"/>
      <c r="BU269" s="25"/>
      <c r="BV269" s="25"/>
      <c r="BW269" s="25"/>
      <c r="BX269" s="25"/>
      <c r="BY269" s="25"/>
      <c r="BZ269" s="25"/>
      <c r="CA269" s="25"/>
      <c r="CB269" s="25"/>
      <c r="CC269" s="5"/>
      <c r="CD269" s="5"/>
      <c r="CE269" s="5"/>
      <c r="CF269" s="5"/>
      <c r="CG269" s="5"/>
      <c r="CH269" s="5"/>
      <c r="CI269" s="68"/>
      <c r="CJ269" s="5"/>
      <c r="CK269" s="5"/>
      <c r="CL269" s="102"/>
      <c r="CM269" s="5"/>
      <c r="CN269" s="5"/>
      <c r="CO269" s="5"/>
      <c r="CP269" s="25"/>
      <c r="CQ269" s="68"/>
      <c r="CR269" s="68"/>
      <c r="CS269" s="5"/>
      <c r="CT269" s="5"/>
      <c r="CU269" s="68"/>
      <c r="CV269" s="5"/>
      <c r="CW269" s="25"/>
      <c r="CX269" s="72"/>
      <c r="CY269" s="102"/>
      <c r="CZ269" s="5"/>
      <c r="DA269" s="47"/>
      <c r="DB269" s="46"/>
      <c r="DC269" s="5"/>
      <c r="DD269" s="5"/>
      <c r="DE269" s="5"/>
      <c r="DF269" s="5"/>
      <c r="DG269" s="5"/>
      <c r="DH269" s="203"/>
      <c r="DI269" s="203"/>
      <c r="DJ269" s="46"/>
      <c r="DK269" s="5"/>
      <c r="EB269" s="18"/>
      <c r="EC269" s="77"/>
      <c r="ED269" s="77"/>
      <c r="EE269" s="18"/>
      <c r="EF269" s="18"/>
      <c r="EG269" s="18"/>
      <c r="EH269" s="5"/>
      <c r="EI269" s="5"/>
      <c r="EJ269" s="5"/>
      <c r="EK269" s="5"/>
      <c r="EL269" s="5"/>
      <c r="FE269" s="26"/>
      <c r="FF269" s="26"/>
      <c r="FG269" s="26"/>
      <c r="FH269" s="26"/>
      <c r="FI269" s="26"/>
      <c r="FJ269" s="26"/>
      <c r="FK269" s="26"/>
      <c r="FL269" s="26"/>
      <c r="FM269" s="26"/>
      <c r="FN269" s="205"/>
      <c r="FO269" s="205"/>
      <c r="FP269" s="205"/>
      <c r="FQ269" s="205"/>
      <c r="FR269" s="205"/>
      <c r="FS269" s="205"/>
      <c r="FT269" s="205"/>
      <c r="FU269" s="77"/>
      <c r="FV269" s="77"/>
      <c r="FW269" s="77"/>
      <c r="FX269" s="205"/>
      <c r="FY269" s="205"/>
      <c r="FZ269" s="205"/>
      <c r="GA269" s="205"/>
      <c r="GB269" s="205"/>
      <c r="GC269" s="205"/>
      <c r="GD269" s="205"/>
      <c r="GE269" s="205"/>
      <c r="GF269" s="205"/>
      <c r="GG269" s="205"/>
      <c r="GH269" s="205"/>
      <c r="GI269" s="205"/>
      <c r="GJ269" s="205"/>
      <c r="GK269" s="205"/>
      <c r="GL269" s="205"/>
      <c r="GM269" s="205"/>
      <c r="GN269" s="205"/>
      <c r="GO269" s="205"/>
      <c r="GP269" s="205"/>
      <c r="GQ269" s="205"/>
      <c r="GR269" s="205"/>
      <c r="GS269" s="205"/>
      <c r="GT269" s="205"/>
      <c r="GU269" s="205"/>
      <c r="GV269" s="18"/>
      <c r="GW269" s="5"/>
      <c r="GX269" s="5"/>
      <c r="GY269" s="77"/>
      <c r="GZ269" s="18"/>
      <c r="HA269" s="18"/>
      <c r="HB269" s="18"/>
      <c r="HC269" s="18"/>
      <c r="HD269" s="18"/>
      <c r="HE269" s="18"/>
      <c r="HF269" s="18"/>
      <c r="HG269" s="18"/>
      <c r="HH269" s="205"/>
      <c r="HI269" s="26"/>
      <c r="HJ269" s="26"/>
      <c r="HK269" s="5"/>
    </row>
    <row r="270" spans="40:219">
      <c r="AN270" s="26"/>
      <c r="AO270" s="26"/>
      <c r="AP270" s="15"/>
      <c r="AQ270" s="5"/>
      <c r="AR270" s="26"/>
      <c r="AS270" s="26"/>
      <c r="AT270" s="26"/>
      <c r="AU270" s="26"/>
      <c r="AV270" s="95"/>
      <c r="AW270" s="95"/>
      <c r="AX270" s="95"/>
      <c r="AY270" s="54"/>
      <c r="AZ270" s="54"/>
      <c r="BA270" s="15"/>
      <c r="BB270" s="54"/>
      <c r="BC270" s="54"/>
      <c r="BD270" s="22"/>
      <c r="BE270" s="23"/>
      <c r="BL270" s="92"/>
      <c r="BN270" s="5"/>
      <c r="BO270" s="54"/>
      <c r="BP270" s="5"/>
      <c r="BQ270" s="5"/>
      <c r="BR270" s="24"/>
      <c r="BS270" s="25"/>
      <c r="BT270" s="25"/>
      <c r="BU270" s="25"/>
      <c r="BV270" s="25"/>
      <c r="BW270" s="25"/>
      <c r="BX270" s="25"/>
      <c r="BY270" s="25"/>
      <c r="BZ270" s="25"/>
      <c r="CA270" s="25"/>
      <c r="CB270" s="25"/>
      <c r="CC270" s="5"/>
      <c r="CD270" s="5"/>
      <c r="CE270" s="5"/>
      <c r="CF270" s="5"/>
      <c r="CG270" s="5"/>
      <c r="CH270" s="5"/>
      <c r="CI270" s="68"/>
      <c r="CJ270" s="5"/>
      <c r="CK270" s="5"/>
      <c r="CL270" s="102"/>
      <c r="CM270" s="5"/>
      <c r="CN270" s="5"/>
      <c r="CO270" s="5"/>
      <c r="CP270" s="25"/>
      <c r="CQ270" s="68"/>
      <c r="CR270" s="68"/>
      <c r="CS270" s="5"/>
      <c r="CT270" s="5"/>
      <c r="CU270" s="68"/>
      <c r="CV270" s="5"/>
      <c r="CW270" s="25"/>
      <c r="CX270" s="72"/>
      <c r="CY270" s="102"/>
      <c r="CZ270" s="5"/>
      <c r="DA270" s="47"/>
      <c r="DB270" s="46"/>
      <c r="DC270" s="5"/>
      <c r="DD270" s="5"/>
      <c r="DE270" s="5"/>
      <c r="DF270" s="5"/>
      <c r="DG270" s="5"/>
      <c r="DH270" s="203"/>
      <c r="DI270" s="203"/>
      <c r="DJ270" s="46"/>
      <c r="DK270" s="5"/>
      <c r="EB270" s="18"/>
      <c r="EC270" s="77"/>
      <c r="ED270" s="77"/>
      <c r="EE270" s="18"/>
      <c r="EF270" s="18"/>
      <c r="EG270" s="18"/>
      <c r="EH270" s="5"/>
      <c r="EI270" s="5"/>
      <c r="EJ270" s="5"/>
      <c r="EK270" s="5"/>
      <c r="EL270" s="5"/>
      <c r="FE270" s="26"/>
      <c r="FF270" s="26"/>
      <c r="FG270" s="26"/>
      <c r="FH270" s="26"/>
      <c r="FI270" s="26"/>
      <c r="FJ270" s="26"/>
      <c r="FK270" s="26"/>
      <c r="FL270" s="26"/>
      <c r="FM270" s="26"/>
      <c r="FN270" s="205"/>
      <c r="FO270" s="205"/>
      <c r="FP270" s="205"/>
      <c r="FQ270" s="205"/>
      <c r="FR270" s="205"/>
      <c r="FS270" s="205"/>
      <c r="FT270" s="205"/>
      <c r="FU270" s="77"/>
      <c r="FV270" s="77"/>
      <c r="FW270" s="77"/>
      <c r="FX270" s="205"/>
      <c r="FY270" s="205"/>
      <c r="FZ270" s="205"/>
      <c r="GA270" s="205"/>
      <c r="GB270" s="205"/>
      <c r="GC270" s="205"/>
      <c r="GD270" s="205"/>
      <c r="GE270" s="205"/>
      <c r="GF270" s="205"/>
      <c r="GG270" s="205"/>
      <c r="GH270" s="205"/>
      <c r="GI270" s="205"/>
      <c r="GJ270" s="205"/>
      <c r="GK270" s="205"/>
      <c r="GL270" s="205"/>
      <c r="GM270" s="205"/>
      <c r="GN270" s="205"/>
      <c r="GO270" s="205"/>
      <c r="GP270" s="205"/>
      <c r="GQ270" s="205"/>
      <c r="GR270" s="205"/>
      <c r="GS270" s="205"/>
      <c r="GT270" s="205"/>
      <c r="GU270" s="205"/>
      <c r="GV270" s="18"/>
      <c r="GW270" s="5"/>
      <c r="GX270" s="5"/>
      <c r="GY270" s="77"/>
      <c r="GZ270" s="18"/>
      <c r="HA270" s="18"/>
      <c r="HB270" s="18"/>
      <c r="HC270" s="18"/>
      <c r="HD270" s="18"/>
      <c r="HE270" s="18"/>
      <c r="HF270" s="18"/>
      <c r="HG270" s="18"/>
      <c r="HH270" s="205"/>
      <c r="HI270" s="26"/>
      <c r="HJ270" s="26"/>
      <c r="HK270" s="5"/>
    </row>
    <row r="271" spans="40:219">
      <c r="AN271" s="26"/>
      <c r="AO271" s="26"/>
      <c r="AP271" s="15"/>
      <c r="AQ271" s="5"/>
      <c r="AR271" s="26"/>
      <c r="AS271" s="26"/>
      <c r="AT271" s="26"/>
      <c r="AU271" s="26"/>
      <c r="AV271" s="95"/>
      <c r="AW271" s="95"/>
      <c r="AX271" s="95"/>
      <c r="AY271" s="54"/>
      <c r="AZ271" s="54"/>
      <c r="BA271" s="15"/>
      <c r="BB271" s="54"/>
      <c r="BC271" s="54"/>
      <c r="BD271" s="22"/>
      <c r="BE271" s="23"/>
      <c r="BL271" s="92"/>
      <c r="BN271" s="5"/>
      <c r="BO271" s="54"/>
      <c r="BP271" s="5"/>
      <c r="BQ271" s="5"/>
      <c r="BR271" s="24"/>
      <c r="BS271" s="25"/>
      <c r="BT271" s="25"/>
      <c r="BU271" s="25"/>
      <c r="BV271" s="25"/>
      <c r="BW271" s="25"/>
      <c r="BX271" s="25"/>
      <c r="BY271" s="25"/>
      <c r="BZ271" s="25"/>
      <c r="CA271" s="25"/>
      <c r="CB271" s="25"/>
      <c r="CC271" s="5"/>
      <c r="CD271" s="5"/>
      <c r="CE271" s="5"/>
      <c r="CF271" s="5"/>
      <c r="CG271" s="5"/>
      <c r="CH271" s="5"/>
      <c r="CI271" s="68"/>
      <c r="CJ271" s="5"/>
      <c r="CK271" s="5"/>
      <c r="CL271" s="102"/>
      <c r="CM271" s="5"/>
      <c r="CN271" s="5"/>
      <c r="CO271" s="5"/>
      <c r="CP271" s="25"/>
      <c r="CQ271" s="68"/>
      <c r="CR271" s="68"/>
      <c r="CS271" s="5"/>
      <c r="CT271" s="5"/>
      <c r="CU271" s="68"/>
      <c r="CV271" s="5"/>
      <c r="CW271" s="25"/>
      <c r="CX271" s="72"/>
      <c r="CY271" s="102"/>
      <c r="CZ271" s="5"/>
      <c r="DA271" s="47"/>
      <c r="DB271" s="46"/>
      <c r="DC271" s="5"/>
      <c r="DD271" s="5"/>
      <c r="DE271" s="5"/>
      <c r="DF271" s="5"/>
      <c r="DG271" s="5"/>
      <c r="DH271" s="203"/>
      <c r="DI271" s="203"/>
      <c r="DJ271" s="46"/>
      <c r="DK271" s="5"/>
      <c r="EB271" s="18"/>
      <c r="EC271" s="77"/>
      <c r="ED271" s="77"/>
      <c r="EE271" s="18"/>
      <c r="EF271" s="18"/>
      <c r="EG271" s="18"/>
      <c r="EH271" s="5"/>
      <c r="EI271" s="5"/>
      <c r="EJ271" s="5"/>
      <c r="EK271" s="5"/>
      <c r="EL271" s="5"/>
      <c r="FE271" s="26"/>
      <c r="FF271" s="26"/>
      <c r="FG271" s="26"/>
      <c r="FH271" s="26"/>
      <c r="FI271" s="26"/>
      <c r="FJ271" s="26"/>
      <c r="FK271" s="26"/>
      <c r="FL271" s="26"/>
      <c r="FM271" s="26"/>
      <c r="FN271" s="205"/>
      <c r="FO271" s="205"/>
      <c r="FP271" s="205"/>
      <c r="FQ271" s="205"/>
      <c r="FR271" s="205"/>
      <c r="FS271" s="205"/>
      <c r="FT271" s="205"/>
      <c r="FU271" s="77"/>
      <c r="FV271" s="77"/>
      <c r="FW271" s="77"/>
      <c r="FX271" s="205"/>
      <c r="FY271" s="205"/>
      <c r="FZ271" s="205"/>
      <c r="GA271" s="205"/>
      <c r="GB271" s="205"/>
      <c r="GC271" s="205"/>
      <c r="GD271" s="205"/>
      <c r="GE271" s="205"/>
      <c r="GF271" s="205"/>
      <c r="GG271" s="205"/>
      <c r="GH271" s="205"/>
      <c r="GI271" s="205"/>
      <c r="GJ271" s="205"/>
      <c r="GK271" s="205"/>
      <c r="GL271" s="205"/>
      <c r="GM271" s="205"/>
      <c r="GN271" s="205"/>
      <c r="GO271" s="205"/>
      <c r="GP271" s="205"/>
      <c r="GQ271" s="205"/>
      <c r="GR271" s="205"/>
      <c r="GS271" s="205"/>
      <c r="GT271" s="205"/>
      <c r="GU271" s="205"/>
      <c r="GV271" s="18"/>
      <c r="GW271" s="5"/>
      <c r="GX271" s="5"/>
      <c r="GY271" s="77"/>
      <c r="GZ271" s="18"/>
      <c r="HA271" s="18"/>
      <c r="HB271" s="18"/>
      <c r="HC271" s="18"/>
      <c r="HD271" s="18"/>
      <c r="HE271" s="18"/>
      <c r="HF271" s="18"/>
      <c r="HG271" s="18"/>
      <c r="HH271" s="205"/>
      <c r="HI271" s="26"/>
      <c r="HJ271" s="26"/>
      <c r="HK271" s="5"/>
    </row>
    <row r="272" spans="40:219">
      <c r="AN272" s="26"/>
      <c r="AO272" s="26"/>
      <c r="AP272" s="15"/>
      <c r="AQ272" s="5"/>
      <c r="AR272" s="26"/>
      <c r="AS272" s="26"/>
      <c r="AT272" s="26"/>
      <c r="AU272" s="26"/>
      <c r="AV272" s="95"/>
      <c r="AW272" s="95"/>
      <c r="AX272" s="95"/>
      <c r="AY272" s="54"/>
      <c r="AZ272" s="54"/>
      <c r="BA272" s="15"/>
      <c r="BB272" s="54"/>
      <c r="BC272" s="54"/>
      <c r="BD272" s="22"/>
      <c r="BE272" s="23"/>
      <c r="BL272" s="92"/>
      <c r="BN272" s="5"/>
      <c r="BO272" s="54"/>
      <c r="BP272" s="5"/>
      <c r="BQ272" s="5"/>
      <c r="BR272" s="24"/>
      <c r="BS272" s="25"/>
      <c r="BT272" s="25"/>
      <c r="BU272" s="25"/>
      <c r="BV272" s="25"/>
      <c r="BW272" s="25"/>
      <c r="BX272" s="25"/>
      <c r="BY272" s="25"/>
      <c r="BZ272" s="25"/>
      <c r="CA272" s="25"/>
      <c r="CB272" s="25"/>
      <c r="CC272" s="5"/>
      <c r="CD272" s="5"/>
      <c r="CE272" s="5"/>
      <c r="CF272" s="5"/>
      <c r="CG272" s="5"/>
      <c r="CH272" s="5"/>
      <c r="CI272" s="68"/>
      <c r="CJ272" s="5"/>
      <c r="CK272" s="5"/>
      <c r="CL272" s="102"/>
      <c r="CM272" s="5"/>
      <c r="CN272" s="5"/>
      <c r="CO272" s="5"/>
      <c r="CP272" s="25"/>
      <c r="CQ272" s="68"/>
      <c r="CR272" s="68"/>
      <c r="CS272" s="5"/>
      <c r="CT272" s="5"/>
      <c r="CU272" s="68"/>
      <c r="CV272" s="5"/>
      <c r="CW272" s="25"/>
      <c r="CX272" s="72"/>
      <c r="CY272" s="102"/>
      <c r="CZ272" s="5"/>
      <c r="DA272" s="47"/>
      <c r="DB272" s="46"/>
      <c r="DC272" s="5"/>
      <c r="DD272" s="5"/>
      <c r="DE272" s="5"/>
      <c r="DF272" s="5"/>
      <c r="DG272" s="5"/>
      <c r="DH272" s="203"/>
      <c r="DI272" s="203"/>
      <c r="DJ272" s="46"/>
      <c r="DK272" s="5"/>
      <c r="EB272" s="18"/>
      <c r="EC272" s="77"/>
      <c r="ED272" s="77"/>
      <c r="EE272" s="18"/>
      <c r="EF272" s="18"/>
      <c r="EG272" s="18"/>
      <c r="EH272" s="5"/>
      <c r="EI272" s="5"/>
      <c r="EJ272" s="5"/>
      <c r="EK272" s="5"/>
      <c r="EL272" s="5"/>
      <c r="FE272" s="26"/>
      <c r="FF272" s="26"/>
      <c r="FG272" s="26"/>
      <c r="FH272" s="26"/>
      <c r="FI272" s="26"/>
      <c r="FJ272" s="26"/>
      <c r="FK272" s="26"/>
      <c r="FL272" s="26"/>
      <c r="FM272" s="26"/>
      <c r="FN272" s="205"/>
      <c r="FO272" s="205"/>
      <c r="FP272" s="205"/>
      <c r="FQ272" s="205"/>
      <c r="FR272" s="205"/>
      <c r="FS272" s="205"/>
      <c r="FT272" s="205"/>
      <c r="FU272" s="77"/>
      <c r="FV272" s="77"/>
      <c r="FW272" s="77"/>
      <c r="FX272" s="205"/>
      <c r="FY272" s="205"/>
      <c r="FZ272" s="205"/>
      <c r="GA272" s="205"/>
      <c r="GB272" s="205"/>
      <c r="GC272" s="205"/>
      <c r="GD272" s="205"/>
      <c r="GE272" s="205"/>
      <c r="GF272" s="205"/>
      <c r="GG272" s="205"/>
      <c r="GH272" s="205"/>
      <c r="GI272" s="205"/>
      <c r="GJ272" s="205"/>
      <c r="GK272" s="205"/>
      <c r="GL272" s="205"/>
      <c r="GM272" s="205"/>
      <c r="GN272" s="205"/>
      <c r="GO272" s="205"/>
      <c r="GP272" s="205"/>
      <c r="GQ272" s="205"/>
      <c r="GR272" s="205"/>
      <c r="GS272" s="205"/>
      <c r="GT272" s="205"/>
      <c r="GU272" s="205"/>
      <c r="GV272" s="18"/>
      <c r="GW272" s="5"/>
      <c r="GX272" s="5"/>
      <c r="GY272" s="77"/>
      <c r="GZ272" s="18"/>
      <c r="HA272" s="18"/>
      <c r="HB272" s="18"/>
      <c r="HC272" s="18"/>
      <c r="HD272" s="18"/>
      <c r="HE272" s="18"/>
      <c r="HF272" s="18"/>
      <c r="HG272" s="18"/>
      <c r="HH272" s="205"/>
      <c r="HI272" s="26"/>
      <c r="HJ272" s="26"/>
      <c r="HK272" s="5"/>
    </row>
    <row r="273" spans="40:219">
      <c r="AN273" s="26"/>
      <c r="AO273" s="26"/>
      <c r="AP273" s="15"/>
      <c r="AQ273" s="5"/>
      <c r="AR273" s="26"/>
      <c r="AS273" s="26"/>
      <c r="AT273" s="26"/>
      <c r="AU273" s="26"/>
      <c r="AV273" s="95"/>
      <c r="AW273" s="95"/>
      <c r="AX273" s="95"/>
      <c r="AY273" s="54"/>
      <c r="AZ273" s="54"/>
      <c r="BA273" s="15"/>
      <c r="BB273" s="54"/>
      <c r="BC273" s="54"/>
      <c r="BD273" s="22"/>
      <c r="BE273" s="23"/>
      <c r="BL273" s="92"/>
      <c r="BN273" s="5"/>
      <c r="BO273" s="54"/>
      <c r="BP273" s="5"/>
      <c r="BQ273" s="5"/>
      <c r="BR273" s="24"/>
      <c r="BS273" s="25"/>
      <c r="BT273" s="25"/>
      <c r="BU273" s="25"/>
      <c r="BV273" s="25"/>
      <c r="BW273" s="25"/>
      <c r="BX273" s="25"/>
      <c r="BY273" s="25"/>
      <c r="BZ273" s="25"/>
      <c r="CA273" s="25"/>
      <c r="CB273" s="25"/>
      <c r="CC273" s="5"/>
      <c r="CD273" s="5"/>
      <c r="CE273" s="5"/>
      <c r="CF273" s="5"/>
      <c r="CG273" s="5"/>
      <c r="CH273" s="5"/>
      <c r="CI273" s="68"/>
      <c r="CJ273" s="5"/>
      <c r="CK273" s="5"/>
      <c r="CL273" s="102"/>
      <c r="CM273" s="5"/>
      <c r="CN273" s="5"/>
      <c r="CO273" s="5"/>
      <c r="CP273" s="25"/>
      <c r="CQ273" s="68"/>
      <c r="CR273" s="68"/>
      <c r="CS273" s="5"/>
      <c r="CT273" s="5"/>
      <c r="CU273" s="68"/>
      <c r="CV273" s="5"/>
      <c r="CW273" s="25"/>
      <c r="CX273" s="72"/>
      <c r="CY273" s="102"/>
      <c r="CZ273" s="5"/>
      <c r="DA273" s="47"/>
      <c r="DB273" s="46"/>
      <c r="DC273" s="5"/>
      <c r="DD273" s="5"/>
      <c r="DE273" s="5"/>
      <c r="DF273" s="5"/>
      <c r="DG273" s="5"/>
      <c r="DH273" s="203"/>
      <c r="DI273" s="203"/>
      <c r="DJ273" s="46"/>
      <c r="DK273" s="5"/>
      <c r="EB273" s="18"/>
      <c r="EC273" s="77"/>
      <c r="ED273" s="77"/>
      <c r="EE273" s="18"/>
      <c r="EF273" s="18"/>
      <c r="EG273" s="18"/>
      <c r="EH273" s="5"/>
      <c r="EI273" s="5"/>
      <c r="EJ273" s="5"/>
      <c r="EK273" s="5"/>
      <c r="EL273" s="5"/>
      <c r="FE273" s="26"/>
      <c r="FF273" s="26"/>
      <c r="FG273" s="26"/>
      <c r="FH273" s="26"/>
      <c r="FI273" s="26"/>
      <c r="FJ273" s="26"/>
      <c r="FK273" s="26"/>
      <c r="FL273" s="26"/>
      <c r="FM273" s="26"/>
      <c r="FN273" s="205"/>
      <c r="FO273" s="205"/>
      <c r="FP273" s="205"/>
      <c r="FQ273" s="205"/>
      <c r="FR273" s="205"/>
      <c r="FS273" s="205"/>
      <c r="FT273" s="205"/>
      <c r="FU273" s="77"/>
      <c r="FV273" s="77"/>
      <c r="FW273" s="77"/>
      <c r="FX273" s="205"/>
      <c r="FY273" s="205"/>
      <c r="FZ273" s="205"/>
      <c r="GA273" s="205"/>
      <c r="GB273" s="205"/>
      <c r="GC273" s="205"/>
      <c r="GD273" s="205"/>
      <c r="GE273" s="205"/>
      <c r="GF273" s="205"/>
      <c r="GG273" s="205"/>
      <c r="GH273" s="205"/>
      <c r="GI273" s="205"/>
      <c r="GJ273" s="205"/>
      <c r="GK273" s="205"/>
      <c r="GL273" s="205"/>
      <c r="GM273" s="205"/>
      <c r="GN273" s="205"/>
      <c r="GO273" s="205"/>
      <c r="GP273" s="205"/>
      <c r="GQ273" s="205"/>
      <c r="GR273" s="205"/>
      <c r="GS273" s="205"/>
      <c r="GT273" s="205"/>
      <c r="GU273" s="205"/>
      <c r="GV273" s="18"/>
      <c r="GW273" s="5"/>
      <c r="GX273" s="5"/>
      <c r="GY273" s="77"/>
      <c r="GZ273" s="18"/>
      <c r="HA273" s="18"/>
      <c r="HB273" s="18"/>
      <c r="HC273" s="18"/>
      <c r="HD273" s="18"/>
      <c r="HE273" s="18"/>
      <c r="HF273" s="18"/>
      <c r="HG273" s="18"/>
      <c r="HH273" s="205"/>
      <c r="HI273" s="26"/>
      <c r="HJ273" s="26"/>
      <c r="HK273" s="5"/>
    </row>
    <row r="274" spans="40:219">
      <c r="AN274" s="26"/>
      <c r="AO274" s="26"/>
      <c r="AP274" s="15"/>
      <c r="AQ274" s="5"/>
      <c r="AR274" s="26"/>
      <c r="AS274" s="26"/>
      <c r="AT274" s="26"/>
      <c r="AU274" s="26"/>
      <c r="AV274" s="95"/>
      <c r="AW274" s="95"/>
      <c r="AX274" s="95"/>
      <c r="AY274" s="54"/>
      <c r="AZ274" s="54"/>
      <c r="BA274" s="15"/>
      <c r="BB274" s="54"/>
      <c r="BC274" s="54"/>
      <c r="BD274" s="22"/>
      <c r="BE274" s="23"/>
      <c r="BL274" s="92"/>
      <c r="BN274" s="5"/>
      <c r="BO274" s="54"/>
      <c r="BP274" s="5"/>
      <c r="BQ274" s="5"/>
      <c r="BR274" s="24"/>
      <c r="BS274" s="25"/>
      <c r="BT274" s="25"/>
      <c r="BU274" s="25"/>
      <c r="BV274" s="25"/>
      <c r="BW274" s="25"/>
      <c r="BX274" s="25"/>
      <c r="BY274" s="25"/>
      <c r="BZ274" s="25"/>
      <c r="CA274" s="25"/>
      <c r="CB274" s="25"/>
      <c r="CC274" s="5"/>
      <c r="CD274" s="5"/>
      <c r="CE274" s="5"/>
      <c r="CF274" s="5"/>
      <c r="CG274" s="5"/>
      <c r="CH274" s="5"/>
      <c r="CI274" s="68"/>
      <c r="CJ274" s="5"/>
      <c r="CK274" s="5"/>
      <c r="CL274" s="102"/>
      <c r="CM274" s="5"/>
      <c r="CN274" s="5"/>
      <c r="CO274" s="5"/>
      <c r="CP274" s="25"/>
      <c r="CQ274" s="68"/>
      <c r="CR274" s="68"/>
      <c r="CS274" s="5"/>
      <c r="CT274" s="5"/>
      <c r="CU274" s="68"/>
      <c r="CV274" s="5"/>
      <c r="CW274" s="25"/>
      <c r="CX274" s="72"/>
      <c r="CY274" s="102"/>
      <c r="CZ274" s="5"/>
      <c r="DA274" s="47"/>
      <c r="DB274" s="46"/>
      <c r="DC274" s="5"/>
      <c r="DD274" s="5"/>
      <c r="DE274" s="5"/>
      <c r="DF274" s="5"/>
      <c r="DG274" s="5"/>
      <c r="DH274" s="203"/>
      <c r="DI274" s="203"/>
      <c r="DJ274" s="46"/>
      <c r="DK274" s="5"/>
      <c r="EB274" s="18"/>
      <c r="EC274" s="77"/>
      <c r="ED274" s="77"/>
      <c r="EE274" s="18"/>
      <c r="EF274" s="18"/>
      <c r="EG274" s="18"/>
      <c r="EH274" s="5"/>
      <c r="EI274" s="5"/>
      <c r="EJ274" s="5"/>
      <c r="EK274" s="5"/>
      <c r="EL274" s="5"/>
      <c r="FE274" s="26"/>
      <c r="FF274" s="26"/>
      <c r="FG274" s="26"/>
      <c r="FH274" s="26"/>
      <c r="FI274" s="26"/>
      <c r="FJ274" s="26"/>
      <c r="FK274" s="26"/>
      <c r="FL274" s="26"/>
      <c r="FM274" s="26"/>
      <c r="FN274" s="205"/>
      <c r="FO274" s="205"/>
      <c r="FP274" s="205"/>
      <c r="FQ274" s="205"/>
      <c r="FR274" s="205"/>
      <c r="FS274" s="205"/>
      <c r="FT274" s="205"/>
      <c r="FU274" s="77"/>
      <c r="FV274" s="77"/>
      <c r="FW274" s="77"/>
      <c r="FX274" s="205"/>
      <c r="FY274" s="205"/>
      <c r="FZ274" s="205"/>
      <c r="GA274" s="205"/>
      <c r="GB274" s="205"/>
      <c r="GC274" s="205"/>
      <c r="GD274" s="205"/>
      <c r="GE274" s="205"/>
      <c r="GF274" s="205"/>
      <c r="GG274" s="205"/>
      <c r="GH274" s="205"/>
      <c r="GI274" s="205"/>
      <c r="GJ274" s="205"/>
      <c r="GK274" s="205"/>
      <c r="GL274" s="205"/>
      <c r="GM274" s="205"/>
      <c r="GN274" s="205"/>
      <c r="GO274" s="205"/>
      <c r="GP274" s="205"/>
      <c r="GQ274" s="205"/>
      <c r="GR274" s="205"/>
      <c r="GS274" s="205"/>
      <c r="GT274" s="205"/>
      <c r="GU274" s="205"/>
      <c r="GV274" s="18"/>
      <c r="GW274" s="5"/>
      <c r="GX274" s="5"/>
      <c r="GY274" s="77"/>
      <c r="GZ274" s="18"/>
      <c r="HA274" s="18"/>
      <c r="HB274" s="18"/>
      <c r="HC274" s="18"/>
      <c r="HD274" s="18"/>
      <c r="HE274" s="18"/>
      <c r="HF274" s="18"/>
      <c r="HG274" s="18"/>
      <c r="HH274" s="205"/>
      <c r="HI274" s="26"/>
      <c r="HJ274" s="26"/>
      <c r="HK274" s="5"/>
    </row>
    <row r="275" spans="40:219">
      <c r="AN275" s="26"/>
      <c r="AO275" s="26"/>
      <c r="AP275" s="15"/>
      <c r="AQ275" s="5"/>
      <c r="AR275" s="26"/>
      <c r="AS275" s="26"/>
      <c r="AT275" s="26"/>
      <c r="AU275" s="26"/>
      <c r="AV275" s="95"/>
      <c r="AW275" s="95"/>
      <c r="AX275" s="95"/>
      <c r="AY275" s="54"/>
      <c r="AZ275" s="54"/>
      <c r="BA275" s="15"/>
      <c r="BB275" s="54"/>
      <c r="BC275" s="54"/>
      <c r="BD275" s="22"/>
      <c r="BE275" s="23"/>
      <c r="BL275" s="92"/>
      <c r="BN275" s="5"/>
      <c r="BO275" s="54"/>
      <c r="BP275" s="5"/>
      <c r="BQ275" s="5"/>
      <c r="BR275" s="24"/>
      <c r="BS275" s="25"/>
      <c r="BT275" s="25"/>
      <c r="BU275" s="25"/>
      <c r="BV275" s="25"/>
      <c r="BW275" s="25"/>
      <c r="BX275" s="25"/>
      <c r="BY275" s="25"/>
      <c r="BZ275" s="25"/>
      <c r="CA275" s="25"/>
      <c r="CB275" s="25"/>
      <c r="CC275" s="5"/>
      <c r="CD275" s="5"/>
      <c r="CE275" s="5"/>
      <c r="CF275" s="5"/>
      <c r="CG275" s="5"/>
      <c r="CH275" s="5"/>
      <c r="CI275" s="68"/>
      <c r="CJ275" s="5"/>
      <c r="CK275" s="5"/>
      <c r="CL275" s="102"/>
      <c r="CM275" s="5"/>
      <c r="CN275" s="5"/>
      <c r="CO275" s="5"/>
      <c r="CP275" s="25"/>
      <c r="CQ275" s="68"/>
      <c r="CR275" s="68"/>
      <c r="CS275" s="5"/>
      <c r="CT275" s="5"/>
      <c r="CU275" s="68"/>
      <c r="CV275" s="5"/>
      <c r="CW275" s="25"/>
      <c r="CX275" s="72"/>
      <c r="CY275" s="102"/>
      <c r="CZ275" s="5"/>
      <c r="DA275" s="47"/>
      <c r="DB275" s="46"/>
      <c r="DC275" s="5"/>
      <c r="DD275" s="5"/>
      <c r="DE275" s="5"/>
      <c r="DF275" s="5"/>
      <c r="DG275" s="5"/>
      <c r="DH275" s="203"/>
      <c r="DI275" s="203"/>
      <c r="DJ275" s="46"/>
      <c r="DK275" s="5"/>
      <c r="EB275" s="18"/>
      <c r="EC275" s="77"/>
      <c r="ED275" s="77"/>
      <c r="EE275" s="18"/>
      <c r="EF275" s="18"/>
      <c r="EG275" s="18"/>
      <c r="EH275" s="5"/>
      <c r="EI275" s="5"/>
      <c r="EJ275" s="5"/>
      <c r="EK275" s="5"/>
      <c r="EL275" s="5"/>
      <c r="FE275" s="26"/>
      <c r="FF275" s="26"/>
      <c r="FG275" s="26"/>
      <c r="FH275" s="26"/>
      <c r="FI275" s="26"/>
      <c r="FJ275" s="26"/>
      <c r="FK275" s="26"/>
      <c r="FL275" s="26"/>
      <c r="FM275" s="26"/>
      <c r="FN275" s="205"/>
      <c r="FO275" s="205"/>
      <c r="FP275" s="205"/>
      <c r="FQ275" s="205"/>
      <c r="FR275" s="205"/>
      <c r="FS275" s="205"/>
      <c r="FT275" s="205"/>
      <c r="FU275" s="77"/>
      <c r="FV275" s="77"/>
      <c r="FW275" s="77"/>
      <c r="FX275" s="205"/>
      <c r="FY275" s="205"/>
      <c r="FZ275" s="205"/>
      <c r="GA275" s="205"/>
      <c r="GB275" s="205"/>
      <c r="GC275" s="205"/>
      <c r="GD275" s="205"/>
      <c r="GE275" s="205"/>
      <c r="GF275" s="205"/>
      <c r="GG275" s="205"/>
      <c r="GH275" s="205"/>
      <c r="GI275" s="205"/>
      <c r="GJ275" s="205"/>
      <c r="GK275" s="205"/>
      <c r="GL275" s="205"/>
      <c r="GM275" s="205"/>
      <c r="GN275" s="205"/>
      <c r="GO275" s="205"/>
      <c r="GP275" s="205"/>
      <c r="GQ275" s="205"/>
      <c r="GR275" s="205"/>
      <c r="GS275" s="205"/>
      <c r="GT275" s="205"/>
      <c r="GU275" s="205"/>
      <c r="GV275" s="18"/>
      <c r="GW275" s="5"/>
      <c r="GX275" s="5"/>
      <c r="GY275" s="77"/>
      <c r="GZ275" s="18"/>
      <c r="HA275" s="18"/>
      <c r="HB275" s="18"/>
      <c r="HC275" s="18"/>
      <c r="HD275" s="18"/>
      <c r="HE275" s="18"/>
      <c r="HF275" s="18"/>
      <c r="HG275" s="18"/>
      <c r="HH275" s="205"/>
      <c r="HI275" s="26"/>
      <c r="HJ275" s="26"/>
      <c r="HK275" s="5"/>
    </row>
    <row r="276" spans="40:219">
      <c r="AN276" s="26"/>
      <c r="AO276" s="26"/>
      <c r="AP276" s="15"/>
      <c r="AQ276" s="5"/>
      <c r="AR276" s="26"/>
      <c r="AS276" s="26"/>
      <c r="AT276" s="26"/>
      <c r="AU276" s="26"/>
      <c r="AV276" s="95"/>
      <c r="AW276" s="95"/>
      <c r="AX276" s="95"/>
      <c r="AY276" s="54"/>
      <c r="AZ276" s="54"/>
      <c r="BA276" s="15"/>
      <c r="BB276" s="54"/>
      <c r="BC276" s="54"/>
      <c r="BD276" s="22"/>
      <c r="BE276" s="23"/>
      <c r="BL276" s="92"/>
      <c r="BN276" s="5"/>
      <c r="BO276" s="54"/>
      <c r="BP276" s="5"/>
      <c r="BQ276" s="5"/>
      <c r="BR276" s="24"/>
      <c r="BS276" s="25"/>
      <c r="BT276" s="25"/>
      <c r="BU276" s="25"/>
      <c r="BV276" s="25"/>
      <c r="BW276" s="25"/>
      <c r="BX276" s="25"/>
      <c r="BY276" s="25"/>
      <c r="BZ276" s="25"/>
      <c r="CA276" s="25"/>
      <c r="CB276" s="25"/>
      <c r="CC276" s="5"/>
      <c r="CD276" s="5"/>
      <c r="CE276" s="5"/>
      <c r="CF276" s="5"/>
      <c r="CG276" s="5"/>
      <c r="CH276" s="5"/>
      <c r="CI276" s="68"/>
      <c r="CJ276" s="5"/>
      <c r="CK276" s="5"/>
      <c r="CL276" s="102"/>
      <c r="CM276" s="5"/>
      <c r="CN276" s="5"/>
      <c r="CO276" s="5"/>
      <c r="CP276" s="25"/>
      <c r="CQ276" s="68"/>
      <c r="CR276" s="68"/>
      <c r="CS276" s="5"/>
      <c r="CT276" s="5"/>
      <c r="CU276" s="68"/>
      <c r="CV276" s="5"/>
      <c r="CW276" s="25"/>
      <c r="CX276" s="72"/>
      <c r="CY276" s="102"/>
      <c r="CZ276" s="5"/>
      <c r="DA276" s="47"/>
      <c r="DB276" s="46"/>
      <c r="DC276" s="5"/>
      <c r="DD276" s="5"/>
      <c r="DE276" s="5"/>
      <c r="DF276" s="5"/>
      <c r="DG276" s="5"/>
      <c r="DH276" s="203"/>
      <c r="DI276" s="203"/>
      <c r="DJ276" s="46"/>
      <c r="DK276" s="5"/>
      <c r="EB276" s="18"/>
      <c r="EC276" s="77"/>
      <c r="ED276" s="77"/>
      <c r="EE276" s="18"/>
      <c r="EF276" s="18"/>
      <c r="EG276" s="18"/>
      <c r="EH276" s="5"/>
      <c r="EI276" s="5"/>
      <c r="EJ276" s="5"/>
      <c r="EK276" s="5"/>
      <c r="EL276" s="5"/>
      <c r="FE276" s="26"/>
      <c r="FF276" s="26"/>
      <c r="FG276" s="26"/>
      <c r="FH276" s="26"/>
      <c r="FI276" s="26"/>
      <c r="FJ276" s="26"/>
      <c r="FK276" s="26"/>
      <c r="FL276" s="26"/>
      <c r="FM276" s="26"/>
      <c r="FN276" s="205"/>
      <c r="FO276" s="205"/>
      <c r="FP276" s="205"/>
      <c r="FQ276" s="205"/>
      <c r="FR276" s="205"/>
      <c r="FS276" s="205"/>
      <c r="FT276" s="205"/>
      <c r="FU276" s="77"/>
      <c r="FV276" s="77"/>
      <c r="FW276" s="77"/>
      <c r="FX276" s="205"/>
      <c r="FY276" s="205"/>
      <c r="FZ276" s="205"/>
      <c r="GA276" s="205"/>
      <c r="GB276" s="205"/>
      <c r="GC276" s="205"/>
      <c r="GD276" s="205"/>
      <c r="GE276" s="205"/>
      <c r="GF276" s="205"/>
      <c r="GG276" s="205"/>
      <c r="GH276" s="205"/>
      <c r="GI276" s="205"/>
      <c r="GJ276" s="205"/>
      <c r="GK276" s="205"/>
      <c r="GL276" s="205"/>
      <c r="GM276" s="205"/>
      <c r="GN276" s="205"/>
      <c r="GO276" s="205"/>
      <c r="GP276" s="205"/>
      <c r="GQ276" s="205"/>
      <c r="GR276" s="205"/>
      <c r="GS276" s="205"/>
      <c r="GT276" s="205"/>
      <c r="GU276" s="205"/>
      <c r="GV276" s="18"/>
      <c r="GW276" s="5"/>
      <c r="GX276" s="5"/>
      <c r="GY276" s="77"/>
      <c r="GZ276" s="18"/>
      <c r="HA276" s="18"/>
      <c r="HB276" s="18"/>
      <c r="HC276" s="18"/>
      <c r="HD276" s="18"/>
      <c r="HE276" s="18"/>
      <c r="HF276" s="18"/>
      <c r="HG276" s="18"/>
      <c r="HH276" s="205"/>
      <c r="HI276" s="26"/>
      <c r="HJ276" s="26"/>
      <c r="HK276" s="5"/>
    </row>
    <row r="277" spans="40:219">
      <c r="AN277" s="26"/>
      <c r="AO277" s="26"/>
      <c r="AP277" s="15"/>
      <c r="AQ277" s="5"/>
      <c r="AR277" s="26"/>
      <c r="AS277" s="26"/>
      <c r="AT277" s="26"/>
      <c r="AU277" s="26"/>
      <c r="AV277" s="95"/>
      <c r="AW277" s="95"/>
      <c r="AX277" s="95"/>
      <c r="AY277" s="54"/>
      <c r="AZ277" s="54"/>
      <c r="BA277" s="15"/>
      <c r="BB277" s="54"/>
      <c r="BC277" s="54"/>
      <c r="BD277" s="22"/>
      <c r="BE277" s="23"/>
      <c r="BL277" s="92"/>
      <c r="BN277" s="5"/>
      <c r="BO277" s="54"/>
      <c r="BP277" s="5"/>
      <c r="BQ277" s="5"/>
      <c r="BR277" s="24"/>
      <c r="BS277" s="25"/>
      <c r="BT277" s="25"/>
      <c r="BU277" s="25"/>
      <c r="BV277" s="25"/>
      <c r="BW277" s="25"/>
      <c r="BX277" s="25"/>
      <c r="BY277" s="25"/>
      <c r="BZ277" s="25"/>
      <c r="CA277" s="25"/>
      <c r="CB277" s="25"/>
      <c r="CC277" s="5"/>
      <c r="CD277" s="5"/>
      <c r="CE277" s="5"/>
      <c r="CF277" s="5"/>
      <c r="CG277" s="5"/>
      <c r="CH277" s="5"/>
      <c r="CI277" s="68"/>
      <c r="CJ277" s="5"/>
      <c r="CK277" s="5"/>
      <c r="CL277" s="102"/>
      <c r="CM277" s="5"/>
      <c r="CN277" s="5"/>
      <c r="CO277" s="5"/>
      <c r="CP277" s="25"/>
      <c r="CQ277" s="68"/>
      <c r="CR277" s="68"/>
      <c r="CS277" s="5"/>
      <c r="CT277" s="5"/>
      <c r="CU277" s="68"/>
      <c r="CV277" s="5"/>
      <c r="CW277" s="25"/>
      <c r="CX277" s="72"/>
      <c r="CY277" s="102"/>
      <c r="CZ277" s="5"/>
      <c r="DA277" s="47"/>
      <c r="DB277" s="46"/>
      <c r="DC277" s="5"/>
      <c r="DD277" s="5"/>
      <c r="DE277" s="5"/>
      <c r="DF277" s="5"/>
      <c r="DG277" s="5"/>
      <c r="DH277" s="203"/>
      <c r="DI277" s="203"/>
      <c r="DJ277" s="46"/>
      <c r="DK277" s="5"/>
      <c r="EB277" s="18"/>
      <c r="EC277" s="77"/>
      <c r="ED277" s="77"/>
      <c r="EE277" s="18"/>
      <c r="EF277" s="18"/>
      <c r="EG277" s="18"/>
      <c r="EH277" s="5"/>
      <c r="EI277" s="5"/>
      <c r="EJ277" s="5"/>
      <c r="EK277" s="5"/>
      <c r="EL277" s="5"/>
      <c r="FE277" s="26"/>
      <c r="FF277" s="26"/>
      <c r="FG277" s="26"/>
      <c r="FH277" s="26"/>
      <c r="FI277" s="26"/>
      <c r="FJ277" s="26"/>
      <c r="FK277" s="26"/>
      <c r="FL277" s="26"/>
      <c r="FM277" s="26"/>
      <c r="FN277" s="205"/>
      <c r="FO277" s="205"/>
      <c r="FP277" s="205"/>
      <c r="FQ277" s="205"/>
      <c r="FR277" s="205"/>
      <c r="FS277" s="205"/>
      <c r="FT277" s="205"/>
      <c r="FU277" s="77"/>
      <c r="FV277" s="77"/>
      <c r="FW277" s="77"/>
      <c r="FX277" s="205"/>
      <c r="FY277" s="205"/>
      <c r="FZ277" s="205"/>
      <c r="GA277" s="205"/>
      <c r="GB277" s="205"/>
      <c r="GC277" s="205"/>
      <c r="GD277" s="205"/>
      <c r="GE277" s="205"/>
      <c r="GF277" s="205"/>
      <c r="GG277" s="205"/>
      <c r="GH277" s="205"/>
      <c r="GI277" s="205"/>
      <c r="GJ277" s="205"/>
      <c r="GK277" s="205"/>
      <c r="GL277" s="205"/>
      <c r="GM277" s="205"/>
      <c r="GN277" s="205"/>
      <c r="GO277" s="205"/>
      <c r="GP277" s="205"/>
      <c r="GQ277" s="205"/>
      <c r="GR277" s="205"/>
      <c r="GS277" s="205"/>
      <c r="GT277" s="205"/>
      <c r="GU277" s="205"/>
      <c r="GV277" s="18"/>
      <c r="GW277" s="5"/>
      <c r="GX277" s="5"/>
      <c r="GY277" s="77"/>
      <c r="GZ277" s="18"/>
      <c r="HA277" s="18"/>
      <c r="HB277" s="18"/>
      <c r="HC277" s="18"/>
      <c r="HD277" s="18"/>
      <c r="HE277" s="18"/>
      <c r="HF277" s="18"/>
      <c r="HG277" s="18"/>
      <c r="HH277" s="205"/>
      <c r="HI277" s="26"/>
      <c r="HJ277" s="26"/>
      <c r="HK277" s="5"/>
    </row>
    <row r="278" spans="40:219">
      <c r="AN278" s="26"/>
      <c r="AO278" s="26"/>
      <c r="AP278" s="15"/>
      <c r="AQ278" s="5"/>
      <c r="AR278" s="26"/>
      <c r="AS278" s="26"/>
      <c r="AT278" s="26"/>
      <c r="AU278" s="26"/>
      <c r="AV278" s="95"/>
      <c r="AW278" s="95"/>
      <c r="AX278" s="95"/>
      <c r="AY278" s="54"/>
      <c r="AZ278" s="54"/>
      <c r="BA278" s="15"/>
      <c r="BB278" s="54"/>
      <c r="BC278" s="54"/>
      <c r="BD278" s="22"/>
      <c r="BE278" s="23"/>
      <c r="BL278" s="92"/>
      <c r="BN278" s="5"/>
      <c r="BO278" s="54"/>
      <c r="BP278" s="5"/>
      <c r="BQ278" s="5"/>
      <c r="BR278" s="24"/>
      <c r="BS278" s="25"/>
      <c r="BT278" s="25"/>
      <c r="BU278" s="25"/>
      <c r="BV278" s="25"/>
      <c r="BW278" s="25"/>
      <c r="BX278" s="25"/>
      <c r="BY278" s="25"/>
      <c r="BZ278" s="25"/>
      <c r="CA278" s="25"/>
      <c r="CB278" s="25"/>
      <c r="CC278" s="5"/>
      <c r="CD278" s="5"/>
      <c r="CE278" s="5"/>
      <c r="CF278" s="5"/>
      <c r="CG278" s="5"/>
      <c r="CH278" s="5"/>
      <c r="CI278" s="68"/>
      <c r="CJ278" s="5"/>
      <c r="CK278" s="5"/>
      <c r="CL278" s="102"/>
      <c r="CM278" s="5"/>
      <c r="CN278" s="5"/>
      <c r="CO278" s="5"/>
      <c r="CP278" s="25"/>
      <c r="CQ278" s="68"/>
      <c r="CR278" s="68"/>
      <c r="CS278" s="5"/>
      <c r="CT278" s="5"/>
      <c r="CU278" s="68"/>
      <c r="CV278" s="5"/>
      <c r="CW278" s="25"/>
      <c r="CX278" s="72"/>
      <c r="CY278" s="102"/>
      <c r="CZ278" s="5"/>
      <c r="DA278" s="47"/>
      <c r="DB278" s="46"/>
      <c r="DC278" s="5"/>
      <c r="DD278" s="5"/>
      <c r="DE278" s="5"/>
      <c r="DF278" s="5"/>
      <c r="DG278" s="5"/>
      <c r="DH278" s="203"/>
      <c r="DI278" s="203"/>
      <c r="DJ278" s="46"/>
      <c r="DK278" s="5"/>
      <c r="EB278" s="18"/>
      <c r="EC278" s="77"/>
      <c r="ED278" s="77"/>
      <c r="EE278" s="18"/>
      <c r="EF278" s="18"/>
      <c r="EG278" s="18"/>
      <c r="EH278" s="5"/>
      <c r="EI278" s="5"/>
      <c r="EJ278" s="5"/>
      <c r="EK278" s="5"/>
      <c r="EL278" s="5"/>
      <c r="FE278" s="26"/>
      <c r="FF278" s="26"/>
      <c r="FG278" s="26"/>
      <c r="FH278" s="26"/>
      <c r="FI278" s="26"/>
      <c r="FJ278" s="26"/>
      <c r="FK278" s="26"/>
      <c r="FL278" s="26"/>
      <c r="FM278" s="26"/>
      <c r="FN278" s="205"/>
      <c r="FO278" s="205"/>
      <c r="FP278" s="205"/>
      <c r="FQ278" s="205"/>
      <c r="FR278" s="205"/>
      <c r="FS278" s="205"/>
      <c r="FT278" s="205"/>
      <c r="FU278" s="77"/>
      <c r="FV278" s="77"/>
      <c r="FW278" s="77"/>
      <c r="FX278" s="205"/>
      <c r="FY278" s="205"/>
      <c r="FZ278" s="205"/>
      <c r="GA278" s="205"/>
      <c r="GB278" s="205"/>
      <c r="GC278" s="205"/>
      <c r="GD278" s="205"/>
      <c r="GE278" s="205"/>
      <c r="GF278" s="205"/>
      <c r="GG278" s="205"/>
      <c r="GH278" s="205"/>
      <c r="GI278" s="205"/>
      <c r="GJ278" s="205"/>
      <c r="GK278" s="205"/>
      <c r="GL278" s="205"/>
      <c r="GM278" s="205"/>
      <c r="GN278" s="205"/>
      <c r="GO278" s="205"/>
      <c r="GP278" s="205"/>
      <c r="GQ278" s="205"/>
      <c r="GR278" s="205"/>
      <c r="GS278" s="205"/>
      <c r="GT278" s="205"/>
      <c r="GU278" s="205"/>
      <c r="GV278" s="18"/>
      <c r="GW278" s="5"/>
      <c r="GX278" s="5"/>
      <c r="GY278" s="77"/>
      <c r="GZ278" s="18"/>
      <c r="HA278" s="18"/>
      <c r="HB278" s="18"/>
      <c r="HC278" s="18"/>
      <c r="HD278" s="18"/>
      <c r="HE278" s="18"/>
      <c r="HF278" s="18"/>
      <c r="HG278" s="18"/>
      <c r="HH278" s="205"/>
      <c r="HI278" s="26"/>
      <c r="HJ278" s="26"/>
      <c r="HK278" s="5"/>
    </row>
    <row r="279" spans="40:219">
      <c r="AN279" s="26"/>
      <c r="AO279" s="26"/>
      <c r="AP279" s="15"/>
      <c r="AQ279" s="5"/>
      <c r="AR279" s="26"/>
      <c r="AS279" s="26"/>
      <c r="AT279" s="26"/>
      <c r="AU279" s="26"/>
      <c r="AV279" s="95"/>
      <c r="AW279" s="95"/>
      <c r="AX279" s="95"/>
      <c r="AY279" s="54"/>
      <c r="AZ279" s="54"/>
      <c r="BA279" s="15"/>
      <c r="BB279" s="54"/>
      <c r="BC279" s="54"/>
      <c r="BD279" s="22"/>
      <c r="BE279" s="23"/>
      <c r="BL279" s="92"/>
      <c r="BN279" s="5"/>
      <c r="BO279" s="54"/>
      <c r="BP279" s="5"/>
      <c r="BQ279" s="5"/>
      <c r="BR279" s="24"/>
      <c r="BS279" s="25"/>
      <c r="BT279" s="25"/>
      <c r="BU279" s="25"/>
      <c r="BV279" s="25"/>
      <c r="BW279" s="25"/>
      <c r="BX279" s="25"/>
      <c r="BY279" s="25"/>
      <c r="BZ279" s="25"/>
      <c r="CA279" s="25"/>
      <c r="CB279" s="25"/>
      <c r="CC279" s="5"/>
      <c r="CD279" s="5"/>
      <c r="CE279" s="5"/>
      <c r="CF279" s="5"/>
      <c r="CG279" s="5"/>
      <c r="CH279" s="5"/>
      <c r="CI279" s="68"/>
      <c r="CJ279" s="5"/>
      <c r="CK279" s="5"/>
      <c r="CL279" s="102"/>
      <c r="CM279" s="5"/>
      <c r="CN279" s="5"/>
      <c r="CO279" s="5"/>
      <c r="CP279" s="25"/>
      <c r="CQ279" s="68"/>
      <c r="CR279" s="68"/>
      <c r="CS279" s="5"/>
      <c r="CT279" s="5"/>
      <c r="CU279" s="68"/>
      <c r="CV279" s="5"/>
      <c r="CW279" s="25"/>
      <c r="CX279" s="72"/>
      <c r="CY279" s="102"/>
      <c r="CZ279" s="5"/>
      <c r="DA279" s="47"/>
      <c r="DB279" s="46"/>
      <c r="DC279" s="5"/>
      <c r="DD279" s="5"/>
      <c r="DE279" s="5"/>
      <c r="DF279" s="5"/>
      <c r="DG279" s="5"/>
      <c r="DH279" s="203"/>
      <c r="DI279" s="203"/>
      <c r="DJ279" s="46"/>
      <c r="DK279" s="5"/>
      <c r="EB279" s="18"/>
      <c r="EC279" s="77"/>
      <c r="ED279" s="77"/>
      <c r="EE279" s="18"/>
      <c r="EF279" s="18"/>
      <c r="EG279" s="18"/>
      <c r="EH279" s="5"/>
      <c r="EI279" s="5"/>
      <c r="EJ279" s="5"/>
      <c r="EK279" s="5"/>
      <c r="EL279" s="5"/>
      <c r="FE279" s="26"/>
      <c r="FF279" s="26"/>
      <c r="FG279" s="26"/>
      <c r="FH279" s="26"/>
      <c r="FI279" s="26"/>
      <c r="FJ279" s="26"/>
      <c r="FK279" s="26"/>
      <c r="FL279" s="26"/>
      <c r="FM279" s="26"/>
      <c r="FN279" s="205"/>
      <c r="FO279" s="205"/>
      <c r="FP279" s="205"/>
      <c r="FQ279" s="205"/>
      <c r="FR279" s="205"/>
      <c r="FS279" s="205"/>
      <c r="FT279" s="205"/>
      <c r="FU279" s="77"/>
      <c r="FV279" s="77"/>
      <c r="FW279" s="77"/>
      <c r="FX279" s="205"/>
      <c r="FY279" s="205"/>
      <c r="FZ279" s="205"/>
      <c r="GA279" s="205"/>
      <c r="GB279" s="205"/>
      <c r="GC279" s="205"/>
      <c r="GD279" s="205"/>
      <c r="GE279" s="205"/>
      <c r="GF279" s="205"/>
      <c r="GG279" s="205"/>
      <c r="GH279" s="205"/>
      <c r="GI279" s="205"/>
      <c r="GJ279" s="205"/>
      <c r="GK279" s="205"/>
      <c r="GL279" s="205"/>
      <c r="GM279" s="205"/>
      <c r="GN279" s="205"/>
      <c r="GO279" s="205"/>
      <c r="GP279" s="205"/>
      <c r="GQ279" s="205"/>
      <c r="GR279" s="205"/>
      <c r="GS279" s="205"/>
      <c r="GT279" s="205"/>
      <c r="GU279" s="205"/>
      <c r="GV279" s="18"/>
      <c r="GW279" s="5"/>
      <c r="GX279" s="5"/>
      <c r="GY279" s="77"/>
      <c r="GZ279" s="18"/>
      <c r="HA279" s="18"/>
      <c r="HB279" s="18"/>
      <c r="HC279" s="18"/>
      <c r="HD279" s="18"/>
      <c r="HE279" s="18"/>
      <c r="HF279" s="18"/>
      <c r="HG279" s="18"/>
      <c r="HH279" s="205"/>
      <c r="HI279" s="26"/>
      <c r="HJ279" s="26"/>
      <c r="HK279" s="5"/>
    </row>
    <row r="280" spans="40:219">
      <c r="AN280" s="26"/>
      <c r="AO280" s="26"/>
      <c r="AP280" s="15"/>
      <c r="AQ280" s="5"/>
      <c r="AR280" s="26"/>
      <c r="AS280" s="26"/>
      <c r="AT280" s="26"/>
      <c r="AU280" s="26"/>
      <c r="AV280" s="95"/>
      <c r="AW280" s="95"/>
      <c r="AX280" s="95"/>
      <c r="AY280" s="54"/>
      <c r="AZ280" s="54"/>
      <c r="BA280" s="15"/>
      <c r="BB280" s="54"/>
      <c r="BC280" s="54"/>
      <c r="BD280" s="22"/>
      <c r="BE280" s="23"/>
      <c r="BL280" s="92"/>
      <c r="BN280" s="5"/>
      <c r="BO280" s="54"/>
      <c r="BP280" s="5"/>
      <c r="BQ280" s="5"/>
      <c r="BR280" s="24"/>
      <c r="BS280" s="25"/>
      <c r="BT280" s="25"/>
      <c r="BU280" s="25"/>
      <c r="BV280" s="25"/>
      <c r="BW280" s="25"/>
      <c r="BX280" s="25"/>
      <c r="BY280" s="25"/>
      <c r="BZ280" s="25"/>
      <c r="CA280" s="25"/>
      <c r="CB280" s="25"/>
      <c r="CC280" s="5"/>
      <c r="CD280" s="5"/>
      <c r="CE280" s="5"/>
      <c r="CF280" s="5"/>
      <c r="CG280" s="5"/>
      <c r="CH280" s="5"/>
      <c r="CI280" s="68"/>
      <c r="CJ280" s="5"/>
      <c r="CK280" s="5"/>
      <c r="CL280" s="102"/>
      <c r="CM280" s="5"/>
      <c r="CN280" s="5"/>
      <c r="CO280" s="5"/>
      <c r="CP280" s="25"/>
      <c r="CQ280" s="68"/>
      <c r="CR280" s="68"/>
      <c r="CS280" s="5"/>
      <c r="CT280" s="5"/>
      <c r="CU280" s="68"/>
      <c r="CV280" s="5"/>
      <c r="CW280" s="25"/>
      <c r="CX280" s="72"/>
      <c r="CY280" s="102"/>
      <c r="CZ280" s="5"/>
      <c r="DA280" s="47"/>
      <c r="DB280" s="46"/>
      <c r="DC280" s="5"/>
      <c r="DD280" s="5"/>
      <c r="DE280" s="5"/>
      <c r="DF280" s="5"/>
      <c r="DG280" s="5"/>
      <c r="DH280" s="203"/>
      <c r="DI280" s="203"/>
      <c r="DJ280" s="46"/>
      <c r="DK280" s="5"/>
      <c r="EB280" s="18"/>
      <c r="EC280" s="77"/>
      <c r="ED280" s="77"/>
      <c r="EE280" s="18"/>
      <c r="EF280" s="18"/>
      <c r="EG280" s="18"/>
      <c r="EH280" s="5"/>
      <c r="EI280" s="5"/>
      <c r="EJ280" s="5"/>
      <c r="EK280" s="5"/>
      <c r="EL280" s="5"/>
      <c r="FE280" s="26"/>
      <c r="FF280" s="26"/>
      <c r="FG280" s="26"/>
      <c r="FH280" s="26"/>
      <c r="FI280" s="26"/>
      <c r="FJ280" s="26"/>
      <c r="FK280" s="26"/>
      <c r="FL280" s="26"/>
      <c r="FM280" s="26"/>
      <c r="FN280" s="205"/>
      <c r="FO280" s="205"/>
      <c r="FP280" s="205"/>
      <c r="FQ280" s="205"/>
      <c r="FR280" s="205"/>
      <c r="FS280" s="205"/>
      <c r="FT280" s="205"/>
      <c r="FU280" s="77"/>
      <c r="FV280" s="77"/>
      <c r="FW280" s="77"/>
      <c r="FX280" s="205"/>
      <c r="FY280" s="205"/>
      <c r="FZ280" s="205"/>
      <c r="GA280" s="205"/>
      <c r="GB280" s="205"/>
      <c r="GC280" s="205"/>
      <c r="GD280" s="205"/>
      <c r="GE280" s="205"/>
      <c r="GF280" s="205"/>
      <c r="GG280" s="205"/>
      <c r="GH280" s="205"/>
      <c r="GI280" s="205"/>
      <c r="GJ280" s="205"/>
      <c r="GK280" s="205"/>
      <c r="GL280" s="205"/>
      <c r="GM280" s="205"/>
      <c r="GN280" s="205"/>
      <c r="GO280" s="205"/>
      <c r="GP280" s="205"/>
      <c r="GQ280" s="205"/>
      <c r="GR280" s="205"/>
      <c r="GS280" s="205"/>
      <c r="GT280" s="205"/>
      <c r="GU280" s="205"/>
      <c r="GV280" s="18"/>
      <c r="GW280" s="5"/>
      <c r="GX280" s="5"/>
      <c r="GY280" s="77"/>
      <c r="GZ280" s="18"/>
      <c r="HA280" s="18"/>
      <c r="HB280" s="18"/>
      <c r="HC280" s="18"/>
      <c r="HD280" s="18"/>
      <c r="HE280" s="18"/>
      <c r="HF280" s="18"/>
      <c r="HG280" s="18"/>
      <c r="HH280" s="205"/>
      <c r="HI280" s="26"/>
      <c r="HJ280" s="26"/>
      <c r="HK280" s="5"/>
    </row>
    <row r="281" spans="40:219">
      <c r="AN281" s="26"/>
      <c r="AO281" s="26"/>
      <c r="AP281" s="15"/>
      <c r="AQ281" s="5"/>
      <c r="AR281" s="26"/>
      <c r="AS281" s="26"/>
      <c r="AT281" s="26"/>
      <c r="AU281" s="26"/>
      <c r="AV281" s="95"/>
      <c r="AW281" s="95"/>
      <c r="AX281" s="95"/>
      <c r="AY281" s="54"/>
      <c r="AZ281" s="54"/>
      <c r="BA281" s="15"/>
      <c r="BB281" s="54"/>
      <c r="BC281" s="54"/>
      <c r="BD281" s="22"/>
      <c r="BE281" s="23"/>
      <c r="BL281" s="92"/>
      <c r="BN281" s="5"/>
      <c r="BO281" s="54"/>
      <c r="BP281" s="5"/>
      <c r="BQ281" s="5"/>
      <c r="BR281" s="24"/>
      <c r="BS281" s="25"/>
      <c r="BT281" s="25"/>
      <c r="BU281" s="25"/>
      <c r="BV281" s="25"/>
      <c r="BW281" s="25"/>
      <c r="BX281" s="25"/>
      <c r="BY281" s="25"/>
      <c r="BZ281" s="25"/>
      <c r="CA281" s="25"/>
      <c r="CB281" s="25"/>
      <c r="CC281" s="5"/>
      <c r="CD281" s="5"/>
      <c r="CE281" s="5"/>
      <c r="CF281" s="5"/>
      <c r="CG281" s="5"/>
      <c r="CH281" s="5"/>
      <c r="CI281" s="68"/>
      <c r="CJ281" s="5"/>
      <c r="CK281" s="5"/>
      <c r="CL281" s="102"/>
      <c r="CM281" s="5"/>
      <c r="CN281" s="5"/>
      <c r="CO281" s="5"/>
      <c r="CP281" s="25"/>
      <c r="CQ281" s="68"/>
      <c r="CR281" s="68"/>
      <c r="CS281" s="5"/>
      <c r="CT281" s="5"/>
      <c r="CU281" s="68"/>
      <c r="CV281" s="5"/>
      <c r="CW281" s="25"/>
      <c r="CX281" s="72"/>
      <c r="CY281" s="102"/>
      <c r="CZ281" s="5"/>
      <c r="DA281" s="47"/>
      <c r="DB281" s="46"/>
      <c r="DC281" s="5"/>
      <c r="DD281" s="5"/>
      <c r="DE281" s="5"/>
      <c r="DF281" s="5"/>
      <c r="DG281" s="5"/>
      <c r="DH281" s="203"/>
      <c r="DI281" s="203"/>
      <c r="DJ281" s="46"/>
      <c r="DK281" s="5"/>
      <c r="EB281" s="18"/>
      <c r="EC281" s="77"/>
      <c r="ED281" s="77"/>
      <c r="EE281" s="18"/>
      <c r="EF281" s="18"/>
      <c r="EG281" s="18"/>
      <c r="EH281" s="5"/>
      <c r="EI281" s="5"/>
      <c r="EJ281" s="5"/>
      <c r="EK281" s="5"/>
      <c r="EL281" s="5"/>
      <c r="FE281" s="26"/>
      <c r="FF281" s="26"/>
      <c r="FG281" s="26"/>
      <c r="FH281" s="26"/>
      <c r="FI281" s="26"/>
      <c r="FJ281" s="26"/>
      <c r="FK281" s="26"/>
      <c r="FL281" s="26"/>
      <c r="FM281" s="26"/>
      <c r="FN281" s="205"/>
      <c r="FO281" s="205"/>
      <c r="FP281" s="205"/>
      <c r="FQ281" s="205"/>
      <c r="FR281" s="205"/>
      <c r="FS281" s="205"/>
      <c r="FT281" s="205"/>
      <c r="FU281" s="77"/>
      <c r="FV281" s="77"/>
      <c r="FW281" s="77"/>
      <c r="FX281" s="205"/>
      <c r="FY281" s="205"/>
      <c r="FZ281" s="205"/>
      <c r="GA281" s="205"/>
      <c r="GB281" s="205"/>
      <c r="GC281" s="205"/>
      <c r="GD281" s="205"/>
      <c r="GE281" s="205"/>
      <c r="GF281" s="205"/>
      <c r="GG281" s="205"/>
      <c r="GH281" s="205"/>
      <c r="GI281" s="205"/>
      <c r="GJ281" s="205"/>
      <c r="GK281" s="205"/>
      <c r="GL281" s="205"/>
      <c r="GM281" s="205"/>
      <c r="GN281" s="205"/>
      <c r="GO281" s="205"/>
      <c r="GP281" s="205"/>
      <c r="GQ281" s="205"/>
      <c r="GR281" s="205"/>
      <c r="GS281" s="205"/>
      <c r="GT281" s="205"/>
      <c r="GU281" s="205"/>
      <c r="GV281" s="18"/>
      <c r="GW281" s="5"/>
      <c r="GX281" s="5"/>
      <c r="GY281" s="77"/>
      <c r="GZ281" s="18"/>
      <c r="HA281" s="18"/>
      <c r="HB281" s="18"/>
      <c r="HC281" s="18"/>
      <c r="HD281" s="18"/>
      <c r="HE281" s="18"/>
      <c r="HF281" s="18"/>
      <c r="HG281" s="18"/>
      <c r="HH281" s="205"/>
      <c r="HI281" s="26"/>
      <c r="HJ281" s="26"/>
      <c r="HK281" s="5"/>
    </row>
    <row r="282" spans="40:219">
      <c r="AN282" s="26"/>
      <c r="AO282" s="26"/>
      <c r="AP282" s="15"/>
      <c r="AQ282" s="5"/>
      <c r="AR282" s="26"/>
      <c r="AS282" s="26"/>
      <c r="AT282" s="26"/>
      <c r="AU282" s="26"/>
      <c r="AV282" s="95"/>
      <c r="AW282" s="95"/>
      <c r="AX282" s="95"/>
      <c r="AY282" s="54"/>
      <c r="AZ282" s="54"/>
      <c r="BA282" s="15"/>
      <c r="BB282" s="54"/>
      <c r="BC282" s="54"/>
      <c r="BD282" s="22"/>
      <c r="BE282" s="23"/>
      <c r="BL282" s="92"/>
      <c r="BN282" s="5"/>
      <c r="BO282" s="54"/>
      <c r="BP282" s="5"/>
      <c r="BQ282" s="5"/>
      <c r="BR282" s="24"/>
      <c r="BS282" s="25"/>
      <c r="BT282" s="25"/>
      <c r="BU282" s="25"/>
      <c r="BV282" s="25"/>
      <c r="BW282" s="25"/>
      <c r="BX282" s="25"/>
      <c r="BY282" s="25"/>
      <c r="BZ282" s="25"/>
      <c r="CA282" s="25"/>
      <c r="CB282" s="25"/>
      <c r="CC282" s="5"/>
      <c r="CD282" s="5"/>
      <c r="CE282" s="5"/>
      <c r="CF282" s="5"/>
      <c r="CG282" s="5"/>
      <c r="CH282" s="5"/>
      <c r="CI282" s="68"/>
      <c r="CJ282" s="5"/>
      <c r="CK282" s="5"/>
      <c r="CL282" s="102"/>
      <c r="CM282" s="5"/>
      <c r="CN282" s="5"/>
      <c r="CO282" s="5"/>
      <c r="CP282" s="25"/>
      <c r="CQ282" s="68"/>
      <c r="CR282" s="68"/>
      <c r="CS282" s="5"/>
      <c r="CT282" s="5"/>
      <c r="CU282" s="68"/>
      <c r="CV282" s="5"/>
      <c r="CW282" s="25"/>
      <c r="CX282" s="72"/>
      <c r="CY282" s="102"/>
      <c r="CZ282" s="5"/>
      <c r="DA282" s="47"/>
      <c r="DB282" s="46"/>
      <c r="DC282" s="5"/>
      <c r="DD282" s="5"/>
      <c r="DE282" s="5"/>
      <c r="DF282" s="5"/>
      <c r="DG282" s="5"/>
      <c r="DH282" s="203"/>
      <c r="DI282" s="203"/>
      <c r="DJ282" s="46"/>
      <c r="DK282" s="5"/>
      <c r="EB282" s="18"/>
      <c r="EC282" s="77"/>
      <c r="ED282" s="77"/>
      <c r="EE282" s="18"/>
      <c r="EF282" s="18"/>
      <c r="EG282" s="18"/>
      <c r="EH282" s="5"/>
      <c r="EI282" s="5"/>
      <c r="EJ282" s="5"/>
      <c r="EK282" s="5"/>
      <c r="EL282" s="5"/>
      <c r="FE282" s="26"/>
      <c r="FF282" s="26"/>
      <c r="FG282" s="26"/>
      <c r="FH282" s="26"/>
      <c r="FI282" s="26"/>
      <c r="FJ282" s="26"/>
      <c r="FK282" s="26"/>
      <c r="FL282" s="26"/>
      <c r="FM282" s="26"/>
      <c r="FN282" s="205"/>
      <c r="FO282" s="205"/>
      <c r="FP282" s="205"/>
      <c r="FQ282" s="205"/>
      <c r="FR282" s="205"/>
      <c r="FS282" s="205"/>
      <c r="FT282" s="205"/>
      <c r="FU282" s="77"/>
      <c r="FV282" s="77"/>
      <c r="FW282" s="77"/>
      <c r="FX282" s="205"/>
      <c r="FY282" s="205"/>
      <c r="FZ282" s="205"/>
      <c r="GA282" s="205"/>
      <c r="GB282" s="205"/>
      <c r="GC282" s="205"/>
      <c r="GD282" s="205"/>
      <c r="GE282" s="205"/>
      <c r="GF282" s="205"/>
      <c r="GG282" s="205"/>
      <c r="GH282" s="205"/>
      <c r="GI282" s="205"/>
      <c r="GJ282" s="205"/>
      <c r="GK282" s="205"/>
      <c r="GL282" s="205"/>
      <c r="GM282" s="205"/>
      <c r="GN282" s="205"/>
      <c r="GO282" s="205"/>
      <c r="GP282" s="205"/>
      <c r="GQ282" s="205"/>
      <c r="GR282" s="205"/>
      <c r="GS282" s="205"/>
      <c r="GT282" s="205"/>
      <c r="GU282" s="205"/>
      <c r="GV282" s="18"/>
      <c r="GW282" s="5"/>
      <c r="GX282" s="5"/>
      <c r="GY282" s="77"/>
      <c r="GZ282" s="18"/>
      <c r="HA282" s="18"/>
      <c r="HB282" s="18"/>
      <c r="HC282" s="18"/>
      <c r="HD282" s="18"/>
      <c r="HE282" s="18"/>
      <c r="HF282" s="18"/>
      <c r="HG282" s="18"/>
      <c r="HH282" s="205"/>
      <c r="HI282" s="26"/>
      <c r="HJ282" s="26"/>
      <c r="HK282" s="5"/>
    </row>
    <row r="283" spans="40:219">
      <c r="AN283" s="26"/>
      <c r="AO283" s="26"/>
      <c r="AP283" s="15"/>
      <c r="AQ283" s="5"/>
      <c r="AR283" s="26"/>
      <c r="AS283" s="26"/>
      <c r="AT283" s="26"/>
      <c r="AU283" s="26"/>
      <c r="AV283" s="95"/>
      <c r="AW283" s="95"/>
      <c r="AX283" s="95"/>
      <c r="AY283" s="54"/>
      <c r="AZ283" s="54"/>
      <c r="BA283" s="15"/>
      <c r="BB283" s="54"/>
      <c r="BC283" s="54"/>
      <c r="BD283" s="22"/>
      <c r="BE283" s="23"/>
      <c r="BL283" s="92"/>
      <c r="BN283" s="5"/>
      <c r="BO283" s="54"/>
      <c r="BP283" s="5"/>
      <c r="BQ283" s="5"/>
      <c r="BR283" s="24"/>
      <c r="BS283" s="25"/>
      <c r="BT283" s="25"/>
      <c r="BU283" s="25"/>
      <c r="BV283" s="25"/>
      <c r="BW283" s="25"/>
      <c r="BX283" s="25"/>
      <c r="BY283" s="25"/>
      <c r="BZ283" s="25"/>
      <c r="CA283" s="25"/>
      <c r="CB283" s="25"/>
      <c r="CC283" s="5"/>
      <c r="CD283" s="5"/>
      <c r="CE283" s="5"/>
      <c r="CF283" s="5"/>
      <c r="CG283" s="5"/>
      <c r="CH283" s="5"/>
      <c r="CI283" s="68"/>
      <c r="CJ283" s="5"/>
      <c r="CK283" s="5"/>
      <c r="CL283" s="102"/>
      <c r="CM283" s="5"/>
      <c r="CN283" s="5"/>
      <c r="CO283" s="5"/>
      <c r="CP283" s="25"/>
      <c r="CQ283" s="68"/>
      <c r="CR283" s="68"/>
      <c r="CS283" s="5"/>
      <c r="CT283" s="5"/>
      <c r="CU283" s="68"/>
      <c r="CV283" s="5"/>
      <c r="CW283" s="25"/>
      <c r="CX283" s="72"/>
      <c r="CY283" s="102"/>
      <c r="CZ283" s="5"/>
      <c r="DA283" s="47"/>
      <c r="DB283" s="46"/>
      <c r="DC283" s="5"/>
      <c r="DD283" s="5"/>
      <c r="DE283" s="5"/>
      <c r="DF283" s="5"/>
      <c r="DG283" s="5"/>
      <c r="DH283" s="203"/>
      <c r="DI283" s="203"/>
      <c r="DJ283" s="46"/>
      <c r="DK283" s="5"/>
      <c r="EB283" s="18"/>
      <c r="EC283" s="77"/>
      <c r="ED283" s="77"/>
      <c r="EE283" s="18"/>
      <c r="EF283" s="18"/>
      <c r="EG283" s="18"/>
      <c r="EH283" s="5"/>
      <c r="EI283" s="5"/>
      <c r="EJ283" s="5"/>
      <c r="EK283" s="5"/>
      <c r="EL283" s="5"/>
      <c r="FE283" s="26"/>
      <c r="FF283" s="26"/>
      <c r="FG283" s="26"/>
      <c r="FH283" s="26"/>
      <c r="FI283" s="26"/>
      <c r="FJ283" s="26"/>
      <c r="FK283" s="26"/>
      <c r="FL283" s="26"/>
      <c r="FM283" s="26"/>
      <c r="FN283" s="205"/>
      <c r="FO283" s="205"/>
      <c r="FP283" s="205"/>
      <c r="FQ283" s="205"/>
      <c r="FR283" s="205"/>
      <c r="FS283" s="205"/>
      <c r="FT283" s="205"/>
      <c r="FU283" s="77"/>
      <c r="FV283" s="77"/>
      <c r="FW283" s="77"/>
      <c r="FX283" s="205"/>
      <c r="FY283" s="205"/>
      <c r="FZ283" s="205"/>
      <c r="GA283" s="205"/>
      <c r="GB283" s="205"/>
      <c r="GC283" s="205"/>
      <c r="GD283" s="205"/>
      <c r="GE283" s="205"/>
      <c r="GF283" s="205"/>
      <c r="GG283" s="205"/>
      <c r="GH283" s="205"/>
      <c r="GI283" s="205"/>
      <c r="GJ283" s="205"/>
      <c r="GK283" s="205"/>
      <c r="GL283" s="205"/>
      <c r="GM283" s="205"/>
      <c r="GN283" s="205"/>
      <c r="GO283" s="205"/>
      <c r="GP283" s="205"/>
      <c r="GQ283" s="205"/>
      <c r="GR283" s="205"/>
      <c r="GS283" s="205"/>
      <c r="GT283" s="205"/>
      <c r="GU283" s="205"/>
      <c r="GV283" s="18"/>
      <c r="GW283" s="5"/>
      <c r="GX283" s="5"/>
      <c r="GY283" s="77"/>
      <c r="GZ283" s="18"/>
      <c r="HA283" s="18"/>
      <c r="HB283" s="18"/>
      <c r="HC283" s="18"/>
      <c r="HD283" s="18"/>
      <c r="HE283" s="18"/>
      <c r="HF283" s="18"/>
      <c r="HG283" s="18"/>
      <c r="HH283" s="205"/>
      <c r="HI283" s="26"/>
      <c r="HJ283" s="26"/>
      <c r="HK283" s="5"/>
    </row>
    <row r="284" spans="40:219">
      <c r="AN284" s="26"/>
      <c r="AO284" s="26"/>
      <c r="AP284" s="15"/>
      <c r="AQ284" s="5"/>
      <c r="AR284" s="26"/>
      <c r="AS284" s="26"/>
      <c r="AT284" s="26"/>
      <c r="AU284" s="26"/>
      <c r="AV284" s="95"/>
      <c r="AW284" s="95"/>
      <c r="AX284" s="95"/>
      <c r="AY284" s="54"/>
      <c r="AZ284" s="54"/>
      <c r="BA284" s="15"/>
      <c r="BB284" s="54"/>
      <c r="BC284" s="54"/>
      <c r="BD284" s="22"/>
      <c r="BE284" s="23"/>
      <c r="BL284" s="92"/>
      <c r="BN284" s="5"/>
      <c r="BO284" s="54"/>
      <c r="BP284" s="5"/>
      <c r="BQ284" s="5"/>
      <c r="BR284" s="24"/>
      <c r="BS284" s="25"/>
      <c r="BT284" s="25"/>
      <c r="BU284" s="25"/>
      <c r="BV284" s="25"/>
      <c r="BW284" s="25"/>
      <c r="BX284" s="25"/>
      <c r="BY284" s="25"/>
      <c r="BZ284" s="25"/>
      <c r="CA284" s="25"/>
      <c r="CB284" s="25"/>
      <c r="CC284" s="5"/>
      <c r="CD284" s="5"/>
      <c r="CE284" s="5"/>
      <c r="CF284" s="5"/>
      <c r="CG284" s="5"/>
      <c r="CH284" s="5"/>
      <c r="CI284" s="68"/>
      <c r="CJ284" s="5"/>
      <c r="CK284" s="5"/>
      <c r="CL284" s="102"/>
      <c r="CM284" s="5"/>
      <c r="CN284" s="5"/>
      <c r="CO284" s="5"/>
      <c r="CP284" s="25"/>
      <c r="CQ284" s="68"/>
      <c r="CR284" s="68"/>
      <c r="CS284" s="5"/>
      <c r="CT284" s="5"/>
      <c r="CU284" s="68"/>
      <c r="CV284" s="5"/>
      <c r="CW284" s="25"/>
      <c r="CX284" s="72"/>
      <c r="CY284" s="102"/>
      <c r="CZ284" s="5"/>
      <c r="DA284" s="47"/>
      <c r="DB284" s="46"/>
      <c r="DC284" s="5"/>
      <c r="DD284" s="5"/>
      <c r="DE284" s="5"/>
      <c r="DF284" s="5"/>
      <c r="DG284" s="5"/>
      <c r="DH284" s="203"/>
      <c r="DI284" s="203"/>
      <c r="DJ284" s="46"/>
      <c r="DK284" s="5"/>
      <c r="EB284" s="18"/>
      <c r="EC284" s="77"/>
      <c r="ED284" s="77"/>
      <c r="EE284" s="18"/>
      <c r="EF284" s="18"/>
      <c r="EG284" s="18"/>
      <c r="EH284" s="5"/>
      <c r="EI284" s="5"/>
      <c r="EJ284" s="5"/>
      <c r="EK284" s="5"/>
      <c r="EL284" s="5"/>
      <c r="FE284" s="26"/>
      <c r="FF284" s="26"/>
      <c r="FG284" s="26"/>
      <c r="FH284" s="26"/>
      <c r="FI284" s="26"/>
      <c r="FJ284" s="26"/>
      <c r="FK284" s="26"/>
      <c r="FL284" s="26"/>
      <c r="FM284" s="26"/>
      <c r="FN284" s="205"/>
      <c r="FO284" s="205"/>
      <c r="FP284" s="205"/>
      <c r="FQ284" s="205"/>
      <c r="FR284" s="205"/>
      <c r="FS284" s="205"/>
      <c r="FT284" s="205"/>
      <c r="FU284" s="77"/>
      <c r="FV284" s="77"/>
      <c r="FW284" s="77"/>
      <c r="FX284" s="205"/>
      <c r="FY284" s="205"/>
      <c r="FZ284" s="205"/>
      <c r="GA284" s="205"/>
      <c r="GB284" s="205"/>
      <c r="GC284" s="205"/>
      <c r="GD284" s="205"/>
      <c r="GE284" s="205"/>
      <c r="GF284" s="205"/>
      <c r="GG284" s="205"/>
      <c r="GH284" s="205"/>
      <c r="GI284" s="205"/>
      <c r="GJ284" s="205"/>
      <c r="GK284" s="205"/>
      <c r="GL284" s="205"/>
      <c r="GM284" s="205"/>
      <c r="GN284" s="205"/>
      <c r="GO284" s="205"/>
      <c r="GP284" s="205"/>
      <c r="GQ284" s="205"/>
      <c r="GR284" s="205"/>
      <c r="GS284" s="205"/>
      <c r="GT284" s="205"/>
      <c r="GU284" s="205"/>
      <c r="GV284" s="18"/>
      <c r="GW284" s="5"/>
      <c r="GX284" s="5"/>
      <c r="GY284" s="77"/>
      <c r="GZ284" s="18"/>
      <c r="HA284" s="18"/>
      <c r="HB284" s="18"/>
      <c r="HC284" s="18"/>
      <c r="HD284" s="18"/>
      <c r="HE284" s="18"/>
      <c r="HF284" s="18"/>
      <c r="HG284" s="18"/>
      <c r="HH284" s="205"/>
      <c r="HI284" s="26"/>
      <c r="HJ284" s="26"/>
      <c r="HK284" s="5"/>
    </row>
    <row r="285" spans="40:219">
      <c r="AN285" s="26"/>
      <c r="AO285" s="26"/>
      <c r="AP285" s="15"/>
      <c r="AQ285" s="5"/>
      <c r="AR285" s="26"/>
      <c r="AS285" s="26"/>
      <c r="AT285" s="26"/>
      <c r="AU285" s="26"/>
      <c r="AV285" s="95"/>
      <c r="AW285" s="95"/>
      <c r="AX285" s="95"/>
      <c r="AY285" s="54"/>
      <c r="AZ285" s="54"/>
      <c r="BA285" s="15"/>
      <c r="BB285" s="54"/>
      <c r="BC285" s="54"/>
      <c r="BD285" s="22"/>
      <c r="BE285" s="23"/>
      <c r="BL285" s="92"/>
      <c r="BN285" s="5"/>
      <c r="BO285" s="54"/>
      <c r="BP285" s="5"/>
      <c r="BQ285" s="5"/>
      <c r="BR285" s="24"/>
      <c r="BS285" s="25"/>
      <c r="BT285" s="25"/>
      <c r="BU285" s="25"/>
      <c r="BV285" s="25"/>
      <c r="BW285" s="25"/>
      <c r="BX285" s="25"/>
      <c r="BY285" s="25"/>
      <c r="BZ285" s="25"/>
      <c r="CA285" s="25"/>
      <c r="CB285" s="25"/>
      <c r="CC285" s="5"/>
      <c r="CD285" s="5"/>
      <c r="CE285" s="5"/>
      <c r="CF285" s="5"/>
      <c r="CG285" s="5"/>
      <c r="CH285" s="5"/>
      <c r="CI285" s="68"/>
      <c r="CJ285" s="5"/>
      <c r="CK285" s="5"/>
      <c r="CL285" s="102"/>
      <c r="CM285" s="5"/>
      <c r="CN285" s="5"/>
      <c r="CO285" s="5"/>
      <c r="CP285" s="25"/>
      <c r="CQ285" s="68"/>
      <c r="CR285" s="68"/>
      <c r="CS285" s="5"/>
      <c r="CT285" s="5"/>
      <c r="CU285" s="68"/>
      <c r="CV285" s="5"/>
      <c r="CW285" s="25"/>
      <c r="CX285" s="72"/>
      <c r="CY285" s="102"/>
      <c r="CZ285" s="5"/>
      <c r="DA285" s="47"/>
      <c r="DB285" s="46"/>
      <c r="DC285" s="5"/>
      <c r="DD285" s="5"/>
      <c r="DE285" s="5"/>
      <c r="DF285" s="5"/>
      <c r="DG285" s="5"/>
      <c r="DH285" s="203"/>
      <c r="DI285" s="203"/>
      <c r="DJ285" s="46"/>
      <c r="DK285" s="5"/>
      <c r="EB285" s="18"/>
      <c r="EC285" s="77"/>
      <c r="ED285" s="77"/>
      <c r="EE285" s="18"/>
      <c r="EF285" s="18"/>
      <c r="EG285" s="18"/>
      <c r="EH285" s="5"/>
      <c r="EI285" s="5"/>
      <c r="EJ285" s="5"/>
      <c r="EK285" s="5"/>
      <c r="EL285" s="5"/>
      <c r="FE285" s="26"/>
      <c r="FF285" s="26"/>
      <c r="FG285" s="26"/>
      <c r="FH285" s="26"/>
      <c r="FI285" s="26"/>
      <c r="FJ285" s="26"/>
      <c r="FK285" s="26"/>
      <c r="FL285" s="26"/>
      <c r="FM285" s="26"/>
      <c r="FN285" s="205"/>
      <c r="FO285" s="205"/>
      <c r="FP285" s="205"/>
      <c r="FQ285" s="205"/>
      <c r="FR285" s="205"/>
      <c r="FS285" s="205"/>
      <c r="FT285" s="205"/>
      <c r="FU285" s="77"/>
      <c r="FV285" s="77"/>
      <c r="FW285" s="77"/>
      <c r="FX285" s="205"/>
      <c r="FY285" s="205"/>
      <c r="FZ285" s="205"/>
      <c r="GA285" s="205"/>
      <c r="GB285" s="205"/>
      <c r="GC285" s="205"/>
      <c r="GD285" s="205"/>
      <c r="GE285" s="205"/>
      <c r="GF285" s="205"/>
      <c r="GG285" s="205"/>
      <c r="GH285" s="205"/>
      <c r="GI285" s="205"/>
      <c r="GJ285" s="205"/>
      <c r="GK285" s="205"/>
      <c r="GL285" s="205"/>
      <c r="GM285" s="205"/>
      <c r="GN285" s="205"/>
      <c r="GO285" s="205"/>
      <c r="GP285" s="205"/>
      <c r="GQ285" s="205"/>
      <c r="GR285" s="205"/>
      <c r="GS285" s="205"/>
      <c r="GT285" s="205"/>
      <c r="GU285" s="205"/>
      <c r="GV285" s="18"/>
      <c r="GW285" s="5"/>
      <c r="GX285" s="5"/>
      <c r="GY285" s="77"/>
      <c r="GZ285" s="18"/>
      <c r="HA285" s="18"/>
      <c r="HB285" s="18"/>
      <c r="HC285" s="18"/>
      <c r="HD285" s="18"/>
      <c r="HE285" s="18"/>
      <c r="HF285" s="18"/>
      <c r="HG285" s="18"/>
      <c r="HH285" s="205"/>
      <c r="HI285" s="26"/>
      <c r="HJ285" s="26"/>
      <c r="HK285" s="5"/>
    </row>
    <row r="286" spans="40:219">
      <c r="AN286" s="26"/>
      <c r="AO286" s="26"/>
      <c r="AP286" s="15"/>
      <c r="AQ286" s="5"/>
      <c r="AR286" s="26"/>
      <c r="AS286" s="26"/>
      <c r="AT286" s="26"/>
      <c r="AU286" s="26"/>
      <c r="AV286" s="95"/>
      <c r="AW286" s="95"/>
      <c r="AX286" s="95"/>
      <c r="AY286" s="54"/>
      <c r="AZ286" s="54"/>
      <c r="BA286" s="15"/>
      <c r="BB286" s="54"/>
      <c r="BC286" s="54"/>
      <c r="BD286" s="22"/>
      <c r="BE286" s="23"/>
      <c r="BL286" s="92"/>
      <c r="BN286" s="5"/>
      <c r="BO286" s="54"/>
      <c r="BP286" s="5"/>
      <c r="BQ286" s="5"/>
      <c r="BR286" s="24"/>
      <c r="BS286" s="25"/>
      <c r="BT286" s="25"/>
      <c r="BU286" s="25"/>
      <c r="BV286" s="25"/>
      <c r="BW286" s="25"/>
      <c r="BX286" s="25"/>
      <c r="BY286" s="25"/>
      <c r="BZ286" s="25"/>
      <c r="CA286" s="25"/>
      <c r="CB286" s="25"/>
      <c r="CC286" s="5"/>
      <c r="CD286" s="5"/>
      <c r="CE286" s="5"/>
      <c r="CF286" s="5"/>
      <c r="CG286" s="5"/>
      <c r="CH286" s="5"/>
      <c r="CI286" s="68"/>
      <c r="CJ286" s="5"/>
      <c r="CK286" s="5"/>
      <c r="CL286" s="102"/>
      <c r="CM286" s="5"/>
      <c r="CN286" s="5"/>
      <c r="CO286" s="5"/>
      <c r="CP286" s="25"/>
      <c r="CQ286" s="68"/>
      <c r="CR286" s="68"/>
      <c r="CS286" s="5"/>
      <c r="CT286" s="5"/>
      <c r="CU286" s="68"/>
      <c r="CV286" s="5"/>
      <c r="CW286" s="25"/>
      <c r="CX286" s="72"/>
      <c r="CY286" s="102"/>
      <c r="CZ286" s="5"/>
      <c r="DA286" s="47"/>
      <c r="DB286" s="46"/>
      <c r="DC286" s="5"/>
      <c r="DD286" s="5"/>
      <c r="DE286" s="5"/>
      <c r="DF286" s="5"/>
      <c r="DG286" s="5"/>
      <c r="DH286" s="203"/>
      <c r="DI286" s="203"/>
      <c r="DJ286" s="46"/>
      <c r="DK286" s="5"/>
      <c r="EB286" s="18"/>
      <c r="EC286" s="77"/>
      <c r="ED286" s="77"/>
      <c r="EE286" s="18"/>
      <c r="EF286" s="18"/>
      <c r="EG286" s="18"/>
      <c r="EH286" s="5"/>
      <c r="EI286" s="5"/>
      <c r="EJ286" s="5"/>
      <c r="EK286" s="5"/>
      <c r="EL286" s="5"/>
      <c r="FE286" s="26"/>
      <c r="FF286" s="26"/>
      <c r="FG286" s="26"/>
      <c r="FH286" s="26"/>
      <c r="FI286" s="26"/>
      <c r="FJ286" s="26"/>
      <c r="FK286" s="26"/>
      <c r="FL286" s="26"/>
      <c r="FM286" s="26"/>
      <c r="FN286" s="205"/>
      <c r="FO286" s="205"/>
      <c r="FP286" s="205"/>
      <c r="FQ286" s="205"/>
      <c r="FR286" s="205"/>
      <c r="FS286" s="205"/>
      <c r="FT286" s="205"/>
      <c r="FU286" s="77"/>
      <c r="FV286" s="77"/>
      <c r="FW286" s="77"/>
      <c r="FX286" s="205"/>
      <c r="FY286" s="205"/>
      <c r="FZ286" s="205"/>
      <c r="GA286" s="205"/>
      <c r="GB286" s="205"/>
      <c r="GC286" s="205"/>
      <c r="GD286" s="205"/>
      <c r="GE286" s="205"/>
      <c r="GF286" s="205"/>
      <c r="GG286" s="205"/>
      <c r="GH286" s="205"/>
      <c r="GI286" s="205"/>
      <c r="GJ286" s="205"/>
      <c r="GK286" s="205"/>
      <c r="GL286" s="205"/>
      <c r="GM286" s="205"/>
      <c r="GN286" s="205"/>
      <c r="GO286" s="205"/>
      <c r="GP286" s="205"/>
      <c r="GQ286" s="205"/>
      <c r="GR286" s="205"/>
      <c r="GS286" s="205"/>
      <c r="GT286" s="205"/>
      <c r="GU286" s="205"/>
      <c r="GV286" s="18"/>
      <c r="GW286" s="5"/>
      <c r="GX286" s="5"/>
      <c r="GY286" s="77"/>
      <c r="GZ286" s="18"/>
      <c r="HA286" s="18"/>
      <c r="HB286" s="18"/>
      <c r="HC286" s="18"/>
      <c r="HD286" s="18"/>
      <c r="HE286" s="18"/>
      <c r="HF286" s="18"/>
      <c r="HG286" s="18"/>
      <c r="HH286" s="205"/>
      <c r="HI286" s="26"/>
      <c r="HJ286" s="26"/>
      <c r="HK286" s="5"/>
    </row>
    <row r="287" spans="40:219">
      <c r="AN287" s="26"/>
      <c r="AO287" s="26"/>
      <c r="AP287" s="15"/>
      <c r="AQ287" s="5"/>
      <c r="AR287" s="26"/>
      <c r="AS287" s="26"/>
      <c r="AT287" s="26"/>
      <c r="AU287" s="26"/>
      <c r="AV287" s="95"/>
      <c r="AW287" s="95"/>
      <c r="AX287" s="95"/>
      <c r="AY287" s="54"/>
      <c r="AZ287" s="54"/>
      <c r="BA287" s="15"/>
      <c r="BB287" s="54"/>
      <c r="BC287" s="54"/>
      <c r="BD287" s="22"/>
      <c r="BE287" s="23"/>
      <c r="BL287" s="92"/>
      <c r="BN287" s="5"/>
      <c r="BO287" s="54"/>
      <c r="BP287" s="5"/>
      <c r="BQ287" s="5"/>
      <c r="BR287" s="24"/>
      <c r="BS287" s="25"/>
      <c r="BT287" s="25"/>
      <c r="BU287" s="25"/>
      <c r="BV287" s="25"/>
      <c r="BW287" s="25"/>
      <c r="BX287" s="25"/>
      <c r="BY287" s="25"/>
      <c r="BZ287" s="25"/>
      <c r="CA287" s="25"/>
      <c r="CB287" s="25"/>
      <c r="CC287" s="5"/>
      <c r="CD287" s="5"/>
      <c r="CE287" s="5"/>
      <c r="CF287" s="5"/>
      <c r="CG287" s="5"/>
      <c r="CH287" s="5"/>
      <c r="CI287" s="68"/>
      <c r="CJ287" s="5"/>
      <c r="CK287" s="5"/>
      <c r="CL287" s="102"/>
      <c r="CM287" s="5"/>
      <c r="CN287" s="5"/>
      <c r="CO287" s="5"/>
      <c r="CP287" s="25"/>
      <c r="CQ287" s="68"/>
      <c r="CR287" s="68"/>
      <c r="CS287" s="5"/>
      <c r="CT287" s="5"/>
      <c r="CU287" s="68"/>
      <c r="CV287" s="5"/>
      <c r="CW287" s="25"/>
      <c r="CX287" s="72"/>
      <c r="CY287" s="102"/>
      <c r="CZ287" s="5"/>
      <c r="DA287" s="47"/>
      <c r="DB287" s="46"/>
      <c r="DC287" s="5"/>
      <c r="DD287" s="5"/>
      <c r="DE287" s="5"/>
      <c r="DF287" s="5"/>
      <c r="DG287" s="5"/>
      <c r="DH287" s="203"/>
      <c r="DI287" s="203"/>
      <c r="DJ287" s="46"/>
      <c r="DK287" s="5"/>
      <c r="EB287" s="18"/>
      <c r="EC287" s="77"/>
      <c r="ED287" s="77"/>
      <c r="EE287" s="18"/>
      <c r="EF287" s="18"/>
      <c r="EG287" s="18"/>
      <c r="EH287" s="5"/>
      <c r="EI287" s="5"/>
      <c r="EJ287" s="5"/>
      <c r="EK287" s="5"/>
      <c r="EL287" s="5"/>
      <c r="FE287" s="26"/>
      <c r="FF287" s="26"/>
      <c r="FG287" s="26"/>
      <c r="FH287" s="26"/>
      <c r="FI287" s="26"/>
      <c r="FJ287" s="26"/>
      <c r="FK287" s="26"/>
      <c r="FL287" s="26"/>
      <c r="FM287" s="26"/>
      <c r="FN287" s="205"/>
      <c r="FO287" s="205"/>
      <c r="FP287" s="205"/>
      <c r="FQ287" s="205"/>
      <c r="FR287" s="205"/>
      <c r="FS287" s="205"/>
      <c r="FT287" s="205"/>
      <c r="FU287" s="77"/>
      <c r="FV287" s="77"/>
      <c r="FW287" s="77"/>
      <c r="FX287" s="205"/>
      <c r="FY287" s="205"/>
      <c r="FZ287" s="205"/>
      <c r="GA287" s="205"/>
      <c r="GB287" s="205"/>
      <c r="GC287" s="205"/>
      <c r="GD287" s="205"/>
      <c r="GE287" s="205"/>
      <c r="GF287" s="205"/>
      <c r="GG287" s="205"/>
      <c r="GH287" s="205"/>
      <c r="GI287" s="205"/>
      <c r="GJ287" s="205"/>
      <c r="GK287" s="205"/>
      <c r="GL287" s="205"/>
      <c r="GM287" s="205"/>
      <c r="GN287" s="205"/>
      <c r="GO287" s="205"/>
      <c r="GP287" s="205"/>
      <c r="GQ287" s="205"/>
      <c r="GR287" s="205"/>
      <c r="GS287" s="205"/>
      <c r="GT287" s="205"/>
      <c r="GU287" s="205"/>
      <c r="GV287" s="18"/>
      <c r="GW287" s="5"/>
      <c r="GX287" s="5"/>
      <c r="GY287" s="77"/>
      <c r="GZ287" s="18"/>
      <c r="HA287" s="18"/>
      <c r="HB287" s="18"/>
      <c r="HC287" s="18"/>
      <c r="HD287" s="18"/>
      <c r="HE287" s="18"/>
      <c r="HF287" s="18"/>
      <c r="HG287" s="18"/>
      <c r="HH287" s="205"/>
      <c r="HI287" s="26"/>
      <c r="HJ287" s="26"/>
      <c r="HK287" s="5"/>
    </row>
    <row r="288" spans="40:219">
      <c r="AN288" s="26"/>
      <c r="AO288" s="26"/>
      <c r="AP288" s="15"/>
      <c r="AQ288" s="5"/>
      <c r="AR288" s="26"/>
      <c r="AS288" s="26"/>
      <c r="AT288" s="26"/>
      <c r="AU288" s="26"/>
      <c r="AV288" s="95"/>
      <c r="AW288" s="95"/>
      <c r="AX288" s="95"/>
      <c r="AY288" s="54"/>
      <c r="AZ288" s="54"/>
      <c r="BA288" s="15"/>
      <c r="BB288" s="54"/>
      <c r="BC288" s="54"/>
      <c r="BD288" s="22"/>
      <c r="BE288" s="23"/>
      <c r="BL288" s="92"/>
      <c r="BN288" s="5"/>
      <c r="BO288" s="54"/>
      <c r="BP288" s="5"/>
      <c r="BQ288" s="5"/>
      <c r="BR288" s="24"/>
      <c r="BS288" s="25"/>
      <c r="BT288" s="25"/>
      <c r="BU288" s="25"/>
      <c r="BV288" s="25"/>
      <c r="BW288" s="25"/>
      <c r="BX288" s="25"/>
      <c r="BY288" s="25"/>
      <c r="BZ288" s="25"/>
      <c r="CA288" s="25"/>
      <c r="CB288" s="25"/>
      <c r="CC288" s="5"/>
      <c r="CD288" s="5"/>
      <c r="CE288" s="5"/>
      <c r="CF288" s="5"/>
      <c r="CG288" s="5"/>
      <c r="CH288" s="5"/>
      <c r="CI288" s="68"/>
      <c r="CJ288" s="5"/>
      <c r="CK288" s="5"/>
      <c r="CL288" s="102"/>
      <c r="CM288" s="5"/>
      <c r="CN288" s="5"/>
      <c r="CO288" s="5"/>
      <c r="CP288" s="25"/>
      <c r="CQ288" s="68"/>
      <c r="CR288" s="68"/>
      <c r="CS288" s="5"/>
      <c r="CT288" s="5"/>
      <c r="CU288" s="68"/>
      <c r="CV288" s="5"/>
      <c r="CW288" s="25"/>
      <c r="CX288" s="72"/>
      <c r="CY288" s="102"/>
      <c r="CZ288" s="5"/>
      <c r="DA288" s="47"/>
      <c r="DB288" s="46"/>
      <c r="DC288" s="5"/>
      <c r="DD288" s="5"/>
      <c r="DE288" s="5"/>
      <c r="DF288" s="5"/>
      <c r="DG288" s="5"/>
      <c r="DH288" s="203"/>
      <c r="DI288" s="203"/>
      <c r="DJ288" s="46"/>
      <c r="DK288" s="5"/>
      <c r="EB288" s="18"/>
      <c r="EC288" s="77"/>
      <c r="ED288" s="77"/>
      <c r="EE288" s="18"/>
      <c r="EF288" s="18"/>
      <c r="EG288" s="18"/>
      <c r="EH288" s="5"/>
      <c r="EI288" s="5"/>
      <c r="EJ288" s="5"/>
      <c r="EK288" s="5"/>
      <c r="EL288" s="5"/>
      <c r="FE288" s="26"/>
      <c r="FF288" s="26"/>
      <c r="FG288" s="26"/>
      <c r="FH288" s="26"/>
      <c r="FI288" s="26"/>
      <c r="FJ288" s="26"/>
      <c r="FK288" s="26"/>
      <c r="FL288" s="26"/>
      <c r="FM288" s="26"/>
      <c r="FN288" s="205"/>
      <c r="FO288" s="205"/>
      <c r="FP288" s="205"/>
      <c r="FQ288" s="205"/>
      <c r="FR288" s="205"/>
      <c r="FS288" s="205"/>
      <c r="FT288" s="205"/>
      <c r="FU288" s="77"/>
      <c r="FV288" s="77"/>
      <c r="FW288" s="77"/>
      <c r="FX288" s="205"/>
      <c r="FY288" s="205"/>
      <c r="FZ288" s="205"/>
      <c r="GA288" s="205"/>
      <c r="GB288" s="205"/>
      <c r="GC288" s="205"/>
      <c r="GD288" s="205"/>
      <c r="GE288" s="205"/>
      <c r="GF288" s="205"/>
      <c r="GG288" s="205"/>
      <c r="GH288" s="205"/>
      <c r="GI288" s="205"/>
      <c r="GJ288" s="205"/>
      <c r="GK288" s="205"/>
      <c r="GL288" s="205"/>
      <c r="GM288" s="205"/>
      <c r="GN288" s="205"/>
      <c r="GO288" s="205"/>
      <c r="GP288" s="205"/>
      <c r="GQ288" s="205"/>
      <c r="GR288" s="205"/>
      <c r="GS288" s="205"/>
      <c r="GT288" s="205"/>
      <c r="GU288" s="205"/>
      <c r="GV288" s="18"/>
      <c r="GW288" s="5"/>
      <c r="GX288" s="5"/>
      <c r="GY288" s="77"/>
      <c r="GZ288" s="18"/>
      <c r="HA288" s="18"/>
      <c r="HB288" s="18"/>
      <c r="HC288" s="18"/>
      <c r="HD288" s="18"/>
      <c r="HE288" s="18"/>
      <c r="HF288" s="18"/>
      <c r="HG288" s="18"/>
      <c r="HH288" s="205"/>
      <c r="HI288" s="26"/>
      <c r="HJ288" s="26"/>
      <c r="HK288" s="5"/>
    </row>
    <row r="289" spans="40:219">
      <c r="AN289" s="26"/>
      <c r="AO289" s="26"/>
      <c r="AP289" s="15"/>
      <c r="AQ289" s="5"/>
      <c r="AR289" s="26"/>
      <c r="AS289" s="26"/>
      <c r="AT289" s="26"/>
      <c r="AU289" s="26"/>
      <c r="AV289" s="95"/>
      <c r="AW289" s="95"/>
      <c r="AX289" s="95"/>
      <c r="AY289" s="54"/>
      <c r="AZ289" s="54"/>
      <c r="BA289" s="15"/>
      <c r="BB289" s="54"/>
      <c r="BC289" s="54"/>
      <c r="BD289" s="22"/>
      <c r="BE289" s="23"/>
      <c r="BL289" s="92"/>
      <c r="BN289" s="5"/>
      <c r="BO289" s="54"/>
      <c r="BP289" s="5"/>
      <c r="BQ289" s="5"/>
      <c r="BR289" s="24"/>
      <c r="BS289" s="25"/>
      <c r="BT289" s="25"/>
      <c r="BU289" s="25"/>
      <c r="BV289" s="25"/>
      <c r="BW289" s="25"/>
      <c r="BX289" s="25"/>
      <c r="BY289" s="25"/>
      <c r="BZ289" s="25"/>
      <c r="CA289" s="25"/>
      <c r="CB289" s="25"/>
      <c r="CC289" s="5"/>
      <c r="CD289" s="5"/>
      <c r="CE289" s="5"/>
      <c r="CF289" s="5"/>
      <c r="CG289" s="5"/>
      <c r="CH289" s="5"/>
      <c r="CI289" s="68"/>
      <c r="CJ289" s="5"/>
      <c r="CK289" s="5"/>
      <c r="CL289" s="102"/>
      <c r="CM289" s="5"/>
      <c r="CN289" s="5"/>
      <c r="CO289" s="5"/>
      <c r="CP289" s="25"/>
      <c r="CQ289" s="68"/>
      <c r="CR289" s="68"/>
      <c r="CS289" s="5"/>
      <c r="CT289" s="5"/>
      <c r="CU289" s="68"/>
      <c r="CV289" s="5"/>
      <c r="CW289" s="25"/>
      <c r="CX289" s="72"/>
      <c r="CY289" s="102"/>
      <c r="CZ289" s="5"/>
      <c r="DA289" s="47"/>
      <c r="DB289" s="46"/>
      <c r="DC289" s="5"/>
      <c r="DD289" s="5"/>
      <c r="DE289" s="5"/>
      <c r="DF289" s="5"/>
      <c r="DG289" s="5"/>
      <c r="DH289" s="203"/>
      <c r="DI289" s="203"/>
      <c r="DJ289" s="46"/>
      <c r="DK289" s="5"/>
      <c r="EB289" s="18"/>
      <c r="EC289" s="77"/>
      <c r="ED289" s="77"/>
      <c r="EE289" s="18"/>
      <c r="EF289" s="18"/>
      <c r="EG289" s="18"/>
      <c r="EH289" s="5"/>
      <c r="EI289" s="5"/>
      <c r="EJ289" s="5"/>
      <c r="EK289" s="5"/>
      <c r="EL289" s="5"/>
      <c r="FE289" s="26"/>
      <c r="FF289" s="26"/>
      <c r="FG289" s="26"/>
      <c r="FH289" s="26"/>
      <c r="FI289" s="26"/>
      <c r="FJ289" s="26"/>
      <c r="FK289" s="26"/>
      <c r="FL289" s="26"/>
      <c r="FM289" s="26"/>
      <c r="FN289" s="205"/>
      <c r="FO289" s="205"/>
      <c r="FP289" s="205"/>
      <c r="FQ289" s="205"/>
      <c r="FR289" s="205"/>
      <c r="FS289" s="205"/>
      <c r="FT289" s="205"/>
      <c r="FU289" s="77"/>
      <c r="FV289" s="77"/>
      <c r="FW289" s="77"/>
      <c r="FX289" s="205"/>
      <c r="FY289" s="205"/>
      <c r="FZ289" s="205"/>
      <c r="GA289" s="205"/>
      <c r="GB289" s="205"/>
      <c r="GC289" s="205"/>
      <c r="GD289" s="205"/>
      <c r="GE289" s="205"/>
      <c r="GF289" s="205"/>
      <c r="GG289" s="205"/>
      <c r="GH289" s="205"/>
      <c r="GI289" s="205"/>
      <c r="GJ289" s="205"/>
      <c r="GK289" s="205"/>
      <c r="GL289" s="205"/>
      <c r="GM289" s="205"/>
      <c r="GN289" s="205"/>
      <c r="GO289" s="205"/>
      <c r="GP289" s="205"/>
      <c r="GQ289" s="205"/>
      <c r="GR289" s="205"/>
      <c r="GS289" s="205"/>
      <c r="GT289" s="205"/>
      <c r="GU289" s="205"/>
      <c r="GV289" s="18"/>
      <c r="GW289" s="5"/>
      <c r="GX289" s="5"/>
      <c r="GY289" s="77"/>
      <c r="GZ289" s="18"/>
      <c r="HA289" s="18"/>
      <c r="HB289" s="18"/>
      <c r="HC289" s="18"/>
      <c r="HD289" s="18"/>
      <c r="HE289" s="18"/>
      <c r="HF289" s="18"/>
      <c r="HG289" s="18"/>
      <c r="HH289" s="205"/>
      <c r="HI289" s="26"/>
      <c r="HJ289" s="26"/>
      <c r="HK289" s="5"/>
    </row>
    <row r="290" spans="40:219">
      <c r="AN290" s="26"/>
      <c r="AO290" s="26"/>
      <c r="AP290" s="15"/>
      <c r="AQ290" s="5"/>
      <c r="AR290" s="26"/>
      <c r="AS290" s="26"/>
      <c r="AT290" s="26"/>
      <c r="AU290" s="26"/>
      <c r="AV290" s="95"/>
      <c r="AW290" s="95"/>
      <c r="AX290" s="95"/>
      <c r="AY290" s="54"/>
      <c r="AZ290" s="54"/>
      <c r="BA290" s="15"/>
      <c r="BB290" s="54"/>
      <c r="BC290" s="54"/>
      <c r="BD290" s="22"/>
      <c r="BE290" s="23"/>
      <c r="BL290" s="92"/>
      <c r="BN290" s="5"/>
      <c r="BO290" s="54"/>
      <c r="BP290" s="5"/>
      <c r="BQ290" s="5"/>
      <c r="BR290" s="24"/>
      <c r="BS290" s="25"/>
      <c r="BT290" s="25"/>
      <c r="BU290" s="25"/>
      <c r="BV290" s="25"/>
      <c r="BW290" s="25"/>
      <c r="BX290" s="25"/>
      <c r="BY290" s="25"/>
      <c r="BZ290" s="25"/>
      <c r="CA290" s="25"/>
      <c r="CB290" s="25"/>
      <c r="CC290" s="5"/>
      <c r="CD290" s="5"/>
      <c r="CE290" s="5"/>
      <c r="CF290" s="5"/>
      <c r="CG290" s="5"/>
      <c r="CH290" s="5"/>
      <c r="CI290" s="68"/>
      <c r="CJ290" s="5"/>
      <c r="CK290" s="5"/>
      <c r="CL290" s="102"/>
      <c r="CM290" s="5"/>
      <c r="CN290" s="5"/>
      <c r="CO290" s="5"/>
      <c r="CP290" s="25"/>
      <c r="CQ290" s="68"/>
      <c r="CR290" s="68"/>
      <c r="CS290" s="5"/>
      <c r="CT290" s="5"/>
      <c r="CU290" s="68"/>
      <c r="CV290" s="5"/>
      <c r="CW290" s="25"/>
      <c r="CX290" s="72"/>
      <c r="CY290" s="102"/>
      <c r="CZ290" s="5"/>
      <c r="DA290" s="47"/>
      <c r="DB290" s="46"/>
      <c r="DC290" s="5"/>
      <c r="DD290" s="5"/>
      <c r="DE290" s="5"/>
      <c r="DF290" s="5"/>
      <c r="DG290" s="5"/>
      <c r="DH290" s="203"/>
      <c r="DI290" s="203"/>
      <c r="DJ290" s="46"/>
      <c r="DK290" s="5"/>
      <c r="EB290" s="18"/>
      <c r="EC290" s="77"/>
      <c r="ED290" s="77"/>
      <c r="EE290" s="18"/>
      <c r="EF290" s="18"/>
      <c r="EG290" s="18"/>
      <c r="EH290" s="5"/>
      <c r="EI290" s="5"/>
      <c r="EJ290" s="5"/>
      <c r="EK290" s="5"/>
      <c r="EL290" s="5"/>
      <c r="FE290" s="26"/>
      <c r="FF290" s="26"/>
      <c r="FG290" s="26"/>
      <c r="FH290" s="26"/>
      <c r="FI290" s="26"/>
      <c r="FJ290" s="26"/>
      <c r="FK290" s="26"/>
      <c r="FL290" s="26"/>
      <c r="FM290" s="26"/>
      <c r="FN290" s="205"/>
      <c r="FO290" s="205"/>
      <c r="FP290" s="205"/>
      <c r="FQ290" s="205"/>
      <c r="FR290" s="205"/>
      <c r="FS290" s="205"/>
      <c r="FT290" s="205"/>
      <c r="FU290" s="77"/>
      <c r="FV290" s="77"/>
      <c r="FW290" s="77"/>
      <c r="FX290" s="205"/>
      <c r="FY290" s="205"/>
      <c r="FZ290" s="205"/>
      <c r="GA290" s="205"/>
      <c r="GB290" s="205"/>
      <c r="GC290" s="205"/>
      <c r="GD290" s="205"/>
      <c r="GE290" s="205"/>
      <c r="GF290" s="205"/>
      <c r="GG290" s="205"/>
      <c r="GH290" s="205"/>
      <c r="GI290" s="205"/>
      <c r="GJ290" s="205"/>
      <c r="GK290" s="205"/>
      <c r="GL290" s="205"/>
      <c r="GM290" s="205"/>
      <c r="GN290" s="205"/>
      <c r="GO290" s="205"/>
      <c r="GP290" s="205"/>
      <c r="GQ290" s="205"/>
      <c r="GR290" s="205"/>
      <c r="GS290" s="205"/>
      <c r="GT290" s="205"/>
      <c r="GU290" s="205"/>
      <c r="GV290" s="18"/>
      <c r="GW290" s="5"/>
      <c r="GX290" s="5"/>
      <c r="GY290" s="77"/>
      <c r="GZ290" s="18"/>
      <c r="HA290" s="18"/>
      <c r="HB290" s="18"/>
      <c r="HC290" s="18"/>
      <c r="HD290" s="18"/>
      <c r="HE290" s="18"/>
      <c r="HF290" s="18"/>
      <c r="HG290" s="18"/>
      <c r="HH290" s="205"/>
      <c r="HI290" s="26"/>
      <c r="HJ290" s="26"/>
      <c r="HK290" s="5"/>
    </row>
    <row r="291" spans="40:219">
      <c r="AN291" s="26"/>
      <c r="AO291" s="26"/>
      <c r="AP291" s="15"/>
      <c r="AQ291" s="5"/>
      <c r="AR291" s="26"/>
      <c r="AS291" s="26"/>
      <c r="AT291" s="26"/>
      <c r="AU291" s="26"/>
      <c r="AV291" s="95"/>
      <c r="AW291" s="95"/>
      <c r="AX291" s="95"/>
      <c r="AY291" s="54"/>
      <c r="AZ291" s="54"/>
      <c r="BA291" s="15"/>
      <c r="BB291" s="54"/>
      <c r="BC291" s="54"/>
      <c r="BD291" s="22"/>
      <c r="BE291" s="23"/>
      <c r="BL291" s="92"/>
      <c r="BN291" s="5"/>
      <c r="BO291" s="54"/>
      <c r="BP291" s="5"/>
      <c r="BQ291" s="5"/>
      <c r="BR291" s="24"/>
      <c r="BS291" s="25"/>
      <c r="BT291" s="25"/>
      <c r="BU291" s="25"/>
      <c r="BV291" s="25"/>
      <c r="BW291" s="25"/>
      <c r="BX291" s="25"/>
      <c r="BY291" s="25"/>
      <c r="BZ291" s="25"/>
      <c r="CA291" s="25"/>
      <c r="CB291" s="25"/>
      <c r="CC291" s="5"/>
      <c r="CD291" s="5"/>
      <c r="CE291" s="5"/>
      <c r="CF291" s="5"/>
      <c r="CG291" s="5"/>
      <c r="CH291" s="5"/>
      <c r="CI291" s="68"/>
      <c r="CJ291" s="5"/>
      <c r="CK291" s="5"/>
      <c r="CL291" s="102"/>
      <c r="CM291" s="5"/>
      <c r="CN291" s="5"/>
      <c r="CO291" s="5"/>
      <c r="CP291" s="25"/>
      <c r="CQ291" s="68"/>
      <c r="CR291" s="68"/>
      <c r="CS291" s="5"/>
      <c r="CT291" s="5"/>
      <c r="CU291" s="68"/>
      <c r="CV291" s="5"/>
      <c r="CW291" s="25"/>
      <c r="CX291" s="72"/>
      <c r="CY291" s="102"/>
      <c r="CZ291" s="5"/>
      <c r="DA291" s="47"/>
      <c r="DB291" s="46"/>
      <c r="DC291" s="5"/>
      <c r="DD291" s="5"/>
      <c r="DE291" s="5"/>
      <c r="DF291" s="5"/>
      <c r="DG291" s="5"/>
      <c r="DH291" s="203"/>
      <c r="DI291" s="203"/>
      <c r="DJ291" s="46"/>
      <c r="DK291" s="5"/>
      <c r="EB291" s="18"/>
      <c r="EC291" s="77"/>
      <c r="ED291" s="77"/>
      <c r="EE291" s="18"/>
      <c r="EF291" s="18"/>
      <c r="EG291" s="18"/>
      <c r="EH291" s="5"/>
      <c r="EI291" s="5"/>
      <c r="EJ291" s="5"/>
      <c r="EK291" s="5"/>
      <c r="EL291" s="5"/>
      <c r="FE291" s="26"/>
      <c r="FF291" s="26"/>
      <c r="FG291" s="26"/>
      <c r="FH291" s="26"/>
      <c r="FI291" s="26"/>
      <c r="FJ291" s="26"/>
      <c r="FK291" s="26"/>
      <c r="FL291" s="26"/>
      <c r="FM291" s="26"/>
      <c r="FN291" s="205"/>
      <c r="FO291" s="205"/>
      <c r="FP291" s="205"/>
      <c r="FQ291" s="205"/>
      <c r="FR291" s="205"/>
      <c r="FS291" s="205"/>
      <c r="FT291" s="205"/>
      <c r="FU291" s="77"/>
      <c r="FV291" s="77"/>
      <c r="FW291" s="77"/>
      <c r="FX291" s="205"/>
      <c r="FY291" s="205"/>
      <c r="FZ291" s="205"/>
      <c r="GA291" s="205"/>
      <c r="GB291" s="205"/>
      <c r="GC291" s="205"/>
      <c r="GD291" s="205"/>
      <c r="GE291" s="205"/>
      <c r="GF291" s="205"/>
      <c r="GG291" s="205"/>
      <c r="GH291" s="205"/>
      <c r="GI291" s="205"/>
      <c r="GJ291" s="205"/>
      <c r="GK291" s="205"/>
      <c r="GL291" s="205"/>
      <c r="GM291" s="205"/>
      <c r="GN291" s="205"/>
      <c r="GO291" s="205"/>
      <c r="GP291" s="205"/>
      <c r="GQ291" s="205"/>
      <c r="GR291" s="205"/>
      <c r="GS291" s="205"/>
      <c r="GT291" s="205"/>
      <c r="GU291" s="205"/>
      <c r="GV291" s="18"/>
      <c r="GW291" s="5"/>
      <c r="GX291" s="5"/>
      <c r="GY291" s="77"/>
      <c r="GZ291" s="18"/>
      <c r="HA291" s="18"/>
      <c r="HB291" s="18"/>
      <c r="HC291" s="18"/>
      <c r="HD291" s="18"/>
      <c r="HE291" s="18"/>
      <c r="HF291" s="18"/>
      <c r="HG291" s="18"/>
      <c r="HH291" s="205"/>
      <c r="HI291" s="26"/>
      <c r="HJ291" s="26"/>
      <c r="HK291" s="5"/>
    </row>
    <row r="292" spans="40:219">
      <c r="AN292" s="26"/>
      <c r="AO292" s="26"/>
      <c r="AP292" s="15"/>
      <c r="AQ292" s="5"/>
      <c r="AR292" s="26"/>
      <c r="AS292" s="26"/>
      <c r="AT292" s="26"/>
      <c r="AU292" s="26"/>
      <c r="AV292" s="95"/>
      <c r="AW292" s="95"/>
      <c r="AX292" s="95"/>
      <c r="AY292" s="54"/>
      <c r="AZ292" s="54"/>
      <c r="BA292" s="15"/>
      <c r="BB292" s="54"/>
      <c r="BC292" s="54"/>
      <c r="BD292" s="22"/>
      <c r="BE292" s="23"/>
      <c r="BL292" s="92"/>
      <c r="BN292" s="5"/>
      <c r="BO292" s="54"/>
      <c r="BP292" s="5"/>
      <c r="BQ292" s="5"/>
      <c r="BR292" s="24"/>
      <c r="BS292" s="25"/>
      <c r="BT292" s="25"/>
      <c r="BU292" s="25"/>
      <c r="BV292" s="25"/>
      <c r="BW292" s="25"/>
      <c r="BX292" s="25"/>
      <c r="BY292" s="25"/>
      <c r="BZ292" s="25"/>
      <c r="CA292" s="25"/>
      <c r="CB292" s="25"/>
      <c r="CC292" s="5"/>
      <c r="CD292" s="5"/>
      <c r="CE292" s="5"/>
      <c r="CF292" s="5"/>
      <c r="CG292" s="5"/>
      <c r="CH292" s="5"/>
      <c r="CI292" s="68"/>
      <c r="CJ292" s="5"/>
      <c r="CK292" s="5"/>
      <c r="CL292" s="102"/>
      <c r="CM292" s="5"/>
      <c r="CN292" s="5"/>
      <c r="CO292" s="5"/>
      <c r="CP292" s="25"/>
      <c r="CQ292" s="68"/>
      <c r="CR292" s="68"/>
      <c r="CS292" s="5"/>
      <c r="CT292" s="5"/>
      <c r="CU292" s="68"/>
      <c r="CV292" s="5"/>
      <c r="CW292" s="25"/>
      <c r="CX292" s="72"/>
      <c r="CY292" s="102"/>
      <c r="CZ292" s="5"/>
      <c r="DA292" s="47"/>
      <c r="DB292" s="46"/>
      <c r="DC292" s="5"/>
      <c r="DD292" s="5"/>
      <c r="DE292" s="5"/>
      <c r="DF292" s="5"/>
      <c r="DG292" s="5"/>
      <c r="DH292" s="203"/>
      <c r="DI292" s="203"/>
      <c r="DJ292" s="46"/>
      <c r="DK292" s="5"/>
      <c r="EB292" s="18"/>
      <c r="EC292" s="77"/>
      <c r="ED292" s="77"/>
      <c r="EE292" s="18"/>
      <c r="EF292" s="18"/>
      <c r="EG292" s="18"/>
      <c r="EH292" s="5"/>
      <c r="EI292" s="5"/>
      <c r="EJ292" s="5"/>
      <c r="EK292" s="5"/>
      <c r="EL292" s="5"/>
      <c r="FE292" s="26"/>
      <c r="FF292" s="26"/>
      <c r="FG292" s="26"/>
      <c r="FH292" s="26"/>
      <c r="FI292" s="26"/>
      <c r="FJ292" s="26"/>
      <c r="FK292" s="26"/>
      <c r="FL292" s="26"/>
      <c r="FM292" s="26"/>
      <c r="FN292" s="205"/>
      <c r="FO292" s="205"/>
      <c r="FP292" s="205"/>
      <c r="FQ292" s="205"/>
      <c r="FR292" s="205"/>
      <c r="FS292" s="205"/>
      <c r="FT292" s="205"/>
      <c r="FU292" s="77"/>
      <c r="FV292" s="77"/>
      <c r="FW292" s="77"/>
      <c r="FX292" s="205"/>
      <c r="FY292" s="205"/>
      <c r="FZ292" s="205"/>
      <c r="GA292" s="205"/>
      <c r="GB292" s="205"/>
      <c r="GC292" s="205"/>
      <c r="GD292" s="205"/>
      <c r="GE292" s="205"/>
      <c r="GF292" s="205"/>
      <c r="GG292" s="205"/>
      <c r="GH292" s="205"/>
      <c r="GI292" s="205"/>
      <c r="GJ292" s="205"/>
      <c r="GK292" s="205"/>
      <c r="GL292" s="205"/>
      <c r="GM292" s="205"/>
      <c r="GN292" s="205"/>
      <c r="GO292" s="205"/>
      <c r="GP292" s="205"/>
      <c r="GQ292" s="205"/>
      <c r="GR292" s="205"/>
      <c r="GS292" s="205"/>
      <c r="GT292" s="205"/>
      <c r="GU292" s="205"/>
      <c r="GV292" s="18"/>
      <c r="GW292" s="5"/>
      <c r="GX292" s="5"/>
      <c r="GY292" s="77"/>
      <c r="GZ292" s="18"/>
      <c r="HA292" s="18"/>
      <c r="HB292" s="18"/>
      <c r="HC292" s="18"/>
      <c r="HD292" s="18"/>
      <c r="HE292" s="18"/>
      <c r="HF292" s="18"/>
      <c r="HG292" s="18"/>
      <c r="HH292" s="205"/>
      <c r="HI292" s="26"/>
      <c r="HJ292" s="26"/>
      <c r="HK292" s="5"/>
    </row>
    <row r="293" spans="40:219">
      <c r="AN293" s="26"/>
      <c r="AO293" s="26"/>
      <c r="AP293" s="15"/>
      <c r="AQ293" s="5"/>
      <c r="AR293" s="26"/>
      <c r="AS293" s="26"/>
      <c r="AT293" s="26"/>
      <c r="AU293" s="26"/>
      <c r="AV293" s="95"/>
      <c r="AW293" s="95"/>
      <c r="AX293" s="95"/>
      <c r="AY293" s="54"/>
      <c r="AZ293" s="54"/>
      <c r="BA293" s="15"/>
      <c r="BB293" s="54"/>
      <c r="BC293" s="54"/>
      <c r="BD293" s="22"/>
      <c r="BE293" s="23"/>
      <c r="BL293" s="92"/>
      <c r="BN293" s="5"/>
      <c r="BO293" s="54"/>
      <c r="BP293" s="5"/>
      <c r="BQ293" s="5"/>
      <c r="BR293" s="24"/>
      <c r="BS293" s="25"/>
      <c r="BT293" s="25"/>
      <c r="BU293" s="25"/>
      <c r="BV293" s="25"/>
      <c r="BW293" s="25"/>
      <c r="BX293" s="25"/>
      <c r="BY293" s="25"/>
      <c r="BZ293" s="25"/>
      <c r="CA293" s="25"/>
      <c r="CB293" s="25"/>
      <c r="CC293" s="5"/>
      <c r="CD293" s="5"/>
      <c r="CE293" s="5"/>
      <c r="CF293" s="5"/>
      <c r="CG293" s="5"/>
      <c r="CH293" s="5"/>
      <c r="CI293" s="68"/>
      <c r="CJ293" s="5"/>
      <c r="CK293" s="5"/>
      <c r="CL293" s="102"/>
      <c r="CM293" s="5"/>
      <c r="CN293" s="5"/>
      <c r="CO293" s="5"/>
      <c r="CP293" s="25"/>
      <c r="CQ293" s="68"/>
      <c r="CR293" s="68"/>
      <c r="CS293" s="5"/>
      <c r="CT293" s="5"/>
      <c r="CU293" s="68"/>
      <c r="CV293" s="5"/>
      <c r="CW293" s="25"/>
      <c r="CX293" s="72"/>
      <c r="CY293" s="102"/>
      <c r="CZ293" s="5"/>
      <c r="DA293" s="47"/>
      <c r="DB293" s="46"/>
      <c r="DC293" s="5"/>
      <c r="DD293" s="5"/>
      <c r="DE293" s="5"/>
      <c r="DF293" s="5"/>
      <c r="DG293" s="5"/>
      <c r="DH293" s="203"/>
      <c r="DI293" s="203"/>
      <c r="DJ293" s="46"/>
      <c r="DK293" s="5"/>
      <c r="EB293" s="18"/>
      <c r="EC293" s="77"/>
      <c r="ED293" s="77"/>
      <c r="EE293" s="18"/>
      <c r="EF293" s="18"/>
      <c r="EG293" s="18"/>
      <c r="EH293" s="5"/>
      <c r="EI293" s="5"/>
      <c r="EJ293" s="5"/>
      <c r="EK293" s="5"/>
      <c r="EL293" s="5"/>
      <c r="FE293" s="26"/>
      <c r="FF293" s="26"/>
      <c r="FG293" s="26"/>
      <c r="FH293" s="26"/>
      <c r="FI293" s="26"/>
      <c r="FJ293" s="26"/>
      <c r="FK293" s="26"/>
      <c r="FL293" s="26"/>
      <c r="FM293" s="26"/>
      <c r="FN293" s="205"/>
      <c r="FO293" s="205"/>
      <c r="FP293" s="205"/>
      <c r="FQ293" s="205"/>
      <c r="FR293" s="205"/>
      <c r="FS293" s="205"/>
      <c r="FT293" s="205"/>
      <c r="FU293" s="77"/>
      <c r="FV293" s="77"/>
      <c r="FW293" s="77"/>
      <c r="FX293" s="205"/>
      <c r="FY293" s="205"/>
      <c r="FZ293" s="205"/>
      <c r="GA293" s="205"/>
      <c r="GB293" s="205"/>
      <c r="GC293" s="205"/>
      <c r="GD293" s="205"/>
      <c r="GE293" s="205"/>
      <c r="GF293" s="205"/>
      <c r="GG293" s="205"/>
      <c r="GH293" s="205"/>
      <c r="GI293" s="205"/>
      <c r="GJ293" s="205"/>
      <c r="GK293" s="205"/>
      <c r="GL293" s="205"/>
      <c r="GM293" s="205"/>
      <c r="GN293" s="205"/>
      <c r="GO293" s="205"/>
      <c r="GP293" s="205"/>
      <c r="GQ293" s="205"/>
      <c r="GR293" s="205"/>
      <c r="GS293" s="205"/>
      <c r="GT293" s="205"/>
      <c r="GU293" s="205"/>
      <c r="GV293" s="18"/>
      <c r="GW293" s="5"/>
      <c r="GX293" s="5"/>
      <c r="GY293" s="77"/>
      <c r="GZ293" s="18"/>
      <c r="HA293" s="18"/>
      <c r="HB293" s="18"/>
      <c r="HC293" s="18"/>
      <c r="HD293" s="18"/>
      <c r="HE293" s="18"/>
      <c r="HF293" s="18"/>
      <c r="HG293" s="18"/>
      <c r="HH293" s="205"/>
      <c r="HI293" s="26"/>
      <c r="HJ293" s="26"/>
      <c r="HK293" s="5"/>
    </row>
    <row r="294" spans="40:219">
      <c r="AN294" s="26"/>
      <c r="AO294" s="26"/>
      <c r="AP294" s="15"/>
      <c r="AQ294" s="5"/>
      <c r="AR294" s="26"/>
      <c r="AS294" s="26"/>
      <c r="AT294" s="26"/>
      <c r="AU294" s="26"/>
      <c r="AV294" s="95"/>
      <c r="AW294" s="95"/>
      <c r="AX294" s="95"/>
      <c r="AY294" s="54"/>
      <c r="AZ294" s="54"/>
      <c r="BA294" s="15"/>
      <c r="BB294" s="54"/>
      <c r="BC294" s="54"/>
      <c r="BD294" s="22"/>
      <c r="BE294" s="23"/>
      <c r="BL294" s="92"/>
      <c r="BN294" s="5"/>
      <c r="BO294" s="54"/>
      <c r="BP294" s="5"/>
      <c r="BQ294" s="5"/>
      <c r="BR294" s="24"/>
      <c r="BS294" s="25"/>
      <c r="BT294" s="25"/>
      <c r="BU294" s="25"/>
      <c r="BV294" s="25"/>
      <c r="BW294" s="25"/>
      <c r="BX294" s="25"/>
      <c r="BY294" s="25"/>
      <c r="BZ294" s="25"/>
      <c r="CA294" s="25"/>
      <c r="CB294" s="25"/>
      <c r="CC294" s="5"/>
      <c r="CD294" s="5"/>
      <c r="CE294" s="5"/>
      <c r="CF294" s="5"/>
      <c r="CG294" s="5"/>
      <c r="CH294" s="5"/>
      <c r="CI294" s="68"/>
      <c r="CJ294" s="5"/>
      <c r="CK294" s="5"/>
      <c r="CL294" s="102"/>
      <c r="CM294" s="5"/>
      <c r="CN294" s="5"/>
      <c r="CO294" s="5"/>
      <c r="CP294" s="25"/>
      <c r="CQ294" s="68"/>
      <c r="CR294" s="68"/>
      <c r="CS294" s="5"/>
      <c r="CT294" s="5"/>
      <c r="CU294" s="68"/>
      <c r="CV294" s="5"/>
      <c r="CW294" s="25"/>
      <c r="CX294" s="72"/>
      <c r="CY294" s="102"/>
      <c r="CZ294" s="5"/>
      <c r="DA294" s="47"/>
      <c r="DB294" s="46"/>
      <c r="DC294" s="5"/>
      <c r="DD294" s="5"/>
      <c r="DE294" s="5"/>
      <c r="DF294" s="5"/>
      <c r="DG294" s="5"/>
      <c r="DH294" s="203"/>
      <c r="DI294" s="203"/>
      <c r="DJ294" s="46"/>
      <c r="DK294" s="5"/>
      <c r="EB294" s="18"/>
      <c r="EC294" s="77"/>
      <c r="ED294" s="77"/>
      <c r="EE294" s="18"/>
      <c r="EF294" s="18"/>
      <c r="EG294" s="18"/>
      <c r="EH294" s="5"/>
      <c r="EI294" s="5"/>
      <c r="EJ294" s="5"/>
      <c r="EK294" s="5"/>
      <c r="EL294" s="5"/>
      <c r="FE294" s="26"/>
      <c r="FF294" s="26"/>
      <c r="FG294" s="26"/>
      <c r="FH294" s="26"/>
      <c r="FI294" s="26"/>
      <c r="FJ294" s="26"/>
      <c r="FK294" s="26"/>
      <c r="FL294" s="26"/>
      <c r="FM294" s="26"/>
      <c r="FN294" s="205"/>
      <c r="FO294" s="205"/>
      <c r="FP294" s="205"/>
      <c r="FQ294" s="205"/>
      <c r="FR294" s="205"/>
      <c r="FS294" s="205"/>
      <c r="FT294" s="205"/>
      <c r="FU294" s="77"/>
      <c r="FV294" s="77"/>
      <c r="FW294" s="77"/>
      <c r="FX294" s="205"/>
      <c r="FY294" s="205"/>
      <c r="FZ294" s="205"/>
      <c r="GA294" s="205"/>
      <c r="GB294" s="205"/>
      <c r="GC294" s="205"/>
      <c r="GD294" s="205"/>
      <c r="GE294" s="205"/>
      <c r="GF294" s="205"/>
      <c r="GG294" s="205"/>
      <c r="GH294" s="205"/>
      <c r="GI294" s="205"/>
      <c r="GJ294" s="205"/>
      <c r="GK294" s="205"/>
      <c r="GL294" s="205"/>
      <c r="GM294" s="205"/>
      <c r="GN294" s="205"/>
      <c r="GO294" s="205"/>
      <c r="GP294" s="205"/>
      <c r="GQ294" s="205"/>
      <c r="GR294" s="205"/>
      <c r="GS294" s="205"/>
      <c r="GT294" s="205"/>
      <c r="GU294" s="205"/>
      <c r="GV294" s="18"/>
      <c r="GW294" s="5"/>
      <c r="GX294" s="5"/>
      <c r="GY294" s="77"/>
      <c r="GZ294" s="18"/>
      <c r="HA294" s="18"/>
      <c r="HB294" s="18"/>
      <c r="HC294" s="18"/>
      <c r="HD294" s="18"/>
      <c r="HE294" s="18"/>
      <c r="HF294" s="18"/>
      <c r="HG294" s="18"/>
      <c r="HH294" s="205"/>
      <c r="HI294" s="26"/>
      <c r="HJ294" s="26"/>
      <c r="HK294" s="5"/>
    </row>
    <row r="295" spans="40:219">
      <c r="AN295" s="26"/>
      <c r="AO295" s="26"/>
      <c r="AP295" s="15"/>
      <c r="AQ295" s="5"/>
      <c r="AR295" s="26"/>
      <c r="AS295" s="26"/>
      <c r="AT295" s="26"/>
      <c r="AU295" s="26"/>
      <c r="AV295" s="95"/>
      <c r="AW295" s="95"/>
      <c r="AX295" s="95"/>
      <c r="AY295" s="54"/>
      <c r="AZ295" s="54"/>
      <c r="BA295" s="15"/>
      <c r="BB295" s="54"/>
      <c r="BC295" s="54"/>
      <c r="BD295" s="22"/>
      <c r="BE295" s="23"/>
      <c r="BL295" s="92"/>
      <c r="BN295" s="5"/>
      <c r="BO295" s="54"/>
      <c r="BP295" s="5"/>
      <c r="BQ295" s="5"/>
      <c r="BR295" s="24"/>
      <c r="BS295" s="25"/>
      <c r="BT295" s="25"/>
      <c r="BU295" s="25"/>
      <c r="BV295" s="25"/>
      <c r="BW295" s="25"/>
      <c r="BX295" s="25"/>
      <c r="BY295" s="25"/>
      <c r="BZ295" s="25"/>
      <c r="CA295" s="25"/>
      <c r="CB295" s="25"/>
      <c r="CC295" s="5"/>
      <c r="CD295" s="5"/>
      <c r="CE295" s="5"/>
      <c r="CF295" s="5"/>
      <c r="CG295" s="5"/>
      <c r="CH295" s="5"/>
      <c r="CI295" s="68"/>
      <c r="CJ295" s="5"/>
      <c r="CK295" s="5"/>
      <c r="CL295" s="102"/>
      <c r="CM295" s="5"/>
      <c r="CN295" s="5"/>
      <c r="CO295" s="5"/>
      <c r="CP295" s="25"/>
      <c r="CQ295" s="68"/>
      <c r="CR295" s="68"/>
      <c r="CS295" s="5"/>
      <c r="CT295" s="5"/>
      <c r="CU295" s="68"/>
      <c r="CV295" s="5"/>
      <c r="CW295" s="25"/>
      <c r="CX295" s="72"/>
      <c r="CY295" s="102"/>
      <c r="CZ295" s="5"/>
      <c r="DA295" s="47"/>
      <c r="DB295" s="46"/>
      <c r="DC295" s="5"/>
      <c r="DD295" s="5"/>
      <c r="DE295" s="5"/>
      <c r="DF295" s="5"/>
      <c r="DG295" s="5"/>
      <c r="DH295" s="203"/>
      <c r="DI295" s="203"/>
      <c r="DJ295" s="46"/>
      <c r="DK295" s="5"/>
      <c r="EB295" s="18"/>
      <c r="EC295" s="77"/>
      <c r="ED295" s="77"/>
      <c r="EE295" s="18"/>
      <c r="EF295" s="18"/>
      <c r="EG295" s="18"/>
      <c r="EH295" s="5"/>
      <c r="EI295" s="5"/>
      <c r="EJ295" s="5"/>
      <c r="EK295" s="5"/>
      <c r="EL295" s="5"/>
      <c r="FE295" s="26"/>
      <c r="FF295" s="26"/>
      <c r="FG295" s="26"/>
      <c r="FH295" s="26"/>
      <c r="FI295" s="26"/>
      <c r="FJ295" s="26"/>
      <c r="FK295" s="26"/>
      <c r="FL295" s="26"/>
      <c r="FM295" s="26"/>
      <c r="FN295" s="205"/>
      <c r="FO295" s="205"/>
      <c r="FP295" s="205"/>
      <c r="FQ295" s="205"/>
      <c r="FR295" s="205"/>
      <c r="FS295" s="205"/>
      <c r="FT295" s="205"/>
      <c r="FU295" s="77"/>
      <c r="FV295" s="77"/>
      <c r="FW295" s="77"/>
      <c r="FX295" s="205"/>
      <c r="FY295" s="205"/>
      <c r="FZ295" s="205"/>
      <c r="GA295" s="205"/>
      <c r="GB295" s="205"/>
      <c r="GC295" s="205"/>
      <c r="GD295" s="205"/>
      <c r="GE295" s="205"/>
      <c r="GF295" s="205"/>
      <c r="GG295" s="205"/>
      <c r="GH295" s="205"/>
      <c r="GI295" s="205"/>
      <c r="GJ295" s="205"/>
      <c r="GK295" s="205"/>
      <c r="GL295" s="205"/>
      <c r="GM295" s="205"/>
      <c r="GN295" s="205"/>
      <c r="GO295" s="205"/>
      <c r="GP295" s="205"/>
      <c r="GQ295" s="205"/>
      <c r="GR295" s="205"/>
      <c r="GS295" s="205"/>
      <c r="GT295" s="205"/>
      <c r="GU295" s="205"/>
      <c r="GV295" s="18"/>
      <c r="GW295" s="5"/>
      <c r="GX295" s="5"/>
      <c r="GY295" s="77"/>
      <c r="GZ295" s="18"/>
      <c r="HA295" s="18"/>
      <c r="HB295" s="18"/>
      <c r="HC295" s="18"/>
      <c r="HD295" s="18"/>
      <c r="HE295" s="18"/>
      <c r="HF295" s="18"/>
      <c r="HG295" s="18"/>
      <c r="HH295" s="205"/>
      <c r="HI295" s="26"/>
      <c r="HJ295" s="26"/>
      <c r="HK295" s="5"/>
    </row>
    <row r="296" spans="40:219">
      <c r="AN296" s="26"/>
      <c r="AO296" s="26"/>
      <c r="AP296" s="15"/>
      <c r="AQ296" s="5"/>
      <c r="AR296" s="26"/>
      <c r="AS296" s="26"/>
      <c r="AT296" s="26"/>
      <c r="AU296" s="26"/>
      <c r="AV296" s="95"/>
      <c r="AW296" s="95"/>
      <c r="AX296" s="95"/>
      <c r="AY296" s="54"/>
      <c r="AZ296" s="54"/>
      <c r="BA296" s="15"/>
      <c r="BB296" s="54"/>
      <c r="BC296" s="54"/>
      <c r="BD296" s="22"/>
      <c r="BE296" s="23"/>
      <c r="BL296" s="92"/>
      <c r="BN296" s="5"/>
      <c r="BO296" s="54"/>
      <c r="BP296" s="5"/>
      <c r="BQ296" s="5"/>
      <c r="BR296" s="24"/>
      <c r="BS296" s="25"/>
      <c r="BT296" s="25"/>
      <c r="BU296" s="25"/>
      <c r="BV296" s="25"/>
      <c r="BW296" s="25"/>
      <c r="BX296" s="25"/>
      <c r="BY296" s="25"/>
      <c r="BZ296" s="25"/>
      <c r="CA296" s="25"/>
      <c r="CB296" s="25"/>
      <c r="CC296" s="5"/>
      <c r="CD296" s="5"/>
      <c r="CE296" s="5"/>
      <c r="CF296" s="5"/>
      <c r="CG296" s="5"/>
      <c r="CH296" s="5"/>
      <c r="CI296" s="68"/>
      <c r="CJ296" s="5"/>
      <c r="CK296" s="5"/>
      <c r="CL296" s="102"/>
      <c r="CM296" s="5"/>
      <c r="CN296" s="5"/>
      <c r="CO296" s="5"/>
      <c r="CP296" s="25"/>
      <c r="CQ296" s="68"/>
      <c r="CR296" s="68"/>
      <c r="CS296" s="5"/>
      <c r="CT296" s="5"/>
      <c r="CU296" s="68"/>
      <c r="CV296" s="5"/>
      <c r="CW296" s="25"/>
      <c r="CX296" s="72"/>
      <c r="CY296" s="102"/>
      <c r="CZ296" s="5"/>
      <c r="DA296" s="47"/>
      <c r="DB296" s="46"/>
      <c r="DC296" s="5"/>
      <c r="DD296" s="5"/>
      <c r="DE296" s="5"/>
      <c r="DF296" s="5"/>
      <c r="DG296" s="5"/>
      <c r="DH296" s="203"/>
      <c r="DI296" s="203"/>
      <c r="DJ296" s="46"/>
      <c r="DK296" s="5"/>
      <c r="EB296" s="18"/>
      <c r="EC296" s="77"/>
      <c r="ED296" s="77"/>
      <c r="EE296" s="18"/>
      <c r="EF296" s="18"/>
      <c r="EG296" s="18"/>
      <c r="EH296" s="5"/>
      <c r="EI296" s="5"/>
      <c r="EJ296" s="5"/>
      <c r="EK296" s="5"/>
      <c r="EL296" s="5"/>
      <c r="FE296" s="26"/>
      <c r="FF296" s="26"/>
      <c r="FG296" s="26"/>
      <c r="FH296" s="26"/>
      <c r="FI296" s="26"/>
      <c r="FJ296" s="26"/>
      <c r="FK296" s="26"/>
      <c r="FL296" s="26"/>
      <c r="FM296" s="26"/>
      <c r="FN296" s="205"/>
      <c r="FO296" s="205"/>
      <c r="FP296" s="205"/>
      <c r="FQ296" s="205"/>
      <c r="FR296" s="205"/>
      <c r="FS296" s="205"/>
      <c r="FT296" s="205"/>
      <c r="FU296" s="77"/>
      <c r="FV296" s="77"/>
      <c r="FW296" s="77"/>
      <c r="FX296" s="205"/>
      <c r="FY296" s="205"/>
      <c r="FZ296" s="205"/>
      <c r="GA296" s="205"/>
      <c r="GB296" s="205"/>
      <c r="GC296" s="205"/>
      <c r="GD296" s="205"/>
      <c r="GE296" s="205"/>
      <c r="GF296" s="205"/>
      <c r="GG296" s="205"/>
      <c r="GH296" s="205"/>
      <c r="GI296" s="205"/>
      <c r="GJ296" s="205"/>
      <c r="GK296" s="205"/>
      <c r="GL296" s="205"/>
      <c r="GM296" s="205"/>
      <c r="GN296" s="205"/>
      <c r="GO296" s="205"/>
      <c r="GP296" s="205"/>
      <c r="GQ296" s="205"/>
      <c r="GR296" s="205"/>
      <c r="GS296" s="205"/>
      <c r="GT296" s="205"/>
      <c r="GU296" s="205"/>
      <c r="GV296" s="18"/>
      <c r="GW296" s="5"/>
      <c r="GX296" s="5"/>
      <c r="GY296" s="77"/>
      <c r="GZ296" s="18"/>
      <c r="HA296" s="18"/>
      <c r="HB296" s="18"/>
      <c r="HC296" s="18"/>
      <c r="HD296" s="18"/>
      <c r="HE296" s="18"/>
      <c r="HF296" s="18"/>
      <c r="HG296" s="18"/>
      <c r="HH296" s="205"/>
      <c r="HI296" s="26"/>
      <c r="HJ296" s="26"/>
      <c r="HK296" s="5"/>
    </row>
    <row r="297" spans="40:219">
      <c r="AN297" s="26"/>
      <c r="AO297" s="26"/>
      <c r="AP297" s="15"/>
      <c r="AQ297" s="5"/>
      <c r="AR297" s="26"/>
      <c r="AS297" s="26"/>
      <c r="AT297" s="26"/>
      <c r="AU297" s="26"/>
      <c r="AV297" s="95"/>
      <c r="AW297" s="95"/>
      <c r="AX297" s="95"/>
      <c r="AY297" s="54"/>
      <c r="AZ297" s="54"/>
      <c r="BA297" s="15"/>
      <c r="BB297" s="54"/>
      <c r="BC297" s="54"/>
      <c r="BD297" s="22"/>
      <c r="BE297" s="23"/>
      <c r="BL297" s="92"/>
      <c r="BN297" s="5"/>
      <c r="BO297" s="54"/>
      <c r="BP297" s="5"/>
      <c r="BQ297" s="5"/>
      <c r="BR297" s="24"/>
      <c r="BS297" s="25"/>
      <c r="BT297" s="25"/>
      <c r="BU297" s="25"/>
      <c r="BV297" s="25"/>
      <c r="BW297" s="25"/>
      <c r="BX297" s="25"/>
      <c r="BY297" s="25"/>
      <c r="BZ297" s="25"/>
      <c r="CA297" s="25"/>
      <c r="CB297" s="25"/>
      <c r="CC297" s="5"/>
      <c r="CD297" s="5"/>
      <c r="CE297" s="5"/>
      <c r="CF297" s="5"/>
      <c r="CG297" s="5"/>
      <c r="CH297" s="5"/>
      <c r="CI297" s="68"/>
      <c r="CJ297" s="5"/>
      <c r="CK297" s="5"/>
      <c r="CL297" s="102"/>
      <c r="CM297" s="5"/>
      <c r="CN297" s="5"/>
      <c r="CO297" s="5"/>
      <c r="CP297" s="25"/>
      <c r="CQ297" s="68"/>
      <c r="CR297" s="68"/>
      <c r="CS297" s="5"/>
      <c r="CT297" s="5"/>
      <c r="CU297" s="68"/>
      <c r="CV297" s="5"/>
      <c r="CW297" s="25"/>
      <c r="CX297" s="72"/>
      <c r="CY297" s="102"/>
      <c r="CZ297" s="5"/>
      <c r="DA297" s="47"/>
      <c r="DB297" s="46"/>
      <c r="DC297" s="5"/>
      <c r="DD297" s="5"/>
      <c r="DE297" s="5"/>
      <c r="DF297" s="5"/>
      <c r="DG297" s="5"/>
      <c r="DH297" s="203"/>
      <c r="DI297" s="203"/>
      <c r="DJ297" s="46"/>
      <c r="DK297" s="5"/>
      <c r="EB297" s="18"/>
      <c r="EC297" s="77"/>
      <c r="ED297" s="77"/>
      <c r="EE297" s="18"/>
      <c r="EF297" s="18"/>
      <c r="EG297" s="18"/>
      <c r="EH297" s="5"/>
      <c r="EI297" s="5"/>
      <c r="EJ297" s="5"/>
      <c r="EK297" s="5"/>
      <c r="EL297" s="5"/>
      <c r="FE297" s="26"/>
      <c r="FF297" s="26"/>
      <c r="FG297" s="26"/>
      <c r="FH297" s="26"/>
      <c r="FI297" s="26"/>
      <c r="FJ297" s="26"/>
      <c r="FK297" s="26"/>
      <c r="FL297" s="26"/>
      <c r="FM297" s="26"/>
      <c r="FN297" s="205"/>
      <c r="FO297" s="205"/>
      <c r="FP297" s="205"/>
      <c r="FQ297" s="205"/>
      <c r="FR297" s="205"/>
      <c r="FS297" s="205"/>
      <c r="FT297" s="205"/>
      <c r="FU297" s="77"/>
      <c r="FV297" s="77"/>
      <c r="FW297" s="77"/>
      <c r="FX297" s="205"/>
      <c r="FY297" s="205"/>
      <c r="FZ297" s="205"/>
      <c r="GA297" s="205"/>
      <c r="GB297" s="205"/>
      <c r="GC297" s="205"/>
      <c r="GD297" s="205"/>
      <c r="GE297" s="205"/>
      <c r="GF297" s="205"/>
      <c r="GG297" s="205"/>
      <c r="GH297" s="205"/>
      <c r="GI297" s="205"/>
      <c r="GJ297" s="205"/>
      <c r="GK297" s="205"/>
      <c r="GL297" s="205"/>
      <c r="GM297" s="205"/>
      <c r="GN297" s="205"/>
      <c r="GO297" s="205"/>
      <c r="GP297" s="205"/>
      <c r="GQ297" s="205"/>
      <c r="GR297" s="205"/>
      <c r="GS297" s="205"/>
      <c r="GT297" s="205"/>
      <c r="GU297" s="205"/>
      <c r="GV297" s="18"/>
      <c r="GW297" s="5"/>
      <c r="GX297" s="5"/>
      <c r="GY297" s="77"/>
      <c r="GZ297" s="18"/>
      <c r="HA297" s="18"/>
      <c r="HB297" s="18"/>
      <c r="HC297" s="18"/>
      <c r="HD297" s="18"/>
      <c r="HE297" s="18"/>
      <c r="HF297" s="18"/>
      <c r="HG297" s="18"/>
      <c r="HH297" s="205"/>
      <c r="HI297" s="26"/>
      <c r="HJ297" s="26"/>
      <c r="HK297" s="5"/>
    </row>
    <row r="298" spans="40:219">
      <c r="AN298" s="26"/>
      <c r="AO298" s="26"/>
      <c r="AP298" s="15"/>
      <c r="AQ298" s="5"/>
      <c r="AR298" s="26"/>
      <c r="AS298" s="26"/>
      <c r="AT298" s="26"/>
      <c r="AU298" s="26"/>
      <c r="AV298" s="95"/>
      <c r="AW298" s="95"/>
      <c r="AX298" s="95"/>
      <c r="AY298" s="54"/>
      <c r="AZ298" s="54"/>
      <c r="BA298" s="15"/>
      <c r="BB298" s="54"/>
      <c r="BC298" s="54"/>
      <c r="BD298" s="22"/>
      <c r="BE298" s="23"/>
      <c r="BL298" s="92"/>
      <c r="BN298" s="5"/>
      <c r="BO298" s="54"/>
      <c r="BP298" s="5"/>
      <c r="BQ298" s="5"/>
      <c r="BR298" s="24"/>
      <c r="BS298" s="25"/>
      <c r="BT298" s="25"/>
      <c r="BU298" s="25"/>
      <c r="BV298" s="25"/>
      <c r="BW298" s="25"/>
      <c r="BX298" s="25"/>
      <c r="BY298" s="25"/>
      <c r="BZ298" s="25"/>
      <c r="CA298" s="25"/>
      <c r="CB298" s="25"/>
      <c r="CC298" s="5"/>
      <c r="CD298" s="5"/>
      <c r="CE298" s="5"/>
      <c r="CF298" s="5"/>
      <c r="CG298" s="5"/>
      <c r="CH298" s="5"/>
      <c r="CI298" s="68"/>
      <c r="CJ298" s="5"/>
      <c r="CK298" s="5"/>
      <c r="CL298" s="102"/>
      <c r="CM298" s="5"/>
      <c r="CN298" s="5"/>
      <c r="CO298" s="5"/>
      <c r="CP298" s="25"/>
      <c r="CQ298" s="68"/>
      <c r="CR298" s="68"/>
      <c r="CS298" s="5"/>
      <c r="CT298" s="5"/>
      <c r="CU298" s="68"/>
      <c r="CV298" s="5"/>
      <c r="CW298" s="25"/>
      <c r="CX298" s="72"/>
      <c r="CY298" s="102"/>
      <c r="CZ298" s="5"/>
      <c r="DA298" s="47"/>
      <c r="DB298" s="46"/>
      <c r="DC298" s="5"/>
      <c r="DD298" s="5"/>
      <c r="DE298" s="5"/>
      <c r="DF298" s="5"/>
      <c r="DG298" s="5"/>
      <c r="DH298" s="203"/>
      <c r="DI298" s="203"/>
      <c r="DJ298" s="46"/>
      <c r="DK298" s="5"/>
      <c r="EB298" s="18"/>
      <c r="EC298" s="77"/>
      <c r="ED298" s="77"/>
      <c r="EE298" s="18"/>
      <c r="EF298" s="18"/>
      <c r="EG298" s="18"/>
      <c r="EH298" s="5"/>
      <c r="EI298" s="5"/>
      <c r="EJ298" s="5"/>
      <c r="EK298" s="5"/>
      <c r="EL298" s="5"/>
      <c r="FE298" s="26"/>
      <c r="FF298" s="26"/>
      <c r="FG298" s="26"/>
      <c r="FH298" s="26"/>
      <c r="FI298" s="26"/>
      <c r="FJ298" s="26"/>
      <c r="FK298" s="26"/>
      <c r="FL298" s="26"/>
      <c r="FM298" s="26"/>
      <c r="FN298" s="205"/>
      <c r="FO298" s="205"/>
      <c r="FP298" s="205"/>
      <c r="FQ298" s="205"/>
      <c r="FR298" s="205"/>
      <c r="FS298" s="205"/>
      <c r="FT298" s="205"/>
      <c r="FU298" s="77"/>
      <c r="FV298" s="77"/>
      <c r="FW298" s="77"/>
      <c r="FX298" s="205"/>
      <c r="FY298" s="205"/>
      <c r="FZ298" s="205"/>
      <c r="GA298" s="205"/>
      <c r="GB298" s="205"/>
      <c r="GC298" s="205"/>
      <c r="GD298" s="205"/>
      <c r="GE298" s="205"/>
      <c r="GF298" s="205"/>
      <c r="GG298" s="205"/>
      <c r="GH298" s="205"/>
      <c r="GI298" s="205"/>
      <c r="GJ298" s="205"/>
      <c r="GK298" s="205"/>
      <c r="GL298" s="205"/>
      <c r="GM298" s="205"/>
      <c r="GN298" s="205"/>
      <c r="GO298" s="205"/>
      <c r="GP298" s="205"/>
      <c r="GQ298" s="205"/>
      <c r="GR298" s="205"/>
      <c r="GS298" s="205"/>
      <c r="GT298" s="205"/>
      <c r="GU298" s="205"/>
      <c r="GV298" s="18"/>
      <c r="GW298" s="5"/>
      <c r="GX298" s="5"/>
      <c r="GY298" s="77"/>
      <c r="GZ298" s="18"/>
      <c r="HA298" s="18"/>
      <c r="HB298" s="18"/>
      <c r="HC298" s="18"/>
      <c r="HD298" s="18"/>
      <c r="HE298" s="18"/>
      <c r="HF298" s="18"/>
      <c r="HG298" s="18"/>
      <c r="HH298" s="205"/>
      <c r="HI298" s="26"/>
      <c r="HJ298" s="26"/>
      <c r="HK298" s="5"/>
    </row>
    <row r="299" spans="40:219">
      <c r="AN299" s="26"/>
      <c r="AO299" s="26"/>
      <c r="AP299" s="15"/>
      <c r="AQ299" s="5"/>
      <c r="AR299" s="26"/>
      <c r="AS299" s="26"/>
      <c r="AT299" s="26"/>
      <c r="AU299" s="26"/>
      <c r="AV299" s="95"/>
      <c r="AW299" s="95"/>
      <c r="AX299" s="95"/>
      <c r="AY299" s="54"/>
      <c r="AZ299" s="54"/>
      <c r="BA299" s="15"/>
      <c r="BB299" s="54"/>
      <c r="BC299" s="54"/>
      <c r="BD299" s="22"/>
      <c r="BE299" s="23"/>
      <c r="BL299" s="92"/>
      <c r="BN299" s="5"/>
      <c r="BO299" s="54"/>
      <c r="BP299" s="5"/>
      <c r="BQ299" s="5"/>
      <c r="BR299" s="24"/>
      <c r="BS299" s="25"/>
      <c r="BT299" s="25"/>
      <c r="BU299" s="25"/>
      <c r="BV299" s="25"/>
      <c r="BW299" s="25"/>
      <c r="BX299" s="25"/>
      <c r="BY299" s="25"/>
      <c r="BZ299" s="25"/>
      <c r="CA299" s="25"/>
      <c r="CB299" s="25"/>
      <c r="CC299" s="5"/>
      <c r="CD299" s="5"/>
      <c r="CE299" s="5"/>
      <c r="CF299" s="5"/>
      <c r="CG299" s="5"/>
      <c r="CH299" s="5"/>
      <c r="CI299" s="68"/>
      <c r="CJ299" s="5"/>
      <c r="CK299" s="5"/>
      <c r="CL299" s="102"/>
      <c r="CM299" s="5"/>
      <c r="CN299" s="5"/>
      <c r="CO299" s="5"/>
      <c r="CP299" s="25"/>
      <c r="CQ299" s="68"/>
      <c r="CR299" s="68"/>
      <c r="CS299" s="5"/>
      <c r="CT299" s="5"/>
      <c r="CU299" s="68"/>
      <c r="CV299" s="5"/>
      <c r="CW299" s="25"/>
      <c r="CX299" s="72"/>
      <c r="CY299" s="102"/>
      <c r="CZ299" s="5"/>
      <c r="DA299" s="47"/>
      <c r="DB299" s="46"/>
      <c r="DC299" s="5"/>
      <c r="DD299" s="5"/>
      <c r="DE299" s="5"/>
      <c r="DF299" s="5"/>
      <c r="DG299" s="5"/>
      <c r="DH299" s="203"/>
      <c r="DI299" s="203"/>
      <c r="DJ299" s="46"/>
      <c r="DK299" s="5"/>
      <c r="EB299" s="18"/>
      <c r="EC299" s="77"/>
      <c r="ED299" s="77"/>
      <c r="EE299" s="18"/>
      <c r="EF299" s="18"/>
      <c r="EG299" s="18"/>
      <c r="EH299" s="5"/>
      <c r="EI299" s="5"/>
      <c r="EJ299" s="5"/>
      <c r="EK299" s="5"/>
      <c r="EL299" s="5"/>
      <c r="FE299" s="26"/>
      <c r="FF299" s="26"/>
      <c r="FG299" s="26"/>
      <c r="FH299" s="26"/>
      <c r="FI299" s="26"/>
      <c r="FJ299" s="26"/>
      <c r="FK299" s="26"/>
      <c r="FL299" s="26"/>
      <c r="FM299" s="26"/>
      <c r="FN299" s="205"/>
      <c r="FO299" s="205"/>
      <c r="FP299" s="205"/>
      <c r="FQ299" s="205"/>
      <c r="FR299" s="205"/>
      <c r="FS299" s="205"/>
      <c r="FT299" s="205"/>
      <c r="FU299" s="77"/>
      <c r="FV299" s="77"/>
      <c r="FW299" s="77"/>
      <c r="FX299" s="205"/>
      <c r="FY299" s="205"/>
      <c r="FZ299" s="205"/>
      <c r="GA299" s="205"/>
      <c r="GB299" s="205"/>
      <c r="GC299" s="205"/>
      <c r="GD299" s="205"/>
      <c r="GE299" s="205"/>
      <c r="GF299" s="205"/>
      <c r="GG299" s="205"/>
      <c r="GH299" s="205"/>
      <c r="GI299" s="205"/>
      <c r="GJ299" s="205"/>
      <c r="GK299" s="205"/>
      <c r="GL299" s="205"/>
      <c r="GM299" s="205"/>
      <c r="GN299" s="205"/>
      <c r="GO299" s="205"/>
      <c r="GP299" s="205"/>
      <c r="GQ299" s="205"/>
      <c r="GR299" s="205"/>
      <c r="GS299" s="205"/>
      <c r="GT299" s="205"/>
      <c r="GU299" s="205"/>
      <c r="GV299" s="18"/>
      <c r="GW299" s="5"/>
      <c r="GX299" s="5"/>
      <c r="GY299" s="77"/>
      <c r="GZ299" s="18"/>
      <c r="HA299" s="18"/>
      <c r="HB299" s="18"/>
      <c r="HC299" s="18"/>
      <c r="HD299" s="18"/>
      <c r="HE299" s="18"/>
      <c r="HF299" s="18"/>
      <c r="HG299" s="18"/>
      <c r="HH299" s="205"/>
      <c r="HI299" s="26"/>
      <c r="HJ299" s="26"/>
      <c r="HK299" s="5"/>
    </row>
    <row r="300" spans="40:219">
      <c r="AN300" s="26"/>
      <c r="AO300" s="26"/>
      <c r="AP300" s="15"/>
      <c r="AQ300" s="5"/>
      <c r="AR300" s="26"/>
      <c r="AS300" s="26"/>
      <c r="AT300" s="26"/>
      <c r="AU300" s="26"/>
      <c r="AV300" s="95"/>
      <c r="AW300" s="95"/>
      <c r="AX300" s="95"/>
      <c r="AY300" s="54"/>
      <c r="AZ300" s="54"/>
      <c r="BA300" s="15"/>
      <c r="BB300" s="54"/>
      <c r="BC300" s="54"/>
      <c r="BD300" s="22"/>
      <c r="BE300" s="23"/>
      <c r="BL300" s="92"/>
      <c r="BN300" s="5"/>
      <c r="BO300" s="54"/>
      <c r="BP300" s="5"/>
      <c r="BQ300" s="5"/>
      <c r="BR300" s="24"/>
      <c r="BS300" s="25"/>
      <c r="BT300" s="25"/>
      <c r="BU300" s="25"/>
      <c r="BV300" s="25"/>
      <c r="BW300" s="25"/>
      <c r="BX300" s="25"/>
      <c r="BY300" s="25"/>
      <c r="BZ300" s="25"/>
      <c r="CA300" s="25"/>
      <c r="CB300" s="25"/>
      <c r="CC300" s="5"/>
      <c r="CD300" s="5"/>
      <c r="CE300" s="5"/>
      <c r="CF300" s="5"/>
      <c r="CG300" s="5"/>
      <c r="CH300" s="5"/>
      <c r="CI300" s="68"/>
      <c r="CJ300" s="5"/>
      <c r="CK300" s="5"/>
      <c r="CL300" s="102"/>
      <c r="CM300" s="5"/>
      <c r="CN300" s="5"/>
      <c r="CO300" s="5"/>
      <c r="CP300" s="25"/>
      <c r="CQ300" s="68"/>
      <c r="CR300" s="68"/>
      <c r="CS300" s="5"/>
      <c r="CT300" s="5"/>
      <c r="CU300" s="68"/>
      <c r="CV300" s="5"/>
      <c r="CW300" s="25"/>
      <c r="CX300" s="72"/>
      <c r="CY300" s="102"/>
      <c r="CZ300" s="5"/>
      <c r="DA300" s="47"/>
      <c r="DB300" s="46"/>
      <c r="DC300" s="5"/>
      <c r="DD300" s="5"/>
      <c r="DE300" s="5"/>
      <c r="DF300" s="5"/>
      <c r="DG300" s="5"/>
      <c r="DH300" s="203"/>
      <c r="DI300" s="203"/>
      <c r="DJ300" s="46"/>
      <c r="DK300" s="5"/>
      <c r="EB300" s="18"/>
      <c r="EC300" s="77"/>
      <c r="ED300" s="77"/>
      <c r="EE300" s="18"/>
      <c r="EF300" s="18"/>
      <c r="EG300" s="18"/>
      <c r="EH300" s="5"/>
      <c r="EI300" s="5"/>
      <c r="EJ300" s="5"/>
      <c r="EK300" s="5"/>
      <c r="EL300" s="5"/>
      <c r="FE300" s="26"/>
      <c r="FF300" s="26"/>
      <c r="FG300" s="26"/>
      <c r="FH300" s="26"/>
      <c r="FI300" s="26"/>
      <c r="FJ300" s="26"/>
      <c r="FK300" s="26"/>
      <c r="FL300" s="26"/>
      <c r="FM300" s="26"/>
      <c r="FN300" s="205"/>
      <c r="FO300" s="205"/>
      <c r="FP300" s="205"/>
      <c r="FQ300" s="205"/>
      <c r="FR300" s="205"/>
      <c r="FS300" s="205"/>
      <c r="FT300" s="205"/>
      <c r="FU300" s="77"/>
      <c r="FV300" s="77"/>
      <c r="FW300" s="77"/>
      <c r="FX300" s="205"/>
      <c r="FY300" s="205"/>
      <c r="FZ300" s="205"/>
      <c r="GA300" s="205"/>
      <c r="GB300" s="205"/>
      <c r="GC300" s="205"/>
      <c r="GD300" s="205"/>
      <c r="GE300" s="205"/>
      <c r="GF300" s="205"/>
      <c r="GG300" s="205"/>
      <c r="GH300" s="205"/>
      <c r="GI300" s="205"/>
      <c r="GJ300" s="205"/>
      <c r="GK300" s="205"/>
      <c r="GL300" s="205"/>
      <c r="GM300" s="205"/>
      <c r="GN300" s="205"/>
      <c r="GO300" s="205"/>
      <c r="GP300" s="205"/>
      <c r="GQ300" s="205"/>
      <c r="GR300" s="205"/>
      <c r="GS300" s="205"/>
      <c r="GT300" s="205"/>
      <c r="GU300" s="205"/>
      <c r="GV300" s="18"/>
      <c r="GW300" s="5"/>
      <c r="GX300" s="5"/>
      <c r="GY300" s="77"/>
      <c r="GZ300" s="18"/>
      <c r="HA300" s="18"/>
      <c r="HB300" s="18"/>
      <c r="HC300" s="18"/>
      <c r="HD300" s="18"/>
      <c r="HE300" s="18"/>
      <c r="HF300" s="18"/>
      <c r="HG300" s="18"/>
      <c r="HH300" s="205"/>
      <c r="HI300" s="26"/>
      <c r="HJ300" s="26"/>
      <c r="HK300" s="5"/>
    </row>
    <row r="301" spans="40:219">
      <c r="AN301" s="26"/>
      <c r="AO301" s="26"/>
      <c r="AP301" s="15"/>
      <c r="AQ301" s="5"/>
      <c r="AR301" s="26"/>
      <c r="AS301" s="26"/>
      <c r="AT301" s="26"/>
      <c r="AU301" s="26"/>
      <c r="AV301" s="95"/>
      <c r="AW301" s="95"/>
      <c r="AX301" s="95"/>
      <c r="AY301" s="54"/>
      <c r="AZ301" s="54"/>
      <c r="BA301" s="15"/>
      <c r="BB301" s="54"/>
      <c r="BC301" s="54"/>
      <c r="BD301" s="22"/>
      <c r="BE301" s="23"/>
      <c r="BL301" s="92"/>
      <c r="BN301" s="5"/>
      <c r="BO301" s="54"/>
      <c r="BP301" s="5"/>
      <c r="BQ301" s="5"/>
      <c r="BR301" s="24"/>
      <c r="BS301" s="25"/>
      <c r="BT301" s="25"/>
      <c r="BU301" s="25"/>
      <c r="BV301" s="25"/>
      <c r="BW301" s="25"/>
      <c r="BX301" s="25"/>
      <c r="BY301" s="25"/>
      <c r="BZ301" s="25"/>
      <c r="CA301" s="25"/>
      <c r="CB301" s="25"/>
      <c r="CC301" s="5"/>
      <c r="CD301" s="5"/>
      <c r="CE301" s="5"/>
      <c r="CF301" s="5"/>
      <c r="CG301" s="5"/>
      <c r="CH301" s="5"/>
      <c r="CI301" s="68"/>
      <c r="CJ301" s="5"/>
      <c r="CK301" s="5"/>
      <c r="CL301" s="102"/>
      <c r="CM301" s="5"/>
      <c r="CN301" s="5"/>
      <c r="CO301" s="5"/>
      <c r="CP301" s="25"/>
      <c r="CQ301" s="68"/>
      <c r="CR301" s="68"/>
      <c r="CS301" s="5"/>
      <c r="CT301" s="5"/>
      <c r="CU301" s="68"/>
      <c r="CV301" s="5"/>
      <c r="CW301" s="25"/>
      <c r="CX301" s="72"/>
      <c r="CY301" s="102"/>
      <c r="CZ301" s="5"/>
      <c r="DA301" s="47"/>
      <c r="DB301" s="46"/>
      <c r="DC301" s="5"/>
      <c r="DD301" s="5"/>
      <c r="DE301" s="5"/>
      <c r="DF301" s="5"/>
      <c r="DG301" s="5"/>
      <c r="DH301" s="203"/>
      <c r="DI301" s="203"/>
      <c r="DJ301" s="46"/>
      <c r="DK301" s="5"/>
      <c r="EB301" s="18"/>
      <c r="EC301" s="77"/>
      <c r="ED301" s="77"/>
      <c r="EE301" s="18"/>
      <c r="EF301" s="18"/>
      <c r="EG301" s="18"/>
      <c r="EH301" s="5"/>
      <c r="EI301" s="5"/>
      <c r="EJ301" s="5"/>
      <c r="EK301" s="5"/>
      <c r="EL301" s="5"/>
      <c r="FE301" s="26"/>
      <c r="FF301" s="26"/>
      <c r="FG301" s="26"/>
      <c r="FH301" s="26"/>
      <c r="FI301" s="26"/>
      <c r="FJ301" s="26"/>
      <c r="FK301" s="26"/>
      <c r="FL301" s="26"/>
      <c r="FM301" s="26"/>
      <c r="FN301" s="205"/>
      <c r="FO301" s="205"/>
      <c r="FP301" s="205"/>
      <c r="FQ301" s="205"/>
      <c r="FR301" s="205"/>
      <c r="FS301" s="205"/>
      <c r="FT301" s="205"/>
      <c r="FU301" s="77"/>
      <c r="FV301" s="77"/>
      <c r="FW301" s="77"/>
      <c r="FX301" s="205"/>
      <c r="FY301" s="205"/>
      <c r="FZ301" s="205"/>
      <c r="GA301" s="205"/>
      <c r="GB301" s="205"/>
      <c r="GC301" s="205"/>
      <c r="GD301" s="205"/>
      <c r="GE301" s="205"/>
      <c r="GF301" s="205"/>
      <c r="GG301" s="205"/>
      <c r="GH301" s="205"/>
      <c r="GI301" s="205"/>
      <c r="GJ301" s="205"/>
      <c r="GK301" s="205"/>
      <c r="GL301" s="205"/>
      <c r="GM301" s="205"/>
      <c r="GN301" s="205"/>
      <c r="GO301" s="205"/>
      <c r="GP301" s="205"/>
      <c r="GQ301" s="205"/>
      <c r="GR301" s="205"/>
      <c r="GS301" s="205"/>
      <c r="GT301" s="205"/>
      <c r="GU301" s="205"/>
      <c r="GV301" s="18"/>
      <c r="GW301" s="5"/>
      <c r="GX301" s="5"/>
      <c r="GY301" s="77"/>
      <c r="GZ301" s="18"/>
      <c r="HA301" s="18"/>
      <c r="HB301" s="18"/>
      <c r="HC301" s="18"/>
      <c r="HD301" s="18"/>
      <c r="HE301" s="18"/>
      <c r="HF301" s="18"/>
      <c r="HG301" s="18"/>
      <c r="HH301" s="205"/>
      <c r="HI301" s="26"/>
      <c r="HJ301" s="26"/>
      <c r="HK301" s="5"/>
    </row>
    <row r="302" spans="40:219">
      <c r="AN302" s="26"/>
      <c r="AO302" s="26"/>
      <c r="AP302" s="15"/>
      <c r="AQ302" s="5"/>
      <c r="AR302" s="26"/>
      <c r="AS302" s="26"/>
      <c r="AT302" s="26"/>
      <c r="AU302" s="26"/>
      <c r="AV302" s="95"/>
      <c r="AW302" s="95"/>
      <c r="AX302" s="95"/>
      <c r="AY302" s="54"/>
      <c r="AZ302" s="54"/>
      <c r="BA302" s="15"/>
      <c r="BB302" s="54"/>
      <c r="BC302" s="54"/>
      <c r="BD302" s="22"/>
      <c r="BE302" s="23"/>
      <c r="BL302" s="92"/>
      <c r="BN302" s="5"/>
      <c r="BO302" s="54"/>
      <c r="BP302" s="5"/>
      <c r="BQ302" s="5"/>
      <c r="BR302" s="24"/>
      <c r="BS302" s="25"/>
      <c r="BT302" s="25"/>
      <c r="BU302" s="25"/>
      <c r="BV302" s="25"/>
      <c r="BW302" s="25"/>
      <c r="BX302" s="25"/>
      <c r="BY302" s="25"/>
      <c r="BZ302" s="25"/>
      <c r="CA302" s="25"/>
      <c r="CB302" s="25"/>
      <c r="CC302" s="5"/>
      <c r="CD302" s="5"/>
      <c r="CE302" s="5"/>
      <c r="CF302" s="5"/>
      <c r="CG302" s="5"/>
      <c r="CH302" s="5"/>
      <c r="CI302" s="68"/>
      <c r="CJ302" s="5"/>
      <c r="CK302" s="5"/>
      <c r="CL302" s="102"/>
      <c r="CM302" s="5"/>
      <c r="CN302" s="5"/>
      <c r="CO302" s="5"/>
      <c r="CP302" s="25"/>
      <c r="CQ302" s="68"/>
      <c r="CR302" s="68"/>
      <c r="CS302" s="5"/>
      <c r="CT302" s="5"/>
      <c r="CU302" s="68"/>
      <c r="CV302" s="5"/>
      <c r="CW302" s="25"/>
      <c r="CX302" s="72"/>
      <c r="CY302" s="102"/>
      <c r="CZ302" s="5"/>
      <c r="DA302" s="47"/>
      <c r="DB302" s="46"/>
      <c r="DC302" s="5"/>
      <c r="DD302" s="5"/>
      <c r="DE302" s="5"/>
      <c r="DF302" s="5"/>
      <c r="DG302" s="5"/>
      <c r="DH302" s="203"/>
      <c r="DI302" s="203"/>
      <c r="DJ302" s="46"/>
      <c r="DK302" s="5"/>
      <c r="EB302" s="18"/>
      <c r="EC302" s="77"/>
      <c r="ED302" s="77"/>
      <c r="EE302" s="18"/>
      <c r="EF302" s="18"/>
      <c r="EG302" s="18"/>
      <c r="EH302" s="5"/>
      <c r="EI302" s="5"/>
      <c r="EJ302" s="5"/>
      <c r="EK302" s="5"/>
      <c r="EL302" s="5"/>
      <c r="FE302" s="26"/>
      <c r="FF302" s="26"/>
      <c r="FG302" s="26"/>
      <c r="FH302" s="26"/>
      <c r="FI302" s="26"/>
      <c r="FJ302" s="26"/>
      <c r="FK302" s="26"/>
      <c r="FL302" s="26"/>
      <c r="FM302" s="26"/>
      <c r="FN302" s="205"/>
      <c r="FO302" s="205"/>
      <c r="FP302" s="205"/>
      <c r="FQ302" s="205"/>
      <c r="FR302" s="205"/>
      <c r="FS302" s="205"/>
      <c r="FT302" s="205"/>
      <c r="FU302" s="77"/>
      <c r="FV302" s="77"/>
      <c r="FW302" s="77"/>
      <c r="FX302" s="205"/>
      <c r="FY302" s="205"/>
      <c r="FZ302" s="205"/>
      <c r="GA302" s="205"/>
      <c r="GB302" s="205"/>
      <c r="GC302" s="205"/>
      <c r="GD302" s="205"/>
      <c r="GE302" s="205"/>
      <c r="GF302" s="205"/>
      <c r="GG302" s="205"/>
      <c r="GH302" s="205"/>
      <c r="GI302" s="205"/>
      <c r="GJ302" s="205"/>
      <c r="GK302" s="205"/>
      <c r="GL302" s="205"/>
      <c r="GM302" s="205"/>
      <c r="GN302" s="205"/>
      <c r="GO302" s="205"/>
      <c r="GP302" s="205"/>
      <c r="GQ302" s="205"/>
      <c r="GR302" s="205"/>
      <c r="GS302" s="205"/>
      <c r="GT302" s="205"/>
      <c r="GU302" s="205"/>
      <c r="GV302" s="18"/>
      <c r="GW302" s="5"/>
      <c r="GX302" s="5"/>
      <c r="GY302" s="77"/>
      <c r="GZ302" s="18"/>
      <c r="HA302" s="18"/>
      <c r="HB302" s="18"/>
      <c r="HC302" s="18"/>
      <c r="HD302" s="18"/>
      <c r="HE302" s="18"/>
      <c r="HF302" s="18"/>
      <c r="HG302" s="18"/>
      <c r="HH302" s="205"/>
      <c r="HI302" s="26"/>
      <c r="HJ302" s="26"/>
      <c r="HK302" s="5"/>
    </row>
    <row r="303" spans="40:219">
      <c r="AN303" s="26"/>
      <c r="AO303" s="26"/>
      <c r="AP303" s="15"/>
      <c r="AQ303" s="5"/>
      <c r="AR303" s="26"/>
      <c r="AS303" s="26"/>
      <c r="AT303" s="26"/>
      <c r="AU303" s="26"/>
      <c r="AV303" s="95"/>
      <c r="AW303" s="95"/>
      <c r="AX303" s="95"/>
      <c r="AY303" s="54"/>
      <c r="AZ303" s="54"/>
      <c r="BA303" s="15"/>
      <c r="BB303" s="54"/>
      <c r="BC303" s="54"/>
      <c r="BD303" s="22"/>
      <c r="BE303" s="23"/>
      <c r="BL303" s="92"/>
      <c r="BN303" s="5"/>
      <c r="BO303" s="54"/>
      <c r="BP303" s="5"/>
      <c r="BQ303" s="5"/>
      <c r="BR303" s="24"/>
      <c r="BS303" s="25"/>
      <c r="BT303" s="25"/>
      <c r="BU303" s="25"/>
      <c r="BV303" s="25"/>
      <c r="BW303" s="25"/>
      <c r="BX303" s="25"/>
      <c r="BY303" s="25"/>
      <c r="BZ303" s="25"/>
      <c r="CA303" s="25"/>
      <c r="CB303" s="25"/>
      <c r="CC303" s="5"/>
      <c r="CD303" s="5"/>
      <c r="CE303" s="5"/>
      <c r="CF303" s="5"/>
      <c r="CG303" s="5"/>
      <c r="CH303" s="5"/>
      <c r="CI303" s="68"/>
      <c r="CJ303" s="5"/>
      <c r="CK303" s="5"/>
      <c r="CL303" s="102"/>
      <c r="CM303" s="5"/>
      <c r="CN303" s="5"/>
      <c r="CO303" s="5"/>
      <c r="CP303" s="25"/>
      <c r="CQ303" s="68"/>
      <c r="CR303" s="68"/>
      <c r="CS303" s="5"/>
      <c r="CT303" s="5"/>
      <c r="CU303" s="68"/>
      <c r="CV303" s="5"/>
      <c r="CW303" s="25"/>
      <c r="CX303" s="72"/>
      <c r="CY303" s="102"/>
      <c r="CZ303" s="5"/>
      <c r="DA303" s="47"/>
      <c r="DB303" s="46"/>
      <c r="DC303" s="5"/>
      <c r="DD303" s="5"/>
      <c r="DE303" s="5"/>
      <c r="DF303" s="5"/>
      <c r="DG303" s="5"/>
      <c r="DH303" s="203"/>
      <c r="DI303" s="203"/>
      <c r="DJ303" s="46"/>
      <c r="DK303" s="5"/>
      <c r="EB303" s="18"/>
      <c r="EC303" s="77"/>
      <c r="ED303" s="77"/>
      <c r="EE303" s="18"/>
      <c r="EF303" s="18"/>
      <c r="EG303" s="18"/>
      <c r="EH303" s="5"/>
      <c r="EI303" s="5"/>
      <c r="EJ303" s="5"/>
      <c r="EK303" s="5"/>
      <c r="EL303" s="5"/>
      <c r="FE303" s="26"/>
      <c r="FF303" s="26"/>
      <c r="FG303" s="26"/>
      <c r="FH303" s="26"/>
      <c r="FI303" s="26"/>
      <c r="FJ303" s="26"/>
      <c r="FK303" s="26"/>
      <c r="FL303" s="26"/>
      <c r="FM303" s="26"/>
      <c r="FN303" s="205"/>
      <c r="FO303" s="205"/>
      <c r="FP303" s="205"/>
      <c r="FQ303" s="205"/>
      <c r="FR303" s="205"/>
      <c r="FS303" s="205"/>
      <c r="FT303" s="205"/>
      <c r="FU303" s="77"/>
      <c r="FV303" s="77"/>
      <c r="FW303" s="77"/>
      <c r="FX303" s="205"/>
      <c r="FY303" s="205"/>
      <c r="FZ303" s="205"/>
      <c r="GA303" s="205"/>
      <c r="GB303" s="205"/>
      <c r="GC303" s="205"/>
      <c r="GD303" s="205"/>
      <c r="GE303" s="205"/>
      <c r="GF303" s="205"/>
      <c r="GG303" s="205"/>
      <c r="GH303" s="205"/>
      <c r="GI303" s="205"/>
      <c r="GJ303" s="205"/>
      <c r="GK303" s="205"/>
      <c r="GL303" s="205"/>
      <c r="GM303" s="205"/>
      <c r="GN303" s="205"/>
      <c r="GO303" s="205"/>
      <c r="GP303" s="205"/>
      <c r="GQ303" s="205"/>
      <c r="GR303" s="205"/>
      <c r="GS303" s="205"/>
      <c r="GT303" s="205"/>
      <c r="GU303" s="205"/>
      <c r="GV303" s="18"/>
      <c r="GW303" s="5"/>
      <c r="GX303" s="5"/>
      <c r="GY303" s="77"/>
      <c r="GZ303" s="18"/>
      <c r="HA303" s="18"/>
      <c r="HB303" s="18"/>
      <c r="HC303" s="18"/>
      <c r="HD303" s="18"/>
      <c r="HE303" s="18"/>
      <c r="HF303" s="18"/>
      <c r="HG303" s="18"/>
      <c r="HH303" s="205"/>
      <c r="HI303" s="26"/>
      <c r="HJ303" s="26"/>
      <c r="HK303" s="5"/>
    </row>
    <row r="304" spans="40:219">
      <c r="AN304" s="26"/>
      <c r="AO304" s="26"/>
      <c r="AP304" s="15"/>
      <c r="AQ304" s="5"/>
      <c r="AR304" s="26"/>
      <c r="AS304" s="26"/>
      <c r="AT304" s="26"/>
      <c r="AU304" s="26"/>
      <c r="AV304" s="95"/>
      <c r="AW304" s="95"/>
      <c r="AX304" s="95"/>
      <c r="AY304" s="54"/>
      <c r="AZ304" s="54"/>
      <c r="BA304" s="15"/>
      <c r="BB304" s="54"/>
      <c r="BC304" s="54"/>
      <c r="BD304" s="22"/>
      <c r="BE304" s="23"/>
      <c r="BL304" s="92"/>
      <c r="BN304" s="5"/>
      <c r="BO304" s="54"/>
      <c r="BP304" s="5"/>
      <c r="BQ304" s="5"/>
      <c r="BR304" s="24"/>
      <c r="BS304" s="25"/>
      <c r="BT304" s="25"/>
      <c r="BU304" s="25"/>
      <c r="BV304" s="25"/>
      <c r="BW304" s="25"/>
      <c r="BX304" s="25"/>
      <c r="BY304" s="25"/>
      <c r="BZ304" s="25"/>
      <c r="CA304" s="25"/>
      <c r="CB304" s="25"/>
      <c r="CC304" s="5"/>
      <c r="CD304" s="5"/>
      <c r="CE304" s="5"/>
      <c r="CF304" s="5"/>
      <c r="CG304" s="5"/>
      <c r="CH304" s="5"/>
      <c r="CI304" s="68"/>
      <c r="CJ304" s="5"/>
      <c r="CK304" s="5"/>
      <c r="CL304" s="102"/>
      <c r="CM304" s="5"/>
      <c r="CN304" s="5"/>
      <c r="CO304" s="5"/>
      <c r="CP304" s="25"/>
      <c r="CQ304" s="68"/>
      <c r="CR304" s="68"/>
      <c r="CS304" s="5"/>
      <c r="CT304" s="5"/>
      <c r="CU304" s="68"/>
      <c r="CV304" s="5"/>
      <c r="CW304" s="25"/>
      <c r="CX304" s="72"/>
      <c r="CY304" s="102"/>
      <c r="CZ304" s="5"/>
      <c r="DA304" s="47"/>
      <c r="DB304" s="46"/>
      <c r="DC304" s="5"/>
      <c r="DD304" s="5"/>
      <c r="DE304" s="5"/>
      <c r="DF304" s="5"/>
      <c r="DG304" s="5"/>
      <c r="DH304" s="203"/>
      <c r="DI304" s="203"/>
      <c r="DJ304" s="46"/>
      <c r="DK304" s="5"/>
      <c r="EB304" s="18"/>
      <c r="EC304" s="77"/>
      <c r="ED304" s="77"/>
      <c r="EE304" s="18"/>
      <c r="EF304" s="18"/>
      <c r="EG304" s="18"/>
      <c r="EH304" s="5"/>
      <c r="EI304" s="5"/>
      <c r="EJ304" s="5"/>
      <c r="EK304" s="5"/>
      <c r="EL304" s="5"/>
      <c r="FE304" s="26"/>
      <c r="FF304" s="26"/>
      <c r="FG304" s="26"/>
      <c r="FH304" s="26"/>
      <c r="FI304" s="26"/>
      <c r="FJ304" s="26"/>
      <c r="FK304" s="26"/>
      <c r="FL304" s="26"/>
      <c r="FM304" s="26"/>
      <c r="FN304" s="205"/>
      <c r="FO304" s="205"/>
      <c r="FP304" s="205"/>
      <c r="FQ304" s="205"/>
      <c r="FR304" s="205"/>
      <c r="FS304" s="205"/>
      <c r="FT304" s="205"/>
      <c r="FU304" s="77"/>
      <c r="FV304" s="77"/>
      <c r="FW304" s="77"/>
      <c r="FX304" s="205"/>
      <c r="FY304" s="205"/>
      <c r="FZ304" s="205"/>
      <c r="GA304" s="205"/>
      <c r="GB304" s="205"/>
      <c r="GC304" s="205"/>
      <c r="GD304" s="205"/>
      <c r="GE304" s="205"/>
      <c r="GF304" s="205"/>
      <c r="GG304" s="205"/>
      <c r="GH304" s="205"/>
      <c r="GI304" s="205"/>
      <c r="GJ304" s="205"/>
      <c r="GK304" s="205"/>
      <c r="GL304" s="205"/>
      <c r="GM304" s="205"/>
      <c r="GN304" s="205"/>
      <c r="GO304" s="205"/>
      <c r="GP304" s="205"/>
      <c r="GQ304" s="205"/>
      <c r="GR304" s="205"/>
      <c r="GS304" s="205"/>
      <c r="GT304" s="205"/>
      <c r="GU304" s="205"/>
      <c r="GV304" s="18"/>
      <c r="GW304" s="5"/>
      <c r="GX304" s="5"/>
      <c r="GY304" s="77"/>
      <c r="GZ304" s="18"/>
      <c r="HA304" s="18"/>
      <c r="HB304" s="18"/>
      <c r="HC304" s="18"/>
      <c r="HD304" s="18"/>
      <c r="HE304" s="18"/>
      <c r="HF304" s="18"/>
      <c r="HG304" s="18"/>
      <c r="HH304" s="205"/>
      <c r="HI304" s="26"/>
      <c r="HJ304" s="26"/>
      <c r="HK304" s="5"/>
    </row>
    <row r="305" spans="40:219">
      <c r="AN305" s="26"/>
      <c r="AO305" s="26"/>
      <c r="AP305" s="15"/>
      <c r="AQ305" s="5"/>
      <c r="AR305" s="26"/>
      <c r="AS305" s="26"/>
      <c r="AT305" s="26"/>
      <c r="AU305" s="26"/>
      <c r="AV305" s="95"/>
      <c r="AW305" s="95"/>
      <c r="AX305" s="95"/>
      <c r="AY305" s="54"/>
      <c r="AZ305" s="54"/>
      <c r="BA305" s="15"/>
      <c r="BB305" s="54"/>
      <c r="BC305" s="54"/>
      <c r="BD305" s="22"/>
      <c r="BE305" s="23"/>
      <c r="BL305" s="92"/>
      <c r="BN305" s="5"/>
      <c r="BO305" s="54"/>
      <c r="BP305" s="5"/>
      <c r="BQ305" s="5"/>
      <c r="BR305" s="24"/>
      <c r="BS305" s="25"/>
      <c r="BT305" s="25"/>
      <c r="BU305" s="25"/>
      <c r="BV305" s="25"/>
      <c r="BW305" s="25"/>
      <c r="BX305" s="25"/>
      <c r="BY305" s="25"/>
      <c r="BZ305" s="25"/>
      <c r="CA305" s="25"/>
      <c r="CB305" s="25"/>
      <c r="CC305" s="5"/>
      <c r="CD305" s="5"/>
      <c r="CE305" s="5"/>
      <c r="CF305" s="5"/>
      <c r="CG305" s="5"/>
      <c r="CH305" s="5"/>
      <c r="CI305" s="68"/>
      <c r="CJ305" s="5"/>
      <c r="CK305" s="5"/>
      <c r="CL305" s="102"/>
      <c r="CM305" s="5"/>
      <c r="CN305" s="5"/>
      <c r="CO305" s="5"/>
      <c r="CP305" s="25"/>
      <c r="CQ305" s="68"/>
      <c r="CR305" s="68"/>
      <c r="CS305" s="5"/>
      <c r="CT305" s="5"/>
      <c r="CU305" s="68"/>
      <c r="CV305" s="5"/>
      <c r="CW305" s="25"/>
      <c r="CX305" s="72"/>
      <c r="CY305" s="102"/>
      <c r="CZ305" s="5"/>
      <c r="DA305" s="47"/>
      <c r="DB305" s="46"/>
      <c r="DC305" s="5"/>
      <c r="DD305" s="5"/>
      <c r="DE305" s="5"/>
      <c r="DF305" s="5"/>
      <c r="DG305" s="5"/>
      <c r="DH305" s="203"/>
      <c r="DI305" s="203"/>
      <c r="DJ305" s="46"/>
      <c r="DK305" s="5"/>
      <c r="EB305" s="18"/>
      <c r="EC305" s="77"/>
      <c r="ED305" s="77"/>
      <c r="EE305" s="18"/>
      <c r="EF305" s="18"/>
      <c r="EG305" s="18"/>
      <c r="EH305" s="5"/>
      <c r="EI305" s="5"/>
      <c r="EJ305" s="5"/>
      <c r="EK305" s="5"/>
      <c r="EL305" s="5"/>
      <c r="FE305" s="26"/>
      <c r="FF305" s="26"/>
      <c r="FG305" s="26"/>
      <c r="FH305" s="26"/>
      <c r="FI305" s="26"/>
      <c r="FJ305" s="26"/>
      <c r="FK305" s="26"/>
      <c r="FL305" s="26"/>
      <c r="FM305" s="26"/>
      <c r="FN305" s="205"/>
      <c r="FO305" s="205"/>
      <c r="FP305" s="205"/>
      <c r="FQ305" s="205"/>
      <c r="FR305" s="205"/>
      <c r="FS305" s="205"/>
      <c r="FT305" s="205"/>
      <c r="FU305" s="77"/>
      <c r="FV305" s="77"/>
      <c r="FW305" s="77"/>
      <c r="FX305" s="205"/>
      <c r="FY305" s="205"/>
      <c r="FZ305" s="205"/>
      <c r="GA305" s="205"/>
      <c r="GB305" s="205"/>
      <c r="GC305" s="205"/>
      <c r="GD305" s="205"/>
      <c r="GE305" s="205"/>
      <c r="GF305" s="205"/>
      <c r="GG305" s="205"/>
      <c r="GH305" s="205"/>
      <c r="GI305" s="205"/>
      <c r="GJ305" s="205"/>
      <c r="GK305" s="205"/>
      <c r="GL305" s="205"/>
      <c r="GM305" s="205"/>
      <c r="GN305" s="205"/>
      <c r="GO305" s="205"/>
      <c r="GP305" s="205"/>
      <c r="GQ305" s="205"/>
      <c r="GR305" s="205"/>
      <c r="GS305" s="205"/>
      <c r="GT305" s="205"/>
      <c r="GU305" s="205"/>
      <c r="GV305" s="18"/>
      <c r="GW305" s="5"/>
      <c r="GX305" s="5"/>
      <c r="GY305" s="77"/>
      <c r="GZ305" s="18"/>
      <c r="HA305" s="18"/>
      <c r="HB305" s="18"/>
      <c r="HC305" s="18"/>
      <c r="HD305" s="18"/>
      <c r="HE305" s="18"/>
      <c r="HF305" s="18"/>
      <c r="HG305" s="18"/>
      <c r="HH305" s="205"/>
      <c r="HI305" s="26"/>
      <c r="HJ305" s="26"/>
      <c r="HK305" s="5"/>
    </row>
    <row r="306" spans="40:219">
      <c r="AN306" s="26"/>
      <c r="AO306" s="26"/>
      <c r="AP306" s="15"/>
      <c r="AQ306" s="5"/>
      <c r="AR306" s="26"/>
      <c r="AS306" s="26"/>
      <c r="AT306" s="26"/>
      <c r="AU306" s="26"/>
      <c r="AV306" s="95"/>
      <c r="AW306" s="95"/>
      <c r="AX306" s="95"/>
      <c r="AY306" s="54"/>
      <c r="AZ306" s="54"/>
      <c r="BA306" s="15"/>
      <c r="BB306" s="54"/>
      <c r="BC306" s="54"/>
      <c r="BD306" s="22"/>
      <c r="BE306" s="23"/>
      <c r="BL306" s="92"/>
      <c r="BN306" s="5"/>
      <c r="BO306" s="54"/>
      <c r="BP306" s="5"/>
      <c r="BQ306" s="5"/>
      <c r="BR306" s="24"/>
      <c r="BS306" s="25"/>
      <c r="BT306" s="25"/>
      <c r="BU306" s="25"/>
      <c r="BV306" s="25"/>
      <c r="BW306" s="25"/>
      <c r="BX306" s="25"/>
      <c r="BY306" s="25"/>
      <c r="BZ306" s="25"/>
      <c r="CA306" s="25"/>
      <c r="CB306" s="25"/>
      <c r="CC306" s="5"/>
      <c r="CD306" s="5"/>
      <c r="CE306" s="5"/>
      <c r="CF306" s="5"/>
      <c r="CG306" s="5"/>
      <c r="CH306" s="5"/>
      <c r="CI306" s="68"/>
      <c r="CJ306" s="5"/>
      <c r="CK306" s="5"/>
      <c r="CL306" s="102"/>
      <c r="CM306" s="5"/>
      <c r="CN306" s="5"/>
      <c r="CO306" s="5"/>
      <c r="CP306" s="25"/>
      <c r="CQ306" s="68"/>
      <c r="CR306" s="68"/>
      <c r="CS306" s="5"/>
      <c r="CT306" s="5"/>
      <c r="CU306" s="68"/>
      <c r="CV306" s="5"/>
      <c r="CW306" s="25"/>
      <c r="CX306" s="72"/>
      <c r="CY306" s="102"/>
      <c r="CZ306" s="5"/>
      <c r="DA306" s="47"/>
      <c r="DB306" s="46"/>
      <c r="DC306" s="5"/>
      <c r="DD306" s="5"/>
      <c r="DE306" s="5"/>
      <c r="DF306" s="5"/>
      <c r="DG306" s="5"/>
      <c r="DH306" s="203"/>
      <c r="DI306" s="203"/>
      <c r="DJ306" s="46"/>
      <c r="DK306" s="5"/>
      <c r="EB306" s="18"/>
      <c r="EC306" s="77"/>
      <c r="ED306" s="77"/>
      <c r="EE306" s="18"/>
      <c r="EF306" s="18"/>
      <c r="EG306" s="18"/>
      <c r="EH306" s="5"/>
      <c r="EI306" s="5"/>
      <c r="EJ306" s="5"/>
      <c r="EK306" s="5"/>
      <c r="EL306" s="5"/>
      <c r="FE306" s="26"/>
      <c r="FF306" s="26"/>
      <c r="FG306" s="26"/>
      <c r="FH306" s="26"/>
      <c r="FI306" s="26"/>
      <c r="FJ306" s="26"/>
      <c r="FK306" s="26"/>
      <c r="FL306" s="26"/>
      <c r="FM306" s="26"/>
      <c r="FN306" s="205"/>
      <c r="FO306" s="205"/>
      <c r="FP306" s="205"/>
      <c r="FQ306" s="205"/>
      <c r="FR306" s="205"/>
      <c r="FS306" s="205"/>
      <c r="FT306" s="205"/>
      <c r="FU306" s="77"/>
      <c r="FV306" s="77"/>
      <c r="FW306" s="77"/>
      <c r="FX306" s="205"/>
      <c r="FY306" s="205"/>
      <c r="FZ306" s="205"/>
      <c r="GA306" s="205"/>
      <c r="GB306" s="205"/>
      <c r="GC306" s="205"/>
      <c r="GD306" s="205"/>
      <c r="GE306" s="205"/>
      <c r="GF306" s="205"/>
      <c r="GG306" s="205"/>
      <c r="GH306" s="205"/>
      <c r="GI306" s="205"/>
      <c r="GJ306" s="205"/>
      <c r="GK306" s="205"/>
      <c r="GL306" s="205"/>
      <c r="GM306" s="205"/>
      <c r="GN306" s="205"/>
      <c r="GO306" s="205"/>
      <c r="GP306" s="205"/>
      <c r="GQ306" s="205"/>
      <c r="GR306" s="205"/>
      <c r="GS306" s="205"/>
      <c r="GT306" s="205"/>
      <c r="GU306" s="205"/>
      <c r="GV306" s="18"/>
      <c r="GW306" s="5"/>
      <c r="GX306" s="5"/>
      <c r="GY306" s="77"/>
      <c r="GZ306" s="18"/>
      <c r="HA306" s="18"/>
      <c r="HB306" s="18"/>
      <c r="HC306" s="18"/>
      <c r="HD306" s="18"/>
      <c r="HE306" s="18"/>
      <c r="HF306" s="18"/>
      <c r="HG306" s="18"/>
      <c r="HH306" s="205"/>
      <c r="HI306" s="26"/>
      <c r="HJ306" s="26"/>
      <c r="HK306" s="5"/>
    </row>
    <row r="307" spans="40:219">
      <c r="AN307" s="26"/>
      <c r="AO307" s="26"/>
      <c r="AP307" s="15"/>
      <c r="AQ307" s="5"/>
      <c r="AR307" s="26"/>
      <c r="AS307" s="26"/>
      <c r="AT307" s="26"/>
      <c r="AU307" s="26"/>
      <c r="AV307" s="95"/>
      <c r="AW307" s="95"/>
      <c r="AX307" s="95"/>
      <c r="AY307" s="54"/>
      <c r="AZ307" s="54"/>
      <c r="BA307" s="15"/>
      <c r="BB307" s="54"/>
      <c r="BC307" s="54"/>
      <c r="BD307" s="22"/>
      <c r="BE307" s="23"/>
      <c r="BL307" s="92"/>
      <c r="BN307" s="5"/>
      <c r="BO307" s="54"/>
      <c r="BP307" s="5"/>
      <c r="BQ307" s="5"/>
      <c r="BR307" s="24"/>
      <c r="BS307" s="25"/>
      <c r="BT307" s="25"/>
      <c r="BU307" s="25"/>
      <c r="BV307" s="25"/>
      <c r="BW307" s="25"/>
      <c r="BX307" s="25"/>
      <c r="BY307" s="25"/>
      <c r="BZ307" s="25"/>
      <c r="CA307" s="25"/>
      <c r="CB307" s="25"/>
      <c r="CC307" s="5"/>
      <c r="CD307" s="5"/>
      <c r="CE307" s="5"/>
      <c r="CF307" s="5"/>
      <c r="CG307" s="5"/>
      <c r="CH307" s="5"/>
      <c r="CI307" s="68"/>
      <c r="CJ307" s="5"/>
      <c r="CK307" s="5"/>
      <c r="CL307" s="102"/>
      <c r="CM307" s="5"/>
      <c r="CN307" s="5"/>
      <c r="CO307" s="5"/>
      <c r="CP307" s="25"/>
      <c r="CQ307" s="68"/>
      <c r="CR307" s="68"/>
      <c r="CS307" s="5"/>
      <c r="CT307" s="5"/>
      <c r="CU307" s="68"/>
      <c r="CV307" s="5"/>
      <c r="CW307" s="25"/>
      <c r="CX307" s="72"/>
      <c r="CY307" s="102"/>
      <c r="CZ307" s="5"/>
      <c r="DA307" s="47"/>
      <c r="DB307" s="46"/>
      <c r="DC307" s="5"/>
      <c r="DD307" s="5"/>
      <c r="DE307" s="5"/>
      <c r="DF307" s="5"/>
      <c r="DG307" s="5"/>
      <c r="DH307" s="203"/>
      <c r="DI307" s="203"/>
      <c r="DJ307" s="46"/>
      <c r="DK307" s="5"/>
      <c r="EB307" s="18"/>
      <c r="EC307" s="77"/>
      <c r="ED307" s="77"/>
      <c r="EE307" s="18"/>
      <c r="EF307" s="18"/>
      <c r="EG307" s="18"/>
      <c r="EH307" s="5"/>
      <c r="EI307" s="5"/>
      <c r="EJ307" s="5"/>
      <c r="EK307" s="5"/>
      <c r="EL307" s="5"/>
      <c r="FE307" s="26"/>
      <c r="FF307" s="26"/>
      <c r="FG307" s="26"/>
      <c r="FH307" s="26"/>
      <c r="FI307" s="26"/>
      <c r="FJ307" s="26"/>
      <c r="FK307" s="26"/>
      <c r="FL307" s="26"/>
      <c r="FM307" s="26"/>
      <c r="FN307" s="205"/>
      <c r="FO307" s="205"/>
      <c r="FP307" s="205"/>
      <c r="FQ307" s="205"/>
      <c r="FR307" s="205"/>
      <c r="FS307" s="205"/>
      <c r="FT307" s="205"/>
      <c r="FU307" s="77"/>
      <c r="FV307" s="77"/>
      <c r="FW307" s="77"/>
      <c r="FX307" s="205"/>
      <c r="FY307" s="205"/>
      <c r="FZ307" s="205"/>
      <c r="GA307" s="205"/>
      <c r="GB307" s="205"/>
      <c r="GC307" s="205"/>
      <c r="GD307" s="205"/>
      <c r="GE307" s="205"/>
      <c r="GF307" s="205"/>
      <c r="GG307" s="205"/>
      <c r="GH307" s="205"/>
      <c r="GI307" s="205"/>
      <c r="GJ307" s="205"/>
      <c r="GK307" s="205"/>
      <c r="GL307" s="205"/>
      <c r="GM307" s="205"/>
      <c r="GN307" s="205"/>
      <c r="GO307" s="205"/>
      <c r="GP307" s="205"/>
      <c r="GQ307" s="205"/>
      <c r="GR307" s="205"/>
      <c r="GS307" s="205"/>
      <c r="GT307" s="205"/>
      <c r="GU307" s="205"/>
      <c r="GV307" s="18"/>
      <c r="GW307" s="5"/>
      <c r="GX307" s="5"/>
      <c r="GY307" s="77"/>
      <c r="GZ307" s="18"/>
      <c r="HA307" s="18"/>
      <c r="HB307" s="18"/>
      <c r="HC307" s="18"/>
      <c r="HD307" s="18"/>
      <c r="HE307" s="18"/>
      <c r="HF307" s="18"/>
      <c r="HG307" s="18"/>
      <c r="HH307" s="205"/>
      <c r="HI307" s="26"/>
      <c r="HJ307" s="26"/>
      <c r="HK307" s="5"/>
    </row>
    <row r="308" spans="40:219">
      <c r="AN308" s="26"/>
      <c r="AO308" s="26"/>
      <c r="AP308" s="15"/>
      <c r="AQ308" s="5"/>
      <c r="AR308" s="26"/>
      <c r="AS308" s="26"/>
      <c r="AT308" s="26"/>
      <c r="AU308" s="26"/>
      <c r="AV308" s="95"/>
      <c r="AW308" s="95"/>
      <c r="AX308" s="95"/>
      <c r="AY308" s="54"/>
      <c r="AZ308" s="54"/>
      <c r="BA308" s="15"/>
      <c r="BB308" s="54"/>
      <c r="BC308" s="54"/>
      <c r="BD308" s="22"/>
      <c r="BE308" s="23"/>
      <c r="BL308" s="92"/>
      <c r="BN308" s="5"/>
      <c r="BO308" s="54"/>
      <c r="BP308" s="5"/>
      <c r="BQ308" s="5"/>
      <c r="BR308" s="24"/>
      <c r="BS308" s="25"/>
      <c r="BT308" s="25"/>
      <c r="BU308" s="25"/>
      <c r="BV308" s="25"/>
      <c r="BW308" s="25"/>
      <c r="BX308" s="25"/>
      <c r="BY308" s="25"/>
      <c r="BZ308" s="25"/>
      <c r="CA308" s="25"/>
      <c r="CB308" s="25"/>
      <c r="CC308" s="5"/>
      <c r="CD308" s="5"/>
      <c r="CE308" s="5"/>
      <c r="CF308" s="5"/>
      <c r="CG308" s="5"/>
      <c r="CH308" s="5"/>
      <c r="CI308" s="68"/>
      <c r="CJ308" s="5"/>
      <c r="CK308" s="5"/>
      <c r="CL308" s="102"/>
      <c r="CM308" s="5"/>
      <c r="CN308" s="5"/>
      <c r="CO308" s="5"/>
      <c r="CP308" s="25"/>
      <c r="CQ308" s="68"/>
      <c r="CR308" s="68"/>
      <c r="CS308" s="5"/>
      <c r="CT308" s="5"/>
      <c r="CU308" s="68"/>
      <c r="CV308" s="5"/>
      <c r="CW308" s="25"/>
      <c r="CX308" s="72"/>
      <c r="CY308" s="102"/>
      <c r="CZ308" s="5"/>
      <c r="DA308" s="47"/>
      <c r="DB308" s="46"/>
      <c r="DC308" s="5"/>
      <c r="DD308" s="5"/>
      <c r="DE308" s="5"/>
      <c r="DF308" s="5"/>
      <c r="DG308" s="5"/>
      <c r="DH308" s="203"/>
      <c r="DI308" s="203"/>
      <c r="DJ308" s="46"/>
      <c r="DK308" s="5"/>
      <c r="EB308" s="18"/>
      <c r="EC308" s="77"/>
      <c r="ED308" s="77"/>
      <c r="EE308" s="18"/>
      <c r="EF308" s="18"/>
      <c r="EG308" s="18"/>
      <c r="EH308" s="5"/>
      <c r="EI308" s="5"/>
      <c r="EJ308" s="5"/>
      <c r="EK308" s="5"/>
      <c r="EL308" s="5"/>
      <c r="FE308" s="26"/>
      <c r="FF308" s="26"/>
      <c r="FG308" s="26"/>
      <c r="FH308" s="26"/>
      <c r="FI308" s="26"/>
      <c r="FJ308" s="26"/>
      <c r="FK308" s="26"/>
      <c r="FL308" s="26"/>
      <c r="FM308" s="26"/>
      <c r="FN308" s="205"/>
      <c r="FO308" s="205"/>
      <c r="FP308" s="205"/>
      <c r="FQ308" s="205"/>
      <c r="FR308" s="205"/>
      <c r="FS308" s="205"/>
      <c r="FT308" s="205"/>
      <c r="FU308" s="77"/>
      <c r="FV308" s="77"/>
      <c r="FW308" s="77"/>
      <c r="FX308" s="205"/>
      <c r="FY308" s="205"/>
      <c r="FZ308" s="205"/>
      <c r="GA308" s="205"/>
      <c r="GB308" s="205"/>
      <c r="GC308" s="205"/>
      <c r="GD308" s="205"/>
      <c r="GE308" s="205"/>
      <c r="GF308" s="205"/>
      <c r="GG308" s="205"/>
      <c r="GH308" s="205"/>
      <c r="GI308" s="205"/>
      <c r="GJ308" s="205"/>
      <c r="GK308" s="205"/>
      <c r="GL308" s="205"/>
      <c r="GM308" s="205"/>
      <c r="GN308" s="205"/>
      <c r="GO308" s="205"/>
      <c r="GP308" s="205"/>
      <c r="GQ308" s="205"/>
      <c r="GR308" s="205"/>
      <c r="GS308" s="205"/>
      <c r="GT308" s="205"/>
      <c r="GU308" s="205"/>
      <c r="GV308" s="18"/>
      <c r="GW308" s="5"/>
      <c r="GX308" s="5"/>
      <c r="GY308" s="77"/>
      <c r="GZ308" s="18"/>
      <c r="HA308" s="18"/>
      <c r="HB308" s="18"/>
      <c r="HC308" s="18"/>
      <c r="HD308" s="18"/>
      <c r="HE308" s="18"/>
      <c r="HF308" s="18"/>
      <c r="HG308" s="18"/>
      <c r="HH308" s="205"/>
      <c r="HI308" s="26"/>
      <c r="HJ308" s="26"/>
      <c r="HK308" s="5"/>
    </row>
    <row r="309" spans="40:219">
      <c r="AN309" s="26"/>
      <c r="AO309" s="26"/>
      <c r="AP309" s="15"/>
      <c r="AQ309" s="5"/>
      <c r="AR309" s="26"/>
      <c r="AS309" s="26"/>
      <c r="AT309" s="26"/>
      <c r="AU309" s="26"/>
      <c r="AV309" s="95"/>
      <c r="AW309" s="95"/>
      <c r="AX309" s="95"/>
      <c r="AY309" s="54"/>
      <c r="AZ309" s="54"/>
      <c r="BA309" s="15"/>
      <c r="BB309" s="54"/>
      <c r="BC309" s="54"/>
      <c r="BD309" s="22"/>
      <c r="BE309" s="23"/>
      <c r="BL309" s="92"/>
      <c r="BN309" s="5"/>
      <c r="BO309" s="54"/>
      <c r="BP309" s="5"/>
      <c r="BQ309" s="5"/>
      <c r="BR309" s="24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5"/>
      <c r="CD309" s="5"/>
      <c r="CE309" s="5"/>
      <c r="CF309" s="5"/>
      <c r="CG309" s="5"/>
      <c r="CH309" s="5"/>
      <c r="CI309" s="68"/>
      <c r="CJ309" s="5"/>
      <c r="CK309" s="5"/>
      <c r="CL309" s="102"/>
      <c r="CM309" s="5"/>
      <c r="CN309" s="5"/>
      <c r="CO309" s="5"/>
      <c r="CP309" s="25"/>
      <c r="CQ309" s="68"/>
      <c r="CR309" s="68"/>
      <c r="CS309" s="5"/>
      <c r="CT309" s="5"/>
      <c r="CU309" s="68"/>
      <c r="CV309" s="5"/>
      <c r="CW309" s="25"/>
      <c r="CX309" s="72"/>
      <c r="CY309" s="102"/>
      <c r="CZ309" s="5"/>
      <c r="DA309" s="47"/>
      <c r="DB309" s="46"/>
      <c r="DC309" s="5"/>
      <c r="DD309" s="5"/>
      <c r="DE309" s="5"/>
      <c r="DF309" s="5"/>
      <c r="DG309" s="5"/>
      <c r="DH309" s="203"/>
      <c r="DI309" s="203"/>
      <c r="DJ309" s="46"/>
      <c r="DK309" s="5"/>
      <c r="EB309" s="18"/>
      <c r="EC309" s="77"/>
      <c r="ED309" s="77"/>
      <c r="EE309" s="18"/>
      <c r="EF309" s="18"/>
      <c r="EG309" s="18"/>
      <c r="EH309" s="5"/>
      <c r="EI309" s="5"/>
      <c r="EJ309" s="5"/>
      <c r="EK309" s="5"/>
      <c r="EL309" s="5"/>
      <c r="FE309" s="26"/>
      <c r="FF309" s="26"/>
      <c r="FG309" s="26"/>
      <c r="FH309" s="26"/>
      <c r="FI309" s="26"/>
      <c r="FJ309" s="26"/>
      <c r="FK309" s="26"/>
      <c r="FL309" s="26"/>
      <c r="FM309" s="26"/>
      <c r="FN309" s="205"/>
      <c r="FO309" s="205"/>
      <c r="FP309" s="205"/>
      <c r="FQ309" s="205"/>
      <c r="FR309" s="205"/>
      <c r="FS309" s="205"/>
      <c r="FT309" s="205"/>
      <c r="FU309" s="77"/>
      <c r="FV309" s="77"/>
      <c r="FW309" s="77"/>
      <c r="FX309" s="205"/>
      <c r="FY309" s="205"/>
      <c r="FZ309" s="205"/>
      <c r="GA309" s="205"/>
      <c r="GB309" s="205"/>
      <c r="GC309" s="205"/>
      <c r="GD309" s="205"/>
      <c r="GE309" s="205"/>
      <c r="GF309" s="205"/>
      <c r="GG309" s="205"/>
      <c r="GH309" s="205"/>
      <c r="GI309" s="205"/>
      <c r="GJ309" s="205"/>
      <c r="GK309" s="205"/>
      <c r="GL309" s="205"/>
      <c r="GM309" s="205"/>
      <c r="GN309" s="205"/>
      <c r="GO309" s="205"/>
      <c r="GP309" s="205"/>
      <c r="GQ309" s="205"/>
      <c r="GR309" s="205"/>
      <c r="GS309" s="205"/>
      <c r="GT309" s="205"/>
      <c r="GU309" s="205"/>
      <c r="GV309" s="18"/>
      <c r="GW309" s="5"/>
      <c r="GX309" s="5"/>
      <c r="GY309" s="77"/>
      <c r="GZ309" s="18"/>
      <c r="HA309" s="18"/>
      <c r="HB309" s="18"/>
      <c r="HC309" s="18"/>
      <c r="HD309" s="18"/>
      <c r="HE309" s="18"/>
      <c r="HF309" s="18"/>
      <c r="HG309" s="18"/>
      <c r="HH309" s="205"/>
      <c r="HI309" s="26"/>
      <c r="HJ309" s="26"/>
      <c r="HK309" s="5"/>
    </row>
    <row r="310" spans="40:219">
      <c r="AN310" s="26"/>
      <c r="AO310" s="26"/>
      <c r="AP310" s="15"/>
      <c r="AQ310" s="5"/>
      <c r="AR310" s="26"/>
      <c r="AS310" s="26"/>
      <c r="AT310" s="26"/>
      <c r="AU310" s="26"/>
      <c r="AV310" s="95"/>
      <c r="AW310" s="95"/>
      <c r="AX310" s="95"/>
      <c r="AY310" s="54"/>
      <c r="AZ310" s="54"/>
      <c r="BA310" s="15"/>
      <c r="BB310" s="54"/>
      <c r="BC310" s="54"/>
      <c r="BD310" s="22"/>
      <c r="BE310" s="23"/>
      <c r="BL310" s="92"/>
      <c r="BN310" s="5"/>
      <c r="BO310" s="54"/>
      <c r="BP310" s="5"/>
      <c r="BQ310" s="5"/>
      <c r="BR310" s="24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5"/>
      <c r="CD310" s="5"/>
      <c r="CE310" s="5"/>
      <c r="CF310" s="5"/>
      <c r="CG310" s="5"/>
      <c r="CH310" s="5"/>
      <c r="CI310" s="68"/>
      <c r="CJ310" s="5"/>
      <c r="CK310" s="5"/>
      <c r="CL310" s="102"/>
      <c r="CM310" s="5"/>
      <c r="CN310" s="5"/>
      <c r="CO310" s="5"/>
      <c r="CP310" s="25"/>
      <c r="CQ310" s="68"/>
      <c r="CR310" s="68"/>
      <c r="CS310" s="5"/>
      <c r="CT310" s="5"/>
      <c r="CU310" s="68"/>
      <c r="CV310" s="5"/>
      <c r="CW310" s="25"/>
      <c r="CX310" s="72"/>
      <c r="CY310" s="102"/>
      <c r="CZ310" s="5"/>
      <c r="DA310" s="47"/>
      <c r="DB310" s="46"/>
      <c r="DC310" s="5"/>
      <c r="DD310" s="5"/>
      <c r="DE310" s="5"/>
      <c r="DF310" s="5"/>
      <c r="DG310" s="5"/>
      <c r="DH310" s="203"/>
      <c r="DI310" s="203"/>
      <c r="DJ310" s="46"/>
      <c r="DK310" s="5"/>
      <c r="EB310" s="18"/>
      <c r="EC310" s="77"/>
      <c r="ED310" s="77"/>
      <c r="EE310" s="18"/>
      <c r="EF310" s="18"/>
      <c r="EG310" s="18"/>
      <c r="EH310" s="5"/>
      <c r="EI310" s="5"/>
      <c r="EJ310" s="5"/>
      <c r="EK310" s="5"/>
      <c r="EL310" s="5"/>
      <c r="FE310" s="26"/>
      <c r="FF310" s="26"/>
      <c r="FG310" s="26"/>
      <c r="FH310" s="26"/>
      <c r="FI310" s="26"/>
      <c r="FJ310" s="26"/>
      <c r="FK310" s="26"/>
      <c r="FL310" s="26"/>
      <c r="FM310" s="26"/>
      <c r="FN310" s="205"/>
      <c r="FO310" s="205"/>
      <c r="FP310" s="205"/>
      <c r="FQ310" s="205"/>
      <c r="FR310" s="205"/>
      <c r="FS310" s="205"/>
      <c r="FT310" s="205"/>
      <c r="FU310" s="77"/>
      <c r="FV310" s="77"/>
      <c r="FW310" s="77"/>
      <c r="FX310" s="205"/>
      <c r="FY310" s="205"/>
      <c r="FZ310" s="205"/>
      <c r="GA310" s="205"/>
      <c r="GB310" s="205"/>
      <c r="GC310" s="205"/>
      <c r="GD310" s="205"/>
      <c r="GE310" s="205"/>
      <c r="GF310" s="205"/>
      <c r="GG310" s="205"/>
      <c r="GH310" s="205"/>
      <c r="GI310" s="205"/>
      <c r="GJ310" s="205"/>
      <c r="GK310" s="205"/>
      <c r="GL310" s="205"/>
      <c r="GM310" s="205"/>
      <c r="GN310" s="205"/>
      <c r="GO310" s="205"/>
      <c r="GP310" s="205"/>
      <c r="GQ310" s="205"/>
      <c r="GR310" s="205"/>
      <c r="GS310" s="205"/>
      <c r="GT310" s="205"/>
      <c r="GU310" s="205"/>
      <c r="GV310" s="18"/>
      <c r="GW310" s="5"/>
      <c r="GX310" s="5"/>
      <c r="GY310" s="77"/>
      <c r="GZ310" s="18"/>
      <c r="HA310" s="18"/>
      <c r="HB310" s="18"/>
      <c r="HC310" s="18"/>
      <c r="HD310" s="18"/>
      <c r="HE310" s="18"/>
      <c r="HF310" s="18"/>
      <c r="HG310" s="18"/>
      <c r="HH310" s="205"/>
      <c r="HI310" s="26"/>
      <c r="HJ310" s="26"/>
      <c r="HK310" s="5"/>
    </row>
    <row r="311" spans="40:219">
      <c r="AN311" s="26"/>
      <c r="AO311" s="26"/>
      <c r="AP311" s="15"/>
      <c r="AQ311" s="5"/>
      <c r="AR311" s="26"/>
      <c r="AS311" s="26"/>
      <c r="AT311" s="26"/>
      <c r="AU311" s="26"/>
      <c r="AV311" s="95"/>
      <c r="AW311" s="95"/>
      <c r="AX311" s="95"/>
      <c r="AY311" s="54"/>
      <c r="AZ311" s="54"/>
      <c r="BA311" s="15"/>
      <c r="BB311" s="54"/>
      <c r="BC311" s="54"/>
      <c r="BD311" s="22"/>
      <c r="BE311" s="23"/>
      <c r="BL311" s="92"/>
      <c r="BN311" s="5"/>
      <c r="BO311" s="54"/>
      <c r="BP311" s="5"/>
      <c r="BQ311" s="5"/>
      <c r="BR311" s="24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5"/>
      <c r="CD311" s="5"/>
      <c r="CE311" s="5"/>
      <c r="CF311" s="5"/>
      <c r="CG311" s="5"/>
      <c r="CH311" s="5"/>
      <c r="CI311" s="68"/>
      <c r="CJ311" s="5"/>
      <c r="CK311" s="5"/>
      <c r="CL311" s="102"/>
      <c r="CM311" s="5"/>
      <c r="CN311" s="5"/>
      <c r="CO311" s="5"/>
      <c r="CP311" s="25"/>
      <c r="CQ311" s="68"/>
      <c r="CR311" s="68"/>
      <c r="CS311" s="5"/>
      <c r="CT311" s="5"/>
      <c r="CU311" s="68"/>
      <c r="CV311" s="5"/>
      <c r="CW311" s="25"/>
      <c r="CX311" s="72"/>
      <c r="CY311" s="102"/>
      <c r="CZ311" s="5"/>
      <c r="DA311" s="47"/>
      <c r="DB311" s="46"/>
      <c r="DC311" s="5"/>
      <c r="DD311" s="5"/>
      <c r="DE311" s="5"/>
      <c r="DF311" s="5"/>
      <c r="DG311" s="5"/>
      <c r="DH311" s="203"/>
      <c r="DI311" s="203"/>
      <c r="DJ311" s="46"/>
      <c r="DK311" s="5"/>
      <c r="EB311" s="18"/>
      <c r="EC311" s="77"/>
      <c r="ED311" s="77"/>
      <c r="EE311" s="18"/>
      <c r="EF311" s="18"/>
      <c r="EG311" s="18"/>
      <c r="EH311" s="5"/>
      <c r="EI311" s="5"/>
      <c r="EJ311" s="5"/>
      <c r="EK311" s="5"/>
      <c r="EL311" s="5"/>
      <c r="FE311" s="26"/>
      <c r="FF311" s="26"/>
      <c r="FG311" s="26"/>
      <c r="FH311" s="26"/>
      <c r="FI311" s="26"/>
      <c r="FJ311" s="26"/>
      <c r="FK311" s="26"/>
      <c r="FL311" s="26"/>
      <c r="FM311" s="26"/>
      <c r="FN311" s="205"/>
      <c r="FO311" s="205"/>
      <c r="FP311" s="205"/>
      <c r="FQ311" s="205"/>
      <c r="FR311" s="205"/>
      <c r="FS311" s="205"/>
      <c r="FT311" s="205"/>
      <c r="FU311" s="77"/>
      <c r="FV311" s="77"/>
      <c r="FW311" s="77"/>
      <c r="FX311" s="205"/>
      <c r="FY311" s="205"/>
      <c r="FZ311" s="205"/>
      <c r="GA311" s="205"/>
      <c r="GB311" s="205"/>
      <c r="GC311" s="205"/>
      <c r="GD311" s="205"/>
      <c r="GE311" s="205"/>
      <c r="GF311" s="205"/>
      <c r="GG311" s="205"/>
      <c r="GH311" s="205"/>
      <c r="GI311" s="205"/>
      <c r="GJ311" s="205"/>
      <c r="GK311" s="205"/>
      <c r="GL311" s="205"/>
      <c r="GM311" s="205"/>
      <c r="GN311" s="205"/>
      <c r="GO311" s="205"/>
      <c r="GP311" s="205"/>
      <c r="GQ311" s="205"/>
      <c r="GR311" s="205"/>
      <c r="GS311" s="205"/>
      <c r="GT311" s="205"/>
      <c r="GU311" s="205"/>
      <c r="GV311" s="18"/>
      <c r="GW311" s="5"/>
      <c r="GX311" s="5"/>
      <c r="GY311" s="77"/>
      <c r="GZ311" s="18"/>
      <c r="HA311" s="18"/>
      <c r="HB311" s="18"/>
      <c r="HC311" s="18"/>
      <c r="HD311" s="18"/>
      <c r="HE311" s="18"/>
      <c r="HF311" s="18"/>
      <c r="HG311" s="18"/>
      <c r="HH311" s="205"/>
      <c r="HI311" s="26"/>
      <c r="HJ311" s="26"/>
      <c r="HK311" s="5"/>
    </row>
    <row r="312" spans="40:219">
      <c r="AN312" s="26"/>
      <c r="AO312" s="26"/>
      <c r="AP312" s="15"/>
      <c r="AQ312" s="5"/>
      <c r="AR312" s="26"/>
      <c r="AS312" s="26"/>
      <c r="AT312" s="26"/>
      <c r="AU312" s="26"/>
      <c r="AV312" s="95"/>
      <c r="AW312" s="95"/>
      <c r="AX312" s="95"/>
      <c r="AY312" s="54"/>
      <c r="AZ312" s="54"/>
      <c r="BA312" s="15"/>
      <c r="BB312" s="54"/>
      <c r="BC312" s="54"/>
      <c r="BD312" s="22"/>
      <c r="BE312" s="23"/>
      <c r="BL312" s="92"/>
      <c r="BN312" s="5"/>
      <c r="BO312" s="54"/>
      <c r="BP312" s="5"/>
      <c r="BQ312" s="5"/>
      <c r="BR312" s="24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5"/>
      <c r="CD312" s="5"/>
      <c r="CE312" s="5"/>
      <c r="CF312" s="5"/>
      <c r="CG312" s="5"/>
      <c r="CH312" s="5"/>
      <c r="CI312" s="68"/>
      <c r="CJ312" s="5"/>
      <c r="CK312" s="5"/>
      <c r="CL312" s="102"/>
      <c r="CM312" s="5"/>
      <c r="CN312" s="5"/>
      <c r="CO312" s="5"/>
      <c r="CP312" s="25"/>
      <c r="CQ312" s="68"/>
      <c r="CR312" s="68"/>
      <c r="CS312" s="5"/>
      <c r="CT312" s="5"/>
      <c r="CU312" s="68"/>
      <c r="CV312" s="5"/>
      <c r="CW312" s="25"/>
      <c r="CX312" s="72"/>
      <c r="CY312" s="102"/>
      <c r="CZ312" s="5"/>
      <c r="DA312" s="47"/>
      <c r="DB312" s="46"/>
      <c r="DC312" s="5"/>
      <c r="DD312" s="5"/>
      <c r="DE312" s="5"/>
      <c r="DF312" s="5"/>
      <c r="DG312" s="5"/>
      <c r="DH312" s="203"/>
      <c r="DI312" s="203"/>
      <c r="DJ312" s="46"/>
      <c r="DK312" s="5"/>
      <c r="EB312" s="18"/>
      <c r="EC312" s="77"/>
      <c r="ED312" s="77"/>
      <c r="EE312" s="18"/>
      <c r="EF312" s="18"/>
      <c r="EG312" s="18"/>
      <c r="EH312" s="5"/>
      <c r="EI312" s="5"/>
      <c r="EJ312" s="5"/>
      <c r="EK312" s="5"/>
      <c r="EL312" s="5"/>
      <c r="FE312" s="26"/>
      <c r="FF312" s="26"/>
      <c r="FG312" s="26"/>
      <c r="FH312" s="26"/>
      <c r="FI312" s="26"/>
      <c r="FJ312" s="26"/>
      <c r="FK312" s="26"/>
      <c r="FL312" s="26"/>
      <c r="FM312" s="26"/>
      <c r="FN312" s="205"/>
      <c r="FO312" s="205"/>
      <c r="FP312" s="205"/>
      <c r="FQ312" s="205"/>
      <c r="FR312" s="205"/>
      <c r="FS312" s="205"/>
      <c r="FT312" s="205"/>
      <c r="FU312" s="77"/>
      <c r="FV312" s="77"/>
      <c r="FW312" s="77"/>
      <c r="FX312" s="205"/>
      <c r="FY312" s="205"/>
      <c r="FZ312" s="205"/>
      <c r="GA312" s="205"/>
      <c r="GB312" s="205"/>
      <c r="GC312" s="205"/>
      <c r="GD312" s="205"/>
      <c r="GE312" s="205"/>
      <c r="GF312" s="205"/>
      <c r="GG312" s="205"/>
      <c r="GH312" s="205"/>
      <c r="GI312" s="205"/>
      <c r="GJ312" s="205"/>
      <c r="GK312" s="205"/>
      <c r="GL312" s="205"/>
      <c r="GM312" s="205"/>
      <c r="GN312" s="205"/>
      <c r="GO312" s="205"/>
      <c r="GP312" s="205"/>
      <c r="GQ312" s="205"/>
      <c r="GR312" s="205"/>
      <c r="GS312" s="205"/>
      <c r="GT312" s="205"/>
      <c r="GU312" s="205"/>
      <c r="GV312" s="18"/>
      <c r="GW312" s="5"/>
      <c r="GX312" s="5"/>
      <c r="GY312" s="77"/>
      <c r="GZ312" s="18"/>
      <c r="HA312" s="18"/>
      <c r="HB312" s="18"/>
      <c r="HC312" s="18"/>
      <c r="HD312" s="18"/>
      <c r="HE312" s="18"/>
      <c r="HF312" s="18"/>
      <c r="HG312" s="18"/>
      <c r="HH312" s="205"/>
      <c r="HI312" s="26"/>
      <c r="HJ312" s="26"/>
      <c r="HK312" s="5"/>
    </row>
    <row r="313" spans="40:219">
      <c r="AN313" s="26"/>
      <c r="AO313" s="26"/>
      <c r="AP313" s="15"/>
      <c r="AQ313" s="5"/>
      <c r="AR313" s="26"/>
      <c r="AS313" s="26"/>
      <c r="AT313" s="26"/>
      <c r="AU313" s="26"/>
      <c r="AV313" s="95"/>
      <c r="AW313" s="95"/>
      <c r="AX313" s="95"/>
      <c r="AY313" s="54"/>
      <c r="AZ313" s="54"/>
      <c r="BA313" s="15"/>
      <c r="BB313" s="54"/>
      <c r="BC313" s="54"/>
      <c r="BD313" s="22"/>
      <c r="BE313" s="23"/>
      <c r="BL313" s="92"/>
      <c r="BN313" s="5"/>
      <c r="BO313" s="54"/>
      <c r="BP313" s="5"/>
      <c r="BQ313" s="5"/>
      <c r="BR313" s="24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5"/>
      <c r="CD313" s="5"/>
      <c r="CE313" s="5"/>
      <c r="CF313" s="5"/>
      <c r="CG313" s="5"/>
      <c r="CH313" s="5"/>
      <c r="CI313" s="68"/>
      <c r="CJ313" s="5"/>
      <c r="CK313" s="5"/>
      <c r="CL313" s="102"/>
      <c r="CM313" s="5"/>
      <c r="CN313" s="5"/>
      <c r="CO313" s="5"/>
      <c r="CP313" s="25"/>
      <c r="CQ313" s="68"/>
      <c r="CR313" s="68"/>
      <c r="CS313" s="5"/>
      <c r="CT313" s="5"/>
      <c r="CU313" s="68"/>
      <c r="CV313" s="5"/>
      <c r="CW313" s="25"/>
      <c r="CX313" s="72"/>
      <c r="CY313" s="102"/>
      <c r="CZ313" s="5"/>
      <c r="DA313" s="47"/>
      <c r="DB313" s="46"/>
      <c r="DC313" s="5"/>
      <c r="DD313" s="5"/>
      <c r="DE313" s="5"/>
      <c r="DF313" s="5"/>
      <c r="DG313" s="5"/>
      <c r="DH313" s="203"/>
      <c r="DI313" s="203"/>
      <c r="DJ313" s="46"/>
      <c r="DK313" s="5"/>
      <c r="EB313" s="18"/>
      <c r="EC313" s="77"/>
      <c r="ED313" s="77"/>
      <c r="EE313" s="18"/>
      <c r="EF313" s="18"/>
      <c r="EG313" s="18"/>
      <c r="EH313" s="5"/>
      <c r="EI313" s="5"/>
      <c r="EJ313" s="5"/>
      <c r="EK313" s="5"/>
      <c r="EL313" s="5"/>
      <c r="FE313" s="26"/>
      <c r="FF313" s="26"/>
      <c r="FG313" s="26"/>
      <c r="FH313" s="26"/>
      <c r="FI313" s="26"/>
      <c r="FJ313" s="26"/>
      <c r="FK313" s="26"/>
      <c r="FL313" s="26"/>
      <c r="FM313" s="26"/>
      <c r="FN313" s="205"/>
      <c r="FO313" s="205"/>
      <c r="FP313" s="205"/>
      <c r="FQ313" s="205"/>
      <c r="FR313" s="205"/>
      <c r="FS313" s="205"/>
      <c r="FT313" s="205"/>
      <c r="FU313" s="77"/>
      <c r="FV313" s="77"/>
      <c r="FW313" s="77"/>
      <c r="FX313" s="205"/>
      <c r="FY313" s="205"/>
      <c r="FZ313" s="205"/>
      <c r="GA313" s="205"/>
      <c r="GB313" s="205"/>
      <c r="GC313" s="205"/>
      <c r="GD313" s="205"/>
      <c r="GE313" s="205"/>
      <c r="GF313" s="205"/>
      <c r="GG313" s="205"/>
      <c r="GH313" s="205"/>
      <c r="GI313" s="205"/>
      <c r="GJ313" s="205"/>
      <c r="GK313" s="205"/>
      <c r="GL313" s="205"/>
      <c r="GM313" s="205"/>
      <c r="GN313" s="205"/>
      <c r="GO313" s="205"/>
      <c r="GP313" s="205"/>
      <c r="GQ313" s="205"/>
      <c r="GR313" s="205"/>
      <c r="GS313" s="205"/>
      <c r="GT313" s="205"/>
      <c r="GU313" s="205"/>
      <c r="GV313" s="18"/>
      <c r="GW313" s="5"/>
      <c r="GX313" s="5"/>
      <c r="GY313" s="77"/>
      <c r="GZ313" s="18"/>
      <c r="HA313" s="18"/>
      <c r="HB313" s="18"/>
      <c r="HC313" s="18"/>
      <c r="HD313" s="18"/>
      <c r="HE313" s="18"/>
      <c r="HF313" s="18"/>
      <c r="HG313" s="18"/>
      <c r="HH313" s="205"/>
      <c r="HI313" s="26"/>
      <c r="HJ313" s="26"/>
      <c r="HK313" s="5"/>
    </row>
    <row r="314" spans="40:219">
      <c r="AN314" s="26"/>
      <c r="AO314" s="26"/>
      <c r="AP314" s="15"/>
      <c r="AQ314" s="5"/>
      <c r="AR314" s="26"/>
      <c r="AS314" s="26"/>
      <c r="AT314" s="26"/>
      <c r="AU314" s="26"/>
      <c r="AV314" s="95"/>
      <c r="AW314" s="95"/>
      <c r="AX314" s="95"/>
      <c r="AY314" s="54"/>
      <c r="AZ314" s="54"/>
      <c r="BA314" s="15"/>
      <c r="BB314" s="54"/>
      <c r="BC314" s="54"/>
      <c r="BD314" s="22"/>
      <c r="BE314" s="23"/>
      <c r="BL314" s="92"/>
      <c r="BN314" s="5"/>
      <c r="BO314" s="54"/>
      <c r="BP314" s="5"/>
      <c r="BQ314" s="5"/>
      <c r="BR314" s="24"/>
      <c r="BS314" s="25"/>
      <c r="BT314" s="25"/>
      <c r="BU314" s="25"/>
      <c r="BV314" s="25"/>
      <c r="BW314" s="25"/>
      <c r="BX314" s="25"/>
      <c r="BY314" s="25"/>
      <c r="BZ314" s="25"/>
      <c r="CA314" s="25"/>
      <c r="CB314" s="25"/>
      <c r="CC314" s="5"/>
      <c r="CD314" s="5"/>
      <c r="CE314" s="5"/>
      <c r="CF314" s="5"/>
      <c r="CG314" s="5"/>
      <c r="CH314" s="5"/>
      <c r="CI314" s="68"/>
      <c r="CJ314" s="5"/>
      <c r="CK314" s="5"/>
      <c r="CL314" s="102"/>
      <c r="CM314" s="5"/>
      <c r="CN314" s="5"/>
      <c r="CO314" s="5"/>
      <c r="CP314" s="25"/>
      <c r="CQ314" s="68"/>
      <c r="CR314" s="68"/>
      <c r="CS314" s="5"/>
      <c r="CT314" s="5"/>
      <c r="CU314" s="68"/>
      <c r="CV314" s="5"/>
      <c r="CW314" s="25"/>
      <c r="CX314" s="72"/>
      <c r="CY314" s="102"/>
      <c r="CZ314" s="5"/>
      <c r="DA314" s="47"/>
      <c r="DB314" s="46"/>
      <c r="DC314" s="5"/>
      <c r="DD314" s="5"/>
      <c r="DE314" s="5"/>
      <c r="DF314" s="5"/>
      <c r="DG314" s="5"/>
      <c r="DH314" s="203"/>
      <c r="DI314" s="203"/>
      <c r="DJ314" s="46"/>
      <c r="DK314" s="5"/>
      <c r="EB314" s="18"/>
      <c r="EC314" s="77"/>
      <c r="ED314" s="77"/>
      <c r="EE314" s="18"/>
      <c r="EF314" s="18"/>
      <c r="EG314" s="18"/>
      <c r="EH314" s="5"/>
      <c r="EI314" s="5"/>
      <c r="EJ314" s="5"/>
      <c r="EK314" s="5"/>
      <c r="EL314" s="5"/>
      <c r="FE314" s="26"/>
      <c r="FF314" s="26"/>
      <c r="FG314" s="26"/>
      <c r="FH314" s="26"/>
      <c r="FI314" s="26"/>
      <c r="FJ314" s="26"/>
      <c r="FK314" s="26"/>
      <c r="FL314" s="26"/>
      <c r="FM314" s="26"/>
      <c r="FN314" s="205"/>
      <c r="FO314" s="205"/>
      <c r="FP314" s="205"/>
      <c r="FQ314" s="205"/>
      <c r="FR314" s="205"/>
      <c r="FS314" s="205"/>
      <c r="FT314" s="205"/>
      <c r="FU314" s="77"/>
      <c r="FV314" s="77"/>
      <c r="FW314" s="77"/>
      <c r="FX314" s="205"/>
      <c r="FY314" s="205"/>
      <c r="FZ314" s="205"/>
      <c r="GA314" s="205"/>
      <c r="GB314" s="205"/>
      <c r="GC314" s="205"/>
      <c r="GD314" s="205"/>
      <c r="GE314" s="205"/>
      <c r="GF314" s="205"/>
      <c r="GG314" s="205"/>
      <c r="GH314" s="205"/>
      <c r="GI314" s="205"/>
      <c r="GJ314" s="205"/>
      <c r="GK314" s="205"/>
      <c r="GL314" s="205"/>
      <c r="GM314" s="205"/>
      <c r="GN314" s="205"/>
      <c r="GO314" s="205"/>
      <c r="GP314" s="205"/>
      <c r="GQ314" s="205"/>
      <c r="GR314" s="205"/>
      <c r="GS314" s="205"/>
      <c r="GT314" s="205"/>
      <c r="GU314" s="205"/>
      <c r="GV314" s="18"/>
      <c r="GW314" s="5"/>
      <c r="GX314" s="5"/>
      <c r="GY314" s="77"/>
      <c r="GZ314" s="18"/>
      <c r="HA314" s="18"/>
      <c r="HB314" s="18"/>
      <c r="HC314" s="18"/>
      <c r="HD314" s="18"/>
      <c r="HE314" s="18"/>
      <c r="HF314" s="18"/>
      <c r="HG314" s="18"/>
      <c r="HH314" s="205"/>
      <c r="HI314" s="26"/>
      <c r="HJ314" s="26"/>
      <c r="HK314" s="5"/>
    </row>
    <row r="315" spans="40:219">
      <c r="AN315" s="26"/>
      <c r="AO315" s="26"/>
      <c r="AP315" s="15"/>
      <c r="AQ315" s="5"/>
      <c r="AR315" s="26"/>
      <c r="AS315" s="26"/>
      <c r="AT315" s="26"/>
      <c r="AU315" s="26"/>
      <c r="AV315" s="95"/>
      <c r="AW315" s="95"/>
      <c r="AX315" s="95"/>
      <c r="AY315" s="54"/>
      <c r="AZ315" s="54"/>
      <c r="BA315" s="15"/>
      <c r="BB315" s="54"/>
      <c r="BC315" s="54"/>
      <c r="BD315" s="22"/>
      <c r="BE315" s="23"/>
      <c r="BL315" s="92"/>
      <c r="BN315" s="5"/>
      <c r="BO315" s="54"/>
      <c r="BP315" s="5"/>
      <c r="BQ315" s="5"/>
      <c r="BR315" s="24"/>
      <c r="BS315" s="25"/>
      <c r="BT315" s="25"/>
      <c r="BU315" s="25"/>
      <c r="BV315" s="25"/>
      <c r="BW315" s="25"/>
      <c r="BX315" s="25"/>
      <c r="BY315" s="25"/>
      <c r="BZ315" s="25"/>
      <c r="CA315" s="25"/>
      <c r="CB315" s="25"/>
      <c r="CC315" s="5"/>
      <c r="CD315" s="5"/>
      <c r="CE315" s="5"/>
      <c r="CF315" s="5"/>
      <c r="CG315" s="5"/>
      <c r="CH315" s="5"/>
      <c r="CI315" s="68"/>
      <c r="CJ315" s="5"/>
      <c r="CK315" s="5"/>
      <c r="CL315" s="102"/>
      <c r="CM315" s="5"/>
      <c r="CN315" s="5"/>
      <c r="CO315" s="5"/>
      <c r="CP315" s="25"/>
      <c r="CQ315" s="68"/>
      <c r="CR315" s="68"/>
      <c r="CS315" s="5"/>
      <c r="CT315" s="5"/>
      <c r="CU315" s="68"/>
      <c r="CV315" s="5"/>
      <c r="CW315" s="25"/>
      <c r="CX315" s="72"/>
      <c r="CY315" s="102"/>
      <c r="CZ315" s="5"/>
      <c r="DA315" s="47"/>
      <c r="DB315" s="46"/>
      <c r="DC315" s="5"/>
      <c r="DD315" s="5"/>
      <c r="DE315" s="5"/>
      <c r="DF315" s="5"/>
      <c r="DG315" s="5"/>
      <c r="DH315" s="203"/>
      <c r="DI315" s="203"/>
      <c r="DJ315" s="46"/>
      <c r="DK315" s="5"/>
      <c r="EB315" s="18"/>
      <c r="EC315" s="77"/>
      <c r="ED315" s="77"/>
      <c r="EE315" s="18"/>
      <c r="EF315" s="18"/>
      <c r="EG315" s="18"/>
      <c r="EH315" s="5"/>
      <c r="EI315" s="5"/>
      <c r="EJ315" s="5"/>
      <c r="EK315" s="5"/>
      <c r="EL315" s="5"/>
      <c r="FE315" s="26"/>
      <c r="FF315" s="26"/>
      <c r="FG315" s="26"/>
      <c r="FH315" s="26"/>
      <c r="FI315" s="26"/>
      <c r="FJ315" s="26"/>
      <c r="FK315" s="26"/>
      <c r="FL315" s="26"/>
      <c r="FM315" s="26"/>
      <c r="FN315" s="205"/>
      <c r="FO315" s="205"/>
      <c r="FP315" s="205"/>
      <c r="FQ315" s="205"/>
      <c r="FR315" s="205"/>
      <c r="FS315" s="205"/>
      <c r="FT315" s="205"/>
      <c r="FU315" s="77"/>
      <c r="FV315" s="77"/>
      <c r="FW315" s="77"/>
      <c r="FX315" s="205"/>
      <c r="FY315" s="205"/>
      <c r="FZ315" s="205"/>
      <c r="GA315" s="205"/>
      <c r="GB315" s="205"/>
      <c r="GC315" s="205"/>
      <c r="GD315" s="205"/>
      <c r="GE315" s="205"/>
      <c r="GF315" s="205"/>
      <c r="GG315" s="205"/>
      <c r="GH315" s="205"/>
      <c r="GI315" s="205"/>
      <c r="GJ315" s="205"/>
      <c r="GK315" s="205"/>
      <c r="GL315" s="205"/>
      <c r="GM315" s="205"/>
      <c r="GN315" s="205"/>
      <c r="GO315" s="205"/>
      <c r="GP315" s="205"/>
      <c r="GQ315" s="205"/>
      <c r="GR315" s="205"/>
      <c r="GS315" s="205"/>
      <c r="GT315" s="205"/>
      <c r="GU315" s="205"/>
      <c r="GV315" s="18"/>
      <c r="GW315" s="5"/>
      <c r="GX315" s="5"/>
      <c r="GY315" s="77"/>
      <c r="GZ315" s="18"/>
      <c r="HA315" s="18"/>
      <c r="HB315" s="18"/>
      <c r="HC315" s="18"/>
      <c r="HD315" s="18"/>
      <c r="HE315" s="18"/>
      <c r="HF315" s="18"/>
      <c r="HG315" s="18"/>
      <c r="HH315" s="205"/>
      <c r="HI315" s="26"/>
      <c r="HJ315" s="26"/>
      <c r="HK315" s="5"/>
    </row>
    <row r="316" spans="40:219">
      <c r="AN316" s="26"/>
      <c r="AO316" s="26"/>
      <c r="AP316" s="15"/>
      <c r="AQ316" s="5"/>
      <c r="AR316" s="26"/>
      <c r="AS316" s="26"/>
      <c r="AT316" s="26"/>
      <c r="AU316" s="26"/>
      <c r="AV316" s="95"/>
      <c r="AW316" s="95"/>
      <c r="AX316" s="95"/>
      <c r="AY316" s="54"/>
      <c r="AZ316" s="54"/>
      <c r="BA316" s="15"/>
      <c r="BB316" s="54"/>
      <c r="BC316" s="54"/>
      <c r="BD316" s="22"/>
      <c r="BE316" s="23"/>
      <c r="BL316" s="92"/>
      <c r="BN316" s="5"/>
      <c r="BO316" s="54"/>
      <c r="BP316" s="5"/>
      <c r="BQ316" s="5"/>
      <c r="BR316" s="24"/>
      <c r="BS316" s="25"/>
      <c r="BT316" s="25"/>
      <c r="BU316" s="25"/>
      <c r="BV316" s="25"/>
      <c r="BW316" s="25"/>
      <c r="BX316" s="25"/>
      <c r="BY316" s="25"/>
      <c r="BZ316" s="25"/>
      <c r="CA316" s="25"/>
      <c r="CB316" s="25"/>
      <c r="CC316" s="5"/>
      <c r="CD316" s="5"/>
      <c r="CE316" s="5"/>
      <c r="CF316" s="5"/>
      <c r="CG316" s="5"/>
      <c r="CH316" s="5"/>
      <c r="CI316" s="68"/>
      <c r="CJ316" s="5"/>
      <c r="CK316" s="5"/>
      <c r="CL316" s="102"/>
      <c r="CM316" s="5"/>
      <c r="CN316" s="5"/>
      <c r="CO316" s="5"/>
      <c r="CP316" s="25"/>
      <c r="CQ316" s="68"/>
      <c r="CR316" s="68"/>
      <c r="CS316" s="5"/>
      <c r="CT316" s="5"/>
      <c r="CU316" s="68"/>
      <c r="CV316" s="5"/>
      <c r="CW316" s="25"/>
      <c r="CX316" s="72"/>
      <c r="CY316" s="102"/>
      <c r="CZ316" s="5"/>
      <c r="DA316" s="47"/>
      <c r="DB316" s="46"/>
      <c r="DC316" s="5"/>
      <c r="DD316" s="5"/>
      <c r="DE316" s="5"/>
      <c r="DF316" s="5"/>
      <c r="DG316" s="5"/>
      <c r="DH316" s="203"/>
      <c r="DI316" s="203"/>
      <c r="DJ316" s="46"/>
      <c r="DK316" s="5"/>
      <c r="EB316" s="18"/>
      <c r="EC316" s="77"/>
      <c r="ED316" s="77"/>
      <c r="EE316" s="18"/>
      <c r="EF316" s="18"/>
      <c r="EG316" s="18"/>
      <c r="EH316" s="5"/>
      <c r="EI316" s="5"/>
      <c r="EJ316" s="5"/>
      <c r="EK316" s="5"/>
      <c r="EL316" s="5"/>
      <c r="FE316" s="26"/>
      <c r="FF316" s="26"/>
      <c r="FG316" s="26"/>
      <c r="FH316" s="26"/>
      <c r="FI316" s="26"/>
      <c r="FJ316" s="26"/>
      <c r="FK316" s="26"/>
      <c r="FL316" s="26"/>
      <c r="FM316" s="26"/>
      <c r="FN316" s="205"/>
      <c r="FO316" s="205"/>
      <c r="FP316" s="205"/>
      <c r="FQ316" s="205"/>
      <c r="FR316" s="205"/>
      <c r="FS316" s="205"/>
      <c r="FT316" s="205"/>
      <c r="FU316" s="77"/>
      <c r="FV316" s="77"/>
      <c r="FW316" s="77"/>
      <c r="FX316" s="205"/>
      <c r="FY316" s="205"/>
      <c r="FZ316" s="205"/>
      <c r="GA316" s="205"/>
      <c r="GB316" s="205"/>
      <c r="GC316" s="205"/>
      <c r="GD316" s="205"/>
      <c r="GE316" s="205"/>
      <c r="GF316" s="205"/>
      <c r="GG316" s="205"/>
      <c r="GH316" s="205"/>
      <c r="GI316" s="205"/>
      <c r="GJ316" s="205"/>
      <c r="GK316" s="205"/>
      <c r="GL316" s="205"/>
      <c r="GM316" s="205"/>
      <c r="GN316" s="205"/>
      <c r="GO316" s="205"/>
      <c r="GP316" s="205"/>
      <c r="GQ316" s="205"/>
      <c r="GR316" s="205"/>
      <c r="GS316" s="205"/>
      <c r="GT316" s="205"/>
      <c r="GU316" s="205"/>
      <c r="GV316" s="18"/>
      <c r="GW316" s="5"/>
      <c r="GX316" s="5"/>
      <c r="GY316" s="77"/>
      <c r="GZ316" s="18"/>
      <c r="HA316" s="18"/>
      <c r="HB316" s="18"/>
      <c r="HC316" s="18"/>
      <c r="HD316" s="18"/>
      <c r="HE316" s="18"/>
      <c r="HF316" s="18"/>
      <c r="HG316" s="18"/>
      <c r="HH316" s="205"/>
      <c r="HI316" s="26"/>
      <c r="HJ316" s="26"/>
      <c r="HK316" s="5"/>
    </row>
    <row r="317" spans="40:219">
      <c r="AN317" s="26"/>
      <c r="AO317" s="26"/>
      <c r="AP317" s="15"/>
      <c r="AQ317" s="5"/>
      <c r="AR317" s="26"/>
      <c r="AS317" s="26"/>
      <c r="AT317" s="26"/>
      <c r="AU317" s="26"/>
      <c r="AV317" s="95"/>
      <c r="AW317" s="95"/>
      <c r="AX317" s="95"/>
      <c r="AY317" s="54"/>
      <c r="AZ317" s="54"/>
      <c r="BA317" s="15"/>
      <c r="BB317" s="54"/>
      <c r="BC317" s="54"/>
      <c r="BD317" s="22"/>
      <c r="BE317" s="23"/>
      <c r="BL317" s="92"/>
      <c r="BN317" s="5"/>
      <c r="BO317" s="54"/>
      <c r="BP317" s="5"/>
      <c r="BQ317" s="5"/>
      <c r="BR317" s="24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5"/>
      <c r="CD317" s="5"/>
      <c r="CE317" s="5"/>
      <c r="CF317" s="5"/>
      <c r="CG317" s="5"/>
      <c r="CH317" s="5"/>
      <c r="CI317" s="68"/>
      <c r="CJ317" s="5"/>
      <c r="CK317" s="5"/>
      <c r="CL317" s="102"/>
      <c r="CM317" s="5"/>
      <c r="CN317" s="5"/>
      <c r="CO317" s="5"/>
      <c r="CP317" s="25"/>
      <c r="CQ317" s="68"/>
      <c r="CR317" s="68"/>
      <c r="CS317" s="5"/>
      <c r="CT317" s="5"/>
      <c r="CU317" s="68"/>
      <c r="CV317" s="5"/>
      <c r="CW317" s="25"/>
      <c r="CX317" s="72"/>
      <c r="CY317" s="102"/>
      <c r="CZ317" s="5"/>
      <c r="DA317" s="47"/>
      <c r="DB317" s="46"/>
      <c r="DC317" s="5"/>
      <c r="DD317" s="5"/>
      <c r="DE317" s="5"/>
      <c r="DF317" s="5"/>
      <c r="DG317" s="5"/>
      <c r="DH317" s="203"/>
      <c r="DI317" s="203"/>
      <c r="DJ317" s="46"/>
      <c r="DK317" s="5"/>
      <c r="EB317" s="18"/>
      <c r="EC317" s="77"/>
      <c r="ED317" s="77"/>
      <c r="EE317" s="18"/>
      <c r="EF317" s="18"/>
      <c r="EG317" s="18"/>
      <c r="EH317" s="5"/>
      <c r="EI317" s="5"/>
      <c r="EJ317" s="5"/>
      <c r="EK317" s="5"/>
      <c r="EL317" s="5"/>
      <c r="FE317" s="26"/>
      <c r="FF317" s="26"/>
      <c r="FG317" s="26"/>
      <c r="FH317" s="26"/>
      <c r="FI317" s="26"/>
      <c r="FJ317" s="26"/>
      <c r="FK317" s="26"/>
      <c r="FL317" s="26"/>
      <c r="FM317" s="26"/>
      <c r="FN317" s="205"/>
      <c r="FO317" s="205"/>
      <c r="FP317" s="205"/>
      <c r="FQ317" s="205"/>
      <c r="FR317" s="205"/>
      <c r="FS317" s="205"/>
      <c r="FT317" s="205"/>
      <c r="FU317" s="77"/>
      <c r="FV317" s="77"/>
      <c r="FW317" s="77"/>
      <c r="FX317" s="205"/>
      <c r="FY317" s="205"/>
      <c r="FZ317" s="205"/>
      <c r="GA317" s="205"/>
      <c r="GB317" s="205"/>
      <c r="GC317" s="205"/>
      <c r="GD317" s="205"/>
      <c r="GE317" s="205"/>
      <c r="GF317" s="205"/>
      <c r="GG317" s="205"/>
      <c r="GH317" s="205"/>
      <c r="GI317" s="205"/>
      <c r="GJ317" s="205"/>
      <c r="GK317" s="205"/>
      <c r="GL317" s="205"/>
      <c r="GM317" s="205"/>
      <c r="GN317" s="205"/>
      <c r="GO317" s="205"/>
      <c r="GP317" s="205"/>
      <c r="GQ317" s="205"/>
      <c r="GR317" s="205"/>
      <c r="GS317" s="205"/>
      <c r="GT317" s="205"/>
      <c r="GU317" s="205"/>
      <c r="GV317" s="18"/>
      <c r="GW317" s="5"/>
      <c r="GX317" s="5"/>
      <c r="GY317" s="77"/>
      <c r="GZ317" s="18"/>
      <c r="HA317" s="18"/>
      <c r="HB317" s="18"/>
      <c r="HC317" s="18"/>
      <c r="HD317" s="18"/>
      <c r="HE317" s="18"/>
      <c r="HF317" s="18"/>
      <c r="HG317" s="18"/>
      <c r="HH317" s="205"/>
      <c r="HI317" s="26"/>
      <c r="HJ317" s="26"/>
      <c r="HK317" s="5"/>
    </row>
    <row r="318" spans="40:219">
      <c r="AN318" s="26"/>
      <c r="AO318" s="26"/>
      <c r="AP318" s="15"/>
      <c r="AQ318" s="5"/>
      <c r="AR318" s="26"/>
      <c r="AS318" s="26"/>
      <c r="AT318" s="26"/>
      <c r="AU318" s="26"/>
      <c r="AV318" s="95"/>
      <c r="AW318" s="95"/>
      <c r="AX318" s="95"/>
      <c r="AY318" s="54"/>
      <c r="AZ318" s="54"/>
      <c r="BA318" s="15"/>
      <c r="BB318" s="54"/>
      <c r="BC318" s="54"/>
      <c r="BD318" s="22"/>
      <c r="BE318" s="23"/>
      <c r="BL318" s="92"/>
      <c r="BN318" s="5"/>
      <c r="BO318" s="54"/>
      <c r="BP318" s="5"/>
      <c r="BQ318" s="5"/>
      <c r="BR318" s="24"/>
      <c r="BS318" s="25"/>
      <c r="BT318" s="25"/>
      <c r="BU318" s="25"/>
      <c r="BV318" s="25"/>
      <c r="BW318" s="25"/>
      <c r="BX318" s="25"/>
      <c r="BY318" s="25"/>
      <c r="BZ318" s="25"/>
      <c r="CA318" s="25"/>
      <c r="CB318" s="25"/>
      <c r="CC318" s="5"/>
      <c r="CD318" s="5"/>
      <c r="CE318" s="5"/>
      <c r="CF318" s="5"/>
      <c r="CG318" s="5"/>
      <c r="CH318" s="5"/>
      <c r="CI318" s="68"/>
      <c r="CJ318" s="5"/>
      <c r="CK318" s="5"/>
      <c r="CL318" s="102"/>
      <c r="CM318" s="5"/>
      <c r="CN318" s="5"/>
      <c r="CO318" s="5"/>
      <c r="CP318" s="25"/>
      <c r="CQ318" s="68"/>
      <c r="CR318" s="68"/>
      <c r="CS318" s="5"/>
      <c r="CT318" s="5"/>
      <c r="CU318" s="68"/>
      <c r="CV318" s="5"/>
      <c r="CW318" s="25"/>
      <c r="CX318" s="72"/>
      <c r="CY318" s="102"/>
      <c r="CZ318" s="5"/>
      <c r="DA318" s="47"/>
      <c r="DB318" s="46"/>
      <c r="DC318" s="5"/>
      <c r="DD318" s="5"/>
      <c r="DE318" s="5"/>
      <c r="DF318" s="5"/>
      <c r="DG318" s="5"/>
      <c r="DH318" s="203"/>
      <c r="DI318" s="203"/>
      <c r="DJ318" s="46"/>
      <c r="DK318" s="5"/>
      <c r="EB318" s="18"/>
      <c r="EC318" s="77"/>
      <c r="ED318" s="77"/>
      <c r="EE318" s="18"/>
      <c r="EF318" s="18"/>
      <c r="EG318" s="18"/>
      <c r="EH318" s="5"/>
      <c r="EI318" s="5"/>
      <c r="EJ318" s="5"/>
      <c r="EK318" s="5"/>
      <c r="EL318" s="5"/>
      <c r="FE318" s="26"/>
      <c r="FF318" s="26"/>
      <c r="FG318" s="26"/>
      <c r="FH318" s="26"/>
      <c r="FI318" s="26"/>
      <c r="FJ318" s="26"/>
      <c r="FK318" s="26"/>
      <c r="FL318" s="26"/>
      <c r="FM318" s="26"/>
      <c r="FN318" s="205"/>
      <c r="FO318" s="205"/>
      <c r="FP318" s="205"/>
      <c r="FQ318" s="205"/>
      <c r="FR318" s="205"/>
      <c r="FS318" s="205"/>
      <c r="FT318" s="205"/>
      <c r="FU318" s="77"/>
      <c r="FV318" s="77"/>
      <c r="FW318" s="77"/>
      <c r="FX318" s="205"/>
      <c r="FY318" s="205"/>
      <c r="FZ318" s="205"/>
      <c r="GA318" s="205"/>
      <c r="GB318" s="205"/>
      <c r="GC318" s="205"/>
      <c r="GD318" s="205"/>
      <c r="GE318" s="205"/>
      <c r="GF318" s="205"/>
      <c r="GG318" s="205"/>
      <c r="GH318" s="205"/>
      <c r="GI318" s="205"/>
      <c r="GJ318" s="205"/>
      <c r="GK318" s="205"/>
      <c r="GL318" s="205"/>
      <c r="GM318" s="205"/>
      <c r="GN318" s="205"/>
      <c r="GO318" s="205"/>
      <c r="GP318" s="205"/>
      <c r="GQ318" s="205"/>
      <c r="GR318" s="205"/>
      <c r="GS318" s="205"/>
      <c r="GT318" s="205"/>
      <c r="GU318" s="205"/>
      <c r="GV318" s="18"/>
      <c r="GW318" s="5"/>
      <c r="GX318" s="5"/>
      <c r="GY318" s="77"/>
      <c r="GZ318" s="18"/>
      <c r="HA318" s="18"/>
      <c r="HB318" s="18"/>
      <c r="HC318" s="18"/>
      <c r="HD318" s="18"/>
      <c r="HE318" s="18"/>
      <c r="HF318" s="18"/>
      <c r="HG318" s="18"/>
      <c r="HH318" s="205"/>
      <c r="HI318" s="26"/>
      <c r="HJ318" s="26"/>
      <c r="HK318" s="5"/>
    </row>
    <row r="319" spans="40:219">
      <c r="AN319" s="26"/>
      <c r="AO319" s="26"/>
      <c r="AP319" s="15"/>
      <c r="AQ319" s="5"/>
      <c r="AR319" s="26"/>
      <c r="AS319" s="26"/>
      <c r="AT319" s="26"/>
      <c r="AU319" s="26"/>
      <c r="AV319" s="95"/>
      <c r="AW319" s="95"/>
      <c r="AX319" s="95"/>
      <c r="AY319" s="54"/>
      <c r="AZ319" s="54"/>
      <c r="BA319" s="15"/>
      <c r="BB319" s="54"/>
      <c r="BC319" s="54"/>
      <c r="BD319" s="22"/>
      <c r="BE319" s="23"/>
      <c r="BL319" s="92"/>
      <c r="BN319" s="5"/>
      <c r="BO319" s="54"/>
      <c r="BP319" s="5"/>
      <c r="BQ319" s="5"/>
      <c r="BR319" s="24"/>
      <c r="BS319" s="25"/>
      <c r="BT319" s="25"/>
      <c r="BU319" s="25"/>
      <c r="BV319" s="25"/>
      <c r="BW319" s="25"/>
      <c r="BX319" s="25"/>
      <c r="BY319" s="25"/>
      <c r="BZ319" s="25"/>
      <c r="CA319" s="25"/>
      <c r="CB319" s="25"/>
      <c r="CC319" s="5"/>
      <c r="CD319" s="5"/>
      <c r="CE319" s="5"/>
      <c r="CF319" s="5"/>
      <c r="CG319" s="5"/>
      <c r="CH319" s="5"/>
      <c r="CI319" s="68"/>
      <c r="CJ319" s="5"/>
      <c r="CK319" s="5"/>
      <c r="CL319" s="102"/>
      <c r="CM319" s="5"/>
      <c r="CN319" s="5"/>
      <c r="CO319" s="5"/>
      <c r="CP319" s="25"/>
      <c r="CQ319" s="68"/>
      <c r="CR319" s="68"/>
      <c r="CS319" s="5"/>
      <c r="CT319" s="5"/>
      <c r="CU319" s="68"/>
      <c r="CV319" s="5"/>
      <c r="CW319" s="25"/>
      <c r="CX319" s="72"/>
      <c r="CY319" s="102"/>
      <c r="CZ319" s="5"/>
      <c r="DA319" s="47"/>
      <c r="DB319" s="46"/>
      <c r="DC319" s="5"/>
      <c r="DD319" s="5"/>
      <c r="DE319" s="5"/>
      <c r="DF319" s="5"/>
      <c r="DG319" s="5"/>
      <c r="DH319" s="203"/>
      <c r="DI319" s="203"/>
      <c r="DJ319" s="46"/>
      <c r="DK319" s="5"/>
      <c r="EB319" s="18"/>
      <c r="EC319" s="77"/>
      <c r="ED319" s="77"/>
      <c r="EE319" s="18"/>
      <c r="EF319" s="18"/>
      <c r="EG319" s="18"/>
      <c r="EH319" s="5"/>
      <c r="EI319" s="5"/>
      <c r="EJ319" s="5"/>
      <c r="EK319" s="5"/>
      <c r="EL319" s="5"/>
      <c r="FE319" s="26"/>
      <c r="FF319" s="26"/>
      <c r="FG319" s="26"/>
      <c r="FH319" s="26"/>
      <c r="FI319" s="26"/>
      <c r="FJ319" s="26"/>
      <c r="FK319" s="26"/>
      <c r="FL319" s="26"/>
      <c r="FM319" s="26"/>
      <c r="FN319" s="205"/>
      <c r="FO319" s="205"/>
      <c r="FP319" s="205"/>
      <c r="FQ319" s="205"/>
      <c r="FR319" s="205"/>
      <c r="FS319" s="205"/>
      <c r="FT319" s="205"/>
      <c r="FU319" s="77"/>
      <c r="FV319" s="77"/>
      <c r="FW319" s="77"/>
      <c r="FX319" s="205"/>
      <c r="FY319" s="205"/>
      <c r="FZ319" s="205"/>
      <c r="GA319" s="205"/>
      <c r="GB319" s="205"/>
      <c r="GC319" s="205"/>
      <c r="GD319" s="205"/>
      <c r="GE319" s="205"/>
      <c r="GF319" s="205"/>
      <c r="GG319" s="205"/>
      <c r="GH319" s="205"/>
      <c r="GI319" s="205"/>
      <c r="GJ319" s="205"/>
      <c r="GK319" s="205"/>
      <c r="GL319" s="205"/>
      <c r="GM319" s="205"/>
      <c r="GN319" s="205"/>
      <c r="GO319" s="205"/>
      <c r="GP319" s="205"/>
      <c r="GQ319" s="205"/>
      <c r="GR319" s="205"/>
      <c r="GS319" s="205"/>
      <c r="GT319" s="205"/>
      <c r="GU319" s="205"/>
      <c r="GV319" s="18"/>
      <c r="GW319" s="5"/>
      <c r="GX319" s="5"/>
      <c r="GY319" s="77"/>
      <c r="GZ319" s="18"/>
      <c r="HA319" s="18"/>
      <c r="HB319" s="18"/>
      <c r="HC319" s="18"/>
      <c r="HD319" s="18"/>
      <c r="HE319" s="18"/>
      <c r="HF319" s="18"/>
      <c r="HG319" s="18"/>
      <c r="HH319" s="205"/>
      <c r="HI319" s="26"/>
      <c r="HJ319" s="26"/>
      <c r="HK319" s="5"/>
    </row>
    <row r="320" spans="40:219">
      <c r="AN320" s="26"/>
      <c r="AO320" s="26"/>
      <c r="AP320" s="15"/>
      <c r="AQ320" s="5"/>
      <c r="AR320" s="26"/>
      <c r="AS320" s="26"/>
      <c r="AT320" s="26"/>
      <c r="AU320" s="26"/>
      <c r="AV320" s="95"/>
      <c r="AW320" s="95"/>
      <c r="AX320" s="95"/>
      <c r="AY320" s="54"/>
      <c r="AZ320" s="54"/>
      <c r="BA320" s="15"/>
      <c r="BB320" s="54"/>
      <c r="BC320" s="54"/>
      <c r="BD320" s="22"/>
      <c r="BE320" s="23"/>
      <c r="BL320" s="92"/>
      <c r="BN320" s="5"/>
      <c r="BO320" s="54"/>
      <c r="BP320" s="5"/>
      <c r="BQ320" s="5"/>
      <c r="BR320" s="24"/>
      <c r="BS320" s="25"/>
      <c r="BT320" s="25"/>
      <c r="BU320" s="25"/>
      <c r="BV320" s="25"/>
      <c r="BW320" s="25"/>
      <c r="BX320" s="25"/>
      <c r="BY320" s="25"/>
      <c r="BZ320" s="25"/>
      <c r="CA320" s="25"/>
      <c r="CB320" s="25"/>
      <c r="CC320" s="5"/>
      <c r="CD320" s="5"/>
      <c r="CE320" s="5"/>
      <c r="CF320" s="5"/>
      <c r="CG320" s="5"/>
      <c r="CH320" s="5"/>
      <c r="CI320" s="68"/>
      <c r="CJ320" s="5"/>
      <c r="CK320" s="5"/>
      <c r="CL320" s="102"/>
      <c r="CM320" s="5"/>
      <c r="CN320" s="5"/>
      <c r="CO320" s="5"/>
      <c r="CP320" s="25"/>
      <c r="CQ320" s="68"/>
      <c r="CR320" s="68"/>
      <c r="CS320" s="5"/>
      <c r="CT320" s="5"/>
      <c r="CU320" s="68"/>
      <c r="CV320" s="5"/>
      <c r="CW320" s="25"/>
      <c r="CX320" s="72"/>
      <c r="CY320" s="102"/>
      <c r="CZ320" s="5"/>
      <c r="DA320" s="47"/>
      <c r="DB320" s="46"/>
      <c r="DC320" s="5"/>
      <c r="DD320" s="5"/>
      <c r="DE320" s="5"/>
      <c r="DF320" s="5"/>
      <c r="DG320" s="5"/>
      <c r="DH320" s="203"/>
      <c r="DI320" s="203"/>
      <c r="DJ320" s="46"/>
      <c r="DK320" s="5"/>
      <c r="EB320" s="18"/>
      <c r="EC320" s="77"/>
      <c r="ED320" s="77"/>
      <c r="EE320" s="18"/>
      <c r="EF320" s="18"/>
      <c r="EG320" s="18"/>
      <c r="EH320" s="5"/>
      <c r="EI320" s="5"/>
      <c r="EJ320" s="5"/>
      <c r="EK320" s="5"/>
      <c r="EL320" s="5"/>
      <c r="FE320" s="26"/>
      <c r="FF320" s="26"/>
      <c r="FG320" s="26"/>
      <c r="FH320" s="26"/>
      <c r="FI320" s="26"/>
      <c r="FJ320" s="26"/>
      <c r="FK320" s="26"/>
      <c r="FL320" s="26"/>
      <c r="FM320" s="26"/>
      <c r="FN320" s="205"/>
      <c r="FO320" s="205"/>
      <c r="FP320" s="205"/>
      <c r="FQ320" s="205"/>
      <c r="FR320" s="205"/>
      <c r="FS320" s="205"/>
      <c r="FT320" s="205"/>
      <c r="FU320" s="77"/>
      <c r="FV320" s="77"/>
      <c r="FW320" s="77"/>
      <c r="FX320" s="205"/>
      <c r="FY320" s="205"/>
      <c r="FZ320" s="205"/>
      <c r="GA320" s="205"/>
      <c r="GB320" s="205"/>
      <c r="GC320" s="205"/>
      <c r="GD320" s="205"/>
      <c r="GE320" s="205"/>
      <c r="GF320" s="205"/>
      <c r="GG320" s="205"/>
      <c r="GH320" s="205"/>
      <c r="GI320" s="205"/>
      <c r="GJ320" s="205"/>
      <c r="GK320" s="205"/>
      <c r="GL320" s="205"/>
      <c r="GM320" s="205"/>
      <c r="GN320" s="205"/>
      <c r="GO320" s="205"/>
      <c r="GP320" s="205"/>
      <c r="GQ320" s="205"/>
      <c r="GR320" s="205"/>
      <c r="GS320" s="205"/>
      <c r="GT320" s="205"/>
      <c r="GU320" s="205"/>
      <c r="GV320" s="18"/>
      <c r="GW320" s="5"/>
      <c r="GX320" s="5"/>
      <c r="GY320" s="77"/>
      <c r="GZ320" s="18"/>
      <c r="HA320" s="18"/>
      <c r="HB320" s="18"/>
      <c r="HC320" s="18"/>
      <c r="HD320" s="18"/>
      <c r="HE320" s="18"/>
      <c r="HF320" s="18"/>
      <c r="HG320" s="18"/>
      <c r="HH320" s="205"/>
      <c r="HI320" s="26"/>
      <c r="HJ320" s="26"/>
      <c r="HK320" s="5"/>
    </row>
    <row r="321" spans="40:219">
      <c r="AN321" s="26"/>
      <c r="AO321" s="26"/>
      <c r="AP321" s="15"/>
      <c r="AQ321" s="5"/>
      <c r="AR321" s="26"/>
      <c r="AS321" s="26"/>
      <c r="AT321" s="26"/>
      <c r="AU321" s="26"/>
      <c r="AV321" s="95"/>
      <c r="AW321" s="95"/>
      <c r="AX321" s="95"/>
      <c r="AY321" s="54"/>
      <c r="AZ321" s="54"/>
      <c r="BA321" s="15"/>
      <c r="BB321" s="54"/>
      <c r="BC321" s="54"/>
      <c r="BD321" s="22"/>
      <c r="BE321" s="23"/>
      <c r="BL321" s="92"/>
      <c r="BN321" s="5"/>
      <c r="BO321" s="54"/>
      <c r="BP321" s="5"/>
      <c r="BQ321" s="5"/>
      <c r="BR321" s="24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5"/>
      <c r="CD321" s="5"/>
      <c r="CE321" s="5"/>
      <c r="CF321" s="5"/>
      <c r="CG321" s="5"/>
      <c r="CH321" s="5"/>
      <c r="CI321" s="68"/>
      <c r="CJ321" s="5"/>
      <c r="CK321" s="5"/>
      <c r="CL321" s="102"/>
      <c r="CM321" s="5"/>
      <c r="CN321" s="5"/>
      <c r="CO321" s="5"/>
      <c r="CP321" s="25"/>
      <c r="CQ321" s="68"/>
      <c r="CR321" s="68"/>
      <c r="CS321" s="5"/>
      <c r="CT321" s="5"/>
      <c r="CU321" s="68"/>
      <c r="CV321" s="5"/>
      <c r="CW321" s="25"/>
      <c r="CX321" s="72"/>
      <c r="CY321" s="102"/>
      <c r="CZ321" s="5"/>
      <c r="DA321" s="47"/>
      <c r="DB321" s="46"/>
      <c r="DC321" s="5"/>
      <c r="DD321" s="5"/>
      <c r="DE321" s="5"/>
      <c r="DF321" s="5"/>
      <c r="DG321" s="5"/>
      <c r="DH321" s="203"/>
      <c r="DI321" s="203"/>
      <c r="DJ321" s="46"/>
      <c r="DK321" s="5"/>
      <c r="EB321" s="18"/>
      <c r="EC321" s="77"/>
      <c r="ED321" s="77"/>
      <c r="EE321" s="18"/>
      <c r="EF321" s="18"/>
      <c r="EG321" s="18"/>
      <c r="EH321" s="5"/>
      <c r="EI321" s="5"/>
      <c r="EJ321" s="5"/>
      <c r="EK321" s="5"/>
      <c r="EL321" s="5"/>
      <c r="FE321" s="26"/>
      <c r="FF321" s="26"/>
      <c r="FG321" s="26"/>
      <c r="FH321" s="26"/>
      <c r="FI321" s="26"/>
      <c r="FJ321" s="26"/>
      <c r="FK321" s="26"/>
      <c r="FL321" s="26"/>
      <c r="FM321" s="26"/>
      <c r="FN321" s="205"/>
      <c r="FO321" s="205"/>
      <c r="FP321" s="205"/>
      <c r="FQ321" s="205"/>
      <c r="FR321" s="205"/>
      <c r="FS321" s="205"/>
      <c r="FT321" s="205"/>
      <c r="FU321" s="77"/>
      <c r="FV321" s="77"/>
      <c r="FW321" s="77"/>
      <c r="FX321" s="205"/>
      <c r="FY321" s="205"/>
      <c r="FZ321" s="205"/>
      <c r="GA321" s="205"/>
      <c r="GB321" s="205"/>
      <c r="GC321" s="205"/>
      <c r="GD321" s="205"/>
      <c r="GE321" s="205"/>
      <c r="GF321" s="205"/>
      <c r="GG321" s="205"/>
      <c r="GH321" s="205"/>
      <c r="GI321" s="205"/>
      <c r="GJ321" s="205"/>
      <c r="GK321" s="205"/>
      <c r="GL321" s="205"/>
      <c r="GM321" s="205"/>
      <c r="GN321" s="205"/>
      <c r="GO321" s="205"/>
      <c r="GP321" s="205"/>
      <c r="GQ321" s="205"/>
      <c r="GR321" s="205"/>
      <c r="GS321" s="205"/>
      <c r="GT321" s="205"/>
      <c r="GU321" s="205"/>
      <c r="GV321" s="18"/>
      <c r="GW321" s="5"/>
      <c r="GX321" s="5"/>
      <c r="GY321" s="77"/>
      <c r="GZ321" s="18"/>
      <c r="HA321" s="18"/>
      <c r="HB321" s="18"/>
      <c r="HC321" s="18"/>
      <c r="HD321" s="18"/>
      <c r="HE321" s="18"/>
      <c r="HF321" s="18"/>
      <c r="HG321" s="18"/>
      <c r="HH321" s="205"/>
      <c r="HI321" s="26"/>
      <c r="HJ321" s="26"/>
      <c r="HK321" s="5"/>
    </row>
    <row r="322" spans="40:219">
      <c r="AN322" s="26"/>
      <c r="AO322" s="26"/>
      <c r="AP322" s="15"/>
      <c r="AQ322" s="5"/>
      <c r="AR322" s="26"/>
      <c r="AS322" s="26"/>
      <c r="AT322" s="26"/>
      <c r="AU322" s="26"/>
      <c r="AV322" s="95"/>
      <c r="AW322" s="95"/>
      <c r="AX322" s="95"/>
      <c r="AY322" s="54"/>
      <c r="AZ322" s="54"/>
      <c r="BA322" s="15"/>
      <c r="BB322" s="54"/>
      <c r="BC322" s="54"/>
      <c r="BD322" s="22"/>
      <c r="BE322" s="23"/>
      <c r="BL322" s="92"/>
      <c r="BN322" s="5"/>
      <c r="BO322" s="54"/>
      <c r="BP322" s="5"/>
      <c r="BQ322" s="5"/>
      <c r="BR322" s="24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5"/>
      <c r="CD322" s="5"/>
      <c r="CE322" s="5"/>
      <c r="CF322" s="5"/>
      <c r="CG322" s="5"/>
      <c r="CH322" s="5"/>
      <c r="CI322" s="68"/>
      <c r="CJ322" s="5"/>
      <c r="CK322" s="5"/>
      <c r="CL322" s="102"/>
      <c r="CM322" s="5"/>
      <c r="CN322" s="5"/>
      <c r="CO322" s="5"/>
      <c r="CP322" s="25"/>
      <c r="CQ322" s="68"/>
      <c r="CR322" s="68"/>
      <c r="CS322" s="5"/>
      <c r="CT322" s="5"/>
      <c r="CU322" s="68"/>
      <c r="CV322" s="5"/>
      <c r="CW322" s="25"/>
      <c r="CX322" s="72"/>
      <c r="CY322" s="102"/>
      <c r="CZ322" s="5"/>
      <c r="DA322" s="47"/>
      <c r="DB322" s="46"/>
      <c r="DC322" s="5"/>
      <c r="DD322" s="5"/>
      <c r="DE322" s="5"/>
      <c r="DF322" s="5"/>
      <c r="DG322" s="5"/>
      <c r="DH322" s="203"/>
      <c r="DI322" s="203"/>
      <c r="DJ322" s="46"/>
      <c r="DK322" s="5"/>
      <c r="EB322" s="18"/>
      <c r="EC322" s="77"/>
      <c r="ED322" s="77"/>
      <c r="EE322" s="18"/>
      <c r="EF322" s="18"/>
      <c r="EG322" s="18"/>
      <c r="EH322" s="5"/>
      <c r="EI322" s="5"/>
      <c r="EJ322" s="5"/>
      <c r="EK322" s="5"/>
      <c r="EL322" s="5"/>
      <c r="FE322" s="26"/>
      <c r="FF322" s="26"/>
      <c r="FG322" s="26"/>
      <c r="FH322" s="26"/>
      <c r="FI322" s="26"/>
      <c r="FJ322" s="26"/>
      <c r="FK322" s="26"/>
      <c r="FL322" s="26"/>
      <c r="FM322" s="26"/>
      <c r="FN322" s="205"/>
      <c r="FO322" s="205"/>
      <c r="FP322" s="205"/>
      <c r="FQ322" s="205"/>
      <c r="FR322" s="205"/>
      <c r="FS322" s="205"/>
      <c r="FT322" s="205"/>
      <c r="FU322" s="77"/>
      <c r="FV322" s="77"/>
      <c r="FW322" s="77"/>
      <c r="FX322" s="205"/>
      <c r="FY322" s="205"/>
      <c r="FZ322" s="205"/>
      <c r="GA322" s="205"/>
      <c r="GB322" s="205"/>
      <c r="GC322" s="205"/>
      <c r="GD322" s="205"/>
      <c r="GE322" s="205"/>
      <c r="GF322" s="205"/>
      <c r="GG322" s="205"/>
      <c r="GH322" s="205"/>
      <c r="GI322" s="205"/>
      <c r="GJ322" s="205"/>
      <c r="GK322" s="205"/>
      <c r="GL322" s="205"/>
      <c r="GM322" s="205"/>
      <c r="GN322" s="205"/>
      <c r="GO322" s="205"/>
      <c r="GP322" s="205"/>
      <c r="GQ322" s="205"/>
      <c r="GR322" s="205"/>
      <c r="GS322" s="205"/>
      <c r="GT322" s="205"/>
      <c r="GU322" s="205"/>
      <c r="GV322" s="18"/>
      <c r="GW322" s="5"/>
      <c r="GX322" s="5"/>
      <c r="GY322" s="77"/>
      <c r="GZ322" s="18"/>
      <c r="HA322" s="18"/>
      <c r="HB322" s="18"/>
      <c r="HC322" s="18"/>
      <c r="HD322" s="18"/>
      <c r="HE322" s="18"/>
      <c r="HF322" s="18"/>
      <c r="HG322" s="18"/>
      <c r="HH322" s="205"/>
      <c r="HI322" s="26"/>
      <c r="HJ322" s="26"/>
      <c r="HK322" s="5"/>
    </row>
    <row r="323" spans="40:219">
      <c r="AN323" s="26"/>
      <c r="AO323" s="26"/>
      <c r="AP323" s="15"/>
      <c r="AQ323" s="5"/>
      <c r="AR323" s="26"/>
      <c r="AS323" s="26"/>
      <c r="AT323" s="26"/>
      <c r="AU323" s="26"/>
      <c r="AV323" s="95"/>
      <c r="AW323" s="95"/>
      <c r="AX323" s="95"/>
      <c r="AY323" s="54"/>
      <c r="AZ323" s="54"/>
      <c r="BA323" s="15"/>
      <c r="BB323" s="54"/>
      <c r="BC323" s="54"/>
      <c r="BD323" s="22"/>
      <c r="BE323" s="23"/>
      <c r="BL323" s="92"/>
      <c r="BN323" s="5"/>
      <c r="BO323" s="54"/>
      <c r="BP323" s="5"/>
      <c r="BQ323" s="5"/>
      <c r="BR323" s="24"/>
      <c r="BS323" s="25"/>
      <c r="BT323" s="25"/>
      <c r="BU323" s="25"/>
      <c r="BV323" s="25"/>
      <c r="BW323" s="25"/>
      <c r="BX323" s="25"/>
      <c r="BY323" s="25"/>
      <c r="BZ323" s="25"/>
      <c r="CA323" s="25"/>
      <c r="CB323" s="25"/>
      <c r="CC323" s="5"/>
      <c r="CD323" s="5"/>
      <c r="CE323" s="5"/>
      <c r="CF323" s="5"/>
      <c r="CG323" s="5"/>
      <c r="CH323" s="5"/>
      <c r="CI323" s="68"/>
      <c r="CJ323" s="5"/>
      <c r="CK323" s="5"/>
      <c r="CL323" s="102"/>
      <c r="CM323" s="5"/>
      <c r="CN323" s="5"/>
      <c r="CO323" s="5"/>
      <c r="CP323" s="25"/>
      <c r="CQ323" s="68"/>
      <c r="CR323" s="68"/>
      <c r="CS323" s="5"/>
      <c r="CT323" s="5"/>
      <c r="CU323" s="68"/>
      <c r="CV323" s="5"/>
      <c r="CW323" s="25"/>
      <c r="CX323" s="72"/>
      <c r="CY323" s="102"/>
      <c r="CZ323" s="5"/>
      <c r="DA323" s="47"/>
      <c r="DB323" s="46"/>
      <c r="DC323" s="5"/>
      <c r="DD323" s="5"/>
      <c r="DE323" s="5"/>
      <c r="DF323" s="5"/>
      <c r="DG323" s="5"/>
      <c r="DH323" s="203"/>
      <c r="DI323" s="203"/>
      <c r="DJ323" s="46"/>
      <c r="DK323" s="5"/>
      <c r="EB323" s="18"/>
      <c r="EC323" s="77"/>
      <c r="ED323" s="77"/>
      <c r="EE323" s="18"/>
      <c r="EF323" s="18"/>
      <c r="EG323" s="18"/>
      <c r="EH323" s="5"/>
      <c r="EI323" s="5"/>
      <c r="EJ323" s="5"/>
      <c r="EK323" s="5"/>
      <c r="EL323" s="5"/>
      <c r="FE323" s="26"/>
      <c r="FF323" s="26"/>
      <c r="FG323" s="26"/>
      <c r="FH323" s="26"/>
      <c r="FI323" s="26"/>
      <c r="FJ323" s="26"/>
      <c r="FK323" s="26"/>
      <c r="FL323" s="26"/>
      <c r="FM323" s="26"/>
      <c r="FN323" s="205"/>
      <c r="FO323" s="205"/>
      <c r="FP323" s="205"/>
      <c r="FQ323" s="205"/>
      <c r="FR323" s="205"/>
      <c r="FS323" s="205"/>
      <c r="FT323" s="205"/>
      <c r="FU323" s="77"/>
      <c r="FV323" s="77"/>
      <c r="FW323" s="77"/>
      <c r="FX323" s="205"/>
      <c r="FY323" s="205"/>
      <c r="FZ323" s="205"/>
      <c r="GA323" s="205"/>
      <c r="GB323" s="205"/>
      <c r="GC323" s="205"/>
      <c r="GD323" s="205"/>
      <c r="GE323" s="205"/>
      <c r="GF323" s="205"/>
      <c r="GG323" s="205"/>
      <c r="GH323" s="205"/>
      <c r="GI323" s="205"/>
      <c r="GJ323" s="205"/>
      <c r="GK323" s="205"/>
      <c r="GL323" s="205"/>
      <c r="GM323" s="205"/>
      <c r="GN323" s="205"/>
      <c r="GO323" s="205"/>
      <c r="GP323" s="205"/>
      <c r="GQ323" s="205"/>
      <c r="GR323" s="205"/>
      <c r="GS323" s="205"/>
      <c r="GT323" s="205"/>
      <c r="GU323" s="205"/>
      <c r="GV323" s="18"/>
      <c r="GW323" s="5"/>
      <c r="GX323" s="5"/>
      <c r="GY323" s="77"/>
      <c r="GZ323" s="18"/>
      <c r="HA323" s="18"/>
      <c r="HB323" s="18"/>
      <c r="HC323" s="18"/>
      <c r="HD323" s="18"/>
      <c r="HE323" s="18"/>
      <c r="HF323" s="18"/>
      <c r="HG323" s="18"/>
      <c r="HH323" s="205"/>
      <c r="HI323" s="26"/>
      <c r="HJ323" s="26"/>
      <c r="HK323" s="5"/>
    </row>
    <row r="324" spans="40:219">
      <c r="AN324" s="26"/>
      <c r="AO324" s="26"/>
      <c r="AP324" s="15"/>
      <c r="AQ324" s="5"/>
      <c r="AR324" s="26"/>
      <c r="AS324" s="26"/>
      <c r="AT324" s="26"/>
      <c r="AU324" s="26"/>
      <c r="AV324" s="95"/>
      <c r="AW324" s="95"/>
      <c r="AX324" s="95"/>
      <c r="AY324" s="54"/>
      <c r="AZ324" s="54"/>
      <c r="BA324" s="15"/>
      <c r="BB324" s="54"/>
      <c r="BC324" s="54"/>
      <c r="BD324" s="22"/>
      <c r="BE324" s="23"/>
      <c r="BL324" s="92"/>
      <c r="BN324" s="5"/>
      <c r="BO324" s="54"/>
      <c r="BP324" s="5"/>
      <c r="BQ324" s="5"/>
      <c r="BR324" s="24"/>
      <c r="BS324" s="25"/>
      <c r="BT324" s="25"/>
      <c r="BU324" s="25"/>
      <c r="BV324" s="25"/>
      <c r="BW324" s="25"/>
      <c r="BX324" s="25"/>
      <c r="BY324" s="25"/>
      <c r="BZ324" s="25"/>
      <c r="CA324" s="25"/>
      <c r="CB324" s="25"/>
      <c r="CC324" s="5"/>
      <c r="CD324" s="5"/>
      <c r="CE324" s="5"/>
      <c r="CF324" s="5"/>
      <c r="CG324" s="5"/>
      <c r="CH324" s="5"/>
      <c r="CI324" s="68"/>
      <c r="CJ324" s="5"/>
      <c r="CK324" s="5"/>
      <c r="CL324" s="102"/>
      <c r="CM324" s="5"/>
      <c r="CN324" s="5"/>
      <c r="CO324" s="5"/>
      <c r="CP324" s="25"/>
      <c r="CQ324" s="68"/>
      <c r="CR324" s="68"/>
      <c r="CS324" s="5"/>
      <c r="CT324" s="5"/>
      <c r="CU324" s="68"/>
      <c r="CV324" s="5"/>
      <c r="CW324" s="25"/>
      <c r="CX324" s="72"/>
      <c r="CY324" s="102"/>
      <c r="CZ324" s="5"/>
      <c r="DA324" s="47"/>
      <c r="DB324" s="46"/>
      <c r="DC324" s="5"/>
      <c r="DD324" s="5"/>
      <c r="DE324" s="5"/>
      <c r="DF324" s="5"/>
      <c r="DG324" s="5"/>
      <c r="DH324" s="203"/>
      <c r="DI324" s="203"/>
      <c r="DJ324" s="46"/>
      <c r="DK324" s="5"/>
      <c r="EB324" s="18"/>
      <c r="EC324" s="77"/>
      <c r="ED324" s="77"/>
      <c r="EE324" s="18"/>
      <c r="EF324" s="18"/>
      <c r="EG324" s="18"/>
      <c r="EH324" s="5"/>
      <c r="EI324" s="5"/>
      <c r="EJ324" s="5"/>
      <c r="EK324" s="5"/>
      <c r="EL324" s="5"/>
      <c r="FE324" s="26"/>
      <c r="FF324" s="26"/>
      <c r="FG324" s="26"/>
      <c r="FH324" s="26"/>
      <c r="FI324" s="26"/>
      <c r="FJ324" s="26"/>
      <c r="FK324" s="26"/>
      <c r="FL324" s="26"/>
      <c r="FM324" s="26"/>
      <c r="FN324" s="205"/>
      <c r="FO324" s="205"/>
      <c r="FP324" s="205"/>
      <c r="FQ324" s="205"/>
      <c r="FR324" s="205"/>
      <c r="FS324" s="205"/>
      <c r="FT324" s="205"/>
      <c r="FU324" s="77"/>
      <c r="FV324" s="77"/>
      <c r="FW324" s="77"/>
      <c r="FX324" s="205"/>
      <c r="FY324" s="205"/>
      <c r="FZ324" s="205"/>
      <c r="GA324" s="205"/>
      <c r="GB324" s="205"/>
      <c r="GC324" s="205"/>
      <c r="GD324" s="205"/>
      <c r="GE324" s="205"/>
      <c r="GF324" s="205"/>
      <c r="GG324" s="205"/>
      <c r="GH324" s="205"/>
      <c r="GI324" s="205"/>
      <c r="GJ324" s="205"/>
      <c r="GK324" s="205"/>
      <c r="GL324" s="205"/>
      <c r="GM324" s="205"/>
      <c r="GN324" s="205"/>
      <c r="GO324" s="205"/>
      <c r="GP324" s="205"/>
      <c r="GQ324" s="205"/>
      <c r="GR324" s="205"/>
      <c r="GS324" s="205"/>
      <c r="GT324" s="205"/>
      <c r="GU324" s="205"/>
      <c r="GV324" s="18"/>
      <c r="GW324" s="5"/>
      <c r="GX324" s="5"/>
      <c r="GY324" s="77"/>
      <c r="GZ324" s="18"/>
      <c r="HA324" s="18"/>
      <c r="HB324" s="18"/>
      <c r="HC324" s="18"/>
      <c r="HD324" s="18"/>
      <c r="HE324" s="18"/>
      <c r="HF324" s="18"/>
      <c r="HG324" s="18"/>
      <c r="HH324" s="205"/>
      <c r="HI324" s="26"/>
      <c r="HJ324" s="26"/>
      <c r="HK324" s="5"/>
    </row>
    <row r="325" spans="40:219">
      <c r="AN325" s="26"/>
      <c r="AO325" s="26"/>
      <c r="AP325" s="15"/>
      <c r="AQ325" s="5"/>
      <c r="AR325" s="26"/>
      <c r="AS325" s="26"/>
      <c r="AT325" s="26"/>
      <c r="AU325" s="26"/>
      <c r="AV325" s="95"/>
      <c r="AW325" s="95"/>
      <c r="AX325" s="95"/>
      <c r="AY325" s="54"/>
      <c r="AZ325" s="54"/>
      <c r="BA325" s="15"/>
      <c r="BB325" s="54"/>
      <c r="BC325" s="54"/>
      <c r="BD325" s="22"/>
      <c r="BE325" s="23"/>
      <c r="BL325" s="92"/>
      <c r="BN325" s="5"/>
      <c r="BO325" s="54"/>
      <c r="BP325" s="5"/>
      <c r="BQ325" s="5"/>
      <c r="BR325" s="24"/>
      <c r="BS325" s="25"/>
      <c r="BT325" s="25"/>
      <c r="BU325" s="25"/>
      <c r="BV325" s="25"/>
      <c r="BW325" s="25"/>
      <c r="BX325" s="25"/>
      <c r="BY325" s="25"/>
      <c r="BZ325" s="25"/>
      <c r="CA325" s="25"/>
      <c r="CB325" s="25"/>
      <c r="CC325" s="5"/>
      <c r="CD325" s="5"/>
      <c r="CE325" s="5"/>
      <c r="CF325" s="5"/>
      <c r="CG325" s="5"/>
      <c r="CH325" s="5"/>
      <c r="CI325" s="68"/>
      <c r="CJ325" s="5"/>
      <c r="CK325" s="5"/>
      <c r="CL325" s="102"/>
      <c r="CM325" s="5"/>
      <c r="CN325" s="5"/>
      <c r="CO325" s="5"/>
      <c r="CP325" s="25"/>
      <c r="CQ325" s="68"/>
      <c r="CR325" s="68"/>
      <c r="CS325" s="5"/>
      <c r="CT325" s="5"/>
      <c r="CU325" s="68"/>
      <c r="CV325" s="5"/>
      <c r="CW325" s="25"/>
      <c r="CX325" s="72"/>
      <c r="CY325" s="102"/>
      <c r="CZ325" s="5"/>
      <c r="DA325" s="47"/>
      <c r="DB325" s="46"/>
      <c r="DC325" s="5"/>
      <c r="DD325" s="5"/>
      <c r="DE325" s="5"/>
      <c r="DF325" s="5"/>
      <c r="DG325" s="5"/>
      <c r="DH325" s="203"/>
      <c r="DI325" s="203"/>
      <c r="DJ325" s="46"/>
      <c r="DK325" s="5"/>
      <c r="EB325" s="18"/>
      <c r="EC325" s="77"/>
      <c r="ED325" s="77"/>
      <c r="EE325" s="18"/>
      <c r="EF325" s="18"/>
      <c r="EG325" s="18"/>
      <c r="EH325" s="5"/>
      <c r="EI325" s="5"/>
      <c r="EJ325" s="5"/>
      <c r="EK325" s="5"/>
      <c r="EL325" s="5"/>
      <c r="FE325" s="26"/>
      <c r="FF325" s="26"/>
      <c r="FG325" s="26"/>
      <c r="FH325" s="26"/>
      <c r="FI325" s="26"/>
      <c r="FJ325" s="26"/>
      <c r="FK325" s="26"/>
      <c r="FL325" s="26"/>
      <c r="FM325" s="26"/>
      <c r="FN325" s="205"/>
      <c r="FO325" s="205"/>
      <c r="FP325" s="205"/>
      <c r="FQ325" s="205"/>
      <c r="FR325" s="205"/>
      <c r="FS325" s="205"/>
      <c r="FT325" s="205"/>
      <c r="FU325" s="77"/>
      <c r="FV325" s="77"/>
      <c r="FW325" s="77"/>
      <c r="FX325" s="205"/>
      <c r="FY325" s="205"/>
      <c r="FZ325" s="205"/>
      <c r="GA325" s="205"/>
      <c r="GB325" s="205"/>
      <c r="GC325" s="205"/>
      <c r="GD325" s="205"/>
      <c r="GE325" s="205"/>
      <c r="GF325" s="205"/>
      <c r="GG325" s="205"/>
      <c r="GH325" s="205"/>
      <c r="GI325" s="205"/>
      <c r="GJ325" s="205"/>
      <c r="GK325" s="205"/>
      <c r="GL325" s="205"/>
      <c r="GM325" s="205"/>
      <c r="GN325" s="205"/>
      <c r="GO325" s="205"/>
      <c r="GP325" s="205"/>
      <c r="GQ325" s="205"/>
      <c r="GR325" s="205"/>
      <c r="GS325" s="205"/>
      <c r="GT325" s="205"/>
      <c r="GU325" s="205"/>
      <c r="GV325" s="18"/>
      <c r="GW325" s="5"/>
      <c r="GX325" s="5"/>
      <c r="GY325" s="77"/>
      <c r="GZ325" s="18"/>
      <c r="HA325" s="18"/>
      <c r="HB325" s="18"/>
      <c r="HC325" s="18"/>
      <c r="HD325" s="18"/>
      <c r="HE325" s="18"/>
      <c r="HF325" s="18"/>
      <c r="HG325" s="18"/>
      <c r="HH325" s="205"/>
      <c r="HI325" s="26"/>
      <c r="HJ325" s="26"/>
      <c r="HK325" s="5"/>
    </row>
    <row r="326" spans="40:219">
      <c r="AN326" s="26"/>
      <c r="AO326" s="26"/>
      <c r="AP326" s="15"/>
      <c r="AQ326" s="5"/>
      <c r="AR326" s="26"/>
      <c r="AS326" s="26"/>
      <c r="AT326" s="26"/>
      <c r="AU326" s="26"/>
      <c r="AV326" s="95"/>
      <c r="AW326" s="95"/>
      <c r="AX326" s="95"/>
      <c r="AY326" s="54"/>
      <c r="AZ326" s="54"/>
      <c r="BA326" s="15"/>
      <c r="BB326" s="54"/>
      <c r="BC326" s="54"/>
      <c r="BD326" s="22"/>
      <c r="BE326" s="23"/>
      <c r="BL326" s="92"/>
      <c r="BN326" s="5"/>
      <c r="BO326" s="54"/>
      <c r="BP326" s="5"/>
      <c r="BQ326" s="5"/>
      <c r="BR326" s="24"/>
      <c r="BS326" s="25"/>
      <c r="BT326" s="25"/>
      <c r="BU326" s="25"/>
      <c r="BV326" s="25"/>
      <c r="BW326" s="25"/>
      <c r="BX326" s="25"/>
      <c r="BY326" s="25"/>
      <c r="BZ326" s="25"/>
      <c r="CA326" s="25"/>
      <c r="CB326" s="25"/>
      <c r="CC326" s="5"/>
      <c r="CD326" s="5"/>
      <c r="CE326" s="5"/>
      <c r="CF326" s="5"/>
      <c r="CG326" s="5"/>
      <c r="CH326" s="5"/>
      <c r="CI326" s="68"/>
      <c r="CJ326" s="5"/>
      <c r="CK326" s="5"/>
      <c r="CL326" s="102"/>
      <c r="CM326" s="5"/>
      <c r="CN326" s="5"/>
      <c r="CO326" s="5"/>
      <c r="CP326" s="25"/>
      <c r="CQ326" s="68"/>
      <c r="CR326" s="68"/>
      <c r="CS326" s="5"/>
      <c r="CT326" s="5"/>
      <c r="CU326" s="68"/>
      <c r="CV326" s="5"/>
      <c r="CW326" s="25"/>
      <c r="CX326" s="72"/>
      <c r="CY326" s="102"/>
      <c r="CZ326" s="5"/>
      <c r="DA326" s="47"/>
      <c r="DB326" s="46"/>
      <c r="DC326" s="5"/>
      <c r="DD326" s="5"/>
      <c r="DE326" s="5"/>
      <c r="DF326" s="5"/>
      <c r="DG326" s="5"/>
      <c r="DH326" s="203"/>
      <c r="DI326" s="203"/>
      <c r="DJ326" s="46"/>
      <c r="DK326" s="5"/>
      <c r="EB326" s="18"/>
      <c r="EC326" s="77"/>
      <c r="ED326" s="77"/>
      <c r="EE326" s="18"/>
      <c r="EF326" s="18"/>
      <c r="EG326" s="18"/>
      <c r="EH326" s="5"/>
      <c r="EI326" s="5"/>
      <c r="EJ326" s="5"/>
      <c r="EK326" s="5"/>
      <c r="EL326" s="5"/>
      <c r="FE326" s="26"/>
      <c r="FF326" s="26"/>
      <c r="FG326" s="26"/>
      <c r="FH326" s="26"/>
      <c r="FI326" s="26"/>
      <c r="FJ326" s="26"/>
      <c r="FK326" s="26"/>
      <c r="FL326" s="26"/>
      <c r="FM326" s="26"/>
      <c r="FN326" s="205"/>
      <c r="FO326" s="205"/>
      <c r="FP326" s="205"/>
      <c r="FQ326" s="205"/>
      <c r="FR326" s="205"/>
      <c r="FS326" s="205"/>
      <c r="FT326" s="205"/>
      <c r="FU326" s="77"/>
      <c r="FV326" s="77"/>
      <c r="FW326" s="77"/>
      <c r="FX326" s="205"/>
      <c r="FY326" s="205"/>
      <c r="FZ326" s="205"/>
      <c r="GA326" s="205"/>
      <c r="GB326" s="205"/>
      <c r="GC326" s="205"/>
      <c r="GD326" s="205"/>
      <c r="GE326" s="205"/>
      <c r="GF326" s="205"/>
      <c r="GG326" s="205"/>
      <c r="GH326" s="205"/>
      <c r="GI326" s="205"/>
      <c r="GJ326" s="205"/>
      <c r="GK326" s="205"/>
      <c r="GL326" s="205"/>
      <c r="GM326" s="205"/>
      <c r="GN326" s="205"/>
      <c r="GO326" s="205"/>
      <c r="GP326" s="205"/>
      <c r="GQ326" s="205"/>
      <c r="GR326" s="205"/>
      <c r="GS326" s="205"/>
      <c r="GT326" s="205"/>
      <c r="GU326" s="205"/>
      <c r="GV326" s="18"/>
      <c r="GW326" s="5"/>
      <c r="GX326" s="5"/>
      <c r="GY326" s="77"/>
      <c r="GZ326" s="18"/>
      <c r="HA326" s="18"/>
      <c r="HB326" s="18"/>
      <c r="HC326" s="18"/>
      <c r="HD326" s="18"/>
      <c r="HE326" s="18"/>
      <c r="HF326" s="18"/>
      <c r="HG326" s="18"/>
      <c r="HH326" s="205"/>
      <c r="HI326" s="26"/>
      <c r="HJ326" s="26"/>
      <c r="HK326" s="5"/>
    </row>
    <row r="327" spans="40:219">
      <c r="AN327" s="26"/>
      <c r="AO327" s="26"/>
      <c r="AP327" s="15"/>
      <c r="AQ327" s="5"/>
      <c r="AR327" s="26"/>
      <c r="AS327" s="26"/>
      <c r="AT327" s="26"/>
      <c r="AU327" s="26"/>
      <c r="AV327" s="95"/>
      <c r="AW327" s="95"/>
      <c r="AX327" s="95"/>
      <c r="AY327" s="54"/>
      <c r="AZ327" s="54"/>
      <c r="BA327" s="15"/>
      <c r="BB327" s="54"/>
      <c r="BC327" s="54"/>
      <c r="BD327" s="22"/>
      <c r="BE327" s="23"/>
      <c r="BL327" s="92"/>
      <c r="BN327" s="5"/>
      <c r="BO327" s="54"/>
      <c r="BP327" s="5"/>
      <c r="BQ327" s="5"/>
      <c r="BR327" s="24"/>
      <c r="BS327" s="25"/>
      <c r="BT327" s="25"/>
      <c r="BU327" s="25"/>
      <c r="BV327" s="25"/>
      <c r="BW327" s="25"/>
      <c r="BX327" s="25"/>
      <c r="BY327" s="25"/>
      <c r="BZ327" s="25"/>
      <c r="CA327" s="25"/>
      <c r="CB327" s="25"/>
      <c r="CC327" s="5"/>
      <c r="CD327" s="5"/>
      <c r="CE327" s="5"/>
      <c r="CF327" s="5"/>
      <c r="CG327" s="5"/>
      <c r="CH327" s="5"/>
      <c r="CI327" s="68"/>
      <c r="CJ327" s="5"/>
      <c r="CK327" s="5"/>
      <c r="CL327" s="102"/>
      <c r="CM327" s="5"/>
      <c r="CN327" s="5"/>
      <c r="CO327" s="5"/>
      <c r="CP327" s="25"/>
      <c r="CQ327" s="68"/>
      <c r="CR327" s="68"/>
      <c r="CS327" s="5"/>
      <c r="CT327" s="5"/>
      <c r="CU327" s="68"/>
      <c r="CV327" s="5"/>
      <c r="CW327" s="25"/>
      <c r="CX327" s="72"/>
      <c r="CY327" s="102"/>
      <c r="CZ327" s="5"/>
      <c r="DA327" s="47"/>
      <c r="DB327" s="46"/>
      <c r="DC327" s="5"/>
      <c r="DD327" s="5"/>
      <c r="DE327" s="5"/>
      <c r="DF327" s="5"/>
      <c r="DG327" s="5"/>
      <c r="DH327" s="203"/>
      <c r="DI327" s="203"/>
      <c r="DJ327" s="46"/>
      <c r="DK327" s="5"/>
      <c r="EB327" s="18"/>
      <c r="EC327" s="77"/>
      <c r="ED327" s="77"/>
      <c r="EE327" s="18"/>
      <c r="EF327" s="18"/>
      <c r="EG327" s="18"/>
      <c r="EH327" s="5"/>
      <c r="EI327" s="5"/>
      <c r="EJ327" s="5"/>
      <c r="EK327" s="5"/>
      <c r="EL327" s="5"/>
      <c r="FE327" s="26"/>
      <c r="FF327" s="26"/>
      <c r="FG327" s="26"/>
      <c r="FH327" s="26"/>
      <c r="FI327" s="26"/>
      <c r="FJ327" s="26"/>
      <c r="FK327" s="26"/>
      <c r="FL327" s="26"/>
      <c r="FM327" s="26"/>
      <c r="FN327" s="205"/>
      <c r="FO327" s="205"/>
      <c r="FP327" s="205"/>
      <c r="FQ327" s="205"/>
      <c r="FR327" s="205"/>
      <c r="FS327" s="205"/>
      <c r="FT327" s="205"/>
      <c r="FU327" s="77"/>
      <c r="FV327" s="77"/>
      <c r="FW327" s="77"/>
      <c r="FX327" s="205"/>
      <c r="FY327" s="205"/>
      <c r="FZ327" s="205"/>
      <c r="GA327" s="205"/>
      <c r="GB327" s="205"/>
      <c r="GC327" s="205"/>
      <c r="GD327" s="205"/>
      <c r="GE327" s="205"/>
      <c r="GF327" s="205"/>
      <c r="GG327" s="205"/>
      <c r="GH327" s="205"/>
      <c r="GI327" s="205"/>
      <c r="GJ327" s="205"/>
      <c r="GK327" s="205"/>
      <c r="GL327" s="205"/>
      <c r="GM327" s="205"/>
      <c r="GN327" s="205"/>
      <c r="GO327" s="205"/>
      <c r="GP327" s="205"/>
      <c r="GQ327" s="205"/>
      <c r="GR327" s="205"/>
      <c r="GS327" s="205"/>
      <c r="GT327" s="205"/>
      <c r="GU327" s="205"/>
      <c r="GV327" s="18"/>
      <c r="GW327" s="5"/>
      <c r="GX327" s="5"/>
      <c r="GY327" s="77"/>
      <c r="GZ327" s="18"/>
      <c r="HA327" s="18"/>
      <c r="HB327" s="18"/>
      <c r="HC327" s="18"/>
      <c r="HD327" s="18"/>
      <c r="HE327" s="18"/>
      <c r="HF327" s="18"/>
      <c r="HG327" s="18"/>
      <c r="HH327" s="205"/>
      <c r="HI327" s="26"/>
      <c r="HJ327" s="26"/>
      <c r="HK327" s="5"/>
    </row>
    <row r="328" spans="40:219">
      <c r="AN328" s="26"/>
      <c r="AO328" s="26"/>
      <c r="AP328" s="15"/>
      <c r="AQ328" s="5"/>
      <c r="AR328" s="26"/>
      <c r="AS328" s="26"/>
      <c r="AT328" s="26"/>
      <c r="AU328" s="26"/>
      <c r="AV328" s="95"/>
      <c r="AW328" s="95"/>
      <c r="AX328" s="95"/>
      <c r="AY328" s="54"/>
      <c r="AZ328" s="54"/>
      <c r="BA328" s="15"/>
      <c r="BB328" s="54"/>
      <c r="BC328" s="54"/>
      <c r="BD328" s="22"/>
      <c r="BE328" s="23"/>
      <c r="BL328" s="92"/>
      <c r="BN328" s="5"/>
      <c r="BO328" s="54"/>
      <c r="BP328" s="5"/>
      <c r="BQ328" s="5"/>
      <c r="BR328" s="24"/>
      <c r="BS328" s="25"/>
      <c r="BT328" s="25"/>
      <c r="BU328" s="25"/>
      <c r="BV328" s="25"/>
      <c r="BW328" s="25"/>
      <c r="BX328" s="25"/>
      <c r="BY328" s="25"/>
      <c r="BZ328" s="25"/>
      <c r="CA328" s="25"/>
      <c r="CB328" s="25"/>
      <c r="CC328" s="5"/>
      <c r="CD328" s="5"/>
      <c r="CE328" s="5"/>
      <c r="CF328" s="5"/>
      <c r="CG328" s="5"/>
      <c r="CH328" s="5"/>
      <c r="CI328" s="68"/>
      <c r="CJ328" s="5"/>
      <c r="CK328" s="5"/>
      <c r="CL328" s="102"/>
      <c r="CM328" s="5"/>
      <c r="CN328" s="5"/>
      <c r="CO328" s="5"/>
      <c r="CP328" s="25"/>
      <c r="CQ328" s="68"/>
      <c r="CR328" s="68"/>
      <c r="CS328" s="5"/>
      <c r="CT328" s="5"/>
      <c r="CU328" s="68"/>
      <c r="CV328" s="5"/>
      <c r="CW328" s="25"/>
      <c r="CX328" s="72"/>
      <c r="CY328" s="102"/>
      <c r="CZ328" s="5"/>
      <c r="DA328" s="47"/>
      <c r="DB328" s="46"/>
      <c r="DC328" s="5"/>
      <c r="DD328" s="5"/>
      <c r="DE328" s="5"/>
      <c r="DF328" s="5"/>
      <c r="DG328" s="5"/>
      <c r="DH328" s="203"/>
      <c r="DI328" s="203"/>
      <c r="DJ328" s="46"/>
      <c r="DK328" s="5"/>
      <c r="EB328" s="18"/>
      <c r="EC328" s="77"/>
      <c r="ED328" s="77"/>
      <c r="EE328" s="18"/>
      <c r="EF328" s="18"/>
      <c r="EG328" s="18"/>
      <c r="EH328" s="5"/>
      <c r="EI328" s="5"/>
      <c r="EJ328" s="5"/>
      <c r="EK328" s="5"/>
      <c r="EL328" s="5"/>
      <c r="FE328" s="26"/>
      <c r="FF328" s="26"/>
      <c r="FG328" s="26"/>
      <c r="FH328" s="26"/>
      <c r="FI328" s="26"/>
      <c r="FJ328" s="26"/>
      <c r="FK328" s="26"/>
      <c r="FL328" s="26"/>
      <c r="FM328" s="26"/>
      <c r="FN328" s="205"/>
      <c r="FO328" s="205"/>
      <c r="FP328" s="205"/>
      <c r="FQ328" s="205"/>
      <c r="FR328" s="205"/>
      <c r="FS328" s="205"/>
      <c r="FT328" s="205"/>
      <c r="FU328" s="77"/>
      <c r="FV328" s="77"/>
      <c r="FW328" s="77"/>
      <c r="FX328" s="205"/>
      <c r="FY328" s="205"/>
      <c r="FZ328" s="205"/>
      <c r="GA328" s="205"/>
      <c r="GB328" s="205"/>
      <c r="GC328" s="205"/>
      <c r="GD328" s="205"/>
      <c r="GE328" s="205"/>
      <c r="GF328" s="205"/>
      <c r="GG328" s="205"/>
      <c r="GH328" s="205"/>
      <c r="GI328" s="205"/>
      <c r="GJ328" s="205"/>
      <c r="GK328" s="205"/>
      <c r="GL328" s="205"/>
      <c r="GM328" s="205"/>
      <c r="GN328" s="205"/>
      <c r="GO328" s="205"/>
      <c r="GP328" s="205"/>
      <c r="GQ328" s="205"/>
      <c r="GR328" s="205"/>
      <c r="GS328" s="205"/>
      <c r="GT328" s="205"/>
      <c r="GU328" s="205"/>
      <c r="GV328" s="18"/>
      <c r="GW328" s="5"/>
      <c r="GX328" s="5"/>
      <c r="GY328" s="77"/>
      <c r="GZ328" s="18"/>
      <c r="HA328" s="18"/>
      <c r="HB328" s="18"/>
      <c r="HC328" s="18"/>
      <c r="HD328" s="18"/>
      <c r="HE328" s="18"/>
      <c r="HF328" s="18"/>
      <c r="HG328" s="18"/>
      <c r="HH328" s="205"/>
      <c r="HI328" s="26"/>
      <c r="HJ328" s="26"/>
      <c r="HK328" s="5"/>
    </row>
    <row r="329" spans="40:219">
      <c r="AN329" s="26"/>
      <c r="AO329" s="26"/>
      <c r="AP329" s="15"/>
      <c r="AQ329" s="5"/>
      <c r="AR329" s="26"/>
      <c r="AS329" s="26"/>
      <c r="AT329" s="26"/>
      <c r="AU329" s="26"/>
      <c r="AV329" s="95"/>
      <c r="AW329" s="95"/>
      <c r="AX329" s="95"/>
      <c r="AY329" s="54"/>
      <c r="AZ329" s="54"/>
      <c r="BA329" s="15"/>
      <c r="BB329" s="54"/>
      <c r="BC329" s="54"/>
      <c r="BD329" s="22"/>
      <c r="BE329" s="23"/>
      <c r="BL329" s="92"/>
      <c r="BN329" s="5"/>
      <c r="BO329" s="54"/>
      <c r="BP329" s="5"/>
      <c r="BQ329" s="5"/>
      <c r="BR329" s="24"/>
      <c r="BS329" s="25"/>
      <c r="BT329" s="25"/>
      <c r="BU329" s="25"/>
      <c r="BV329" s="25"/>
      <c r="BW329" s="25"/>
      <c r="BX329" s="25"/>
      <c r="BY329" s="25"/>
      <c r="BZ329" s="25"/>
      <c r="CA329" s="25"/>
      <c r="CB329" s="25"/>
      <c r="CC329" s="5"/>
      <c r="CD329" s="5"/>
      <c r="CE329" s="5"/>
      <c r="CF329" s="5"/>
      <c r="CG329" s="5"/>
      <c r="CH329" s="5"/>
      <c r="CI329" s="68"/>
      <c r="CJ329" s="5"/>
      <c r="CK329" s="5"/>
      <c r="CL329" s="102"/>
      <c r="CM329" s="5"/>
      <c r="CN329" s="5"/>
      <c r="CO329" s="5"/>
      <c r="CP329" s="25"/>
      <c r="CQ329" s="68"/>
      <c r="CR329" s="68"/>
      <c r="CS329" s="5"/>
      <c r="CT329" s="5"/>
      <c r="CU329" s="68"/>
      <c r="CV329" s="5"/>
      <c r="CW329" s="25"/>
      <c r="CX329" s="72"/>
      <c r="CY329" s="102"/>
      <c r="CZ329" s="5"/>
      <c r="DA329" s="47"/>
      <c r="DB329" s="46"/>
      <c r="DC329" s="5"/>
      <c r="DD329" s="5"/>
      <c r="DE329" s="5"/>
      <c r="DF329" s="5"/>
      <c r="DG329" s="5"/>
      <c r="DH329" s="203"/>
      <c r="DI329" s="203"/>
      <c r="DJ329" s="46"/>
      <c r="DK329" s="5"/>
      <c r="EB329" s="18"/>
      <c r="EC329" s="77"/>
      <c r="ED329" s="77"/>
      <c r="EE329" s="18"/>
      <c r="EF329" s="18"/>
      <c r="EG329" s="18"/>
      <c r="EH329" s="5"/>
      <c r="EI329" s="5"/>
      <c r="EJ329" s="5"/>
      <c r="EK329" s="5"/>
      <c r="EL329" s="5"/>
      <c r="FE329" s="26"/>
      <c r="FF329" s="26"/>
      <c r="FG329" s="26"/>
      <c r="FH329" s="26"/>
      <c r="FI329" s="26"/>
      <c r="FJ329" s="26"/>
      <c r="FK329" s="26"/>
      <c r="FL329" s="26"/>
      <c r="FM329" s="26"/>
      <c r="FN329" s="205"/>
      <c r="FO329" s="205"/>
      <c r="FP329" s="205"/>
      <c r="FQ329" s="205"/>
      <c r="FR329" s="205"/>
      <c r="FS329" s="205"/>
      <c r="FT329" s="205"/>
      <c r="FU329" s="77"/>
      <c r="FV329" s="77"/>
      <c r="FW329" s="77"/>
      <c r="FX329" s="205"/>
      <c r="FY329" s="205"/>
      <c r="FZ329" s="205"/>
      <c r="GA329" s="205"/>
      <c r="GB329" s="205"/>
      <c r="GC329" s="205"/>
      <c r="GD329" s="205"/>
      <c r="GE329" s="205"/>
      <c r="GF329" s="205"/>
      <c r="GG329" s="205"/>
      <c r="GH329" s="205"/>
      <c r="GI329" s="205"/>
      <c r="GJ329" s="205"/>
      <c r="GK329" s="205"/>
      <c r="GL329" s="205"/>
      <c r="GM329" s="205"/>
      <c r="GN329" s="205"/>
      <c r="GO329" s="205"/>
      <c r="GP329" s="205"/>
      <c r="GQ329" s="205"/>
      <c r="GR329" s="205"/>
      <c r="GS329" s="205"/>
      <c r="GT329" s="205"/>
      <c r="GU329" s="205"/>
      <c r="GV329" s="18"/>
      <c r="GW329" s="5"/>
      <c r="GX329" s="5"/>
      <c r="GY329" s="77"/>
      <c r="GZ329" s="18"/>
      <c r="HA329" s="18"/>
      <c r="HB329" s="18"/>
      <c r="HC329" s="18"/>
      <c r="HD329" s="18"/>
      <c r="HE329" s="18"/>
      <c r="HF329" s="18"/>
      <c r="HG329" s="18"/>
      <c r="HH329" s="205"/>
      <c r="HI329" s="26"/>
      <c r="HJ329" s="26"/>
      <c r="HK329" s="5"/>
    </row>
    <row r="330" spans="40:219">
      <c r="AN330" s="26"/>
      <c r="AO330" s="26"/>
      <c r="AP330" s="15"/>
      <c r="AQ330" s="5"/>
      <c r="AR330" s="26"/>
      <c r="AS330" s="26"/>
      <c r="AT330" s="26"/>
      <c r="AU330" s="26"/>
      <c r="AV330" s="95"/>
      <c r="AW330" s="95"/>
      <c r="AX330" s="95"/>
      <c r="AY330" s="54"/>
      <c r="AZ330" s="54"/>
      <c r="BA330" s="15"/>
      <c r="BB330" s="54"/>
      <c r="BC330" s="54"/>
      <c r="BD330" s="22"/>
      <c r="BE330" s="23"/>
      <c r="BL330" s="92"/>
      <c r="BN330" s="5"/>
      <c r="BO330" s="54"/>
      <c r="BP330" s="5"/>
      <c r="BQ330" s="5"/>
      <c r="BR330" s="24"/>
      <c r="BS330" s="25"/>
      <c r="BT330" s="25"/>
      <c r="BU330" s="25"/>
      <c r="BV330" s="25"/>
      <c r="BW330" s="25"/>
      <c r="BX330" s="25"/>
      <c r="BY330" s="25"/>
      <c r="BZ330" s="25"/>
      <c r="CA330" s="25"/>
      <c r="CB330" s="25"/>
      <c r="CC330" s="5"/>
      <c r="CD330" s="5"/>
      <c r="CE330" s="5"/>
      <c r="CF330" s="5"/>
      <c r="CG330" s="5"/>
      <c r="CH330" s="5"/>
      <c r="CI330" s="68"/>
      <c r="CJ330" s="5"/>
      <c r="CK330" s="5"/>
      <c r="CL330" s="102"/>
      <c r="CM330" s="5"/>
      <c r="CN330" s="5"/>
      <c r="CO330" s="5"/>
      <c r="CP330" s="25"/>
      <c r="CQ330" s="68"/>
      <c r="CR330" s="68"/>
      <c r="CS330" s="5"/>
      <c r="CT330" s="5"/>
      <c r="CU330" s="68"/>
      <c r="CV330" s="5"/>
      <c r="CW330" s="25"/>
      <c r="CX330" s="72"/>
      <c r="CY330" s="102"/>
      <c r="CZ330" s="5"/>
      <c r="DA330" s="47"/>
      <c r="DB330" s="46"/>
      <c r="DC330" s="5"/>
      <c r="DD330" s="5"/>
      <c r="DE330" s="5"/>
      <c r="DF330" s="5"/>
      <c r="DG330" s="5"/>
      <c r="DH330" s="203"/>
      <c r="DI330" s="203"/>
      <c r="DJ330" s="46"/>
      <c r="DK330" s="5"/>
      <c r="EB330" s="18"/>
      <c r="EC330" s="77"/>
      <c r="ED330" s="77"/>
      <c r="EE330" s="18"/>
      <c r="EF330" s="18"/>
      <c r="EG330" s="18"/>
      <c r="EH330" s="5"/>
      <c r="EI330" s="5"/>
      <c r="EJ330" s="5"/>
      <c r="EK330" s="5"/>
      <c r="EL330" s="5"/>
      <c r="FE330" s="26"/>
      <c r="FF330" s="26"/>
      <c r="FG330" s="26"/>
      <c r="FH330" s="26"/>
      <c r="FI330" s="26"/>
      <c r="FJ330" s="26"/>
      <c r="FK330" s="26"/>
      <c r="FL330" s="26"/>
      <c r="FM330" s="26"/>
      <c r="FN330" s="205"/>
      <c r="FO330" s="205"/>
      <c r="FP330" s="205"/>
      <c r="FQ330" s="205"/>
      <c r="FR330" s="205"/>
      <c r="FS330" s="205"/>
      <c r="FT330" s="205"/>
      <c r="FU330" s="77"/>
      <c r="FV330" s="77"/>
      <c r="FW330" s="77"/>
      <c r="FX330" s="205"/>
      <c r="FY330" s="205"/>
      <c r="FZ330" s="205"/>
      <c r="GA330" s="205"/>
      <c r="GB330" s="205"/>
      <c r="GC330" s="205"/>
      <c r="GD330" s="205"/>
      <c r="GE330" s="205"/>
      <c r="GF330" s="205"/>
      <c r="GG330" s="205"/>
      <c r="GH330" s="205"/>
      <c r="GI330" s="205"/>
      <c r="GJ330" s="205"/>
      <c r="GK330" s="205"/>
      <c r="GL330" s="205"/>
      <c r="GM330" s="205"/>
      <c r="GN330" s="205"/>
      <c r="GO330" s="205"/>
      <c r="GP330" s="205"/>
      <c r="GQ330" s="205"/>
      <c r="GR330" s="205"/>
      <c r="GS330" s="205"/>
      <c r="GT330" s="205"/>
      <c r="GU330" s="205"/>
      <c r="GV330" s="18"/>
      <c r="GW330" s="5"/>
      <c r="GX330" s="5"/>
      <c r="GY330" s="77"/>
      <c r="GZ330" s="18"/>
      <c r="HA330" s="18"/>
      <c r="HB330" s="18"/>
      <c r="HC330" s="18"/>
      <c r="HD330" s="18"/>
      <c r="HE330" s="18"/>
      <c r="HF330" s="18"/>
      <c r="HG330" s="18"/>
      <c r="HH330" s="205"/>
      <c r="HI330" s="26"/>
      <c r="HJ330" s="26"/>
      <c r="HK330" s="5"/>
    </row>
    <row r="331" spans="40:219">
      <c r="AN331" s="26"/>
      <c r="AO331" s="26"/>
      <c r="AP331" s="15"/>
      <c r="AQ331" s="5"/>
      <c r="AR331" s="26"/>
      <c r="AS331" s="26"/>
      <c r="AT331" s="26"/>
      <c r="AU331" s="26"/>
      <c r="AV331" s="95"/>
      <c r="AW331" s="95"/>
      <c r="AX331" s="95"/>
      <c r="AY331" s="54"/>
      <c r="AZ331" s="54"/>
      <c r="BA331" s="15"/>
      <c r="BB331" s="54"/>
      <c r="BC331" s="54"/>
      <c r="BD331" s="22"/>
      <c r="BE331" s="23"/>
      <c r="BL331" s="92"/>
      <c r="BN331" s="5"/>
      <c r="BO331" s="54"/>
      <c r="BP331" s="5"/>
      <c r="BQ331" s="5"/>
      <c r="BR331" s="24"/>
      <c r="BS331" s="25"/>
      <c r="BT331" s="25"/>
      <c r="BU331" s="25"/>
      <c r="BV331" s="25"/>
      <c r="BW331" s="25"/>
      <c r="BX331" s="25"/>
      <c r="BY331" s="25"/>
      <c r="BZ331" s="25"/>
      <c r="CA331" s="25"/>
      <c r="CB331" s="25"/>
      <c r="CC331" s="5"/>
      <c r="CD331" s="5"/>
      <c r="CE331" s="5"/>
      <c r="CF331" s="5"/>
      <c r="CG331" s="5"/>
      <c r="CH331" s="5"/>
      <c r="CI331" s="68"/>
      <c r="CJ331" s="5"/>
      <c r="CK331" s="5"/>
      <c r="CL331" s="102"/>
      <c r="CM331" s="5"/>
      <c r="CN331" s="5"/>
      <c r="CO331" s="5"/>
      <c r="CP331" s="25"/>
      <c r="CQ331" s="68"/>
      <c r="CR331" s="68"/>
      <c r="CS331" s="5"/>
      <c r="CT331" s="5"/>
      <c r="CU331" s="68"/>
      <c r="CV331" s="5"/>
      <c r="CW331" s="25"/>
      <c r="CX331" s="72"/>
      <c r="CY331" s="102"/>
      <c r="CZ331" s="5"/>
      <c r="DA331" s="47"/>
      <c r="DB331" s="46"/>
      <c r="DC331" s="5"/>
      <c r="DD331" s="5"/>
      <c r="DE331" s="5"/>
      <c r="DF331" s="5"/>
      <c r="DG331" s="5"/>
      <c r="DH331" s="203"/>
      <c r="DI331" s="203"/>
      <c r="DJ331" s="46"/>
      <c r="DK331" s="5"/>
      <c r="EB331" s="18"/>
      <c r="EC331" s="77"/>
      <c r="ED331" s="77"/>
      <c r="EE331" s="18"/>
      <c r="EF331" s="18"/>
      <c r="EG331" s="18"/>
      <c r="EH331" s="5"/>
      <c r="EI331" s="5"/>
      <c r="EJ331" s="5"/>
      <c r="EK331" s="5"/>
      <c r="EL331" s="5"/>
      <c r="FE331" s="26"/>
      <c r="FF331" s="26"/>
      <c r="FG331" s="26"/>
      <c r="FH331" s="26"/>
      <c r="FI331" s="26"/>
      <c r="FJ331" s="26"/>
      <c r="FK331" s="26"/>
      <c r="FL331" s="26"/>
      <c r="FM331" s="26"/>
      <c r="FN331" s="205"/>
      <c r="FO331" s="205"/>
      <c r="FP331" s="205"/>
      <c r="FQ331" s="205"/>
      <c r="FR331" s="205"/>
      <c r="FS331" s="205"/>
      <c r="FT331" s="205"/>
      <c r="FU331" s="77"/>
      <c r="FV331" s="77"/>
      <c r="FW331" s="77"/>
      <c r="FX331" s="205"/>
      <c r="FY331" s="205"/>
      <c r="FZ331" s="205"/>
      <c r="GA331" s="205"/>
      <c r="GB331" s="205"/>
      <c r="GC331" s="205"/>
      <c r="GD331" s="205"/>
      <c r="GE331" s="205"/>
      <c r="GF331" s="205"/>
      <c r="GG331" s="205"/>
      <c r="GH331" s="205"/>
      <c r="GI331" s="205"/>
      <c r="GJ331" s="205"/>
      <c r="GK331" s="205"/>
      <c r="GL331" s="205"/>
      <c r="GM331" s="205"/>
      <c r="GN331" s="205"/>
      <c r="GO331" s="205"/>
      <c r="GP331" s="205"/>
      <c r="GQ331" s="205"/>
      <c r="GR331" s="205"/>
      <c r="GS331" s="205"/>
      <c r="GT331" s="205"/>
      <c r="GU331" s="205"/>
      <c r="GV331" s="18"/>
      <c r="GW331" s="5"/>
      <c r="GX331" s="5"/>
      <c r="GY331" s="77"/>
      <c r="GZ331" s="18"/>
      <c r="HA331" s="18"/>
      <c r="HB331" s="18"/>
      <c r="HC331" s="18"/>
      <c r="HD331" s="18"/>
      <c r="HE331" s="18"/>
      <c r="HF331" s="18"/>
      <c r="HG331" s="18"/>
      <c r="HH331" s="205"/>
      <c r="HI331" s="26"/>
      <c r="HJ331" s="26"/>
      <c r="HK331" s="5"/>
    </row>
    <row r="332" spans="40:219">
      <c r="AN332" s="26"/>
      <c r="AO332" s="26"/>
      <c r="AP332" s="15"/>
      <c r="AQ332" s="5"/>
      <c r="AR332" s="26"/>
      <c r="AS332" s="26"/>
      <c r="AT332" s="26"/>
      <c r="AU332" s="26"/>
      <c r="AV332" s="95"/>
      <c r="AW332" s="95"/>
      <c r="AX332" s="95"/>
      <c r="AY332" s="54"/>
      <c r="AZ332" s="54"/>
      <c r="BA332" s="15"/>
      <c r="BB332" s="54"/>
      <c r="BC332" s="54"/>
      <c r="BD332" s="22"/>
      <c r="BE332" s="23"/>
      <c r="BL332" s="92"/>
      <c r="BN332" s="5"/>
      <c r="BO332" s="54"/>
      <c r="BP332" s="5"/>
      <c r="BQ332" s="5"/>
      <c r="BR332" s="24"/>
      <c r="BS332" s="25"/>
      <c r="BT332" s="25"/>
      <c r="BU332" s="25"/>
      <c r="BV332" s="25"/>
      <c r="BW332" s="25"/>
      <c r="BX332" s="25"/>
      <c r="BY332" s="25"/>
      <c r="BZ332" s="25"/>
      <c r="CA332" s="25"/>
      <c r="CB332" s="25"/>
      <c r="CC332" s="5"/>
      <c r="CD332" s="5"/>
      <c r="CE332" s="5"/>
      <c r="CF332" s="5"/>
      <c r="CG332" s="5"/>
      <c r="CH332" s="5"/>
      <c r="CI332" s="68"/>
      <c r="CJ332" s="5"/>
      <c r="CK332" s="5"/>
      <c r="CL332" s="102"/>
      <c r="CM332" s="5"/>
      <c r="CN332" s="5"/>
      <c r="CO332" s="5"/>
      <c r="CP332" s="25"/>
      <c r="CQ332" s="68"/>
      <c r="CR332" s="68"/>
      <c r="CS332" s="5"/>
      <c r="CT332" s="5"/>
      <c r="CU332" s="68"/>
      <c r="CV332" s="5"/>
      <c r="CW332" s="25"/>
      <c r="CX332" s="72"/>
      <c r="CY332" s="102"/>
      <c r="CZ332" s="5"/>
      <c r="DA332" s="47"/>
      <c r="DB332" s="46"/>
      <c r="DC332" s="5"/>
      <c r="DD332" s="5"/>
      <c r="DE332" s="5"/>
      <c r="DF332" s="5"/>
      <c r="DG332" s="5"/>
      <c r="DH332" s="203"/>
      <c r="DI332" s="203"/>
      <c r="DJ332" s="46"/>
      <c r="DK332" s="5"/>
      <c r="EB332" s="18"/>
      <c r="EC332" s="77"/>
      <c r="ED332" s="77"/>
      <c r="EE332" s="18"/>
      <c r="EF332" s="18"/>
      <c r="EG332" s="18"/>
      <c r="EH332" s="5"/>
      <c r="EI332" s="5"/>
      <c r="EJ332" s="5"/>
      <c r="EK332" s="5"/>
      <c r="EL332" s="5"/>
      <c r="FE332" s="26"/>
      <c r="FF332" s="26"/>
      <c r="FG332" s="26"/>
      <c r="FH332" s="26"/>
      <c r="FI332" s="26"/>
      <c r="FJ332" s="26"/>
      <c r="FK332" s="26"/>
      <c r="FL332" s="26"/>
      <c r="FM332" s="26"/>
      <c r="FN332" s="205"/>
      <c r="FO332" s="205"/>
      <c r="FP332" s="205"/>
      <c r="FQ332" s="205"/>
      <c r="FR332" s="205"/>
      <c r="FS332" s="205"/>
      <c r="FT332" s="205"/>
      <c r="FU332" s="77"/>
      <c r="FV332" s="77"/>
      <c r="FW332" s="77"/>
      <c r="FX332" s="205"/>
      <c r="FY332" s="205"/>
      <c r="FZ332" s="205"/>
      <c r="GA332" s="205"/>
      <c r="GB332" s="205"/>
      <c r="GC332" s="205"/>
      <c r="GD332" s="205"/>
      <c r="GE332" s="205"/>
      <c r="GF332" s="205"/>
      <c r="GG332" s="205"/>
      <c r="GH332" s="205"/>
      <c r="GI332" s="205"/>
      <c r="GJ332" s="205"/>
      <c r="GK332" s="205"/>
      <c r="GL332" s="205"/>
      <c r="GM332" s="205"/>
      <c r="GN332" s="205"/>
      <c r="GO332" s="205"/>
      <c r="GP332" s="205"/>
      <c r="GQ332" s="205"/>
      <c r="GR332" s="205"/>
      <c r="GS332" s="205"/>
      <c r="GT332" s="205"/>
      <c r="GU332" s="205"/>
      <c r="GV332" s="18"/>
      <c r="GW332" s="5"/>
      <c r="GX332" s="5"/>
      <c r="GY332" s="77"/>
      <c r="GZ332" s="18"/>
      <c r="HA332" s="18"/>
      <c r="HB332" s="18"/>
      <c r="HC332" s="18"/>
      <c r="HD332" s="18"/>
      <c r="HE332" s="18"/>
      <c r="HF332" s="18"/>
      <c r="HG332" s="18"/>
      <c r="HH332" s="205"/>
      <c r="HI332" s="26"/>
      <c r="HJ332" s="26"/>
      <c r="HK332" s="5"/>
    </row>
    <row r="333" spans="40:219">
      <c r="AN333" s="26"/>
      <c r="AO333" s="26"/>
      <c r="AP333" s="15"/>
      <c r="AQ333" s="5"/>
      <c r="AR333" s="26"/>
      <c r="AS333" s="26"/>
      <c r="AT333" s="26"/>
      <c r="AU333" s="26"/>
      <c r="AV333" s="95"/>
      <c r="AW333" s="95"/>
      <c r="AX333" s="95"/>
      <c r="AY333" s="54"/>
      <c r="AZ333" s="54"/>
      <c r="BA333" s="15"/>
      <c r="BB333" s="54"/>
      <c r="BC333" s="54"/>
      <c r="BD333" s="22"/>
      <c r="BE333" s="23"/>
      <c r="BL333" s="92"/>
      <c r="BN333" s="5"/>
      <c r="BO333" s="54"/>
      <c r="BP333" s="5"/>
      <c r="BQ333" s="5"/>
      <c r="BR333" s="24"/>
      <c r="BS333" s="25"/>
      <c r="BT333" s="25"/>
      <c r="BU333" s="25"/>
      <c r="BV333" s="25"/>
      <c r="BW333" s="25"/>
      <c r="BX333" s="25"/>
      <c r="BY333" s="25"/>
      <c r="BZ333" s="25"/>
      <c r="CA333" s="25"/>
      <c r="CB333" s="25"/>
      <c r="CC333" s="5"/>
      <c r="CD333" s="5"/>
      <c r="CE333" s="5"/>
      <c r="CF333" s="5"/>
      <c r="CG333" s="5"/>
      <c r="CH333" s="5"/>
      <c r="CI333" s="68"/>
      <c r="CJ333" s="5"/>
      <c r="CK333" s="5"/>
      <c r="CL333" s="102"/>
      <c r="CM333" s="5"/>
      <c r="CN333" s="5"/>
      <c r="CO333" s="5"/>
      <c r="CP333" s="25"/>
      <c r="CQ333" s="68"/>
      <c r="CR333" s="68"/>
      <c r="CS333" s="5"/>
      <c r="CT333" s="5"/>
      <c r="CU333" s="68"/>
      <c r="CV333" s="5"/>
      <c r="CW333" s="25"/>
      <c r="CX333" s="72"/>
      <c r="CY333" s="102"/>
      <c r="CZ333" s="5"/>
      <c r="DA333" s="47"/>
      <c r="DB333" s="46"/>
      <c r="DC333" s="5"/>
      <c r="DD333" s="5"/>
      <c r="DE333" s="5"/>
      <c r="DF333" s="5"/>
      <c r="DG333" s="5"/>
      <c r="DH333" s="203"/>
      <c r="DI333" s="203"/>
      <c r="DJ333" s="46"/>
      <c r="DK333" s="5"/>
      <c r="EB333" s="18"/>
      <c r="EC333" s="77"/>
      <c r="ED333" s="77"/>
      <c r="EE333" s="18"/>
      <c r="EF333" s="18"/>
      <c r="EG333" s="18"/>
      <c r="EH333" s="5"/>
      <c r="EI333" s="5"/>
      <c r="EJ333" s="5"/>
      <c r="EK333" s="5"/>
      <c r="EL333" s="5"/>
      <c r="FE333" s="26"/>
      <c r="FF333" s="26"/>
      <c r="FG333" s="26"/>
      <c r="FH333" s="26"/>
      <c r="FI333" s="26"/>
      <c r="FJ333" s="26"/>
      <c r="FK333" s="26"/>
      <c r="FL333" s="26"/>
      <c r="FM333" s="26"/>
      <c r="FN333" s="205"/>
      <c r="FO333" s="205"/>
      <c r="FP333" s="205"/>
      <c r="FQ333" s="205"/>
      <c r="FR333" s="205"/>
      <c r="FS333" s="205"/>
      <c r="FT333" s="205"/>
      <c r="FU333" s="77"/>
      <c r="FV333" s="77"/>
      <c r="FW333" s="77"/>
      <c r="FX333" s="205"/>
      <c r="FY333" s="205"/>
      <c r="FZ333" s="205"/>
      <c r="GA333" s="205"/>
      <c r="GB333" s="205"/>
      <c r="GC333" s="205"/>
      <c r="GD333" s="205"/>
      <c r="GE333" s="205"/>
      <c r="GF333" s="205"/>
      <c r="GG333" s="205"/>
      <c r="GH333" s="205"/>
      <c r="GI333" s="205"/>
      <c r="GJ333" s="205"/>
      <c r="GK333" s="205"/>
      <c r="GL333" s="205"/>
      <c r="GM333" s="205"/>
      <c r="GN333" s="205"/>
      <c r="GO333" s="205"/>
      <c r="GP333" s="205"/>
      <c r="GQ333" s="205"/>
      <c r="GR333" s="205"/>
      <c r="GS333" s="205"/>
      <c r="GT333" s="205"/>
      <c r="GU333" s="205"/>
      <c r="GV333" s="18"/>
      <c r="GW333" s="5"/>
      <c r="GX333" s="5"/>
      <c r="GY333" s="77"/>
      <c r="GZ333" s="18"/>
      <c r="HA333" s="18"/>
      <c r="HB333" s="18"/>
      <c r="HC333" s="18"/>
      <c r="HD333" s="18"/>
      <c r="HE333" s="18"/>
      <c r="HF333" s="18"/>
      <c r="HG333" s="18"/>
      <c r="HH333" s="205"/>
      <c r="HI333" s="26"/>
      <c r="HJ333" s="26"/>
      <c r="HK333" s="5"/>
    </row>
    <row r="334" spans="40:219">
      <c r="AN334" s="26"/>
      <c r="AO334" s="26"/>
      <c r="AP334" s="15"/>
      <c r="AQ334" s="5"/>
      <c r="AR334" s="26"/>
      <c r="AS334" s="26"/>
      <c r="AT334" s="26"/>
      <c r="AU334" s="26"/>
      <c r="AV334" s="95"/>
      <c r="AW334" s="95"/>
      <c r="AX334" s="95"/>
      <c r="AY334" s="54"/>
      <c r="AZ334" s="54"/>
      <c r="BA334" s="15"/>
      <c r="BB334" s="54"/>
      <c r="BC334" s="54"/>
      <c r="BD334" s="22"/>
      <c r="BE334" s="23"/>
      <c r="BL334" s="92"/>
      <c r="BN334" s="5"/>
      <c r="BO334" s="54"/>
      <c r="BP334" s="5"/>
      <c r="BQ334" s="5"/>
      <c r="BR334" s="24"/>
      <c r="BS334" s="25"/>
      <c r="BT334" s="25"/>
      <c r="BU334" s="25"/>
      <c r="BV334" s="25"/>
      <c r="BW334" s="25"/>
      <c r="BX334" s="25"/>
      <c r="BY334" s="25"/>
      <c r="BZ334" s="25"/>
      <c r="CA334" s="25"/>
      <c r="CB334" s="25"/>
      <c r="CC334" s="5"/>
      <c r="CD334" s="5"/>
      <c r="CE334" s="5"/>
      <c r="CF334" s="5"/>
      <c r="CG334" s="5"/>
      <c r="CH334" s="5"/>
      <c r="CI334" s="68"/>
      <c r="CJ334" s="5"/>
      <c r="CK334" s="5"/>
      <c r="CL334" s="102"/>
      <c r="CM334" s="5"/>
      <c r="CN334" s="5"/>
      <c r="CO334" s="5"/>
      <c r="CP334" s="25"/>
      <c r="CQ334" s="68"/>
      <c r="CR334" s="68"/>
      <c r="CS334" s="5"/>
      <c r="CT334" s="5"/>
      <c r="CU334" s="68"/>
      <c r="CV334" s="5"/>
      <c r="CW334" s="25"/>
      <c r="CX334" s="72"/>
      <c r="CY334" s="102"/>
      <c r="CZ334" s="5"/>
      <c r="DA334" s="47"/>
      <c r="DB334" s="46"/>
      <c r="DC334" s="5"/>
      <c r="DD334" s="5"/>
      <c r="DE334" s="5"/>
      <c r="DF334" s="5"/>
      <c r="DG334" s="5"/>
      <c r="DH334" s="203"/>
      <c r="DI334" s="203"/>
      <c r="DJ334" s="46"/>
      <c r="DK334" s="5"/>
      <c r="EB334" s="18"/>
      <c r="EC334" s="77"/>
      <c r="ED334" s="77"/>
      <c r="EE334" s="18"/>
      <c r="EF334" s="18"/>
      <c r="EG334" s="18"/>
      <c r="EH334" s="5"/>
      <c r="EI334" s="5"/>
      <c r="EJ334" s="5"/>
      <c r="EK334" s="5"/>
      <c r="EL334" s="5"/>
      <c r="FE334" s="26"/>
      <c r="FF334" s="26"/>
      <c r="FG334" s="26"/>
      <c r="FH334" s="26"/>
      <c r="FI334" s="26"/>
      <c r="FJ334" s="26"/>
      <c r="FK334" s="26"/>
      <c r="FL334" s="26"/>
      <c r="FM334" s="26"/>
      <c r="FN334" s="205"/>
      <c r="FO334" s="205"/>
      <c r="FP334" s="205"/>
      <c r="FQ334" s="205"/>
      <c r="FR334" s="205"/>
      <c r="FS334" s="205"/>
      <c r="FT334" s="205"/>
      <c r="FU334" s="77"/>
      <c r="FV334" s="77"/>
      <c r="FW334" s="77"/>
      <c r="FX334" s="205"/>
      <c r="FY334" s="205"/>
      <c r="FZ334" s="205"/>
      <c r="GA334" s="205"/>
      <c r="GB334" s="205"/>
      <c r="GC334" s="205"/>
      <c r="GD334" s="205"/>
      <c r="GE334" s="205"/>
      <c r="GF334" s="205"/>
      <c r="GG334" s="205"/>
      <c r="GH334" s="205"/>
      <c r="GI334" s="205"/>
      <c r="GJ334" s="205"/>
      <c r="GK334" s="205"/>
      <c r="GL334" s="205"/>
      <c r="GM334" s="205"/>
      <c r="GN334" s="205"/>
      <c r="GO334" s="205"/>
      <c r="GP334" s="205"/>
      <c r="GQ334" s="205"/>
      <c r="GR334" s="205"/>
      <c r="GS334" s="205"/>
      <c r="GT334" s="205"/>
      <c r="GU334" s="205"/>
      <c r="GV334" s="18"/>
      <c r="GW334" s="5"/>
      <c r="GX334" s="5"/>
      <c r="GY334" s="77"/>
      <c r="GZ334" s="18"/>
      <c r="HA334" s="18"/>
      <c r="HB334" s="18"/>
      <c r="HC334" s="18"/>
      <c r="HD334" s="18"/>
      <c r="HE334" s="18"/>
      <c r="HF334" s="18"/>
      <c r="HG334" s="18"/>
      <c r="HH334" s="205"/>
      <c r="HI334" s="26"/>
      <c r="HJ334" s="26"/>
      <c r="HK334" s="5"/>
    </row>
    <row r="335" spans="40:219">
      <c r="AN335" s="26"/>
      <c r="AO335" s="26"/>
      <c r="AP335" s="15"/>
      <c r="AQ335" s="5"/>
      <c r="AR335" s="26"/>
      <c r="AS335" s="26"/>
      <c r="AT335" s="26"/>
      <c r="AU335" s="26"/>
      <c r="AV335" s="95"/>
      <c r="AW335" s="95"/>
      <c r="AX335" s="95"/>
      <c r="AY335" s="54"/>
      <c r="AZ335" s="54"/>
      <c r="BA335" s="15"/>
      <c r="BB335" s="54"/>
      <c r="BC335" s="54"/>
      <c r="BD335" s="22"/>
      <c r="BE335" s="23"/>
      <c r="BL335" s="92"/>
      <c r="BN335" s="5"/>
      <c r="BO335" s="54"/>
      <c r="BP335" s="5"/>
      <c r="BQ335" s="5"/>
      <c r="BR335" s="24"/>
      <c r="BS335" s="25"/>
      <c r="BT335" s="25"/>
      <c r="BU335" s="25"/>
      <c r="BV335" s="25"/>
      <c r="BW335" s="25"/>
      <c r="BX335" s="25"/>
      <c r="BY335" s="25"/>
      <c r="BZ335" s="25"/>
      <c r="CA335" s="25"/>
      <c r="CB335" s="25"/>
      <c r="CC335" s="5"/>
      <c r="CD335" s="5"/>
      <c r="CE335" s="5"/>
      <c r="CF335" s="5"/>
      <c r="CG335" s="5"/>
      <c r="CH335" s="5"/>
      <c r="CI335" s="68"/>
      <c r="CJ335" s="5"/>
      <c r="CK335" s="5"/>
      <c r="CL335" s="102"/>
      <c r="CM335" s="5"/>
      <c r="CN335" s="5"/>
      <c r="CO335" s="5"/>
      <c r="CP335" s="25"/>
      <c r="CQ335" s="68"/>
      <c r="CR335" s="68"/>
      <c r="CS335" s="5"/>
      <c r="CT335" s="5"/>
      <c r="CU335" s="68"/>
      <c r="CV335" s="5"/>
      <c r="CW335" s="25"/>
      <c r="CX335" s="72"/>
      <c r="CY335" s="102"/>
      <c r="CZ335" s="5"/>
      <c r="DA335" s="47"/>
      <c r="DB335" s="46"/>
      <c r="DC335" s="5"/>
      <c r="DD335" s="5"/>
      <c r="DE335" s="5"/>
      <c r="DF335" s="5"/>
      <c r="DG335" s="5"/>
      <c r="DH335" s="203"/>
      <c r="DI335" s="203"/>
      <c r="DJ335" s="46"/>
      <c r="DK335" s="5"/>
      <c r="EB335" s="18"/>
      <c r="EC335" s="77"/>
      <c r="ED335" s="77"/>
      <c r="EE335" s="18"/>
      <c r="EF335" s="18"/>
      <c r="EG335" s="18"/>
      <c r="EH335" s="5"/>
      <c r="EI335" s="5"/>
      <c r="EJ335" s="5"/>
      <c r="EK335" s="5"/>
      <c r="EL335" s="5"/>
      <c r="FE335" s="26"/>
      <c r="FF335" s="26"/>
      <c r="FG335" s="26"/>
      <c r="FH335" s="26"/>
      <c r="FI335" s="26"/>
      <c r="FJ335" s="26"/>
      <c r="FK335" s="26"/>
      <c r="FL335" s="26"/>
      <c r="FM335" s="26"/>
      <c r="FN335" s="205"/>
      <c r="FO335" s="205"/>
      <c r="FP335" s="205"/>
      <c r="FQ335" s="205"/>
      <c r="FR335" s="205"/>
      <c r="FS335" s="205"/>
      <c r="FT335" s="205"/>
      <c r="FU335" s="77"/>
      <c r="FV335" s="77"/>
      <c r="FW335" s="77"/>
      <c r="FX335" s="205"/>
      <c r="FY335" s="205"/>
      <c r="FZ335" s="205"/>
      <c r="GA335" s="205"/>
      <c r="GB335" s="205"/>
      <c r="GC335" s="205"/>
      <c r="GD335" s="205"/>
      <c r="GE335" s="205"/>
      <c r="GF335" s="205"/>
      <c r="GG335" s="205"/>
      <c r="GH335" s="205"/>
      <c r="GI335" s="205"/>
      <c r="GJ335" s="205"/>
      <c r="GK335" s="205"/>
      <c r="GL335" s="205"/>
      <c r="GM335" s="205"/>
      <c r="GN335" s="205"/>
      <c r="GO335" s="205"/>
      <c r="GP335" s="205"/>
      <c r="GQ335" s="205"/>
      <c r="GR335" s="205"/>
      <c r="GS335" s="205"/>
      <c r="GT335" s="205"/>
      <c r="GU335" s="205"/>
      <c r="GV335" s="18"/>
      <c r="GW335" s="5"/>
      <c r="GX335" s="5"/>
      <c r="GY335" s="77"/>
      <c r="GZ335" s="18"/>
      <c r="HA335" s="18"/>
      <c r="HB335" s="18"/>
      <c r="HC335" s="18"/>
      <c r="HD335" s="18"/>
      <c r="HE335" s="18"/>
      <c r="HF335" s="18"/>
      <c r="HG335" s="18"/>
      <c r="HH335" s="205"/>
      <c r="HI335" s="26"/>
      <c r="HJ335" s="26"/>
      <c r="HK335" s="5"/>
    </row>
    <row r="336" spans="40:219">
      <c r="AN336" s="26"/>
      <c r="AO336" s="26"/>
      <c r="AP336" s="15"/>
      <c r="AQ336" s="5"/>
      <c r="AR336" s="26"/>
      <c r="AS336" s="26"/>
      <c r="AT336" s="26"/>
      <c r="AU336" s="26"/>
      <c r="AV336" s="95"/>
      <c r="AW336" s="95"/>
      <c r="AX336" s="95"/>
      <c r="AY336" s="54"/>
      <c r="AZ336" s="54"/>
      <c r="BA336" s="15"/>
      <c r="BB336" s="54"/>
      <c r="BC336" s="54"/>
      <c r="BD336" s="22"/>
      <c r="BE336" s="23"/>
      <c r="BL336" s="92"/>
      <c r="BN336" s="5"/>
      <c r="BO336" s="54"/>
      <c r="BP336" s="5"/>
      <c r="BQ336" s="5"/>
      <c r="BR336" s="24"/>
      <c r="BS336" s="25"/>
      <c r="BT336" s="25"/>
      <c r="BU336" s="25"/>
      <c r="BV336" s="25"/>
      <c r="BW336" s="25"/>
      <c r="BX336" s="25"/>
      <c r="BY336" s="25"/>
      <c r="BZ336" s="25"/>
      <c r="CA336" s="25"/>
      <c r="CB336" s="25"/>
      <c r="CC336" s="5"/>
      <c r="CD336" s="5"/>
      <c r="CE336" s="5"/>
      <c r="CF336" s="5"/>
      <c r="CG336" s="5"/>
      <c r="CH336" s="5"/>
      <c r="CI336" s="68"/>
      <c r="CJ336" s="5"/>
      <c r="CK336" s="5"/>
      <c r="CL336" s="102"/>
      <c r="CM336" s="5"/>
      <c r="CN336" s="5"/>
      <c r="CO336" s="5"/>
      <c r="CP336" s="25"/>
      <c r="CQ336" s="68"/>
      <c r="CR336" s="68"/>
      <c r="CS336" s="5"/>
      <c r="CT336" s="5"/>
      <c r="CU336" s="68"/>
      <c r="CV336" s="5"/>
      <c r="CW336" s="25"/>
      <c r="CX336" s="72"/>
      <c r="CY336" s="102"/>
      <c r="CZ336" s="5"/>
      <c r="DA336" s="47"/>
      <c r="DB336" s="46"/>
      <c r="DC336" s="5"/>
      <c r="DD336" s="5"/>
      <c r="DE336" s="5"/>
      <c r="DF336" s="5"/>
      <c r="DG336" s="5"/>
      <c r="DH336" s="203"/>
      <c r="DI336" s="203"/>
      <c r="DJ336" s="46"/>
      <c r="DK336" s="5"/>
      <c r="EB336" s="18"/>
      <c r="EC336" s="77"/>
      <c r="ED336" s="77"/>
      <c r="EE336" s="18"/>
      <c r="EF336" s="18"/>
      <c r="EG336" s="18"/>
      <c r="EH336" s="5"/>
      <c r="EI336" s="5"/>
      <c r="EJ336" s="5"/>
      <c r="EK336" s="5"/>
      <c r="EL336" s="5"/>
      <c r="FE336" s="26"/>
      <c r="FF336" s="26"/>
      <c r="FG336" s="26"/>
      <c r="FH336" s="26"/>
      <c r="FI336" s="26"/>
      <c r="FJ336" s="26"/>
      <c r="FK336" s="26"/>
      <c r="FL336" s="26"/>
      <c r="FM336" s="26"/>
      <c r="FN336" s="205"/>
      <c r="FO336" s="205"/>
      <c r="FP336" s="205"/>
      <c r="FQ336" s="205"/>
      <c r="FR336" s="205"/>
      <c r="FS336" s="205"/>
      <c r="FT336" s="205"/>
      <c r="FU336" s="77"/>
      <c r="FV336" s="77"/>
      <c r="FW336" s="77"/>
      <c r="FX336" s="205"/>
      <c r="FY336" s="205"/>
      <c r="FZ336" s="205"/>
      <c r="GA336" s="205"/>
      <c r="GB336" s="205"/>
      <c r="GC336" s="205"/>
      <c r="GD336" s="205"/>
      <c r="GE336" s="205"/>
      <c r="GF336" s="205"/>
      <c r="GG336" s="205"/>
      <c r="GH336" s="205"/>
      <c r="GI336" s="205"/>
      <c r="GJ336" s="205"/>
      <c r="GK336" s="205"/>
      <c r="GL336" s="205"/>
      <c r="GM336" s="205"/>
      <c r="GN336" s="205"/>
      <c r="GO336" s="205"/>
      <c r="GP336" s="205"/>
      <c r="GQ336" s="205"/>
      <c r="GR336" s="205"/>
      <c r="GS336" s="205"/>
      <c r="GT336" s="205"/>
      <c r="GU336" s="205"/>
      <c r="GV336" s="18"/>
      <c r="GW336" s="5"/>
      <c r="GX336" s="5"/>
      <c r="GY336" s="77"/>
      <c r="GZ336" s="18"/>
      <c r="HA336" s="18"/>
      <c r="HB336" s="18"/>
      <c r="HC336" s="18"/>
      <c r="HD336" s="18"/>
      <c r="HE336" s="18"/>
      <c r="HF336" s="18"/>
      <c r="HG336" s="18"/>
      <c r="HH336" s="205"/>
      <c r="HI336" s="26"/>
      <c r="HJ336" s="26"/>
      <c r="HK336" s="5"/>
    </row>
    <row r="337" spans="40:219">
      <c r="AN337" s="26"/>
      <c r="AO337" s="26"/>
      <c r="AP337" s="15"/>
      <c r="AQ337" s="5"/>
      <c r="AR337" s="26"/>
      <c r="AS337" s="26"/>
      <c r="AT337" s="26"/>
      <c r="AU337" s="26"/>
      <c r="AV337" s="95"/>
      <c r="AW337" s="95"/>
      <c r="AX337" s="95"/>
      <c r="AY337" s="54"/>
      <c r="AZ337" s="54"/>
      <c r="BA337" s="15"/>
      <c r="BB337" s="54"/>
      <c r="BC337" s="54"/>
      <c r="BD337" s="22"/>
      <c r="BE337" s="23"/>
      <c r="BL337" s="92"/>
      <c r="BN337" s="5"/>
      <c r="BO337" s="54"/>
      <c r="BP337" s="5"/>
      <c r="BQ337" s="5"/>
      <c r="BR337" s="24"/>
      <c r="BS337" s="25"/>
      <c r="BT337" s="25"/>
      <c r="BU337" s="25"/>
      <c r="BV337" s="25"/>
      <c r="BW337" s="25"/>
      <c r="BX337" s="25"/>
      <c r="BY337" s="25"/>
      <c r="BZ337" s="25"/>
      <c r="CA337" s="25"/>
      <c r="CB337" s="25"/>
      <c r="CC337" s="5"/>
      <c r="CD337" s="5"/>
      <c r="CE337" s="5"/>
      <c r="CF337" s="5"/>
      <c r="CG337" s="5"/>
      <c r="CH337" s="5"/>
      <c r="CI337" s="68"/>
      <c r="CJ337" s="5"/>
      <c r="CK337" s="5"/>
      <c r="CL337" s="102"/>
      <c r="CM337" s="5"/>
      <c r="CN337" s="5"/>
      <c r="CO337" s="5"/>
      <c r="CP337" s="25"/>
      <c r="CQ337" s="68"/>
      <c r="CR337" s="68"/>
      <c r="CS337" s="5"/>
      <c r="CT337" s="5"/>
      <c r="CU337" s="68"/>
      <c r="CV337" s="5"/>
      <c r="CW337" s="25"/>
      <c r="CX337" s="72"/>
      <c r="CY337" s="102"/>
      <c r="CZ337" s="5"/>
      <c r="DA337" s="47"/>
      <c r="DB337" s="46"/>
      <c r="DC337" s="5"/>
      <c r="DD337" s="5"/>
      <c r="DE337" s="5"/>
      <c r="DF337" s="5"/>
      <c r="DG337" s="5"/>
      <c r="DH337" s="203"/>
      <c r="DI337" s="203"/>
      <c r="DJ337" s="46"/>
      <c r="DK337" s="5"/>
      <c r="EB337" s="18"/>
      <c r="EC337" s="77"/>
      <c r="ED337" s="77"/>
      <c r="EE337" s="18"/>
      <c r="EF337" s="18"/>
      <c r="EG337" s="18"/>
      <c r="EH337" s="5"/>
      <c r="EI337" s="5"/>
      <c r="EJ337" s="5"/>
      <c r="EK337" s="5"/>
      <c r="EL337" s="5"/>
      <c r="FE337" s="26"/>
      <c r="FF337" s="26"/>
      <c r="FG337" s="26"/>
      <c r="FH337" s="26"/>
      <c r="FI337" s="26"/>
      <c r="FJ337" s="26"/>
      <c r="FK337" s="26"/>
      <c r="FL337" s="26"/>
      <c r="FM337" s="26"/>
      <c r="FN337" s="205"/>
      <c r="FO337" s="205"/>
      <c r="FP337" s="205"/>
      <c r="FQ337" s="205"/>
      <c r="FR337" s="205"/>
      <c r="FS337" s="205"/>
      <c r="FT337" s="205"/>
      <c r="FU337" s="77"/>
      <c r="FV337" s="77"/>
      <c r="FW337" s="77"/>
      <c r="FX337" s="205"/>
      <c r="FY337" s="205"/>
      <c r="FZ337" s="205"/>
      <c r="GA337" s="205"/>
      <c r="GB337" s="205"/>
      <c r="GC337" s="205"/>
      <c r="GD337" s="205"/>
      <c r="GE337" s="205"/>
      <c r="GF337" s="205"/>
      <c r="GG337" s="205"/>
      <c r="GH337" s="205"/>
      <c r="GI337" s="205"/>
      <c r="GJ337" s="205"/>
      <c r="GK337" s="205"/>
      <c r="GL337" s="205"/>
      <c r="GM337" s="205"/>
      <c r="GN337" s="205"/>
      <c r="GO337" s="205"/>
      <c r="GP337" s="205"/>
      <c r="GQ337" s="205"/>
      <c r="GR337" s="205"/>
      <c r="GS337" s="205"/>
      <c r="GT337" s="205"/>
      <c r="GU337" s="205"/>
      <c r="GV337" s="18"/>
      <c r="GW337" s="5"/>
      <c r="GX337" s="5"/>
      <c r="GY337" s="77"/>
      <c r="GZ337" s="18"/>
      <c r="HA337" s="18"/>
      <c r="HB337" s="18"/>
      <c r="HC337" s="18"/>
      <c r="HD337" s="18"/>
      <c r="HE337" s="18"/>
      <c r="HF337" s="18"/>
      <c r="HG337" s="18"/>
      <c r="HH337" s="205"/>
      <c r="HI337" s="26"/>
      <c r="HJ337" s="26"/>
      <c r="HK337" s="5"/>
    </row>
    <row r="338" spans="40:219">
      <c r="AN338" s="26"/>
      <c r="AO338" s="26"/>
      <c r="AP338" s="15"/>
      <c r="AQ338" s="5"/>
      <c r="AR338" s="26"/>
      <c r="AS338" s="26"/>
      <c r="AT338" s="26"/>
      <c r="AU338" s="26"/>
      <c r="AV338" s="95"/>
      <c r="AW338" s="95"/>
      <c r="AX338" s="95"/>
      <c r="AY338" s="54"/>
      <c r="AZ338" s="54"/>
      <c r="BA338" s="15"/>
      <c r="BB338" s="54"/>
      <c r="BC338" s="54"/>
      <c r="BD338" s="22"/>
      <c r="BE338" s="23"/>
      <c r="BL338" s="92"/>
      <c r="BN338" s="5"/>
      <c r="BO338" s="54"/>
      <c r="BP338" s="5"/>
      <c r="BQ338" s="5"/>
      <c r="BR338" s="24"/>
      <c r="BS338" s="25"/>
      <c r="BT338" s="25"/>
      <c r="BU338" s="25"/>
      <c r="BV338" s="25"/>
      <c r="BW338" s="25"/>
      <c r="BX338" s="25"/>
      <c r="BY338" s="25"/>
      <c r="BZ338" s="25"/>
      <c r="CA338" s="25"/>
      <c r="CB338" s="25"/>
      <c r="CC338" s="5"/>
      <c r="CD338" s="5"/>
      <c r="CE338" s="5"/>
      <c r="CF338" s="5"/>
      <c r="CG338" s="5"/>
      <c r="CH338" s="5"/>
      <c r="CI338" s="68"/>
      <c r="CJ338" s="5"/>
      <c r="CK338" s="5"/>
      <c r="CL338" s="102"/>
      <c r="CM338" s="5"/>
      <c r="CN338" s="5"/>
      <c r="CO338" s="5"/>
      <c r="CP338" s="25"/>
      <c r="CQ338" s="68"/>
      <c r="CR338" s="68"/>
      <c r="CS338" s="5"/>
      <c r="CT338" s="5"/>
      <c r="CU338" s="68"/>
      <c r="CV338" s="5"/>
      <c r="CW338" s="25"/>
      <c r="CX338" s="72"/>
      <c r="CY338" s="102"/>
      <c r="CZ338" s="5"/>
      <c r="DA338" s="47"/>
      <c r="DB338" s="46"/>
      <c r="DC338" s="5"/>
      <c r="DD338" s="5"/>
      <c r="DE338" s="5"/>
      <c r="DF338" s="5"/>
      <c r="DG338" s="5"/>
      <c r="DH338" s="203"/>
      <c r="DI338" s="203"/>
      <c r="DJ338" s="46"/>
      <c r="DK338" s="5"/>
      <c r="EB338" s="18"/>
      <c r="EC338" s="77"/>
      <c r="ED338" s="77"/>
      <c r="EE338" s="18"/>
      <c r="EF338" s="18"/>
      <c r="EG338" s="18"/>
      <c r="EH338" s="5"/>
      <c r="EI338" s="5"/>
      <c r="EJ338" s="5"/>
      <c r="EK338" s="5"/>
      <c r="EL338" s="5"/>
      <c r="FE338" s="26"/>
      <c r="FF338" s="26"/>
      <c r="FG338" s="26"/>
      <c r="FH338" s="26"/>
      <c r="FI338" s="26"/>
      <c r="FJ338" s="26"/>
      <c r="FK338" s="26"/>
      <c r="FL338" s="26"/>
      <c r="FM338" s="26"/>
      <c r="FN338" s="205"/>
      <c r="FO338" s="205"/>
      <c r="FP338" s="205"/>
      <c r="FQ338" s="205"/>
      <c r="FR338" s="205"/>
      <c r="FS338" s="205"/>
      <c r="FT338" s="205"/>
      <c r="FU338" s="77"/>
      <c r="FV338" s="77"/>
      <c r="FW338" s="77"/>
      <c r="FX338" s="205"/>
      <c r="FY338" s="205"/>
      <c r="FZ338" s="205"/>
      <c r="GA338" s="205"/>
      <c r="GB338" s="205"/>
      <c r="GC338" s="205"/>
      <c r="GD338" s="205"/>
      <c r="GE338" s="205"/>
      <c r="GF338" s="205"/>
      <c r="GG338" s="205"/>
      <c r="GH338" s="205"/>
      <c r="GI338" s="205"/>
      <c r="GJ338" s="205"/>
      <c r="GK338" s="205"/>
      <c r="GL338" s="205"/>
      <c r="GM338" s="205"/>
      <c r="GN338" s="205"/>
      <c r="GO338" s="205"/>
      <c r="GP338" s="205"/>
      <c r="GQ338" s="205"/>
      <c r="GR338" s="205"/>
      <c r="GS338" s="205"/>
      <c r="GT338" s="205"/>
      <c r="GU338" s="205"/>
      <c r="GV338" s="18"/>
      <c r="GW338" s="5"/>
      <c r="GX338" s="5"/>
      <c r="GY338" s="77"/>
      <c r="GZ338" s="18"/>
      <c r="HA338" s="18"/>
      <c r="HB338" s="18"/>
      <c r="HC338" s="18"/>
      <c r="HD338" s="18"/>
      <c r="HE338" s="18"/>
      <c r="HF338" s="18"/>
      <c r="HG338" s="18"/>
      <c r="HH338" s="205"/>
      <c r="HI338" s="26"/>
      <c r="HJ338" s="26"/>
      <c r="HK338" s="5"/>
    </row>
    <row r="339" spans="40:219">
      <c r="AN339" s="26"/>
      <c r="AO339" s="26"/>
      <c r="AP339" s="15"/>
      <c r="AQ339" s="5"/>
      <c r="AR339" s="26"/>
      <c r="AS339" s="26"/>
      <c r="AT339" s="26"/>
      <c r="AU339" s="26"/>
      <c r="AV339" s="95"/>
      <c r="AW339" s="95"/>
      <c r="AX339" s="95"/>
      <c r="AY339" s="54"/>
      <c r="AZ339" s="54"/>
      <c r="BA339" s="15"/>
      <c r="BB339" s="54"/>
      <c r="BC339" s="54"/>
      <c r="BD339" s="22"/>
      <c r="BE339" s="23"/>
      <c r="BL339" s="92"/>
      <c r="BN339" s="5"/>
      <c r="BO339" s="54"/>
      <c r="BP339" s="5"/>
      <c r="BQ339" s="5"/>
      <c r="BR339" s="24"/>
      <c r="BS339" s="25"/>
      <c r="BT339" s="25"/>
      <c r="BU339" s="25"/>
      <c r="BV339" s="25"/>
      <c r="BW339" s="25"/>
      <c r="BX339" s="25"/>
      <c r="BY339" s="25"/>
      <c r="BZ339" s="25"/>
      <c r="CA339" s="25"/>
      <c r="CB339" s="25"/>
      <c r="CC339" s="5"/>
      <c r="CD339" s="5"/>
      <c r="CE339" s="5"/>
      <c r="CF339" s="5"/>
      <c r="CG339" s="5"/>
      <c r="CH339" s="5"/>
      <c r="CI339" s="68"/>
      <c r="CJ339" s="5"/>
      <c r="CK339" s="5"/>
      <c r="CL339" s="102"/>
      <c r="CM339" s="5"/>
      <c r="CN339" s="5"/>
      <c r="CO339" s="5"/>
      <c r="CP339" s="25"/>
      <c r="CQ339" s="68"/>
      <c r="CR339" s="68"/>
      <c r="CS339" s="5"/>
      <c r="CT339" s="5"/>
      <c r="CU339" s="68"/>
      <c r="CV339" s="5"/>
      <c r="CW339" s="25"/>
      <c r="CX339" s="72"/>
      <c r="CY339" s="102"/>
      <c r="CZ339" s="5"/>
      <c r="DA339" s="47"/>
      <c r="DB339" s="46"/>
      <c r="DC339" s="5"/>
      <c r="DD339" s="5"/>
      <c r="DE339" s="5"/>
      <c r="DF339" s="5"/>
      <c r="DG339" s="5"/>
      <c r="DH339" s="203"/>
      <c r="DI339" s="203"/>
      <c r="DJ339" s="46"/>
      <c r="DK339" s="5"/>
      <c r="EB339" s="18"/>
      <c r="EC339" s="77"/>
      <c r="ED339" s="77"/>
      <c r="EE339" s="18"/>
      <c r="EF339" s="18"/>
      <c r="EG339" s="18"/>
      <c r="EH339" s="5"/>
      <c r="EI339" s="5"/>
      <c r="EJ339" s="5"/>
      <c r="EK339" s="5"/>
      <c r="EL339" s="5"/>
      <c r="FE339" s="26"/>
      <c r="FF339" s="26"/>
      <c r="FG339" s="26"/>
      <c r="FH339" s="26"/>
      <c r="FI339" s="26"/>
      <c r="FJ339" s="26"/>
      <c r="FK339" s="26"/>
      <c r="FL339" s="26"/>
      <c r="FM339" s="26"/>
      <c r="FN339" s="205"/>
      <c r="FO339" s="205"/>
      <c r="FP339" s="205"/>
      <c r="FQ339" s="205"/>
      <c r="FR339" s="205"/>
      <c r="FS339" s="205"/>
      <c r="FT339" s="205"/>
      <c r="FU339" s="77"/>
      <c r="FV339" s="77"/>
      <c r="FW339" s="77"/>
      <c r="FX339" s="205"/>
      <c r="FY339" s="205"/>
      <c r="FZ339" s="205"/>
      <c r="GA339" s="205"/>
      <c r="GB339" s="205"/>
      <c r="GC339" s="205"/>
      <c r="GD339" s="205"/>
      <c r="GE339" s="205"/>
      <c r="GF339" s="205"/>
      <c r="GG339" s="205"/>
      <c r="GH339" s="205"/>
      <c r="GI339" s="205"/>
      <c r="GJ339" s="205"/>
      <c r="GK339" s="205"/>
      <c r="GL339" s="205"/>
      <c r="GM339" s="205"/>
      <c r="GN339" s="205"/>
      <c r="GO339" s="205"/>
      <c r="GP339" s="205"/>
      <c r="GQ339" s="205"/>
      <c r="GR339" s="205"/>
      <c r="GS339" s="205"/>
      <c r="GT339" s="205"/>
      <c r="GU339" s="205"/>
      <c r="GV339" s="18"/>
      <c r="GW339" s="5"/>
      <c r="GX339" s="5"/>
      <c r="GY339" s="77"/>
      <c r="GZ339" s="18"/>
      <c r="HA339" s="18"/>
      <c r="HB339" s="18"/>
      <c r="HC339" s="18"/>
      <c r="HD339" s="18"/>
      <c r="HE339" s="18"/>
      <c r="HF339" s="18"/>
      <c r="HG339" s="18"/>
      <c r="HH339" s="205"/>
      <c r="HI339" s="26"/>
      <c r="HJ339" s="26"/>
      <c r="HK339" s="5"/>
    </row>
    <row r="340" spans="40:219">
      <c r="AN340" s="26"/>
      <c r="AO340" s="26"/>
      <c r="AP340" s="15"/>
      <c r="AQ340" s="5"/>
      <c r="AR340" s="26"/>
      <c r="AS340" s="26"/>
      <c r="AT340" s="26"/>
      <c r="AU340" s="26"/>
      <c r="AV340" s="95"/>
      <c r="AW340" s="95"/>
      <c r="AX340" s="95"/>
      <c r="AY340" s="54"/>
      <c r="AZ340" s="54"/>
      <c r="BA340" s="15"/>
      <c r="BB340" s="54"/>
      <c r="BC340" s="54"/>
      <c r="BD340" s="22"/>
      <c r="BE340" s="23"/>
      <c r="BL340" s="92"/>
      <c r="BN340" s="5"/>
      <c r="BO340" s="54"/>
      <c r="BP340" s="5"/>
      <c r="BQ340" s="5"/>
      <c r="BR340" s="24"/>
      <c r="BS340" s="25"/>
      <c r="BT340" s="25"/>
      <c r="BU340" s="25"/>
      <c r="BV340" s="25"/>
      <c r="BW340" s="25"/>
      <c r="BX340" s="25"/>
      <c r="BY340" s="25"/>
      <c r="BZ340" s="25"/>
      <c r="CA340" s="25"/>
      <c r="CB340" s="25"/>
      <c r="CC340" s="5"/>
      <c r="CD340" s="5"/>
      <c r="CE340" s="5"/>
      <c r="CF340" s="5"/>
      <c r="CG340" s="5"/>
      <c r="CH340" s="5"/>
      <c r="CI340" s="68"/>
      <c r="CJ340" s="5"/>
      <c r="CK340" s="5"/>
      <c r="CL340" s="102"/>
      <c r="CM340" s="5"/>
      <c r="CN340" s="5"/>
      <c r="CO340" s="5"/>
      <c r="CP340" s="25"/>
      <c r="CQ340" s="68"/>
      <c r="CR340" s="68"/>
      <c r="CS340" s="5"/>
      <c r="CT340" s="5"/>
      <c r="CU340" s="68"/>
      <c r="CV340" s="5"/>
      <c r="CW340" s="25"/>
      <c r="CX340" s="72"/>
      <c r="CY340" s="102"/>
      <c r="CZ340" s="5"/>
      <c r="DA340" s="47"/>
      <c r="DB340" s="46"/>
      <c r="DC340" s="5"/>
      <c r="DD340" s="5"/>
      <c r="DE340" s="5"/>
      <c r="DF340" s="5"/>
      <c r="DG340" s="5"/>
      <c r="DH340" s="203"/>
      <c r="DI340" s="203"/>
      <c r="DJ340" s="46"/>
      <c r="DK340" s="5"/>
      <c r="EB340" s="18"/>
      <c r="EC340" s="77"/>
      <c r="ED340" s="77"/>
      <c r="EE340" s="18"/>
      <c r="EF340" s="18"/>
      <c r="EG340" s="18"/>
      <c r="EH340" s="5"/>
      <c r="EI340" s="5"/>
      <c r="EJ340" s="5"/>
      <c r="EK340" s="5"/>
      <c r="EL340" s="5"/>
      <c r="FE340" s="26"/>
      <c r="FF340" s="26"/>
      <c r="FG340" s="26"/>
      <c r="FH340" s="26"/>
      <c r="FI340" s="26"/>
      <c r="FJ340" s="26"/>
      <c r="FK340" s="26"/>
      <c r="FL340" s="26"/>
      <c r="FM340" s="26"/>
      <c r="FN340" s="205"/>
      <c r="FO340" s="205"/>
      <c r="FP340" s="205"/>
      <c r="FQ340" s="205"/>
      <c r="FR340" s="205"/>
      <c r="FS340" s="205"/>
      <c r="FT340" s="205"/>
      <c r="FU340" s="77"/>
      <c r="FV340" s="77"/>
      <c r="FW340" s="77"/>
      <c r="FX340" s="205"/>
      <c r="FY340" s="205"/>
      <c r="FZ340" s="205"/>
      <c r="GA340" s="205"/>
      <c r="GB340" s="205"/>
      <c r="GC340" s="205"/>
      <c r="GD340" s="205"/>
      <c r="GE340" s="205"/>
      <c r="GF340" s="205"/>
      <c r="GG340" s="205"/>
      <c r="GH340" s="205"/>
      <c r="GI340" s="205"/>
      <c r="GJ340" s="205"/>
      <c r="GK340" s="205"/>
      <c r="GL340" s="205"/>
      <c r="GM340" s="205"/>
      <c r="GN340" s="205"/>
      <c r="GO340" s="205"/>
      <c r="GP340" s="205"/>
      <c r="GQ340" s="205"/>
      <c r="GR340" s="205"/>
      <c r="GS340" s="205"/>
      <c r="GT340" s="205"/>
      <c r="GU340" s="205"/>
      <c r="GV340" s="18"/>
      <c r="GW340" s="5"/>
      <c r="GX340" s="5"/>
      <c r="GY340" s="77"/>
      <c r="GZ340" s="18"/>
      <c r="HA340" s="18"/>
      <c r="HB340" s="18"/>
      <c r="HC340" s="18"/>
      <c r="HD340" s="18"/>
      <c r="HE340" s="18"/>
      <c r="HF340" s="18"/>
      <c r="HG340" s="18"/>
      <c r="HH340" s="205"/>
      <c r="HI340" s="26"/>
      <c r="HJ340" s="26"/>
      <c r="HK340" s="5"/>
    </row>
    <row r="341" spans="40:219">
      <c r="AN341" s="26"/>
      <c r="AO341" s="26"/>
      <c r="AP341" s="15"/>
      <c r="AQ341" s="5"/>
      <c r="AR341" s="26"/>
      <c r="AS341" s="26"/>
      <c r="AT341" s="26"/>
      <c r="AU341" s="26"/>
      <c r="AV341" s="95"/>
      <c r="AW341" s="95"/>
      <c r="AX341" s="95"/>
      <c r="AY341" s="54"/>
      <c r="AZ341" s="54"/>
      <c r="BA341" s="15"/>
      <c r="BB341" s="54"/>
      <c r="BC341" s="54"/>
      <c r="BD341" s="22"/>
      <c r="BE341" s="23"/>
      <c r="BL341" s="92"/>
      <c r="BN341" s="5"/>
      <c r="BO341" s="54"/>
      <c r="BP341" s="5"/>
      <c r="BQ341" s="5"/>
      <c r="BR341" s="24"/>
      <c r="BS341" s="25"/>
      <c r="BT341" s="25"/>
      <c r="BU341" s="25"/>
      <c r="BV341" s="25"/>
      <c r="BW341" s="25"/>
      <c r="BX341" s="25"/>
      <c r="BY341" s="25"/>
      <c r="BZ341" s="25"/>
      <c r="CA341" s="25"/>
      <c r="CB341" s="25"/>
      <c r="CC341" s="5"/>
      <c r="CD341" s="5"/>
      <c r="CE341" s="5"/>
      <c r="CF341" s="5"/>
      <c r="CG341" s="5"/>
      <c r="CH341" s="5"/>
      <c r="CI341" s="68"/>
      <c r="CJ341" s="5"/>
      <c r="CK341" s="5"/>
      <c r="CL341" s="102"/>
      <c r="CM341" s="5"/>
      <c r="CN341" s="5"/>
      <c r="CO341" s="5"/>
      <c r="CP341" s="25"/>
      <c r="CQ341" s="68"/>
      <c r="CR341" s="68"/>
      <c r="CS341" s="5"/>
      <c r="CT341" s="5"/>
      <c r="CU341" s="68"/>
      <c r="CV341" s="5"/>
      <c r="CW341" s="25"/>
      <c r="CX341" s="72"/>
      <c r="CY341" s="102"/>
      <c r="CZ341" s="5"/>
      <c r="DA341" s="47"/>
      <c r="DB341" s="46"/>
      <c r="DC341" s="5"/>
      <c r="DD341" s="5"/>
      <c r="DE341" s="5"/>
      <c r="DF341" s="5"/>
      <c r="DG341" s="5"/>
      <c r="DH341" s="203"/>
      <c r="DI341" s="203"/>
      <c r="DJ341" s="46"/>
      <c r="DK341" s="5"/>
      <c r="EB341" s="18"/>
      <c r="EC341" s="77"/>
      <c r="ED341" s="77"/>
      <c r="EE341" s="18"/>
      <c r="EF341" s="18"/>
      <c r="EG341" s="18"/>
      <c r="EH341" s="5"/>
      <c r="EI341" s="5"/>
      <c r="EJ341" s="5"/>
      <c r="EK341" s="5"/>
      <c r="EL341" s="5"/>
      <c r="FE341" s="26"/>
      <c r="FF341" s="26"/>
      <c r="FG341" s="26"/>
      <c r="FH341" s="26"/>
      <c r="FI341" s="26"/>
      <c r="FJ341" s="26"/>
      <c r="FK341" s="26"/>
      <c r="FL341" s="26"/>
      <c r="FM341" s="26"/>
      <c r="FN341" s="205"/>
      <c r="FO341" s="205"/>
      <c r="FP341" s="205"/>
      <c r="FQ341" s="205"/>
      <c r="FR341" s="205"/>
      <c r="FS341" s="205"/>
      <c r="FT341" s="205"/>
      <c r="FU341" s="77"/>
      <c r="FV341" s="77"/>
      <c r="FW341" s="77"/>
      <c r="FX341" s="205"/>
      <c r="FY341" s="205"/>
      <c r="FZ341" s="205"/>
      <c r="GA341" s="205"/>
      <c r="GB341" s="205"/>
      <c r="GC341" s="205"/>
      <c r="GD341" s="205"/>
      <c r="GE341" s="205"/>
      <c r="GF341" s="205"/>
      <c r="GG341" s="205"/>
      <c r="GH341" s="205"/>
      <c r="GI341" s="205"/>
      <c r="GJ341" s="205"/>
      <c r="GK341" s="205"/>
      <c r="GL341" s="205"/>
      <c r="GM341" s="205"/>
      <c r="GN341" s="205"/>
      <c r="GO341" s="205"/>
      <c r="GP341" s="205"/>
      <c r="GQ341" s="205"/>
      <c r="GR341" s="205"/>
      <c r="GS341" s="205"/>
      <c r="GT341" s="205"/>
      <c r="GU341" s="205"/>
      <c r="GV341" s="18"/>
      <c r="GW341" s="5"/>
      <c r="GX341" s="5"/>
      <c r="GY341" s="77"/>
      <c r="GZ341" s="18"/>
      <c r="HA341" s="18"/>
      <c r="HB341" s="18"/>
      <c r="HC341" s="18"/>
      <c r="HD341" s="18"/>
      <c r="HE341" s="18"/>
      <c r="HF341" s="18"/>
      <c r="HG341" s="18"/>
      <c r="HH341" s="205"/>
      <c r="HI341" s="26"/>
      <c r="HJ341" s="26"/>
      <c r="HK341" s="5"/>
    </row>
    <row r="342" spans="40:219">
      <c r="AN342" s="26"/>
      <c r="AO342" s="26"/>
      <c r="AP342" s="15"/>
      <c r="AQ342" s="5"/>
      <c r="AR342" s="26"/>
      <c r="AS342" s="26"/>
      <c r="AT342" s="26"/>
      <c r="AU342" s="26"/>
      <c r="AV342" s="95"/>
      <c r="AW342" s="95"/>
      <c r="AX342" s="95"/>
      <c r="AY342" s="54"/>
      <c r="AZ342" s="54"/>
      <c r="BA342" s="15"/>
      <c r="BB342" s="54"/>
      <c r="BC342" s="54"/>
      <c r="BD342" s="22"/>
      <c r="BE342" s="23"/>
      <c r="BL342" s="92"/>
      <c r="BN342" s="5"/>
      <c r="BO342" s="54"/>
      <c r="BP342" s="5"/>
      <c r="BQ342" s="5"/>
      <c r="BR342" s="24"/>
      <c r="BS342" s="25"/>
      <c r="BT342" s="25"/>
      <c r="BU342" s="25"/>
      <c r="BV342" s="25"/>
      <c r="BW342" s="25"/>
      <c r="BX342" s="25"/>
      <c r="BY342" s="25"/>
      <c r="BZ342" s="25"/>
      <c r="CA342" s="25"/>
      <c r="CB342" s="25"/>
      <c r="CC342" s="5"/>
      <c r="CD342" s="5"/>
      <c r="CE342" s="5"/>
      <c r="CF342" s="5"/>
      <c r="CG342" s="5"/>
      <c r="CH342" s="5"/>
      <c r="CI342" s="68"/>
      <c r="CJ342" s="5"/>
      <c r="CK342" s="5"/>
      <c r="CL342" s="102"/>
      <c r="CM342" s="5"/>
      <c r="CN342" s="5"/>
      <c r="CO342" s="5"/>
      <c r="CP342" s="25"/>
      <c r="CQ342" s="68"/>
      <c r="CR342" s="68"/>
      <c r="CS342" s="5"/>
      <c r="CT342" s="5"/>
      <c r="CU342" s="68"/>
      <c r="CV342" s="5"/>
      <c r="CW342" s="25"/>
      <c r="CX342" s="72"/>
      <c r="CY342" s="102"/>
      <c r="CZ342" s="5"/>
      <c r="DA342" s="47"/>
      <c r="DB342" s="46"/>
      <c r="DC342" s="5"/>
      <c r="DD342" s="5"/>
      <c r="DE342" s="5"/>
      <c r="DF342" s="5"/>
      <c r="DG342" s="5"/>
      <c r="DH342" s="203"/>
      <c r="DI342" s="203"/>
      <c r="DJ342" s="46"/>
      <c r="DK342" s="5"/>
      <c r="EB342" s="18"/>
      <c r="EC342" s="77"/>
      <c r="ED342" s="77"/>
      <c r="EE342" s="18"/>
      <c r="EF342" s="18"/>
      <c r="EG342" s="18"/>
      <c r="EH342" s="5"/>
      <c r="EI342" s="5"/>
      <c r="EJ342" s="5"/>
      <c r="EK342" s="5"/>
      <c r="EL342" s="5"/>
      <c r="FE342" s="26"/>
      <c r="FF342" s="26"/>
      <c r="FG342" s="26"/>
      <c r="FH342" s="26"/>
      <c r="FI342" s="26"/>
      <c r="FJ342" s="26"/>
      <c r="FK342" s="26"/>
      <c r="FL342" s="26"/>
      <c r="FM342" s="26"/>
      <c r="FN342" s="205"/>
      <c r="FO342" s="205"/>
      <c r="FP342" s="205"/>
      <c r="FQ342" s="205"/>
      <c r="FR342" s="205"/>
      <c r="FS342" s="205"/>
      <c r="FT342" s="205"/>
      <c r="FU342" s="77"/>
      <c r="FV342" s="77"/>
      <c r="FW342" s="77"/>
      <c r="FX342" s="205"/>
      <c r="FY342" s="205"/>
      <c r="FZ342" s="205"/>
      <c r="GA342" s="205"/>
      <c r="GB342" s="205"/>
      <c r="GC342" s="205"/>
      <c r="GD342" s="205"/>
      <c r="GE342" s="205"/>
      <c r="GF342" s="205"/>
      <c r="GG342" s="205"/>
      <c r="GH342" s="205"/>
      <c r="GI342" s="205"/>
      <c r="GJ342" s="205"/>
      <c r="GK342" s="205"/>
      <c r="GL342" s="205"/>
      <c r="GM342" s="205"/>
      <c r="GN342" s="205"/>
      <c r="GO342" s="205"/>
      <c r="GP342" s="205"/>
      <c r="GQ342" s="205"/>
      <c r="GR342" s="205"/>
      <c r="GS342" s="205"/>
      <c r="GT342" s="205"/>
      <c r="GU342" s="205"/>
      <c r="GV342" s="18"/>
      <c r="GW342" s="5"/>
      <c r="GX342" s="5"/>
      <c r="GY342" s="77"/>
      <c r="GZ342" s="18"/>
      <c r="HA342" s="18"/>
      <c r="HB342" s="18"/>
      <c r="HC342" s="18"/>
      <c r="HD342" s="18"/>
      <c r="HE342" s="18"/>
      <c r="HF342" s="18"/>
      <c r="HG342" s="18"/>
      <c r="HH342" s="205"/>
      <c r="HI342" s="26"/>
      <c r="HJ342" s="26"/>
      <c r="HK342" s="5"/>
    </row>
    <row r="343" spans="40:219">
      <c r="AN343" s="26"/>
      <c r="AO343" s="26"/>
      <c r="AP343" s="15"/>
      <c r="AQ343" s="5"/>
      <c r="AR343" s="26"/>
      <c r="AS343" s="26"/>
      <c r="AT343" s="26"/>
      <c r="AU343" s="26"/>
      <c r="AV343" s="95"/>
      <c r="AW343" s="95"/>
      <c r="AX343" s="95"/>
      <c r="AY343" s="54"/>
      <c r="AZ343" s="54"/>
      <c r="BA343" s="15"/>
      <c r="BB343" s="54"/>
      <c r="BC343" s="54"/>
      <c r="BD343" s="22"/>
      <c r="BE343" s="23"/>
      <c r="BL343" s="92"/>
      <c r="BN343" s="5"/>
      <c r="BO343" s="54"/>
      <c r="BP343" s="5"/>
      <c r="BQ343" s="5"/>
      <c r="BR343" s="24"/>
      <c r="BS343" s="25"/>
      <c r="BT343" s="25"/>
      <c r="BU343" s="25"/>
      <c r="BV343" s="25"/>
      <c r="BW343" s="25"/>
      <c r="BX343" s="25"/>
      <c r="BY343" s="25"/>
      <c r="BZ343" s="25"/>
      <c r="CA343" s="25"/>
      <c r="CB343" s="25"/>
      <c r="CC343" s="5"/>
      <c r="CD343" s="5"/>
      <c r="CE343" s="5"/>
      <c r="CF343" s="5"/>
      <c r="CG343" s="5"/>
      <c r="CH343" s="5"/>
      <c r="CI343" s="68"/>
      <c r="CJ343" s="5"/>
      <c r="CK343" s="5"/>
      <c r="CL343" s="102"/>
      <c r="CM343" s="5"/>
      <c r="CN343" s="5"/>
      <c r="CO343" s="5"/>
      <c r="CP343" s="25"/>
      <c r="CQ343" s="68"/>
      <c r="CR343" s="68"/>
      <c r="CS343" s="5"/>
      <c r="CT343" s="5"/>
      <c r="CU343" s="68"/>
      <c r="CV343" s="5"/>
      <c r="CW343" s="25"/>
      <c r="CX343" s="72"/>
      <c r="CY343" s="102"/>
      <c r="CZ343" s="5"/>
      <c r="DA343" s="47"/>
      <c r="DB343" s="46"/>
      <c r="DC343" s="5"/>
      <c r="DD343" s="5"/>
      <c r="DE343" s="5"/>
      <c r="DF343" s="5"/>
      <c r="DG343" s="5"/>
      <c r="DH343" s="203"/>
      <c r="DI343" s="203"/>
      <c r="DJ343" s="46"/>
      <c r="DK343" s="5"/>
      <c r="EB343" s="18"/>
      <c r="EC343" s="77"/>
      <c r="ED343" s="77"/>
      <c r="EE343" s="18"/>
      <c r="EF343" s="18"/>
      <c r="EG343" s="18"/>
      <c r="EH343" s="5"/>
      <c r="EI343" s="5"/>
      <c r="EJ343" s="5"/>
      <c r="EK343" s="5"/>
      <c r="EL343" s="5"/>
      <c r="FE343" s="26"/>
      <c r="FF343" s="26"/>
      <c r="FG343" s="26"/>
      <c r="FH343" s="26"/>
      <c r="FI343" s="26"/>
      <c r="FJ343" s="26"/>
      <c r="FK343" s="26"/>
      <c r="FL343" s="26"/>
      <c r="FM343" s="26"/>
      <c r="FN343" s="205"/>
      <c r="FO343" s="205"/>
      <c r="FP343" s="205"/>
      <c r="FQ343" s="205"/>
      <c r="FR343" s="205"/>
      <c r="FS343" s="205"/>
      <c r="FT343" s="205"/>
      <c r="FU343" s="77"/>
      <c r="FV343" s="77"/>
      <c r="FW343" s="77"/>
      <c r="FX343" s="205"/>
      <c r="FY343" s="205"/>
      <c r="FZ343" s="205"/>
      <c r="GA343" s="205"/>
      <c r="GB343" s="205"/>
      <c r="GC343" s="205"/>
      <c r="GD343" s="205"/>
      <c r="GE343" s="205"/>
      <c r="GF343" s="205"/>
      <c r="GG343" s="205"/>
      <c r="GH343" s="205"/>
      <c r="GI343" s="205"/>
      <c r="GJ343" s="205"/>
      <c r="GK343" s="205"/>
      <c r="GL343" s="205"/>
      <c r="GM343" s="205"/>
      <c r="GN343" s="205"/>
      <c r="GO343" s="205"/>
      <c r="GP343" s="205"/>
      <c r="GQ343" s="205"/>
      <c r="GR343" s="205"/>
      <c r="GS343" s="205"/>
      <c r="GT343" s="205"/>
      <c r="GU343" s="205"/>
      <c r="GV343" s="18"/>
      <c r="GW343" s="5"/>
      <c r="GX343" s="5"/>
      <c r="GY343" s="77"/>
      <c r="GZ343" s="18"/>
      <c r="HA343" s="18"/>
      <c r="HB343" s="18"/>
      <c r="HC343" s="18"/>
      <c r="HD343" s="18"/>
      <c r="HE343" s="18"/>
      <c r="HF343" s="18"/>
      <c r="HG343" s="18"/>
      <c r="HH343" s="205"/>
      <c r="HI343" s="26"/>
      <c r="HJ343" s="26"/>
      <c r="HK343" s="5"/>
    </row>
    <row r="344" spans="40:219">
      <c r="AN344" s="26"/>
      <c r="AO344" s="26"/>
      <c r="AP344" s="15"/>
      <c r="AQ344" s="5"/>
      <c r="AR344" s="26"/>
      <c r="AS344" s="26"/>
      <c r="AT344" s="26"/>
      <c r="AU344" s="26"/>
      <c r="AV344" s="95"/>
      <c r="AW344" s="95"/>
      <c r="AX344" s="95"/>
      <c r="AY344" s="54"/>
      <c r="AZ344" s="54"/>
      <c r="BA344" s="15"/>
      <c r="BB344" s="54"/>
      <c r="BC344" s="54"/>
      <c r="BD344" s="22"/>
      <c r="BE344" s="23"/>
      <c r="BL344" s="92"/>
      <c r="BN344" s="5"/>
      <c r="BO344" s="54"/>
      <c r="BP344" s="5"/>
      <c r="BQ344" s="5"/>
      <c r="BR344" s="24"/>
      <c r="BS344" s="25"/>
      <c r="BT344" s="25"/>
      <c r="BU344" s="25"/>
      <c r="BV344" s="25"/>
      <c r="BW344" s="25"/>
      <c r="BX344" s="25"/>
      <c r="BY344" s="25"/>
      <c r="BZ344" s="25"/>
      <c r="CA344" s="25"/>
      <c r="CB344" s="25"/>
      <c r="CC344" s="5"/>
      <c r="CD344" s="5"/>
      <c r="CE344" s="5"/>
      <c r="CF344" s="5"/>
      <c r="CG344" s="5"/>
      <c r="CH344" s="5"/>
      <c r="CI344" s="68"/>
      <c r="CJ344" s="5"/>
      <c r="CK344" s="5"/>
      <c r="CL344" s="102"/>
      <c r="CM344" s="5"/>
      <c r="CN344" s="5"/>
      <c r="CO344" s="5"/>
      <c r="CP344" s="25"/>
      <c r="CQ344" s="68"/>
      <c r="CR344" s="68"/>
      <c r="CS344" s="5"/>
      <c r="CT344" s="5"/>
      <c r="CU344" s="68"/>
      <c r="CV344" s="5"/>
      <c r="CW344" s="25"/>
      <c r="CX344" s="72"/>
      <c r="CY344" s="102"/>
      <c r="CZ344" s="5"/>
      <c r="DA344" s="47"/>
      <c r="DB344" s="46"/>
      <c r="DC344" s="5"/>
      <c r="DD344" s="5"/>
      <c r="DE344" s="5"/>
      <c r="DF344" s="5"/>
      <c r="DG344" s="5"/>
      <c r="DH344" s="203"/>
      <c r="DI344" s="203"/>
      <c r="DJ344" s="46"/>
      <c r="DK344" s="5"/>
      <c r="EB344" s="18"/>
      <c r="EC344" s="77"/>
      <c r="ED344" s="77"/>
      <c r="EE344" s="18"/>
      <c r="EF344" s="18"/>
      <c r="EG344" s="18"/>
      <c r="EH344" s="5"/>
      <c r="EI344" s="5"/>
      <c r="EJ344" s="5"/>
      <c r="EK344" s="5"/>
      <c r="EL344" s="5"/>
      <c r="FE344" s="26"/>
      <c r="FF344" s="26"/>
      <c r="FG344" s="26"/>
      <c r="FH344" s="26"/>
      <c r="FI344" s="26"/>
      <c r="FJ344" s="26"/>
      <c r="FK344" s="26"/>
      <c r="FL344" s="26"/>
      <c r="FM344" s="26"/>
      <c r="FN344" s="205"/>
      <c r="FO344" s="205"/>
      <c r="FP344" s="205"/>
      <c r="FQ344" s="205"/>
      <c r="FR344" s="205"/>
      <c r="FS344" s="205"/>
      <c r="FT344" s="205"/>
      <c r="FU344" s="77"/>
      <c r="FV344" s="77"/>
      <c r="FW344" s="77"/>
      <c r="FX344" s="205"/>
      <c r="FY344" s="205"/>
      <c r="FZ344" s="205"/>
      <c r="GA344" s="205"/>
      <c r="GB344" s="205"/>
      <c r="GC344" s="205"/>
      <c r="GD344" s="205"/>
      <c r="GE344" s="205"/>
      <c r="GF344" s="205"/>
      <c r="GG344" s="205"/>
      <c r="GH344" s="205"/>
      <c r="GI344" s="205"/>
      <c r="GJ344" s="205"/>
      <c r="GK344" s="205"/>
      <c r="GL344" s="205"/>
      <c r="GM344" s="205"/>
      <c r="GN344" s="205"/>
      <c r="GO344" s="205"/>
      <c r="GP344" s="205"/>
      <c r="GQ344" s="205"/>
      <c r="GR344" s="205"/>
      <c r="GS344" s="205"/>
      <c r="GT344" s="205"/>
      <c r="GU344" s="205"/>
      <c r="GV344" s="18"/>
      <c r="GW344" s="5"/>
      <c r="GX344" s="5"/>
      <c r="GY344" s="77"/>
      <c r="GZ344" s="18"/>
      <c r="HA344" s="18"/>
      <c r="HB344" s="18"/>
      <c r="HC344" s="18"/>
      <c r="HD344" s="18"/>
      <c r="HE344" s="18"/>
      <c r="HF344" s="18"/>
      <c r="HG344" s="18"/>
      <c r="HH344" s="18"/>
      <c r="HI344" s="18"/>
      <c r="HJ344" s="18"/>
      <c r="HK344" s="18"/>
    </row>
    <row r="345" spans="40:219">
      <c r="AN345" s="26"/>
      <c r="AO345" s="26"/>
      <c r="AP345" s="15"/>
      <c r="AQ345" s="5"/>
      <c r="AR345" s="26"/>
      <c r="AS345" s="26"/>
      <c r="AT345" s="26"/>
      <c r="AU345" s="26"/>
      <c r="AV345" s="95"/>
      <c r="AW345" s="95"/>
      <c r="AX345" s="95"/>
      <c r="AY345" s="54"/>
      <c r="AZ345" s="54"/>
      <c r="BA345" s="15"/>
      <c r="BB345" s="54"/>
      <c r="BC345" s="54"/>
      <c r="BD345" s="22"/>
      <c r="BE345" s="23"/>
      <c r="BL345" s="92"/>
      <c r="BN345" s="5"/>
      <c r="BO345" s="54"/>
      <c r="BP345" s="5"/>
      <c r="BQ345" s="5"/>
      <c r="BR345" s="24"/>
      <c r="BS345" s="25"/>
      <c r="BT345" s="25"/>
      <c r="BU345" s="25"/>
      <c r="BV345" s="25"/>
      <c r="BW345" s="25"/>
      <c r="BX345" s="25"/>
      <c r="BY345" s="25"/>
      <c r="BZ345" s="25"/>
      <c r="CA345" s="25"/>
      <c r="CB345" s="25"/>
      <c r="CC345" s="5"/>
      <c r="CD345" s="5"/>
      <c r="CE345" s="5"/>
      <c r="CF345" s="5"/>
      <c r="CG345" s="5"/>
      <c r="CH345" s="5"/>
      <c r="CI345" s="68"/>
      <c r="CJ345" s="5"/>
      <c r="CK345" s="5"/>
      <c r="CL345" s="102"/>
      <c r="CM345" s="5"/>
      <c r="CN345" s="5"/>
      <c r="CO345" s="5"/>
      <c r="CP345" s="25"/>
      <c r="CQ345" s="68"/>
      <c r="CR345" s="68"/>
      <c r="CS345" s="5"/>
      <c r="CT345" s="5"/>
      <c r="CU345" s="68"/>
      <c r="CV345" s="5"/>
      <c r="CW345" s="25"/>
      <c r="CX345" s="72"/>
      <c r="CY345" s="102"/>
      <c r="CZ345" s="5"/>
      <c r="DA345" s="47"/>
      <c r="DB345" s="46"/>
      <c r="DC345" s="5"/>
      <c r="DD345" s="5"/>
      <c r="DE345" s="5"/>
      <c r="DF345" s="5"/>
      <c r="DG345" s="5"/>
      <c r="DH345" s="203"/>
      <c r="DI345" s="203"/>
      <c r="DJ345" s="46"/>
      <c r="DK345" s="5"/>
      <c r="EB345" s="18"/>
      <c r="EC345" s="77"/>
      <c r="ED345" s="77"/>
      <c r="EE345" s="18"/>
      <c r="EF345" s="18"/>
      <c r="EG345" s="18"/>
      <c r="EH345" s="5"/>
      <c r="EI345" s="5"/>
      <c r="EJ345" s="5"/>
      <c r="EK345" s="5"/>
      <c r="EL345" s="5"/>
      <c r="FE345" s="26"/>
      <c r="FF345" s="26"/>
      <c r="FG345" s="26"/>
      <c r="FH345" s="26"/>
      <c r="FI345" s="26"/>
      <c r="FJ345" s="26"/>
      <c r="FK345" s="26"/>
      <c r="FL345" s="26"/>
      <c r="FM345" s="26"/>
      <c r="FN345" s="205"/>
      <c r="FO345" s="205"/>
      <c r="FP345" s="205"/>
      <c r="FQ345" s="205"/>
      <c r="FR345" s="205"/>
      <c r="FS345" s="205"/>
      <c r="FT345" s="205"/>
      <c r="FU345" s="77"/>
      <c r="FV345" s="77"/>
      <c r="FW345" s="77"/>
      <c r="FX345" s="205"/>
      <c r="FY345" s="205"/>
      <c r="FZ345" s="205"/>
      <c r="GA345" s="205"/>
      <c r="GB345" s="205"/>
      <c r="GC345" s="205"/>
      <c r="GD345" s="205"/>
      <c r="GE345" s="205"/>
      <c r="GF345" s="205"/>
      <c r="GG345" s="205"/>
      <c r="GH345" s="205"/>
      <c r="GI345" s="205"/>
      <c r="GJ345" s="205"/>
      <c r="GK345" s="205"/>
      <c r="GL345" s="205"/>
      <c r="GM345" s="205"/>
      <c r="GN345" s="205"/>
      <c r="GO345" s="205"/>
      <c r="GP345" s="205"/>
      <c r="GQ345" s="205"/>
      <c r="GR345" s="205"/>
      <c r="GS345" s="205"/>
      <c r="GT345" s="205"/>
      <c r="GU345" s="205"/>
      <c r="GV345" s="18"/>
      <c r="GW345" s="5"/>
      <c r="GX345" s="5"/>
      <c r="GY345" s="77"/>
      <c r="GZ345" s="18"/>
      <c r="HA345" s="18"/>
      <c r="HB345" s="18"/>
      <c r="HC345" s="18"/>
      <c r="HD345" s="18"/>
      <c r="HE345" s="18"/>
      <c r="HF345" s="18"/>
      <c r="HG345" s="18"/>
      <c r="HH345" s="18"/>
      <c r="HI345" s="18"/>
      <c r="HJ345" s="18"/>
      <c r="HK345" s="18"/>
    </row>
    <row r="346" spans="40:219">
      <c r="AN346" s="26"/>
      <c r="AO346" s="26"/>
      <c r="AP346" s="15"/>
      <c r="AQ346" s="5"/>
      <c r="AR346" s="26"/>
      <c r="AS346" s="26"/>
      <c r="AT346" s="26"/>
      <c r="AU346" s="26"/>
      <c r="AV346" s="95"/>
      <c r="AW346" s="95"/>
      <c r="AX346" s="95"/>
      <c r="AY346" s="54"/>
      <c r="AZ346" s="54"/>
      <c r="BA346" s="15"/>
      <c r="BB346" s="54"/>
      <c r="BC346" s="54"/>
      <c r="BD346" s="22"/>
      <c r="BE346" s="23"/>
      <c r="BL346" s="92"/>
      <c r="BN346" s="5"/>
      <c r="BO346" s="54"/>
      <c r="BP346" s="5"/>
      <c r="BQ346" s="5"/>
      <c r="BR346" s="24"/>
      <c r="BS346" s="25"/>
      <c r="BT346" s="25"/>
      <c r="BU346" s="25"/>
      <c r="BV346" s="25"/>
      <c r="BW346" s="25"/>
      <c r="BX346" s="25"/>
      <c r="BY346" s="25"/>
      <c r="BZ346" s="25"/>
      <c r="CA346" s="25"/>
      <c r="CB346" s="25"/>
      <c r="CC346" s="5"/>
      <c r="CD346" s="5"/>
      <c r="CE346" s="5"/>
      <c r="CF346" s="5"/>
      <c r="CG346" s="5"/>
      <c r="CH346" s="5"/>
      <c r="CI346" s="68"/>
      <c r="CJ346" s="5"/>
      <c r="CK346" s="5"/>
      <c r="CL346" s="102"/>
      <c r="CM346" s="5"/>
      <c r="CN346" s="5"/>
      <c r="CO346" s="5"/>
      <c r="CP346" s="25"/>
      <c r="CQ346" s="68"/>
      <c r="CR346" s="68"/>
      <c r="CS346" s="5"/>
      <c r="CT346" s="5"/>
      <c r="CU346" s="68"/>
      <c r="CV346" s="5"/>
      <c r="CW346" s="25"/>
      <c r="CX346" s="72"/>
      <c r="CY346" s="102"/>
      <c r="CZ346" s="5"/>
      <c r="DA346" s="47"/>
      <c r="DB346" s="46"/>
      <c r="DC346" s="5"/>
      <c r="DD346" s="5"/>
      <c r="DE346" s="5"/>
      <c r="DF346" s="5"/>
      <c r="DG346" s="5"/>
      <c r="DH346" s="203"/>
      <c r="DI346" s="203"/>
      <c r="DJ346" s="46"/>
      <c r="DK346" s="5"/>
      <c r="EB346" s="18"/>
      <c r="EC346" s="77"/>
      <c r="ED346" s="77"/>
      <c r="EE346" s="18"/>
      <c r="EF346" s="18"/>
      <c r="EG346" s="18"/>
      <c r="EH346" s="5"/>
      <c r="EI346" s="5"/>
      <c r="EJ346" s="5"/>
      <c r="EK346" s="5"/>
      <c r="EL346" s="5"/>
      <c r="FE346" s="26"/>
      <c r="FF346" s="26"/>
      <c r="FG346" s="26"/>
      <c r="FH346" s="26"/>
      <c r="FI346" s="26"/>
      <c r="FJ346" s="26"/>
      <c r="FK346" s="26"/>
      <c r="FL346" s="26"/>
      <c r="FM346" s="26"/>
      <c r="FN346" s="205"/>
      <c r="FO346" s="205"/>
      <c r="FP346" s="205"/>
      <c r="FQ346" s="205"/>
      <c r="FR346" s="205"/>
      <c r="FS346" s="205"/>
      <c r="FT346" s="205"/>
      <c r="FU346" s="77"/>
      <c r="FV346" s="77"/>
      <c r="FW346" s="77"/>
      <c r="FX346" s="205"/>
      <c r="FY346" s="205"/>
      <c r="FZ346" s="205"/>
      <c r="GA346" s="205"/>
      <c r="GB346" s="205"/>
      <c r="GC346" s="205"/>
      <c r="GD346" s="205"/>
      <c r="GE346" s="205"/>
      <c r="GF346" s="205"/>
      <c r="GG346" s="205"/>
      <c r="GH346" s="205"/>
      <c r="GI346" s="205"/>
      <c r="GJ346" s="205"/>
      <c r="GK346" s="205"/>
      <c r="GL346" s="205"/>
      <c r="GM346" s="205"/>
      <c r="GN346" s="205"/>
      <c r="GO346" s="205"/>
      <c r="GP346" s="205"/>
      <c r="GQ346" s="205"/>
      <c r="GR346" s="205"/>
      <c r="GS346" s="205"/>
      <c r="GT346" s="205"/>
      <c r="GU346" s="205"/>
      <c r="GV346" s="18"/>
      <c r="GW346" s="5"/>
      <c r="GX346" s="5"/>
      <c r="GY346" s="77"/>
      <c r="GZ346" s="18"/>
      <c r="HA346" s="18"/>
      <c r="HB346" s="18"/>
      <c r="HC346" s="18"/>
      <c r="HD346" s="18"/>
      <c r="HE346" s="18"/>
      <c r="HF346" s="18"/>
      <c r="HG346" s="18"/>
      <c r="HH346" s="18"/>
      <c r="HI346" s="18"/>
      <c r="HJ346" s="18"/>
      <c r="HK346" s="18"/>
    </row>
    <row r="347" spans="40:219">
      <c r="AN347" s="26"/>
      <c r="AO347" s="26"/>
      <c r="AP347" s="15"/>
      <c r="AQ347" s="5"/>
      <c r="AR347" s="26"/>
      <c r="AS347" s="26"/>
      <c r="AT347" s="26"/>
      <c r="AU347" s="26"/>
      <c r="AV347" s="95"/>
      <c r="AW347" s="95"/>
      <c r="AX347" s="95"/>
      <c r="AY347" s="54"/>
      <c r="AZ347" s="54"/>
      <c r="BA347" s="15"/>
      <c r="BB347" s="54"/>
      <c r="BC347" s="54"/>
      <c r="BD347" s="22"/>
      <c r="BE347" s="23"/>
      <c r="BL347" s="92"/>
      <c r="BN347" s="5"/>
      <c r="BO347" s="54"/>
      <c r="BP347" s="5"/>
      <c r="BQ347" s="5"/>
      <c r="BR347" s="24"/>
      <c r="BS347" s="25"/>
      <c r="BT347" s="25"/>
      <c r="BU347" s="25"/>
      <c r="BV347" s="25"/>
      <c r="BW347" s="25"/>
      <c r="BX347" s="25"/>
      <c r="BY347" s="25"/>
      <c r="BZ347" s="25"/>
      <c r="CA347" s="25"/>
      <c r="CB347" s="25"/>
      <c r="CC347" s="5"/>
      <c r="CD347" s="5"/>
      <c r="CE347" s="5"/>
      <c r="CF347" s="5"/>
      <c r="CG347" s="5"/>
      <c r="CH347" s="5"/>
      <c r="CI347" s="68"/>
      <c r="CJ347" s="5"/>
      <c r="CK347" s="5"/>
      <c r="CL347" s="102"/>
      <c r="CM347" s="5"/>
      <c r="CN347" s="5"/>
      <c r="CO347" s="5"/>
      <c r="CP347" s="25"/>
      <c r="CQ347" s="68"/>
      <c r="CR347" s="68"/>
      <c r="CS347" s="5"/>
      <c r="CT347" s="5"/>
      <c r="CU347" s="68"/>
      <c r="CV347" s="5"/>
      <c r="CW347" s="25"/>
      <c r="CX347" s="72"/>
      <c r="CY347" s="102"/>
      <c r="CZ347" s="5"/>
      <c r="DA347" s="47"/>
      <c r="DB347" s="46"/>
      <c r="DC347" s="5"/>
      <c r="DD347" s="5"/>
      <c r="DE347" s="5"/>
      <c r="DF347" s="5"/>
      <c r="DG347" s="5"/>
      <c r="DH347" s="203"/>
      <c r="DI347" s="203"/>
      <c r="DJ347" s="46"/>
      <c r="DK347" s="5"/>
      <c r="EB347" s="18"/>
      <c r="EC347" s="77"/>
      <c r="ED347" s="77"/>
      <c r="EE347" s="18"/>
      <c r="EF347" s="18"/>
      <c r="EG347" s="18"/>
      <c r="EH347" s="5"/>
      <c r="EI347" s="5"/>
      <c r="EJ347" s="5"/>
      <c r="EK347" s="5"/>
      <c r="EL347" s="5"/>
      <c r="FE347" s="26"/>
      <c r="FF347" s="26"/>
      <c r="FG347" s="26"/>
      <c r="FH347" s="26"/>
      <c r="FI347" s="26"/>
      <c r="FJ347" s="26"/>
      <c r="FK347" s="26"/>
      <c r="FL347" s="26"/>
      <c r="FM347" s="26"/>
      <c r="FN347" s="205"/>
      <c r="FO347" s="205"/>
      <c r="FP347" s="205"/>
      <c r="FQ347" s="205"/>
      <c r="FR347" s="205"/>
      <c r="FS347" s="205"/>
      <c r="FT347" s="205"/>
      <c r="FU347" s="77"/>
      <c r="FV347" s="77"/>
      <c r="FW347" s="77"/>
      <c r="FX347" s="205"/>
      <c r="FY347" s="205"/>
      <c r="FZ347" s="205"/>
      <c r="GA347" s="205"/>
      <c r="GB347" s="205"/>
      <c r="GC347" s="205"/>
      <c r="GD347" s="205"/>
      <c r="GE347" s="205"/>
      <c r="GF347" s="205"/>
      <c r="GG347" s="205"/>
      <c r="GH347" s="205"/>
      <c r="GI347" s="205"/>
      <c r="GJ347" s="205"/>
      <c r="GK347" s="205"/>
      <c r="GL347" s="205"/>
      <c r="GM347" s="205"/>
      <c r="GN347" s="205"/>
      <c r="GO347" s="205"/>
      <c r="GP347" s="205"/>
      <c r="GQ347" s="205"/>
      <c r="GR347" s="205"/>
      <c r="GS347" s="205"/>
      <c r="GT347" s="205"/>
      <c r="GU347" s="205"/>
      <c r="GV347" s="18"/>
      <c r="GW347" s="5"/>
      <c r="GX347" s="5"/>
      <c r="GY347" s="77"/>
      <c r="GZ347" s="18"/>
      <c r="HA347" s="18"/>
      <c r="HB347" s="18"/>
      <c r="HC347" s="18"/>
      <c r="HD347" s="18"/>
      <c r="HE347" s="18"/>
      <c r="HF347" s="18"/>
      <c r="HG347" s="18"/>
      <c r="HH347" s="18"/>
      <c r="HI347" s="18"/>
      <c r="HJ347" s="18"/>
      <c r="HK347" s="18"/>
    </row>
    <row r="348" spans="40:219">
      <c r="AN348" s="26"/>
      <c r="AO348" s="26"/>
      <c r="AP348" s="15"/>
      <c r="AQ348" s="5"/>
      <c r="AR348" s="26"/>
      <c r="AS348" s="26"/>
      <c r="AT348" s="26"/>
      <c r="AU348" s="26"/>
      <c r="AV348" s="95"/>
      <c r="AW348" s="95"/>
      <c r="AX348" s="95"/>
      <c r="AY348" s="54"/>
      <c r="AZ348" s="54"/>
      <c r="BA348" s="15"/>
      <c r="BB348" s="54"/>
      <c r="BC348" s="54"/>
      <c r="BD348" s="22"/>
      <c r="BE348" s="23"/>
      <c r="BL348" s="92"/>
      <c r="BN348" s="5"/>
      <c r="BO348" s="54"/>
      <c r="BP348" s="5"/>
      <c r="BQ348" s="5"/>
      <c r="BR348" s="24"/>
      <c r="BS348" s="25"/>
      <c r="BT348" s="25"/>
      <c r="BU348" s="25"/>
      <c r="BV348" s="25"/>
      <c r="BW348" s="25"/>
      <c r="BX348" s="25"/>
      <c r="BY348" s="25"/>
      <c r="BZ348" s="25"/>
      <c r="CA348" s="25"/>
      <c r="CB348" s="25"/>
      <c r="CC348" s="5"/>
      <c r="CD348" s="5"/>
      <c r="CE348" s="5"/>
      <c r="CF348" s="5"/>
      <c r="CG348" s="5"/>
      <c r="CH348" s="5"/>
      <c r="CI348" s="68"/>
      <c r="CJ348" s="5"/>
      <c r="CK348" s="5"/>
      <c r="CL348" s="102"/>
      <c r="CM348" s="5"/>
      <c r="CN348" s="5"/>
      <c r="CO348" s="5"/>
      <c r="CP348" s="25"/>
      <c r="CQ348" s="68"/>
      <c r="CR348" s="68"/>
      <c r="CS348" s="5"/>
      <c r="CT348" s="5"/>
      <c r="CU348" s="68"/>
      <c r="CV348" s="5"/>
      <c r="CW348" s="25"/>
      <c r="CX348" s="72"/>
      <c r="CY348" s="102"/>
      <c r="CZ348" s="5"/>
      <c r="DA348" s="47"/>
      <c r="DB348" s="46"/>
      <c r="DC348" s="5"/>
      <c r="DD348" s="5"/>
      <c r="DE348" s="5"/>
      <c r="DF348" s="5"/>
      <c r="DG348" s="5"/>
      <c r="DH348" s="203"/>
      <c r="DI348" s="203"/>
      <c r="DJ348" s="46"/>
      <c r="DK348" s="5"/>
      <c r="EB348" s="18"/>
      <c r="EC348" s="77"/>
      <c r="ED348" s="77"/>
      <c r="EE348" s="18"/>
      <c r="EF348" s="18"/>
      <c r="EG348" s="18"/>
      <c r="EH348" s="5"/>
      <c r="EI348" s="5"/>
      <c r="EJ348" s="5"/>
      <c r="EK348" s="5"/>
      <c r="EL348" s="5"/>
      <c r="FE348" s="26"/>
      <c r="FF348" s="26"/>
      <c r="FG348" s="26"/>
      <c r="FH348" s="26"/>
      <c r="FI348" s="26"/>
      <c r="FJ348" s="26"/>
      <c r="FK348" s="26"/>
      <c r="FL348" s="26"/>
      <c r="FM348" s="26"/>
      <c r="FN348" s="205"/>
      <c r="FO348" s="205"/>
      <c r="FP348" s="205"/>
      <c r="FQ348" s="205"/>
      <c r="FR348" s="205"/>
      <c r="FS348" s="205"/>
      <c r="FT348" s="205"/>
      <c r="FU348" s="77"/>
      <c r="FV348" s="77"/>
      <c r="FW348" s="77"/>
      <c r="FX348" s="205"/>
      <c r="FY348" s="205"/>
      <c r="FZ348" s="205"/>
      <c r="GA348" s="205"/>
      <c r="GB348" s="205"/>
      <c r="GC348" s="205"/>
      <c r="GD348" s="205"/>
      <c r="GE348" s="205"/>
      <c r="GF348" s="205"/>
      <c r="GG348" s="205"/>
      <c r="GH348" s="205"/>
      <c r="GI348" s="205"/>
      <c r="GJ348" s="205"/>
      <c r="GK348" s="205"/>
      <c r="GL348" s="205"/>
      <c r="GM348" s="205"/>
      <c r="GN348" s="205"/>
      <c r="GO348" s="205"/>
      <c r="GP348" s="205"/>
      <c r="GQ348" s="205"/>
      <c r="GR348" s="205"/>
      <c r="GS348" s="205"/>
      <c r="GT348" s="205"/>
      <c r="GU348" s="205"/>
      <c r="GV348" s="18"/>
      <c r="GW348" s="5"/>
      <c r="GX348" s="5"/>
      <c r="GY348" s="77"/>
      <c r="GZ348" s="18"/>
      <c r="HA348" s="18"/>
      <c r="HB348" s="18"/>
      <c r="HC348" s="18"/>
      <c r="HD348" s="18"/>
      <c r="HE348" s="18"/>
      <c r="HF348" s="18"/>
      <c r="HG348" s="18"/>
      <c r="HH348" s="18"/>
      <c r="HI348" s="18"/>
      <c r="HJ348" s="18"/>
      <c r="HK348" s="18"/>
    </row>
    <row r="349" spans="40:219">
      <c r="AN349" s="26"/>
      <c r="AO349" s="26"/>
      <c r="AP349" s="15"/>
      <c r="AQ349" s="5"/>
      <c r="AR349" s="26"/>
      <c r="AS349" s="26"/>
      <c r="AT349" s="26"/>
      <c r="AU349" s="26"/>
      <c r="AV349" s="95"/>
      <c r="AW349" s="95"/>
      <c r="AX349" s="95"/>
      <c r="AY349" s="54"/>
      <c r="AZ349" s="54"/>
      <c r="BA349" s="15"/>
      <c r="BB349" s="54"/>
      <c r="BC349" s="54"/>
      <c r="BD349" s="22"/>
      <c r="BE349" s="23"/>
      <c r="BL349" s="92"/>
      <c r="BN349" s="5"/>
      <c r="BO349" s="54"/>
      <c r="BP349" s="5"/>
      <c r="BQ349" s="5"/>
      <c r="BR349" s="24"/>
      <c r="BS349" s="25"/>
      <c r="BT349" s="25"/>
      <c r="BU349" s="25"/>
      <c r="BV349" s="25"/>
      <c r="BW349" s="25"/>
      <c r="BX349" s="25"/>
      <c r="BY349" s="25"/>
      <c r="BZ349" s="25"/>
      <c r="CA349" s="25"/>
      <c r="CB349" s="25"/>
      <c r="CC349" s="5"/>
      <c r="CD349" s="5"/>
      <c r="CE349" s="5"/>
      <c r="CF349" s="5"/>
      <c r="CG349" s="5"/>
      <c r="CH349" s="5"/>
      <c r="CI349" s="68"/>
      <c r="CJ349" s="5"/>
      <c r="CK349" s="5"/>
      <c r="CL349" s="102"/>
      <c r="CM349" s="5"/>
      <c r="CN349" s="5"/>
      <c r="CO349" s="5"/>
      <c r="CP349" s="25"/>
      <c r="CQ349" s="68"/>
      <c r="CR349" s="68"/>
      <c r="CS349" s="5"/>
      <c r="CT349" s="5"/>
      <c r="CU349" s="68"/>
      <c r="CV349" s="5"/>
      <c r="CW349" s="25"/>
      <c r="CX349" s="72"/>
      <c r="CY349" s="102"/>
      <c r="CZ349" s="5"/>
      <c r="DA349" s="47"/>
      <c r="DB349" s="46"/>
      <c r="DC349" s="5"/>
      <c r="DD349" s="5"/>
      <c r="DE349" s="5"/>
      <c r="DF349" s="5"/>
      <c r="DG349" s="5"/>
      <c r="DH349" s="203"/>
      <c r="DI349" s="203"/>
      <c r="DJ349" s="46"/>
      <c r="DK349" s="5"/>
      <c r="EB349" s="18"/>
      <c r="EC349" s="77"/>
      <c r="ED349" s="77"/>
      <c r="EE349" s="18"/>
      <c r="EF349" s="18"/>
      <c r="EG349" s="18"/>
      <c r="EH349" s="5"/>
      <c r="EI349" s="5"/>
      <c r="EJ349" s="5"/>
      <c r="EK349" s="5"/>
      <c r="EL349" s="5"/>
      <c r="FE349" s="26"/>
      <c r="FF349" s="26"/>
      <c r="FG349" s="26"/>
      <c r="FH349" s="26"/>
      <c r="FI349" s="26"/>
      <c r="FJ349" s="26"/>
      <c r="FK349" s="26"/>
      <c r="FL349" s="26"/>
      <c r="FM349" s="26"/>
      <c r="FN349" s="205"/>
      <c r="FO349" s="205"/>
      <c r="FP349" s="205"/>
      <c r="FQ349" s="205"/>
      <c r="FR349" s="205"/>
      <c r="FS349" s="205"/>
      <c r="FT349" s="205"/>
      <c r="FU349" s="77"/>
      <c r="FV349" s="77"/>
      <c r="FW349" s="77"/>
      <c r="FX349" s="205"/>
      <c r="FY349" s="205"/>
      <c r="FZ349" s="205"/>
      <c r="GA349" s="205"/>
      <c r="GB349" s="205"/>
      <c r="GC349" s="205"/>
      <c r="GD349" s="205"/>
      <c r="GE349" s="205"/>
      <c r="GF349" s="205"/>
      <c r="GG349" s="205"/>
      <c r="GH349" s="205"/>
      <c r="GI349" s="205"/>
      <c r="GJ349" s="205"/>
      <c r="GK349" s="205"/>
      <c r="GL349" s="205"/>
      <c r="GM349" s="205"/>
      <c r="GN349" s="205"/>
      <c r="GO349" s="205"/>
      <c r="GP349" s="205"/>
      <c r="GQ349" s="205"/>
      <c r="GR349" s="205"/>
      <c r="GS349" s="205"/>
      <c r="GT349" s="205"/>
      <c r="GU349" s="205"/>
      <c r="GV349" s="18"/>
      <c r="GW349" s="5"/>
      <c r="GX349" s="5"/>
      <c r="GY349" s="77"/>
      <c r="GZ349" s="18"/>
      <c r="HA349" s="18"/>
      <c r="HB349" s="18"/>
      <c r="HC349" s="18"/>
      <c r="HD349" s="18"/>
      <c r="HE349" s="18"/>
      <c r="HF349" s="18"/>
      <c r="HG349" s="18"/>
      <c r="HH349" s="18"/>
      <c r="HI349" s="18"/>
      <c r="HJ349" s="18"/>
      <c r="HK349" s="18"/>
    </row>
    <row r="350" spans="40:219">
      <c r="AN350" s="26"/>
      <c r="AO350" s="26"/>
      <c r="AP350" s="15"/>
      <c r="AQ350" s="5"/>
      <c r="AR350" s="26"/>
      <c r="AS350" s="26"/>
      <c r="AT350" s="26"/>
      <c r="AU350" s="26"/>
      <c r="AV350" s="95"/>
      <c r="AW350" s="95"/>
      <c r="AX350" s="95"/>
      <c r="AY350" s="54"/>
      <c r="AZ350" s="54"/>
      <c r="BA350" s="15"/>
      <c r="BB350" s="54"/>
      <c r="BC350" s="54"/>
      <c r="BD350" s="22"/>
      <c r="BE350" s="23"/>
      <c r="BL350" s="92"/>
      <c r="BN350" s="5"/>
      <c r="BO350" s="54"/>
      <c r="BP350" s="5"/>
      <c r="BQ350" s="5"/>
      <c r="BR350" s="24"/>
      <c r="BS350" s="25"/>
      <c r="BT350" s="25"/>
      <c r="BU350" s="25"/>
      <c r="BV350" s="25"/>
      <c r="BW350" s="25"/>
      <c r="BX350" s="25"/>
      <c r="BY350" s="25"/>
      <c r="BZ350" s="25"/>
      <c r="CA350" s="25"/>
      <c r="CB350" s="25"/>
      <c r="CC350" s="5"/>
      <c r="CD350" s="5"/>
      <c r="CE350" s="5"/>
      <c r="CF350" s="5"/>
      <c r="CG350" s="5"/>
      <c r="CH350" s="5"/>
      <c r="CI350" s="68"/>
      <c r="CJ350" s="5"/>
      <c r="CK350" s="5"/>
      <c r="CL350" s="102"/>
      <c r="CM350" s="5"/>
      <c r="CN350" s="5"/>
      <c r="CO350" s="5"/>
      <c r="CP350" s="25"/>
      <c r="CQ350" s="68"/>
      <c r="CR350" s="68"/>
      <c r="CS350" s="5"/>
      <c r="CT350" s="5"/>
      <c r="CU350" s="68"/>
      <c r="CV350" s="5"/>
      <c r="CW350" s="25"/>
      <c r="CX350" s="72"/>
      <c r="CY350" s="102"/>
      <c r="CZ350" s="5"/>
      <c r="DA350" s="47"/>
      <c r="DB350" s="46"/>
      <c r="DC350" s="5"/>
      <c r="DD350" s="5"/>
      <c r="DE350" s="5"/>
      <c r="DF350" s="5"/>
      <c r="DG350" s="5"/>
      <c r="DH350" s="203"/>
      <c r="DI350" s="203"/>
      <c r="DJ350" s="46"/>
      <c r="DK350" s="5"/>
      <c r="EB350" s="18"/>
      <c r="EC350" s="77"/>
      <c r="ED350" s="77"/>
      <c r="EE350" s="18"/>
      <c r="EF350" s="18"/>
      <c r="EG350" s="18"/>
      <c r="EH350" s="5"/>
      <c r="EI350" s="5"/>
      <c r="EJ350" s="5"/>
      <c r="EK350" s="5"/>
      <c r="EL350" s="5"/>
      <c r="FE350" s="26"/>
      <c r="FF350" s="26"/>
      <c r="FG350" s="26"/>
      <c r="FH350" s="26"/>
      <c r="FI350" s="26"/>
      <c r="FJ350" s="26"/>
      <c r="FK350" s="26"/>
      <c r="FL350" s="26"/>
      <c r="FM350" s="26"/>
      <c r="FN350" s="205"/>
      <c r="FO350" s="205"/>
      <c r="FP350" s="205"/>
      <c r="FQ350" s="205"/>
      <c r="FR350" s="205"/>
      <c r="FS350" s="205"/>
      <c r="FT350" s="205"/>
      <c r="FU350" s="77"/>
      <c r="FV350" s="77"/>
      <c r="FW350" s="77"/>
      <c r="FX350" s="205"/>
      <c r="FY350" s="205"/>
      <c r="FZ350" s="205"/>
      <c r="GA350" s="205"/>
      <c r="GB350" s="205"/>
      <c r="GC350" s="205"/>
      <c r="GD350" s="205"/>
      <c r="GE350" s="205"/>
      <c r="GF350" s="205"/>
      <c r="GG350" s="205"/>
      <c r="GH350" s="205"/>
      <c r="GI350" s="205"/>
      <c r="GJ350" s="205"/>
      <c r="GK350" s="205"/>
      <c r="GL350" s="205"/>
      <c r="GM350" s="205"/>
      <c r="GN350" s="205"/>
      <c r="GO350" s="205"/>
      <c r="GP350" s="205"/>
      <c r="GQ350" s="205"/>
      <c r="GR350" s="205"/>
      <c r="GS350" s="205"/>
      <c r="GT350" s="205"/>
      <c r="GU350" s="205"/>
      <c r="GV350" s="18"/>
      <c r="GW350" s="5"/>
      <c r="GX350" s="5"/>
      <c r="GY350" s="77"/>
      <c r="GZ350" s="18"/>
      <c r="HA350" s="18"/>
      <c r="HB350" s="18"/>
      <c r="HC350" s="18"/>
      <c r="HD350" s="18"/>
      <c r="HE350" s="18"/>
      <c r="HF350" s="18"/>
      <c r="HG350" s="18"/>
      <c r="HH350" s="18"/>
      <c r="HI350" s="18"/>
      <c r="HJ350" s="18"/>
      <c r="HK350" s="18"/>
    </row>
    <row r="351" spans="40:219">
      <c r="AN351" s="26"/>
      <c r="AO351" s="26"/>
      <c r="AP351" s="15"/>
      <c r="AQ351" s="5"/>
      <c r="AR351" s="26"/>
      <c r="AS351" s="26"/>
      <c r="AT351" s="26"/>
      <c r="AU351" s="26"/>
      <c r="AV351" s="95"/>
      <c r="AW351" s="95"/>
      <c r="AX351" s="95"/>
      <c r="AY351" s="54"/>
      <c r="AZ351" s="54"/>
      <c r="BA351" s="15"/>
      <c r="BB351" s="54"/>
      <c r="BC351" s="54"/>
      <c r="BD351" s="22"/>
      <c r="BE351" s="23"/>
      <c r="BL351" s="92"/>
      <c r="BN351" s="5"/>
      <c r="BO351" s="54"/>
      <c r="BP351" s="5"/>
      <c r="BQ351" s="5"/>
      <c r="BR351" s="24"/>
      <c r="BS351" s="25"/>
      <c r="BT351" s="25"/>
      <c r="BU351" s="25"/>
      <c r="BV351" s="25"/>
      <c r="BW351" s="25"/>
      <c r="BX351" s="25"/>
      <c r="BY351" s="25"/>
      <c r="BZ351" s="25"/>
      <c r="CA351" s="25"/>
      <c r="CB351" s="25"/>
      <c r="CC351" s="5"/>
      <c r="CD351" s="5"/>
      <c r="CE351" s="5"/>
      <c r="CF351" s="5"/>
      <c r="CG351" s="5"/>
      <c r="CH351" s="5"/>
      <c r="CI351" s="68"/>
      <c r="CJ351" s="5"/>
      <c r="CK351" s="5"/>
      <c r="CL351" s="102"/>
      <c r="CM351" s="5"/>
      <c r="CN351" s="5"/>
      <c r="CO351" s="5"/>
      <c r="CP351" s="25"/>
      <c r="CQ351" s="68"/>
      <c r="CR351" s="68"/>
      <c r="CS351" s="5"/>
      <c r="CT351" s="5"/>
      <c r="CU351" s="68"/>
      <c r="CV351" s="5"/>
      <c r="CW351" s="25"/>
      <c r="CX351" s="72"/>
      <c r="CY351" s="102"/>
      <c r="CZ351" s="5"/>
      <c r="DA351" s="47"/>
      <c r="DB351" s="46"/>
      <c r="DC351" s="5"/>
      <c r="DD351" s="5"/>
      <c r="DE351" s="5"/>
      <c r="DF351" s="5"/>
      <c r="DG351" s="5"/>
      <c r="DH351" s="203"/>
      <c r="DI351" s="203"/>
      <c r="DJ351" s="46"/>
      <c r="DK351" s="5"/>
      <c r="EB351" s="18"/>
      <c r="EC351" s="77"/>
      <c r="ED351" s="77"/>
      <c r="EE351" s="18"/>
      <c r="EF351" s="18"/>
      <c r="EG351" s="18"/>
      <c r="EH351" s="5"/>
      <c r="EI351" s="5"/>
      <c r="EJ351" s="5"/>
      <c r="EK351" s="5"/>
      <c r="EL351" s="5"/>
      <c r="FE351" s="26"/>
      <c r="FF351" s="26"/>
      <c r="FG351" s="26"/>
      <c r="FH351" s="26"/>
      <c r="FI351" s="26"/>
      <c r="FJ351" s="26"/>
      <c r="FK351" s="26"/>
      <c r="FL351" s="26"/>
      <c r="FM351" s="26"/>
      <c r="FN351" s="205"/>
      <c r="FO351" s="205"/>
      <c r="FP351" s="205"/>
      <c r="FQ351" s="205"/>
      <c r="FR351" s="205"/>
      <c r="FS351" s="205"/>
      <c r="FT351" s="205"/>
      <c r="FU351" s="77"/>
      <c r="FV351" s="77"/>
      <c r="FW351" s="77"/>
      <c r="FX351" s="205"/>
      <c r="FY351" s="205"/>
      <c r="FZ351" s="205"/>
      <c r="GA351" s="205"/>
      <c r="GB351" s="205"/>
      <c r="GC351" s="205"/>
      <c r="GD351" s="205"/>
      <c r="GE351" s="205"/>
      <c r="GF351" s="205"/>
      <c r="GG351" s="205"/>
      <c r="GH351" s="205"/>
      <c r="GI351" s="205"/>
      <c r="GJ351" s="205"/>
      <c r="GK351" s="205"/>
      <c r="GL351" s="205"/>
      <c r="GM351" s="205"/>
      <c r="GN351" s="205"/>
      <c r="GO351" s="205"/>
      <c r="GP351" s="205"/>
      <c r="GQ351" s="205"/>
      <c r="GR351" s="205"/>
      <c r="GS351" s="205"/>
      <c r="GT351" s="205"/>
      <c r="GU351" s="205"/>
      <c r="GV351" s="18"/>
      <c r="GW351" s="5"/>
      <c r="GX351" s="5"/>
      <c r="GY351" s="77"/>
      <c r="GZ351" s="18"/>
      <c r="HA351" s="18"/>
      <c r="HB351" s="18"/>
      <c r="HC351" s="18"/>
      <c r="HD351" s="18"/>
      <c r="HE351" s="18"/>
      <c r="HF351" s="18"/>
      <c r="HG351" s="18"/>
      <c r="HH351" s="18"/>
      <c r="HI351" s="18"/>
      <c r="HJ351" s="18"/>
      <c r="HK351" s="18"/>
    </row>
    <row r="352" spans="40:219">
      <c r="AN352" s="26"/>
      <c r="AO352" s="26"/>
      <c r="AP352" s="15"/>
      <c r="AQ352" s="5"/>
      <c r="AR352" s="26"/>
      <c r="AS352" s="26"/>
      <c r="AT352" s="26"/>
      <c r="AU352" s="26"/>
      <c r="AV352" s="95"/>
      <c r="AW352" s="95"/>
      <c r="AX352" s="95"/>
      <c r="AY352" s="54"/>
      <c r="AZ352" s="54"/>
      <c r="BA352" s="15"/>
      <c r="BB352" s="54"/>
      <c r="BC352" s="54"/>
      <c r="BD352" s="22"/>
      <c r="BE352" s="23"/>
      <c r="BL352" s="92"/>
      <c r="BN352" s="5"/>
      <c r="BO352" s="54"/>
      <c r="BP352" s="5"/>
      <c r="BQ352" s="5"/>
      <c r="BR352" s="24"/>
      <c r="BS352" s="25"/>
      <c r="BT352" s="25"/>
      <c r="BU352" s="25"/>
      <c r="BV352" s="25"/>
      <c r="BW352" s="25"/>
      <c r="BX352" s="25"/>
      <c r="BY352" s="25"/>
      <c r="BZ352" s="25"/>
      <c r="CA352" s="25"/>
      <c r="CB352" s="25"/>
      <c r="CC352" s="5"/>
      <c r="CD352" s="5"/>
      <c r="CE352" s="5"/>
      <c r="CF352" s="5"/>
      <c r="CG352" s="5"/>
      <c r="CH352" s="5"/>
      <c r="CI352" s="68"/>
      <c r="CJ352" s="5"/>
      <c r="CK352" s="5"/>
      <c r="CL352" s="102"/>
      <c r="CM352" s="5"/>
      <c r="CN352" s="5"/>
      <c r="CO352" s="5"/>
      <c r="CP352" s="25"/>
      <c r="CQ352" s="68"/>
      <c r="CR352" s="68"/>
      <c r="CS352" s="5"/>
      <c r="CT352" s="5"/>
      <c r="CU352" s="68"/>
      <c r="CV352" s="5"/>
      <c r="CW352" s="25"/>
      <c r="CX352" s="72"/>
      <c r="CY352" s="102"/>
      <c r="CZ352" s="5"/>
      <c r="DA352" s="47"/>
      <c r="DB352" s="46"/>
      <c r="DC352" s="5"/>
      <c r="DD352" s="5"/>
      <c r="DE352" s="5"/>
      <c r="DF352" s="5"/>
      <c r="DG352" s="5"/>
      <c r="DH352" s="203"/>
      <c r="DI352" s="203"/>
      <c r="DJ352" s="46"/>
      <c r="DK352" s="5"/>
      <c r="EB352" s="18"/>
      <c r="EC352" s="77"/>
      <c r="ED352" s="77"/>
      <c r="EE352" s="18"/>
      <c r="EF352" s="18"/>
      <c r="EG352" s="18"/>
      <c r="EH352" s="5"/>
      <c r="EI352" s="5"/>
      <c r="EJ352" s="5"/>
      <c r="EK352" s="5"/>
      <c r="EL352" s="5"/>
      <c r="FE352" s="26"/>
      <c r="FF352" s="26"/>
      <c r="FG352" s="26"/>
      <c r="FH352" s="26"/>
      <c r="FI352" s="26"/>
      <c r="FJ352" s="26"/>
      <c r="FK352" s="26"/>
      <c r="FL352" s="26"/>
      <c r="FM352" s="26"/>
      <c r="FN352" s="205"/>
      <c r="FO352" s="205"/>
      <c r="FP352" s="205"/>
      <c r="FQ352" s="205"/>
      <c r="FR352" s="205"/>
      <c r="FS352" s="205"/>
      <c r="FT352" s="205"/>
      <c r="FU352" s="77"/>
      <c r="FV352" s="77"/>
      <c r="FW352" s="77"/>
      <c r="FX352" s="205"/>
      <c r="FY352" s="205"/>
      <c r="FZ352" s="205"/>
      <c r="GA352" s="205"/>
      <c r="GB352" s="205"/>
      <c r="GC352" s="205"/>
      <c r="GD352" s="205"/>
      <c r="GE352" s="205"/>
      <c r="GF352" s="205"/>
      <c r="GG352" s="205"/>
      <c r="GH352" s="205"/>
      <c r="GI352" s="205"/>
      <c r="GJ352" s="205"/>
      <c r="GK352" s="205"/>
      <c r="GL352" s="205"/>
      <c r="GM352" s="205"/>
      <c r="GN352" s="205"/>
      <c r="GO352" s="205"/>
      <c r="GP352" s="205"/>
      <c r="GQ352" s="205"/>
      <c r="GR352" s="205"/>
      <c r="GS352" s="205"/>
      <c r="GT352" s="205"/>
      <c r="GU352" s="205"/>
      <c r="GV352" s="18"/>
      <c r="GW352" s="5"/>
      <c r="GX352" s="5"/>
      <c r="GY352" s="77"/>
      <c r="GZ352" s="18"/>
      <c r="HA352" s="18"/>
      <c r="HB352" s="18"/>
      <c r="HC352" s="18"/>
      <c r="HD352" s="18"/>
      <c r="HE352" s="18"/>
      <c r="HF352" s="18"/>
      <c r="HG352" s="18"/>
      <c r="HH352" s="18"/>
      <c r="HI352" s="18"/>
      <c r="HJ352" s="18"/>
      <c r="HK352" s="18"/>
    </row>
    <row r="353" spans="40:219">
      <c r="AN353" s="26"/>
      <c r="AO353" s="26"/>
      <c r="AP353" s="15"/>
      <c r="AQ353" s="5"/>
      <c r="AR353" s="26"/>
      <c r="AS353" s="26"/>
      <c r="AT353" s="26"/>
      <c r="AU353" s="26"/>
      <c r="AV353" s="95"/>
      <c r="AW353" s="95"/>
      <c r="AX353" s="95"/>
      <c r="AY353" s="54"/>
      <c r="AZ353" s="54"/>
      <c r="BA353" s="15"/>
      <c r="BB353" s="54"/>
      <c r="BC353" s="54"/>
      <c r="BD353" s="22"/>
      <c r="BE353" s="23"/>
      <c r="BL353" s="92"/>
      <c r="BN353" s="5"/>
      <c r="BO353" s="54"/>
      <c r="BP353" s="5"/>
      <c r="BQ353" s="5"/>
      <c r="BR353" s="24"/>
      <c r="BS353" s="25"/>
      <c r="BT353" s="25"/>
      <c r="BU353" s="25"/>
      <c r="BV353" s="25"/>
      <c r="BW353" s="25"/>
      <c r="BX353" s="25"/>
      <c r="BY353" s="25"/>
      <c r="BZ353" s="25"/>
      <c r="CA353" s="25"/>
      <c r="CB353" s="25"/>
      <c r="CC353" s="5"/>
      <c r="CD353" s="5"/>
      <c r="CE353" s="5"/>
      <c r="CF353" s="5"/>
      <c r="CG353" s="5"/>
      <c r="CH353" s="5"/>
      <c r="CI353" s="68"/>
      <c r="CJ353" s="5"/>
      <c r="CK353" s="5"/>
      <c r="CL353" s="102"/>
      <c r="CM353" s="5"/>
      <c r="CN353" s="5"/>
      <c r="CO353" s="5"/>
      <c r="CP353" s="25"/>
      <c r="CQ353" s="68"/>
      <c r="CR353" s="68"/>
      <c r="CS353" s="5"/>
      <c r="CT353" s="5"/>
      <c r="CU353" s="68"/>
      <c r="CV353" s="5"/>
      <c r="CW353" s="25"/>
      <c r="CX353" s="72"/>
      <c r="CY353" s="102"/>
      <c r="CZ353" s="5"/>
      <c r="DA353" s="47"/>
      <c r="DB353" s="46"/>
      <c r="DC353" s="5"/>
      <c r="DD353" s="5"/>
      <c r="DE353" s="5"/>
      <c r="DF353" s="5"/>
      <c r="DG353" s="5"/>
      <c r="DH353" s="203"/>
      <c r="DI353" s="203"/>
      <c r="DJ353" s="46"/>
      <c r="DK353" s="5"/>
      <c r="EB353" s="18"/>
      <c r="EC353" s="77"/>
      <c r="ED353" s="77"/>
      <c r="EE353" s="18"/>
      <c r="EF353" s="18"/>
      <c r="EG353" s="18"/>
      <c r="EH353" s="5"/>
      <c r="EI353" s="5"/>
      <c r="EJ353" s="5"/>
      <c r="EK353" s="5"/>
      <c r="EL353" s="5"/>
      <c r="FE353" s="26"/>
      <c r="FF353" s="26"/>
      <c r="FG353" s="26"/>
      <c r="FH353" s="26"/>
      <c r="FI353" s="26"/>
      <c r="FJ353" s="26"/>
      <c r="FK353" s="26"/>
      <c r="FL353" s="26"/>
      <c r="FM353" s="26"/>
      <c r="FN353" s="205"/>
      <c r="FO353" s="205"/>
      <c r="FP353" s="205"/>
      <c r="FQ353" s="205"/>
      <c r="FR353" s="205"/>
      <c r="FS353" s="205"/>
      <c r="FT353" s="205"/>
      <c r="FU353" s="77"/>
      <c r="FV353" s="77"/>
      <c r="FW353" s="77"/>
      <c r="FX353" s="205"/>
      <c r="FY353" s="205"/>
      <c r="FZ353" s="205"/>
      <c r="GA353" s="205"/>
      <c r="GB353" s="205"/>
      <c r="GC353" s="205"/>
      <c r="GD353" s="205"/>
      <c r="GE353" s="205"/>
      <c r="GF353" s="205"/>
      <c r="GG353" s="205"/>
      <c r="GH353" s="205"/>
      <c r="GI353" s="205"/>
      <c r="GJ353" s="205"/>
      <c r="GK353" s="205"/>
      <c r="GL353" s="205"/>
      <c r="GM353" s="205"/>
      <c r="GN353" s="205"/>
      <c r="GO353" s="205"/>
      <c r="GP353" s="205"/>
      <c r="GQ353" s="205"/>
      <c r="GR353" s="205"/>
      <c r="GS353" s="205"/>
      <c r="GT353" s="205"/>
      <c r="GU353" s="205"/>
      <c r="GV353" s="18"/>
      <c r="GW353" s="5"/>
      <c r="GX353" s="5"/>
      <c r="GY353" s="77"/>
      <c r="GZ353" s="18"/>
      <c r="HA353" s="18"/>
      <c r="HB353" s="18"/>
      <c r="HC353" s="18"/>
      <c r="HD353" s="18"/>
      <c r="HE353" s="18"/>
      <c r="HF353" s="18"/>
      <c r="HG353" s="18"/>
      <c r="HH353" s="18"/>
      <c r="HI353" s="18"/>
      <c r="HJ353" s="18"/>
      <c r="HK353" s="18"/>
    </row>
    <row r="354" spans="40:219">
      <c r="AN354" s="26"/>
      <c r="AO354" s="26"/>
      <c r="AP354" s="15"/>
      <c r="AQ354" s="5"/>
      <c r="AR354" s="26"/>
      <c r="AS354" s="26"/>
      <c r="AT354" s="26"/>
      <c r="AU354" s="26"/>
      <c r="AV354" s="95"/>
      <c r="AW354" s="95"/>
      <c r="AX354" s="95"/>
      <c r="AY354" s="54"/>
      <c r="AZ354" s="54"/>
      <c r="BA354" s="15"/>
      <c r="BB354" s="54"/>
      <c r="BC354" s="54"/>
      <c r="BD354" s="22"/>
      <c r="BE354" s="23"/>
      <c r="BL354" s="92"/>
      <c r="BN354" s="5"/>
      <c r="BO354" s="54"/>
      <c r="BP354" s="5"/>
      <c r="BQ354" s="5"/>
      <c r="BR354" s="24"/>
      <c r="BS354" s="25"/>
      <c r="BT354" s="25"/>
      <c r="BU354" s="25"/>
      <c r="BV354" s="25"/>
      <c r="BW354" s="25"/>
      <c r="BX354" s="25"/>
      <c r="BY354" s="25"/>
      <c r="BZ354" s="25"/>
      <c r="CA354" s="25"/>
      <c r="CB354" s="25"/>
      <c r="CC354" s="5"/>
      <c r="CD354" s="5"/>
      <c r="CE354" s="5"/>
      <c r="CF354" s="5"/>
      <c r="CG354" s="5"/>
      <c r="CH354" s="5"/>
      <c r="CI354" s="68"/>
      <c r="CJ354" s="5"/>
      <c r="CK354" s="5"/>
      <c r="CL354" s="102"/>
      <c r="CM354" s="5"/>
      <c r="CN354" s="5"/>
      <c r="CO354" s="5"/>
      <c r="CP354" s="25"/>
      <c r="CQ354" s="68"/>
      <c r="CR354" s="68"/>
      <c r="CS354" s="5"/>
      <c r="CT354" s="5"/>
      <c r="CU354" s="68"/>
      <c r="CV354" s="5"/>
      <c r="CW354" s="25"/>
      <c r="CX354" s="72"/>
      <c r="CY354" s="102"/>
      <c r="CZ354" s="5"/>
      <c r="DA354" s="47"/>
      <c r="DB354" s="46"/>
      <c r="DC354" s="5"/>
      <c r="DD354" s="5"/>
      <c r="DE354" s="5"/>
      <c r="DF354" s="5"/>
      <c r="DG354" s="5"/>
      <c r="DH354" s="203"/>
      <c r="DI354" s="203"/>
      <c r="DJ354" s="46"/>
      <c r="DK354" s="5"/>
      <c r="EB354" s="18"/>
      <c r="EC354" s="77"/>
      <c r="ED354" s="77"/>
      <c r="EE354" s="18"/>
      <c r="EF354" s="18"/>
      <c r="EG354" s="18"/>
      <c r="EH354" s="5"/>
      <c r="EI354" s="5"/>
      <c r="EJ354" s="5"/>
      <c r="EK354" s="5"/>
      <c r="EL354" s="5"/>
      <c r="FE354" s="26"/>
      <c r="FF354" s="26"/>
      <c r="FG354" s="26"/>
      <c r="FH354" s="26"/>
      <c r="FI354" s="26"/>
      <c r="FJ354" s="26"/>
      <c r="FK354" s="26"/>
      <c r="FL354" s="26"/>
      <c r="FM354" s="26"/>
      <c r="FN354" s="205"/>
      <c r="FO354" s="205"/>
      <c r="FP354" s="205"/>
      <c r="FQ354" s="205"/>
      <c r="FR354" s="205"/>
      <c r="FS354" s="205"/>
      <c r="FT354" s="205"/>
      <c r="FU354" s="77"/>
      <c r="FV354" s="77"/>
      <c r="FW354" s="77"/>
      <c r="FX354" s="205"/>
      <c r="FY354" s="205"/>
      <c r="FZ354" s="205"/>
      <c r="GA354" s="205"/>
      <c r="GB354" s="205"/>
      <c r="GC354" s="205"/>
      <c r="GD354" s="205"/>
      <c r="GE354" s="205"/>
      <c r="GF354" s="205"/>
      <c r="GG354" s="205"/>
      <c r="GH354" s="205"/>
      <c r="GI354" s="205"/>
      <c r="GJ354" s="205"/>
      <c r="GK354" s="205"/>
      <c r="GL354" s="205"/>
      <c r="GM354" s="205"/>
      <c r="GN354" s="205"/>
      <c r="GO354" s="205"/>
      <c r="GP354" s="205"/>
      <c r="GQ354" s="205"/>
      <c r="GR354" s="205"/>
      <c r="GS354" s="205"/>
      <c r="GT354" s="205"/>
      <c r="GU354" s="205"/>
      <c r="GV354" s="18"/>
      <c r="GW354" s="5"/>
      <c r="GX354" s="5"/>
      <c r="GY354" s="77"/>
      <c r="GZ354" s="18"/>
      <c r="HA354" s="18"/>
      <c r="HB354" s="18"/>
      <c r="HC354" s="18"/>
      <c r="HD354" s="18"/>
      <c r="HE354" s="18"/>
      <c r="HF354" s="18"/>
      <c r="HG354" s="18"/>
      <c r="HH354" s="18"/>
      <c r="HI354" s="18"/>
      <c r="HJ354" s="18"/>
      <c r="HK354" s="18"/>
    </row>
    <row r="355" spans="40:219">
      <c r="AN355" s="26"/>
      <c r="AO355" s="26"/>
      <c r="AP355" s="15"/>
      <c r="AQ355" s="5"/>
      <c r="AR355" s="26"/>
      <c r="AS355" s="26"/>
      <c r="AT355" s="26"/>
      <c r="AU355" s="26"/>
      <c r="AV355" s="95"/>
      <c r="AW355" s="95"/>
      <c r="AX355" s="95"/>
      <c r="AY355" s="54"/>
      <c r="AZ355" s="54"/>
      <c r="BA355" s="15"/>
      <c r="BB355" s="54"/>
      <c r="BC355" s="54"/>
      <c r="BD355" s="22"/>
      <c r="BE355" s="23"/>
      <c r="BL355" s="92"/>
      <c r="BN355" s="5"/>
      <c r="BO355" s="54"/>
      <c r="BP355" s="5"/>
      <c r="BQ355" s="5"/>
      <c r="BR355" s="24"/>
      <c r="BS355" s="25"/>
      <c r="BT355" s="25"/>
      <c r="BU355" s="25"/>
      <c r="BV355" s="25"/>
      <c r="BW355" s="25"/>
      <c r="BX355" s="25"/>
      <c r="BY355" s="25"/>
      <c r="BZ355" s="25"/>
      <c r="CA355" s="25"/>
      <c r="CB355" s="25"/>
      <c r="CC355" s="5"/>
      <c r="CD355" s="5"/>
      <c r="CE355" s="5"/>
      <c r="CF355" s="5"/>
      <c r="CG355" s="5"/>
      <c r="CH355" s="5"/>
      <c r="CI355" s="68"/>
      <c r="CJ355" s="5"/>
      <c r="CK355" s="5"/>
      <c r="CL355" s="102"/>
      <c r="CM355" s="5"/>
      <c r="CN355" s="5"/>
      <c r="CO355" s="5"/>
      <c r="CP355" s="25"/>
      <c r="CQ355" s="68"/>
      <c r="CR355" s="68"/>
      <c r="CS355" s="5"/>
      <c r="CT355" s="5"/>
      <c r="CU355" s="68"/>
      <c r="CV355" s="5"/>
      <c r="CW355" s="25"/>
      <c r="CX355" s="72"/>
      <c r="CY355" s="102"/>
      <c r="CZ355" s="5"/>
      <c r="DA355" s="47"/>
      <c r="DB355" s="46"/>
      <c r="DC355" s="5"/>
      <c r="DD355" s="5"/>
      <c r="DE355" s="5"/>
      <c r="DF355" s="5"/>
      <c r="DG355" s="5"/>
      <c r="DH355" s="203"/>
      <c r="DI355" s="203"/>
      <c r="DJ355" s="46"/>
      <c r="DK355" s="5"/>
      <c r="EB355" s="18"/>
      <c r="EC355" s="77"/>
      <c r="ED355" s="77"/>
      <c r="EE355" s="18"/>
      <c r="EF355" s="18"/>
      <c r="EG355" s="18"/>
      <c r="EH355" s="5"/>
      <c r="EI355" s="5"/>
      <c r="EJ355" s="5"/>
      <c r="EK355" s="5"/>
      <c r="EL355" s="5"/>
      <c r="FE355" s="26"/>
      <c r="FF355" s="26"/>
      <c r="FG355" s="26"/>
      <c r="FH355" s="26"/>
      <c r="FI355" s="26"/>
      <c r="FJ355" s="26"/>
      <c r="FK355" s="26"/>
      <c r="FL355" s="26"/>
      <c r="FM355" s="26"/>
      <c r="FN355" s="205"/>
      <c r="FO355" s="205"/>
      <c r="FP355" s="205"/>
      <c r="FQ355" s="205"/>
      <c r="FR355" s="205"/>
      <c r="FS355" s="205"/>
      <c r="FT355" s="205"/>
      <c r="FU355" s="77"/>
      <c r="FV355" s="77"/>
      <c r="FW355" s="77"/>
      <c r="FX355" s="205"/>
      <c r="FY355" s="205"/>
      <c r="FZ355" s="205"/>
      <c r="GA355" s="205"/>
      <c r="GB355" s="205"/>
      <c r="GC355" s="205"/>
      <c r="GD355" s="205"/>
      <c r="GE355" s="205"/>
      <c r="GF355" s="205"/>
      <c r="GG355" s="205"/>
      <c r="GH355" s="205"/>
      <c r="GI355" s="205"/>
      <c r="GJ355" s="205"/>
      <c r="GK355" s="205"/>
      <c r="GL355" s="205"/>
      <c r="GM355" s="205"/>
      <c r="GN355" s="205"/>
      <c r="GO355" s="205"/>
      <c r="GP355" s="205"/>
      <c r="GQ355" s="205"/>
      <c r="GR355" s="205"/>
      <c r="GS355" s="205"/>
      <c r="GT355" s="205"/>
      <c r="GU355" s="205"/>
      <c r="GV355" s="18"/>
      <c r="GW355" s="5"/>
      <c r="GX355" s="5"/>
      <c r="GY355" s="77"/>
      <c r="GZ355" s="18"/>
      <c r="HA355" s="18"/>
      <c r="HB355" s="18"/>
      <c r="HC355" s="18"/>
      <c r="HD355" s="18"/>
      <c r="HE355" s="18"/>
      <c r="HF355" s="18"/>
      <c r="HG355" s="18"/>
      <c r="HH355" s="18"/>
      <c r="HI355" s="18"/>
      <c r="HJ355" s="18"/>
      <c r="HK355" s="18"/>
    </row>
    <row r="356" spans="40:219">
      <c r="AN356" s="26"/>
      <c r="AO356" s="26"/>
      <c r="AP356" s="15"/>
      <c r="AQ356" s="5"/>
      <c r="AR356" s="26"/>
      <c r="AS356" s="26"/>
      <c r="AT356" s="26"/>
      <c r="AU356" s="26"/>
      <c r="AV356" s="95"/>
      <c r="AW356" s="95"/>
      <c r="AX356" s="95"/>
      <c r="AY356" s="54"/>
      <c r="AZ356" s="54"/>
      <c r="BA356" s="15"/>
      <c r="BB356" s="54"/>
      <c r="BC356" s="54"/>
      <c r="BD356" s="22"/>
      <c r="BE356" s="23"/>
      <c r="BL356" s="92"/>
      <c r="BN356" s="5"/>
      <c r="BO356" s="54"/>
      <c r="BP356" s="5"/>
      <c r="BQ356" s="5"/>
      <c r="BR356" s="24"/>
      <c r="BS356" s="25"/>
      <c r="BT356" s="25"/>
      <c r="BU356" s="25"/>
      <c r="BV356" s="25"/>
      <c r="BW356" s="25"/>
      <c r="BX356" s="25"/>
      <c r="BY356" s="25"/>
      <c r="BZ356" s="25"/>
      <c r="CA356" s="25"/>
      <c r="CB356" s="25"/>
      <c r="CC356" s="5"/>
      <c r="CD356" s="5"/>
      <c r="CE356" s="5"/>
      <c r="CF356" s="5"/>
      <c r="CG356" s="5"/>
      <c r="CH356" s="5"/>
      <c r="CI356" s="68"/>
      <c r="CJ356" s="5"/>
      <c r="CK356" s="5"/>
      <c r="CL356" s="102"/>
      <c r="CM356" s="5"/>
      <c r="CN356" s="5"/>
      <c r="CO356" s="5"/>
      <c r="CP356" s="25"/>
      <c r="CQ356" s="68"/>
      <c r="CR356" s="68"/>
      <c r="CS356" s="5"/>
      <c r="CT356" s="5"/>
      <c r="CU356" s="68"/>
      <c r="CV356" s="5"/>
      <c r="CW356" s="25"/>
      <c r="CX356" s="72"/>
      <c r="CY356" s="102"/>
      <c r="CZ356" s="5"/>
      <c r="DA356" s="47"/>
      <c r="DB356" s="46"/>
      <c r="DC356" s="5"/>
      <c r="DD356" s="5"/>
      <c r="DE356" s="5"/>
      <c r="DF356" s="5"/>
      <c r="DG356" s="5"/>
      <c r="DH356" s="203"/>
      <c r="DI356" s="203"/>
      <c r="DJ356" s="46"/>
      <c r="DK356" s="5"/>
      <c r="EB356" s="18"/>
      <c r="EC356" s="77"/>
      <c r="ED356" s="77"/>
      <c r="EE356" s="18"/>
      <c r="EF356" s="18"/>
      <c r="EG356" s="18"/>
      <c r="EH356" s="5"/>
      <c r="EI356" s="5"/>
      <c r="EJ356" s="5"/>
      <c r="EK356" s="5"/>
      <c r="EL356" s="5"/>
      <c r="FE356" s="26"/>
      <c r="FF356" s="26"/>
      <c r="FG356" s="26"/>
      <c r="FH356" s="26"/>
      <c r="FI356" s="26"/>
      <c r="FJ356" s="26"/>
      <c r="FK356" s="26"/>
      <c r="FL356" s="26"/>
      <c r="FM356" s="26"/>
      <c r="FN356" s="205"/>
      <c r="FO356" s="205"/>
      <c r="FP356" s="205"/>
      <c r="FQ356" s="205"/>
      <c r="FR356" s="205"/>
      <c r="FS356" s="205"/>
      <c r="FT356" s="205"/>
      <c r="FU356" s="77"/>
      <c r="FV356" s="77"/>
      <c r="FW356" s="77"/>
      <c r="FX356" s="205"/>
      <c r="FY356" s="205"/>
      <c r="FZ356" s="205"/>
      <c r="GA356" s="205"/>
      <c r="GB356" s="205"/>
      <c r="GC356" s="205"/>
      <c r="GD356" s="205"/>
      <c r="GE356" s="205"/>
      <c r="GF356" s="205"/>
      <c r="GG356" s="205"/>
      <c r="GH356" s="205"/>
      <c r="GI356" s="205"/>
      <c r="GJ356" s="205"/>
      <c r="GK356" s="205"/>
      <c r="GL356" s="205"/>
      <c r="GM356" s="205"/>
      <c r="GN356" s="205"/>
      <c r="GO356" s="205"/>
      <c r="GP356" s="205"/>
      <c r="GQ356" s="205"/>
      <c r="GR356" s="205"/>
      <c r="GS356" s="205"/>
      <c r="GT356" s="205"/>
      <c r="GU356" s="205"/>
      <c r="GV356" s="18"/>
      <c r="GW356" s="5"/>
      <c r="GX356" s="5"/>
      <c r="GY356" s="77"/>
      <c r="GZ356" s="18"/>
      <c r="HA356" s="18"/>
      <c r="HB356" s="18"/>
      <c r="HC356" s="18"/>
      <c r="HD356" s="18"/>
      <c r="HE356" s="18"/>
      <c r="HF356" s="18"/>
      <c r="HG356" s="18"/>
      <c r="HH356" s="18"/>
      <c r="HI356" s="18"/>
      <c r="HJ356" s="18"/>
      <c r="HK356" s="18"/>
    </row>
    <row r="357" spans="40:219">
      <c r="AN357" s="26"/>
      <c r="AO357" s="26"/>
      <c r="AP357" s="15"/>
      <c r="AQ357" s="5"/>
      <c r="AR357" s="26"/>
      <c r="AS357" s="26"/>
      <c r="AT357" s="26"/>
      <c r="AU357" s="26"/>
      <c r="AV357" s="95"/>
      <c r="AW357" s="95"/>
      <c r="AX357" s="95"/>
      <c r="AY357" s="54"/>
      <c r="AZ357" s="54"/>
      <c r="BA357" s="15"/>
      <c r="BB357" s="54"/>
      <c r="BC357" s="54"/>
      <c r="BD357" s="22"/>
      <c r="BE357" s="23"/>
      <c r="BL357" s="92"/>
      <c r="BN357" s="5"/>
      <c r="BO357" s="54"/>
      <c r="BP357" s="5"/>
      <c r="BQ357" s="5"/>
      <c r="BR357" s="24"/>
      <c r="BS357" s="25"/>
      <c r="BT357" s="25"/>
      <c r="BU357" s="25"/>
      <c r="BV357" s="25"/>
      <c r="BW357" s="25"/>
      <c r="BX357" s="25"/>
      <c r="BY357" s="25"/>
      <c r="BZ357" s="25"/>
      <c r="CA357" s="25"/>
      <c r="CB357" s="25"/>
      <c r="CC357" s="5"/>
      <c r="CD357" s="5"/>
      <c r="CE357" s="5"/>
      <c r="CF357" s="5"/>
      <c r="CG357" s="5"/>
      <c r="CH357" s="5"/>
      <c r="CI357" s="68"/>
      <c r="CJ357" s="5"/>
      <c r="CK357" s="5"/>
      <c r="CL357" s="102"/>
      <c r="CM357" s="5"/>
      <c r="CN357" s="5"/>
      <c r="CO357" s="5"/>
      <c r="CP357" s="25"/>
      <c r="CQ357" s="68"/>
      <c r="CR357" s="68"/>
      <c r="CS357" s="5"/>
      <c r="CT357" s="5"/>
      <c r="CU357" s="68"/>
      <c r="CV357" s="5"/>
      <c r="CW357" s="25"/>
      <c r="CX357" s="72"/>
      <c r="CY357" s="102"/>
      <c r="CZ357" s="5"/>
      <c r="DA357" s="47"/>
      <c r="DB357" s="46"/>
      <c r="DC357" s="5"/>
      <c r="DD357" s="5"/>
      <c r="DE357" s="5"/>
      <c r="DF357" s="5"/>
      <c r="DG357" s="5"/>
      <c r="DH357" s="203"/>
      <c r="DI357" s="203"/>
      <c r="DJ357" s="46"/>
      <c r="DK357" s="5"/>
      <c r="EB357" s="18"/>
      <c r="EC357" s="77"/>
      <c r="ED357" s="77"/>
      <c r="EE357" s="18"/>
      <c r="EF357" s="18"/>
      <c r="EG357" s="18"/>
      <c r="EH357" s="5"/>
      <c r="EI357" s="5"/>
      <c r="EJ357" s="5"/>
      <c r="EK357" s="5"/>
      <c r="EL357" s="5"/>
      <c r="FE357" s="26"/>
      <c r="FF357" s="26"/>
      <c r="FG357" s="26"/>
      <c r="FH357" s="26"/>
      <c r="FI357" s="26"/>
      <c r="FJ357" s="26"/>
      <c r="FK357" s="26"/>
      <c r="FL357" s="26"/>
      <c r="FM357" s="26"/>
      <c r="FN357" s="205"/>
      <c r="FO357" s="205"/>
      <c r="FP357" s="205"/>
      <c r="FQ357" s="205"/>
      <c r="FR357" s="205"/>
      <c r="FS357" s="205"/>
      <c r="FT357" s="205"/>
      <c r="FU357" s="77"/>
      <c r="FV357" s="77"/>
      <c r="FW357" s="77"/>
      <c r="FX357" s="205"/>
      <c r="FY357" s="205"/>
      <c r="FZ357" s="205"/>
      <c r="GA357" s="205"/>
      <c r="GB357" s="205"/>
      <c r="GC357" s="205"/>
      <c r="GD357" s="205"/>
      <c r="GE357" s="205"/>
      <c r="GF357" s="205"/>
      <c r="GG357" s="205"/>
      <c r="GH357" s="205"/>
      <c r="GI357" s="205"/>
      <c r="GJ357" s="205"/>
      <c r="GK357" s="205"/>
      <c r="GL357" s="205"/>
      <c r="GM357" s="205"/>
      <c r="GN357" s="205"/>
      <c r="GO357" s="205"/>
      <c r="GP357" s="205"/>
      <c r="GQ357" s="205"/>
      <c r="GR357" s="205"/>
      <c r="GS357" s="205"/>
      <c r="GT357" s="205"/>
      <c r="GU357" s="205"/>
      <c r="GV357" s="18"/>
      <c r="GW357" s="5"/>
      <c r="GX357" s="5"/>
      <c r="GY357" s="77"/>
      <c r="GZ357" s="18"/>
      <c r="HA357" s="18"/>
      <c r="HB357" s="18"/>
      <c r="HC357" s="18"/>
      <c r="HD357" s="18"/>
      <c r="HE357" s="18"/>
      <c r="HF357" s="18"/>
      <c r="HG357" s="18"/>
      <c r="HH357" s="18"/>
      <c r="HI357" s="18"/>
      <c r="HJ357" s="18"/>
      <c r="HK357" s="18"/>
    </row>
    <row r="358" spans="40:219">
      <c r="AN358" s="26"/>
      <c r="AO358" s="26"/>
      <c r="AP358" s="15"/>
      <c r="AQ358" s="5"/>
      <c r="AR358" s="26"/>
      <c r="AS358" s="26"/>
      <c r="AT358" s="26"/>
      <c r="AU358" s="26"/>
      <c r="AV358" s="95"/>
      <c r="AW358" s="95"/>
      <c r="AX358" s="95"/>
      <c r="AY358" s="54"/>
      <c r="AZ358" s="54"/>
      <c r="BA358" s="15"/>
      <c r="BB358" s="54"/>
      <c r="BC358" s="54"/>
      <c r="BD358" s="22"/>
      <c r="BE358" s="23"/>
      <c r="BL358" s="92"/>
      <c r="BN358" s="5"/>
      <c r="BO358" s="54"/>
      <c r="BP358" s="5"/>
      <c r="BQ358" s="5"/>
      <c r="BR358" s="24"/>
      <c r="BS358" s="25"/>
      <c r="BT358" s="25"/>
      <c r="BU358" s="25"/>
      <c r="BV358" s="25"/>
      <c r="BW358" s="25"/>
      <c r="BX358" s="25"/>
      <c r="BY358" s="25"/>
      <c r="BZ358" s="25"/>
      <c r="CA358" s="25"/>
      <c r="CB358" s="25"/>
      <c r="CC358" s="5"/>
      <c r="CD358" s="5"/>
      <c r="CE358" s="5"/>
      <c r="CF358" s="5"/>
      <c r="CG358" s="5"/>
      <c r="CH358" s="5"/>
      <c r="CI358" s="68"/>
      <c r="CJ358" s="5"/>
      <c r="CK358" s="5"/>
      <c r="CL358" s="102"/>
      <c r="CM358" s="5"/>
      <c r="CN358" s="5"/>
      <c r="CO358" s="5"/>
      <c r="CP358" s="25"/>
      <c r="CQ358" s="68"/>
      <c r="CR358" s="68"/>
      <c r="CS358" s="5"/>
      <c r="CT358" s="5"/>
      <c r="CU358" s="68"/>
      <c r="CV358" s="5"/>
      <c r="CW358" s="25"/>
      <c r="CX358" s="72"/>
      <c r="CY358" s="102"/>
      <c r="CZ358" s="5"/>
      <c r="DA358" s="47"/>
      <c r="DB358" s="46"/>
      <c r="DC358" s="5"/>
      <c r="DD358" s="5"/>
      <c r="DE358" s="5"/>
      <c r="DF358" s="5"/>
      <c r="DG358" s="5"/>
      <c r="DH358" s="203"/>
      <c r="DI358" s="203"/>
      <c r="DJ358" s="46"/>
      <c r="DK358" s="5"/>
      <c r="EB358" s="18"/>
      <c r="EC358" s="77"/>
      <c r="ED358" s="77"/>
      <c r="EE358" s="18"/>
      <c r="EF358" s="18"/>
      <c r="EG358" s="18"/>
      <c r="EH358" s="5"/>
      <c r="EI358" s="5"/>
      <c r="EJ358" s="5"/>
      <c r="EK358" s="5"/>
      <c r="EL358" s="5"/>
      <c r="FE358" s="26"/>
      <c r="FF358" s="26"/>
      <c r="FG358" s="26"/>
      <c r="FH358" s="26"/>
      <c r="FI358" s="26"/>
      <c r="FJ358" s="26"/>
      <c r="FK358" s="26"/>
      <c r="FL358" s="26"/>
      <c r="FM358" s="26"/>
      <c r="FN358" s="205"/>
      <c r="FO358" s="205"/>
      <c r="FP358" s="205"/>
      <c r="FQ358" s="205"/>
      <c r="FR358" s="205"/>
      <c r="FS358" s="205"/>
      <c r="FT358" s="205"/>
      <c r="FU358" s="77"/>
      <c r="FV358" s="77"/>
      <c r="FW358" s="77"/>
      <c r="FX358" s="205"/>
      <c r="FY358" s="205"/>
      <c r="FZ358" s="205"/>
      <c r="GA358" s="205"/>
      <c r="GB358" s="205"/>
      <c r="GC358" s="205"/>
      <c r="GD358" s="205"/>
      <c r="GE358" s="205"/>
      <c r="GF358" s="205"/>
      <c r="GG358" s="205"/>
      <c r="GH358" s="205"/>
      <c r="GI358" s="205"/>
      <c r="GJ358" s="205"/>
      <c r="GK358" s="205"/>
      <c r="GL358" s="205"/>
      <c r="GM358" s="205"/>
      <c r="GN358" s="205"/>
      <c r="GO358" s="205"/>
      <c r="GP358" s="205"/>
      <c r="GQ358" s="205"/>
      <c r="GR358" s="205"/>
      <c r="GS358" s="205"/>
      <c r="GT358" s="205"/>
      <c r="GU358" s="205"/>
      <c r="GV358" s="18"/>
      <c r="GW358" s="5"/>
      <c r="GX358" s="5"/>
      <c r="GY358" s="77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</row>
    <row r="359" spans="40:219">
      <c r="AN359" s="26"/>
      <c r="AO359" s="26"/>
      <c r="AP359" s="15"/>
      <c r="AQ359" s="5"/>
      <c r="AR359" s="26"/>
      <c r="AS359" s="26"/>
      <c r="AT359" s="26"/>
      <c r="AU359" s="26"/>
      <c r="AV359" s="95"/>
      <c r="AW359" s="95"/>
      <c r="AX359" s="95"/>
      <c r="AY359" s="54"/>
      <c r="AZ359" s="54"/>
      <c r="BA359" s="15"/>
      <c r="BB359" s="54"/>
      <c r="BC359" s="54"/>
      <c r="BD359" s="22"/>
      <c r="BE359" s="23"/>
      <c r="BL359" s="92"/>
      <c r="BN359" s="5"/>
      <c r="BO359" s="54"/>
      <c r="BP359" s="5"/>
      <c r="BQ359" s="5"/>
      <c r="BR359" s="24"/>
      <c r="BS359" s="25"/>
      <c r="BT359" s="25"/>
      <c r="BU359" s="25"/>
      <c r="BV359" s="25"/>
      <c r="BW359" s="25"/>
      <c r="BX359" s="25"/>
      <c r="BY359" s="25"/>
      <c r="BZ359" s="25"/>
      <c r="CA359" s="25"/>
      <c r="CB359" s="25"/>
      <c r="CC359" s="5"/>
      <c r="CD359" s="5"/>
      <c r="CE359" s="5"/>
      <c r="CF359" s="5"/>
      <c r="CG359" s="5"/>
      <c r="CH359" s="5"/>
      <c r="CI359" s="68"/>
      <c r="CJ359" s="5"/>
      <c r="CK359" s="5"/>
      <c r="CL359" s="102"/>
      <c r="CM359" s="5"/>
      <c r="CN359" s="5"/>
      <c r="CO359" s="5"/>
      <c r="CP359" s="25"/>
      <c r="CQ359" s="68"/>
      <c r="CR359" s="68"/>
      <c r="CS359" s="5"/>
      <c r="CT359" s="5"/>
      <c r="CU359" s="68"/>
      <c r="CV359" s="5"/>
      <c r="CW359" s="25"/>
      <c r="CX359" s="72"/>
      <c r="CY359" s="102"/>
      <c r="CZ359" s="5"/>
      <c r="DA359" s="47"/>
      <c r="DB359" s="46"/>
      <c r="DC359" s="5"/>
      <c r="DD359" s="5"/>
      <c r="DE359" s="5"/>
      <c r="DF359" s="5"/>
      <c r="DG359" s="5"/>
      <c r="DH359" s="203"/>
      <c r="DI359" s="203"/>
      <c r="DJ359" s="46"/>
      <c r="DK359" s="5"/>
      <c r="EB359" s="18"/>
      <c r="EC359" s="77"/>
      <c r="ED359" s="77"/>
      <c r="EE359" s="18"/>
      <c r="EF359" s="18"/>
      <c r="EG359" s="18"/>
      <c r="EH359" s="5"/>
      <c r="EI359" s="5"/>
      <c r="EJ359" s="5"/>
      <c r="EK359" s="5"/>
      <c r="EL359" s="5"/>
      <c r="FE359" s="26"/>
      <c r="FF359" s="26"/>
      <c r="FG359" s="26"/>
      <c r="FH359" s="26"/>
      <c r="FI359" s="26"/>
      <c r="FJ359" s="26"/>
      <c r="FK359" s="26"/>
      <c r="FL359" s="26"/>
      <c r="FM359" s="26"/>
      <c r="FN359" s="205"/>
      <c r="FO359" s="205"/>
      <c r="FP359" s="205"/>
      <c r="FQ359" s="205"/>
      <c r="FR359" s="205"/>
      <c r="FS359" s="205"/>
      <c r="FT359" s="205"/>
      <c r="FU359" s="77"/>
      <c r="FV359" s="77"/>
      <c r="FW359" s="77"/>
      <c r="FX359" s="205"/>
      <c r="FY359" s="205"/>
      <c r="FZ359" s="205"/>
      <c r="GA359" s="205"/>
      <c r="GB359" s="205"/>
      <c r="GC359" s="205"/>
      <c r="GD359" s="205"/>
      <c r="GE359" s="205"/>
      <c r="GF359" s="205"/>
      <c r="GG359" s="205"/>
      <c r="GH359" s="205"/>
      <c r="GI359" s="205"/>
      <c r="GJ359" s="205"/>
      <c r="GK359" s="205"/>
      <c r="GL359" s="205"/>
      <c r="GM359" s="205"/>
      <c r="GN359" s="205"/>
      <c r="GO359" s="205"/>
      <c r="GP359" s="205"/>
      <c r="GQ359" s="205"/>
      <c r="GR359" s="205"/>
      <c r="GS359" s="205"/>
      <c r="GT359" s="205"/>
      <c r="GU359" s="205"/>
      <c r="GV359" s="18"/>
      <c r="GW359" s="5"/>
      <c r="GX359" s="5"/>
      <c r="GY359" s="77"/>
      <c r="GZ359" s="18"/>
      <c r="HA359" s="18"/>
      <c r="HB359" s="18"/>
      <c r="HC359" s="18"/>
      <c r="HD359" s="18"/>
      <c r="HE359" s="18"/>
      <c r="HF359" s="18"/>
      <c r="HG359" s="18"/>
      <c r="HH359" s="18"/>
      <c r="HI359" s="18"/>
      <c r="HJ359" s="18"/>
      <c r="HK359" s="18"/>
    </row>
    <row r="360" spans="40:219">
      <c r="AN360" s="26"/>
      <c r="AO360" s="26"/>
      <c r="AP360" s="15"/>
      <c r="AQ360" s="5"/>
      <c r="AR360" s="26"/>
      <c r="AS360" s="26"/>
      <c r="AT360" s="26"/>
      <c r="AU360" s="26"/>
      <c r="AV360" s="95"/>
      <c r="AW360" s="95"/>
      <c r="AX360" s="95"/>
      <c r="AY360" s="54"/>
      <c r="AZ360" s="54"/>
      <c r="BA360" s="15"/>
      <c r="BB360" s="54"/>
      <c r="BC360" s="54"/>
      <c r="BD360" s="22"/>
      <c r="BE360" s="23"/>
      <c r="BL360" s="92"/>
      <c r="BN360" s="5"/>
      <c r="BO360" s="54"/>
      <c r="BP360" s="5"/>
      <c r="BQ360" s="5"/>
      <c r="BR360" s="24"/>
      <c r="BS360" s="25"/>
      <c r="BT360" s="25"/>
      <c r="BU360" s="25"/>
      <c r="BV360" s="25"/>
      <c r="BW360" s="25"/>
      <c r="BX360" s="25"/>
      <c r="BY360" s="25"/>
      <c r="BZ360" s="25"/>
      <c r="CA360" s="25"/>
      <c r="CB360" s="25"/>
      <c r="CC360" s="5"/>
      <c r="CD360" s="5"/>
      <c r="CE360" s="5"/>
      <c r="CF360" s="5"/>
      <c r="CG360" s="5"/>
      <c r="CH360" s="5"/>
      <c r="CI360" s="68"/>
      <c r="CJ360" s="5"/>
      <c r="CK360" s="5"/>
      <c r="CL360" s="102"/>
      <c r="CM360" s="5"/>
      <c r="CN360" s="5"/>
      <c r="CO360" s="5"/>
      <c r="CP360" s="25"/>
      <c r="CQ360" s="68"/>
      <c r="CR360" s="68"/>
      <c r="CS360" s="5"/>
      <c r="CT360" s="5"/>
      <c r="CU360" s="68"/>
      <c r="CV360" s="5"/>
      <c r="CW360" s="25"/>
      <c r="CX360" s="72"/>
      <c r="CY360" s="102"/>
      <c r="CZ360" s="5"/>
      <c r="DA360" s="47"/>
      <c r="DB360" s="46"/>
      <c r="DC360" s="5"/>
      <c r="DD360" s="5"/>
      <c r="DE360" s="5"/>
      <c r="DF360" s="5"/>
      <c r="DG360" s="5"/>
      <c r="DH360" s="203"/>
      <c r="DI360" s="203"/>
      <c r="DJ360" s="46"/>
      <c r="DK360" s="5"/>
      <c r="EB360" s="18"/>
      <c r="EC360" s="77"/>
      <c r="ED360" s="77"/>
      <c r="EE360" s="18"/>
      <c r="EF360" s="18"/>
      <c r="EG360" s="18"/>
      <c r="EH360" s="5"/>
      <c r="EI360" s="5"/>
      <c r="EJ360" s="5"/>
      <c r="EK360" s="5"/>
      <c r="EL360" s="5"/>
      <c r="FE360" s="26"/>
      <c r="FF360" s="26"/>
      <c r="FG360" s="26"/>
      <c r="FH360" s="26"/>
      <c r="FI360" s="26"/>
      <c r="FJ360" s="26"/>
      <c r="FK360" s="26"/>
      <c r="FL360" s="26"/>
      <c r="FM360" s="26"/>
      <c r="FN360" s="205"/>
      <c r="FO360" s="205"/>
      <c r="FP360" s="205"/>
      <c r="FQ360" s="205"/>
      <c r="FR360" s="205"/>
      <c r="FS360" s="205"/>
      <c r="FT360" s="205"/>
      <c r="FU360" s="77"/>
      <c r="FV360" s="77"/>
      <c r="FW360" s="77"/>
      <c r="FX360" s="205"/>
      <c r="FY360" s="205"/>
      <c r="FZ360" s="205"/>
      <c r="GA360" s="205"/>
      <c r="GB360" s="205"/>
      <c r="GC360" s="205"/>
      <c r="GD360" s="205"/>
      <c r="GE360" s="205"/>
      <c r="GF360" s="205"/>
      <c r="GG360" s="205"/>
      <c r="GH360" s="205"/>
      <c r="GI360" s="205"/>
      <c r="GJ360" s="205"/>
      <c r="GK360" s="205"/>
      <c r="GL360" s="205"/>
      <c r="GM360" s="205"/>
      <c r="GN360" s="205"/>
      <c r="GO360" s="205"/>
      <c r="GP360" s="205"/>
      <c r="GQ360" s="205"/>
      <c r="GR360" s="205"/>
      <c r="GS360" s="205"/>
      <c r="GT360" s="205"/>
      <c r="GU360" s="205"/>
      <c r="GV360" s="18"/>
      <c r="GW360" s="5"/>
      <c r="GX360" s="5"/>
      <c r="GY360" s="77"/>
      <c r="GZ360" s="18"/>
      <c r="HA360" s="18"/>
      <c r="HB360" s="18"/>
      <c r="HC360" s="18"/>
      <c r="HD360" s="18"/>
      <c r="HE360" s="18"/>
      <c r="HF360" s="18"/>
      <c r="HG360" s="18"/>
      <c r="HH360" s="18"/>
      <c r="HI360" s="18"/>
      <c r="HJ360" s="18"/>
      <c r="HK360" s="18"/>
    </row>
    <row r="361" spans="40:219">
      <c r="AN361" s="26"/>
      <c r="AO361" s="26"/>
      <c r="AP361" s="15"/>
      <c r="AQ361" s="5"/>
      <c r="AR361" s="26"/>
      <c r="AS361" s="26"/>
      <c r="AT361" s="26"/>
      <c r="AU361" s="26"/>
      <c r="AV361" s="95"/>
      <c r="AW361" s="95"/>
      <c r="AX361" s="95"/>
      <c r="AY361" s="54"/>
      <c r="AZ361" s="54"/>
      <c r="BA361" s="15"/>
      <c r="BB361" s="54"/>
      <c r="BC361" s="54"/>
      <c r="BD361" s="22"/>
      <c r="BE361" s="23"/>
      <c r="BL361" s="92"/>
      <c r="BN361" s="5"/>
      <c r="BO361" s="54"/>
      <c r="BP361" s="5"/>
      <c r="BQ361" s="5"/>
      <c r="BR361" s="24"/>
      <c r="BS361" s="25"/>
      <c r="BT361" s="25"/>
      <c r="BU361" s="25"/>
      <c r="BV361" s="25"/>
      <c r="BW361" s="25"/>
      <c r="BX361" s="25"/>
      <c r="BY361" s="25"/>
      <c r="BZ361" s="25"/>
      <c r="CA361" s="25"/>
      <c r="CB361" s="25"/>
      <c r="CC361" s="5"/>
      <c r="CD361" s="5"/>
      <c r="CE361" s="5"/>
      <c r="CF361" s="5"/>
      <c r="CG361" s="5"/>
      <c r="CH361" s="5"/>
      <c r="CI361" s="68"/>
      <c r="CJ361" s="5"/>
      <c r="CK361" s="5"/>
      <c r="CL361" s="102"/>
      <c r="CM361" s="5"/>
      <c r="CN361" s="5"/>
      <c r="CO361" s="5"/>
      <c r="CP361" s="25"/>
      <c r="CQ361" s="68"/>
      <c r="CR361" s="68"/>
      <c r="CS361" s="5"/>
      <c r="CT361" s="5"/>
      <c r="CU361" s="68"/>
      <c r="CV361" s="5"/>
      <c r="CW361" s="25"/>
      <c r="CX361" s="72"/>
      <c r="CY361" s="102"/>
      <c r="CZ361" s="5"/>
      <c r="DA361" s="47"/>
      <c r="DB361" s="46"/>
      <c r="DC361" s="5"/>
      <c r="DD361" s="5"/>
      <c r="DE361" s="5"/>
      <c r="DF361" s="5"/>
      <c r="DG361" s="5"/>
      <c r="DH361" s="203"/>
      <c r="DI361" s="203"/>
      <c r="DJ361" s="46"/>
      <c r="DK361" s="5"/>
      <c r="EB361" s="18"/>
      <c r="EC361" s="77"/>
      <c r="ED361" s="77"/>
      <c r="EE361" s="18"/>
      <c r="EF361" s="18"/>
      <c r="EG361" s="18"/>
      <c r="EH361" s="5"/>
      <c r="EI361" s="5"/>
      <c r="EJ361" s="5"/>
      <c r="EK361" s="5"/>
      <c r="EL361" s="5"/>
      <c r="FE361" s="26"/>
      <c r="FF361" s="26"/>
      <c r="FG361" s="26"/>
      <c r="FH361" s="26"/>
      <c r="FI361" s="26"/>
      <c r="FJ361" s="26"/>
      <c r="FK361" s="26"/>
      <c r="FL361" s="26"/>
      <c r="FM361" s="26"/>
      <c r="FN361" s="205"/>
      <c r="FO361" s="205"/>
      <c r="FP361" s="205"/>
      <c r="FQ361" s="205"/>
      <c r="FR361" s="205"/>
      <c r="FS361" s="205"/>
      <c r="FT361" s="205"/>
      <c r="FU361" s="77"/>
      <c r="FV361" s="77"/>
      <c r="FW361" s="77"/>
      <c r="FX361" s="205"/>
      <c r="FY361" s="205"/>
      <c r="FZ361" s="205"/>
      <c r="GA361" s="205"/>
      <c r="GB361" s="205"/>
      <c r="GC361" s="205"/>
      <c r="GD361" s="205"/>
      <c r="GE361" s="205"/>
      <c r="GF361" s="205"/>
      <c r="GG361" s="205"/>
      <c r="GH361" s="205"/>
      <c r="GI361" s="205"/>
      <c r="GJ361" s="205"/>
      <c r="GK361" s="205"/>
      <c r="GL361" s="205"/>
      <c r="GM361" s="205"/>
      <c r="GN361" s="205"/>
      <c r="GO361" s="205"/>
      <c r="GP361" s="205"/>
      <c r="GQ361" s="205"/>
      <c r="GR361" s="205"/>
      <c r="GS361" s="205"/>
      <c r="GT361" s="205"/>
      <c r="GU361" s="205"/>
      <c r="GV361" s="18"/>
      <c r="GW361" s="5"/>
      <c r="GX361" s="5"/>
      <c r="GY361" s="77"/>
      <c r="GZ361" s="18"/>
      <c r="HA361" s="18"/>
      <c r="HB361" s="18"/>
      <c r="HC361" s="18"/>
      <c r="HD361" s="18"/>
      <c r="HE361" s="18"/>
      <c r="HF361" s="18"/>
      <c r="HG361" s="18"/>
      <c r="HH361" s="18"/>
      <c r="HI361" s="18"/>
      <c r="HJ361" s="18"/>
      <c r="HK361" s="18"/>
    </row>
    <row r="362" spans="40:219">
      <c r="AN362" s="26"/>
      <c r="AO362" s="26"/>
      <c r="AP362" s="15"/>
      <c r="AQ362" s="5"/>
      <c r="AR362" s="26"/>
      <c r="AS362" s="26"/>
      <c r="AT362" s="26"/>
      <c r="AU362" s="26"/>
      <c r="AV362" s="95"/>
      <c r="AW362" s="95"/>
      <c r="AX362" s="95"/>
      <c r="AY362" s="54"/>
      <c r="AZ362" s="54"/>
      <c r="BA362" s="15"/>
      <c r="BB362" s="54"/>
      <c r="BC362" s="54"/>
      <c r="BD362" s="22"/>
      <c r="BE362" s="23"/>
      <c r="BL362" s="92"/>
      <c r="BN362" s="5"/>
      <c r="BO362" s="54"/>
      <c r="BP362" s="5"/>
      <c r="BQ362" s="5"/>
      <c r="BR362" s="24"/>
      <c r="BS362" s="25"/>
      <c r="BT362" s="25"/>
      <c r="BU362" s="25"/>
      <c r="BV362" s="25"/>
      <c r="BW362" s="25"/>
      <c r="BX362" s="25"/>
      <c r="BY362" s="25"/>
      <c r="BZ362" s="25"/>
      <c r="CA362" s="25"/>
      <c r="CB362" s="25"/>
      <c r="CC362" s="5"/>
      <c r="CD362" s="5"/>
      <c r="CE362" s="5"/>
      <c r="CF362" s="5"/>
      <c r="CG362" s="5"/>
      <c r="CH362" s="5"/>
      <c r="CI362" s="68"/>
      <c r="CJ362" s="5"/>
      <c r="CK362" s="5"/>
      <c r="CL362" s="102"/>
      <c r="CM362" s="5"/>
      <c r="CN362" s="5"/>
      <c r="CO362" s="5"/>
      <c r="CP362" s="25"/>
      <c r="CQ362" s="68"/>
      <c r="CR362" s="68"/>
      <c r="CS362" s="5"/>
      <c r="CT362" s="5"/>
      <c r="CU362" s="68"/>
      <c r="CV362" s="5"/>
      <c r="CW362" s="25"/>
      <c r="CX362" s="72"/>
      <c r="CY362" s="102"/>
      <c r="CZ362" s="5"/>
      <c r="DA362" s="47"/>
      <c r="DB362" s="46"/>
      <c r="DC362" s="5"/>
      <c r="DD362" s="5"/>
      <c r="DE362" s="5"/>
      <c r="DF362" s="5"/>
      <c r="DG362" s="5"/>
      <c r="DH362" s="203"/>
      <c r="DI362" s="203"/>
      <c r="DJ362" s="46"/>
      <c r="DK362" s="5"/>
      <c r="EB362" s="18"/>
      <c r="EC362" s="77"/>
      <c r="ED362" s="77"/>
      <c r="EE362" s="18"/>
      <c r="EF362" s="18"/>
      <c r="EG362" s="18"/>
      <c r="EH362" s="5"/>
      <c r="EI362" s="5"/>
      <c r="EJ362" s="5"/>
      <c r="EK362" s="5"/>
      <c r="EL362" s="5"/>
      <c r="FE362" s="26"/>
      <c r="FF362" s="26"/>
      <c r="FG362" s="26"/>
      <c r="FH362" s="26"/>
      <c r="FI362" s="26"/>
      <c r="FJ362" s="26"/>
      <c r="FK362" s="26"/>
      <c r="FL362" s="26"/>
      <c r="FM362" s="26"/>
      <c r="FN362" s="205"/>
      <c r="FO362" s="205"/>
      <c r="FP362" s="205"/>
      <c r="FQ362" s="205"/>
      <c r="FR362" s="205"/>
      <c r="FS362" s="205"/>
      <c r="FT362" s="205"/>
      <c r="FU362" s="77"/>
      <c r="FV362" s="77"/>
      <c r="FW362" s="77"/>
      <c r="FX362" s="205"/>
      <c r="FY362" s="205"/>
      <c r="FZ362" s="205"/>
      <c r="GA362" s="205"/>
      <c r="GB362" s="205"/>
      <c r="GC362" s="205"/>
      <c r="GD362" s="205"/>
      <c r="GE362" s="205"/>
      <c r="GF362" s="205"/>
      <c r="GG362" s="205"/>
      <c r="GH362" s="205"/>
      <c r="GI362" s="205"/>
      <c r="GJ362" s="205"/>
      <c r="GK362" s="205"/>
      <c r="GL362" s="205"/>
      <c r="GM362" s="205"/>
      <c r="GN362" s="205"/>
      <c r="GO362" s="205"/>
      <c r="GP362" s="205"/>
      <c r="GQ362" s="205"/>
      <c r="GR362" s="205"/>
      <c r="GS362" s="205"/>
      <c r="GT362" s="205"/>
      <c r="GU362" s="205"/>
      <c r="GV362" s="18"/>
      <c r="GW362" s="5"/>
      <c r="GX362" s="5"/>
      <c r="GY362" s="77"/>
      <c r="GZ362" s="18"/>
      <c r="HA362" s="18"/>
      <c r="HB362" s="18"/>
      <c r="HC362" s="18"/>
      <c r="HD362" s="18"/>
      <c r="HE362" s="18"/>
      <c r="HF362" s="18"/>
      <c r="HG362" s="18"/>
      <c r="HH362" s="18"/>
      <c r="HI362" s="18"/>
      <c r="HJ362" s="18"/>
      <c r="HK362" s="18"/>
    </row>
    <row r="363" spans="40:219">
      <c r="AN363" s="26"/>
      <c r="AO363" s="26"/>
      <c r="AP363" s="15"/>
      <c r="AQ363" s="5"/>
      <c r="AR363" s="26"/>
      <c r="AS363" s="26"/>
      <c r="AT363" s="26"/>
      <c r="AU363" s="26"/>
      <c r="AV363" s="95"/>
      <c r="AW363" s="95"/>
      <c r="AX363" s="95"/>
      <c r="AY363" s="54"/>
      <c r="AZ363" s="54"/>
      <c r="BA363" s="15"/>
      <c r="BB363" s="54"/>
      <c r="BC363" s="54"/>
      <c r="BD363" s="22"/>
      <c r="BE363" s="23"/>
      <c r="BL363" s="92"/>
      <c r="BN363" s="5"/>
      <c r="BO363" s="54"/>
      <c r="BP363" s="5"/>
      <c r="BQ363" s="5"/>
      <c r="BR363" s="24"/>
      <c r="BS363" s="25"/>
      <c r="BT363" s="25"/>
      <c r="BU363" s="25"/>
      <c r="BV363" s="25"/>
      <c r="BW363" s="25"/>
      <c r="BX363" s="25"/>
      <c r="BY363" s="25"/>
      <c r="BZ363" s="25"/>
      <c r="CA363" s="25"/>
      <c r="CB363" s="25"/>
      <c r="CC363" s="5"/>
      <c r="CD363" s="5"/>
      <c r="CE363" s="5"/>
      <c r="CF363" s="5"/>
      <c r="CG363" s="5"/>
      <c r="CH363" s="5"/>
      <c r="CI363" s="68"/>
      <c r="CJ363" s="5"/>
      <c r="CK363" s="5"/>
      <c r="CL363" s="102"/>
      <c r="CM363" s="5"/>
      <c r="CN363" s="5"/>
      <c r="CO363" s="5"/>
      <c r="CP363" s="25"/>
      <c r="CQ363" s="68"/>
      <c r="CR363" s="68"/>
      <c r="CS363" s="5"/>
      <c r="CT363" s="5"/>
      <c r="CU363" s="68"/>
      <c r="CV363" s="5"/>
      <c r="CW363" s="25"/>
      <c r="CX363" s="72"/>
      <c r="CY363" s="102"/>
      <c r="CZ363" s="5"/>
      <c r="DA363" s="47"/>
      <c r="DB363" s="46"/>
      <c r="DC363" s="5"/>
      <c r="DD363" s="5"/>
      <c r="DE363" s="5"/>
      <c r="DF363" s="5"/>
      <c r="DG363" s="5"/>
      <c r="DH363" s="203"/>
      <c r="DI363" s="203"/>
      <c r="DJ363" s="46"/>
      <c r="DK363" s="5"/>
      <c r="EB363" s="18"/>
      <c r="EC363" s="77"/>
      <c r="ED363" s="77"/>
      <c r="EE363" s="18"/>
      <c r="EF363" s="18"/>
      <c r="EG363" s="18"/>
      <c r="EH363" s="5"/>
      <c r="EI363" s="5"/>
      <c r="EJ363" s="5"/>
      <c r="EK363" s="5"/>
      <c r="EL363" s="5"/>
      <c r="FE363" s="26"/>
      <c r="FF363" s="26"/>
      <c r="FG363" s="26"/>
      <c r="FH363" s="26"/>
      <c r="FI363" s="26"/>
      <c r="FJ363" s="26"/>
      <c r="FK363" s="26"/>
      <c r="FL363" s="26"/>
      <c r="FM363" s="26"/>
      <c r="FN363" s="205"/>
      <c r="FO363" s="205"/>
      <c r="FP363" s="205"/>
      <c r="FQ363" s="205"/>
      <c r="FR363" s="205"/>
      <c r="FS363" s="205"/>
      <c r="FT363" s="205"/>
      <c r="FU363" s="77"/>
      <c r="FV363" s="77"/>
      <c r="FW363" s="77"/>
      <c r="FX363" s="205"/>
      <c r="FY363" s="205"/>
      <c r="FZ363" s="205"/>
      <c r="GA363" s="205"/>
      <c r="GB363" s="205"/>
      <c r="GC363" s="205"/>
      <c r="GD363" s="205"/>
      <c r="GE363" s="205"/>
      <c r="GF363" s="205"/>
      <c r="GG363" s="205"/>
      <c r="GH363" s="205"/>
      <c r="GI363" s="205"/>
      <c r="GJ363" s="205"/>
      <c r="GK363" s="205"/>
      <c r="GL363" s="205"/>
      <c r="GM363" s="205"/>
      <c r="GN363" s="205"/>
      <c r="GO363" s="205"/>
      <c r="GP363" s="205"/>
      <c r="GQ363" s="205"/>
      <c r="GR363" s="205"/>
      <c r="GS363" s="205"/>
      <c r="GT363" s="205"/>
      <c r="GU363" s="205"/>
      <c r="GV363" s="18"/>
      <c r="GW363" s="5"/>
      <c r="GX363" s="5"/>
      <c r="GY363" s="77"/>
      <c r="GZ363" s="18"/>
      <c r="HA363" s="18"/>
      <c r="HB363" s="18"/>
      <c r="HC363" s="18"/>
      <c r="HD363" s="18"/>
      <c r="HE363" s="18"/>
      <c r="HF363" s="18"/>
      <c r="HG363" s="18"/>
      <c r="HH363" s="18"/>
      <c r="HI363" s="18"/>
      <c r="HJ363" s="18"/>
      <c r="HK363" s="18"/>
    </row>
    <row r="364" spans="40:219">
      <c r="AN364" s="26"/>
      <c r="AO364" s="26"/>
      <c r="AP364" s="15"/>
      <c r="AQ364" s="5"/>
      <c r="AR364" s="26"/>
      <c r="AS364" s="26"/>
      <c r="AT364" s="26"/>
      <c r="AU364" s="26"/>
      <c r="AV364" s="95"/>
      <c r="AW364" s="95"/>
      <c r="AX364" s="95"/>
      <c r="AY364" s="54"/>
      <c r="AZ364" s="54"/>
      <c r="BA364" s="15"/>
      <c r="BB364" s="54"/>
      <c r="BC364" s="54"/>
      <c r="BD364" s="22"/>
      <c r="BE364" s="23"/>
      <c r="BL364" s="92"/>
      <c r="BN364" s="5"/>
      <c r="BO364" s="54"/>
      <c r="BP364" s="5"/>
      <c r="BQ364" s="5"/>
      <c r="BR364" s="24"/>
      <c r="BS364" s="25"/>
      <c r="BT364" s="25"/>
      <c r="BU364" s="25"/>
      <c r="BV364" s="25"/>
      <c r="BW364" s="25"/>
      <c r="BX364" s="25"/>
      <c r="BY364" s="25"/>
      <c r="BZ364" s="25"/>
      <c r="CA364" s="25"/>
      <c r="CB364" s="25"/>
      <c r="CC364" s="5"/>
      <c r="CD364" s="5"/>
      <c r="CE364" s="5"/>
      <c r="CF364" s="5"/>
      <c r="CG364" s="5"/>
      <c r="CH364" s="5"/>
      <c r="CI364" s="68"/>
      <c r="CJ364" s="5"/>
      <c r="CK364" s="5"/>
      <c r="CL364" s="102"/>
      <c r="CM364" s="5"/>
      <c r="CN364" s="5"/>
      <c r="CO364" s="5"/>
      <c r="CP364" s="25"/>
      <c r="CQ364" s="68"/>
      <c r="CR364" s="68"/>
      <c r="CS364" s="5"/>
      <c r="CT364" s="5"/>
      <c r="CU364" s="68"/>
      <c r="CV364" s="5"/>
      <c r="CW364" s="25"/>
      <c r="CX364" s="72"/>
      <c r="CY364" s="102"/>
      <c r="CZ364" s="5"/>
      <c r="DA364" s="47"/>
      <c r="DB364" s="46"/>
      <c r="DC364" s="5"/>
      <c r="DD364" s="5"/>
      <c r="DE364" s="5"/>
      <c r="DF364" s="5"/>
      <c r="DG364" s="5"/>
      <c r="DH364" s="203"/>
      <c r="DI364" s="203"/>
      <c r="DJ364" s="46"/>
      <c r="DK364" s="5"/>
      <c r="EB364" s="18"/>
      <c r="EC364" s="77"/>
      <c r="ED364" s="77"/>
      <c r="EE364" s="18"/>
      <c r="EF364" s="18"/>
      <c r="EG364" s="18"/>
      <c r="EH364" s="5"/>
      <c r="EI364" s="5"/>
      <c r="EJ364" s="5"/>
      <c r="EK364" s="5"/>
      <c r="EL364" s="5"/>
      <c r="FE364" s="26"/>
      <c r="FF364" s="26"/>
      <c r="FG364" s="26"/>
      <c r="FH364" s="26"/>
      <c r="FI364" s="26"/>
      <c r="FJ364" s="26"/>
      <c r="FK364" s="26"/>
      <c r="FL364" s="26"/>
      <c r="FM364" s="26"/>
      <c r="FN364" s="205"/>
      <c r="FO364" s="205"/>
      <c r="FP364" s="205"/>
      <c r="FQ364" s="205"/>
      <c r="FR364" s="205"/>
      <c r="FS364" s="205"/>
      <c r="FT364" s="205"/>
      <c r="FU364" s="77"/>
      <c r="FV364" s="77"/>
      <c r="FW364" s="77"/>
      <c r="FX364" s="205"/>
      <c r="FY364" s="205"/>
      <c r="FZ364" s="205"/>
      <c r="GA364" s="205"/>
      <c r="GB364" s="205"/>
      <c r="GC364" s="205"/>
      <c r="GD364" s="205"/>
      <c r="GE364" s="205"/>
      <c r="GF364" s="205"/>
      <c r="GG364" s="205"/>
      <c r="GH364" s="205"/>
      <c r="GI364" s="205"/>
      <c r="GJ364" s="205"/>
      <c r="GK364" s="205"/>
      <c r="GL364" s="205"/>
      <c r="GM364" s="205"/>
      <c r="GN364" s="205"/>
      <c r="GO364" s="205"/>
      <c r="GP364" s="205"/>
      <c r="GQ364" s="205"/>
      <c r="GR364" s="205"/>
      <c r="GS364" s="205"/>
      <c r="GT364" s="205"/>
      <c r="GU364" s="205"/>
      <c r="GV364" s="18"/>
      <c r="GW364" s="5"/>
      <c r="GX364" s="5"/>
      <c r="GY364" s="77"/>
      <c r="GZ364" s="18"/>
      <c r="HA364" s="18"/>
      <c r="HB364" s="18"/>
      <c r="HC364" s="18"/>
      <c r="HD364" s="18"/>
      <c r="HE364" s="18"/>
      <c r="HF364" s="18"/>
      <c r="HG364" s="18"/>
      <c r="HH364" s="18"/>
      <c r="HI364" s="18"/>
      <c r="HJ364" s="18"/>
      <c r="HK364" s="18"/>
    </row>
    <row r="365" spans="40:219">
      <c r="AN365" s="26"/>
      <c r="AO365" s="26"/>
      <c r="AP365" s="15"/>
      <c r="AQ365" s="5"/>
      <c r="AR365" s="26"/>
      <c r="AS365" s="26"/>
      <c r="AT365" s="26"/>
      <c r="AU365" s="26"/>
      <c r="AV365" s="95"/>
      <c r="AW365" s="95"/>
      <c r="AX365" s="95"/>
      <c r="AY365" s="54"/>
      <c r="AZ365" s="54"/>
      <c r="BA365" s="15"/>
      <c r="BB365" s="54"/>
      <c r="BC365" s="54"/>
      <c r="BD365" s="22"/>
      <c r="BE365" s="23"/>
      <c r="BL365" s="92"/>
      <c r="BN365" s="5"/>
      <c r="BO365" s="54"/>
      <c r="BP365" s="5"/>
      <c r="BQ365" s="5"/>
      <c r="BR365" s="24"/>
      <c r="BS365" s="25"/>
      <c r="BT365" s="25"/>
      <c r="BU365" s="25"/>
      <c r="BV365" s="25"/>
      <c r="BW365" s="25"/>
      <c r="BX365" s="25"/>
      <c r="BY365" s="25"/>
      <c r="BZ365" s="25"/>
      <c r="CA365" s="25"/>
      <c r="CB365" s="25"/>
      <c r="CC365" s="5"/>
      <c r="CD365" s="5"/>
      <c r="CE365" s="5"/>
      <c r="CF365" s="5"/>
      <c r="CG365" s="5"/>
      <c r="CH365" s="5"/>
      <c r="CI365" s="68"/>
      <c r="CJ365" s="5"/>
      <c r="CK365" s="5"/>
      <c r="CL365" s="102"/>
      <c r="CM365" s="5"/>
      <c r="CN365" s="5"/>
      <c r="CO365" s="5"/>
      <c r="CP365" s="25"/>
      <c r="CQ365" s="68"/>
      <c r="CR365" s="68"/>
      <c r="CS365" s="5"/>
      <c r="CT365" s="5"/>
      <c r="CU365" s="68"/>
      <c r="CV365" s="5"/>
      <c r="CW365" s="25"/>
      <c r="CX365" s="72"/>
      <c r="CY365" s="102"/>
      <c r="CZ365" s="5"/>
      <c r="DA365" s="47"/>
      <c r="DB365" s="46"/>
      <c r="DC365" s="5"/>
      <c r="DD365" s="5"/>
      <c r="DE365" s="5"/>
      <c r="DF365" s="5"/>
      <c r="DG365" s="5"/>
      <c r="DH365" s="203"/>
      <c r="DI365" s="203"/>
      <c r="DJ365" s="46"/>
      <c r="DK365" s="5"/>
      <c r="EB365" s="18"/>
      <c r="EC365" s="77"/>
      <c r="ED365" s="77"/>
      <c r="EE365" s="18"/>
      <c r="EF365" s="18"/>
      <c r="EG365" s="18"/>
      <c r="EH365" s="5"/>
      <c r="EI365" s="5"/>
      <c r="EJ365" s="5"/>
      <c r="EK365" s="5"/>
      <c r="EL365" s="5"/>
      <c r="FE365" s="26"/>
      <c r="FF365" s="26"/>
      <c r="FG365" s="26"/>
      <c r="FH365" s="26"/>
      <c r="FI365" s="26"/>
      <c r="FJ365" s="26"/>
      <c r="FK365" s="26"/>
      <c r="FL365" s="26"/>
      <c r="FM365" s="26"/>
      <c r="FN365" s="205"/>
      <c r="FO365" s="205"/>
      <c r="FP365" s="205"/>
      <c r="FQ365" s="205"/>
      <c r="FR365" s="205"/>
      <c r="FS365" s="205"/>
      <c r="FT365" s="205"/>
      <c r="FU365" s="77"/>
      <c r="FV365" s="77"/>
      <c r="FW365" s="77"/>
      <c r="FX365" s="205"/>
      <c r="FY365" s="205"/>
      <c r="FZ365" s="205"/>
      <c r="GA365" s="205"/>
      <c r="GB365" s="205"/>
      <c r="GC365" s="205"/>
      <c r="GD365" s="205"/>
      <c r="GE365" s="205"/>
      <c r="GF365" s="205"/>
      <c r="GG365" s="205"/>
      <c r="GH365" s="205"/>
      <c r="GI365" s="205"/>
      <c r="GJ365" s="205"/>
      <c r="GK365" s="205"/>
      <c r="GL365" s="205"/>
      <c r="GM365" s="205"/>
      <c r="GN365" s="205"/>
      <c r="GO365" s="205"/>
      <c r="GP365" s="205"/>
      <c r="GQ365" s="205"/>
      <c r="GR365" s="205"/>
      <c r="GS365" s="205"/>
      <c r="GT365" s="205"/>
      <c r="GU365" s="205"/>
      <c r="GV365" s="18"/>
      <c r="GW365" s="5"/>
      <c r="GX365" s="5"/>
      <c r="GY365" s="77"/>
      <c r="GZ365" s="18"/>
      <c r="HA365" s="18"/>
      <c r="HB365" s="18"/>
      <c r="HC365" s="18"/>
      <c r="HD365" s="18"/>
      <c r="HE365" s="18"/>
      <c r="HF365" s="18"/>
      <c r="HG365" s="18"/>
      <c r="HH365" s="18"/>
      <c r="HI365" s="18"/>
      <c r="HJ365" s="18"/>
      <c r="HK365" s="18"/>
    </row>
    <row r="366" spans="40:219">
      <c r="AN366" s="26"/>
      <c r="AO366" s="26"/>
      <c r="AP366" s="15"/>
      <c r="AQ366" s="5"/>
      <c r="AR366" s="26"/>
      <c r="AS366" s="26"/>
      <c r="AT366" s="26"/>
      <c r="AU366" s="26"/>
      <c r="AV366" s="95"/>
      <c r="AW366" s="95"/>
      <c r="AX366" s="95"/>
      <c r="AY366" s="54"/>
      <c r="AZ366" s="54"/>
      <c r="BA366" s="15"/>
      <c r="BB366" s="54"/>
      <c r="BC366" s="54"/>
      <c r="BD366" s="22"/>
      <c r="BE366" s="23"/>
      <c r="BL366" s="92"/>
      <c r="BN366" s="5"/>
      <c r="BO366" s="54"/>
      <c r="BP366" s="5"/>
      <c r="BQ366" s="5"/>
      <c r="BR366" s="24"/>
      <c r="BS366" s="25"/>
      <c r="BT366" s="25"/>
      <c r="BU366" s="25"/>
      <c r="BV366" s="25"/>
      <c r="BW366" s="25"/>
      <c r="BX366" s="25"/>
      <c r="BY366" s="25"/>
      <c r="BZ366" s="25"/>
      <c r="CA366" s="25"/>
      <c r="CB366" s="25"/>
      <c r="CC366" s="5"/>
      <c r="CD366" s="5"/>
      <c r="CE366" s="5"/>
      <c r="CF366" s="5"/>
      <c r="CG366" s="5"/>
      <c r="CH366" s="5"/>
      <c r="CI366" s="68"/>
      <c r="CJ366" s="5"/>
      <c r="CK366" s="5"/>
      <c r="CL366" s="102"/>
      <c r="CM366" s="5"/>
      <c r="CN366" s="5"/>
      <c r="CO366" s="5"/>
      <c r="CP366" s="25"/>
      <c r="CQ366" s="68"/>
      <c r="CR366" s="68"/>
      <c r="CS366" s="5"/>
      <c r="CT366" s="5"/>
      <c r="CU366" s="68"/>
      <c r="CV366" s="5"/>
      <c r="CW366" s="25"/>
      <c r="CX366" s="72"/>
      <c r="CY366" s="102"/>
      <c r="CZ366" s="5"/>
      <c r="DA366" s="47"/>
      <c r="DB366" s="46"/>
      <c r="DC366" s="5"/>
      <c r="DD366" s="5"/>
      <c r="DE366" s="5"/>
      <c r="DF366" s="5"/>
      <c r="DG366" s="5"/>
      <c r="DH366" s="203"/>
      <c r="DI366" s="203"/>
      <c r="DJ366" s="46"/>
      <c r="DK366" s="5"/>
      <c r="EB366" s="18"/>
      <c r="EC366" s="77"/>
      <c r="ED366" s="77"/>
      <c r="EE366" s="18"/>
      <c r="EF366" s="18"/>
      <c r="EG366" s="18"/>
      <c r="EH366" s="5"/>
      <c r="EI366" s="5"/>
      <c r="EJ366" s="5"/>
      <c r="EK366" s="5"/>
      <c r="EL366" s="5"/>
      <c r="FE366" s="26"/>
      <c r="FF366" s="26"/>
      <c r="FG366" s="26"/>
      <c r="FH366" s="26"/>
      <c r="FI366" s="26"/>
      <c r="FJ366" s="26"/>
      <c r="FK366" s="26"/>
      <c r="FL366" s="26"/>
      <c r="FM366" s="26"/>
      <c r="FN366" s="205"/>
      <c r="FO366" s="205"/>
      <c r="FP366" s="205"/>
      <c r="FQ366" s="205"/>
      <c r="FR366" s="205"/>
      <c r="FS366" s="205"/>
      <c r="FT366" s="205"/>
      <c r="FU366" s="77"/>
      <c r="FV366" s="77"/>
      <c r="FW366" s="77"/>
      <c r="FX366" s="205"/>
      <c r="FY366" s="205"/>
      <c r="FZ366" s="205"/>
      <c r="GA366" s="205"/>
      <c r="GB366" s="205"/>
      <c r="GC366" s="205"/>
      <c r="GD366" s="205"/>
      <c r="GE366" s="205"/>
      <c r="GF366" s="205"/>
      <c r="GG366" s="205"/>
      <c r="GH366" s="205"/>
      <c r="GI366" s="205"/>
      <c r="GJ366" s="205"/>
      <c r="GK366" s="205"/>
      <c r="GL366" s="205"/>
      <c r="GM366" s="205"/>
      <c r="GN366" s="205"/>
      <c r="GO366" s="205"/>
      <c r="GP366" s="205"/>
      <c r="GQ366" s="205"/>
      <c r="GR366" s="205"/>
      <c r="GS366" s="205"/>
      <c r="GT366" s="205"/>
      <c r="GU366" s="205"/>
      <c r="GV366" s="18"/>
      <c r="GW366" s="5"/>
      <c r="GX366" s="5"/>
      <c r="GY366" s="77"/>
      <c r="GZ366" s="18"/>
      <c r="HA366" s="18"/>
      <c r="HB366" s="18"/>
      <c r="HC366" s="18"/>
      <c r="HD366" s="18"/>
      <c r="HE366" s="18"/>
      <c r="HF366" s="18"/>
      <c r="HG366" s="18"/>
      <c r="HH366" s="18"/>
      <c r="HI366" s="18"/>
      <c r="HJ366" s="18"/>
      <c r="HK366" s="18"/>
    </row>
    <row r="367" spans="40:219">
      <c r="AN367" s="26"/>
      <c r="AO367" s="26"/>
      <c r="AP367" s="15"/>
      <c r="AQ367" s="5"/>
      <c r="AR367" s="26"/>
      <c r="AS367" s="26"/>
      <c r="AT367" s="26"/>
      <c r="AU367" s="26"/>
      <c r="AV367" s="95"/>
      <c r="AW367" s="95"/>
      <c r="AX367" s="95"/>
      <c r="AY367" s="54"/>
      <c r="AZ367" s="54"/>
      <c r="BA367" s="15"/>
      <c r="BB367" s="54"/>
      <c r="BC367" s="54"/>
      <c r="BD367" s="22"/>
      <c r="BE367" s="23"/>
      <c r="BL367" s="92"/>
      <c r="BN367" s="5"/>
      <c r="BO367" s="54"/>
      <c r="BP367" s="5"/>
      <c r="BQ367" s="5"/>
      <c r="BR367" s="24"/>
      <c r="BS367" s="25"/>
      <c r="BT367" s="25"/>
      <c r="BU367" s="25"/>
      <c r="BV367" s="25"/>
      <c r="BW367" s="25"/>
      <c r="BX367" s="25"/>
      <c r="BY367" s="25"/>
      <c r="BZ367" s="25"/>
      <c r="CA367" s="25"/>
      <c r="CB367" s="25"/>
      <c r="CC367" s="5"/>
      <c r="CD367" s="5"/>
      <c r="CE367" s="5"/>
      <c r="CF367" s="5"/>
      <c r="CG367" s="5"/>
      <c r="CH367" s="5"/>
      <c r="CI367" s="68"/>
      <c r="CJ367" s="5"/>
      <c r="CK367" s="5"/>
      <c r="CL367" s="102"/>
      <c r="CM367" s="5"/>
      <c r="CN367" s="5"/>
      <c r="CO367" s="5"/>
      <c r="CP367" s="25"/>
      <c r="CQ367" s="68"/>
      <c r="CR367" s="68"/>
      <c r="CS367" s="5"/>
      <c r="CT367" s="5"/>
      <c r="CU367" s="68"/>
      <c r="CV367" s="5"/>
      <c r="CW367" s="25"/>
      <c r="CX367" s="72"/>
      <c r="CY367" s="102"/>
      <c r="CZ367" s="5"/>
      <c r="DA367" s="47"/>
      <c r="DB367" s="46"/>
      <c r="DC367" s="5"/>
      <c r="DD367" s="5"/>
      <c r="DE367" s="5"/>
      <c r="DF367" s="5"/>
      <c r="DG367" s="5"/>
      <c r="DH367" s="203"/>
      <c r="DI367" s="203"/>
      <c r="DJ367" s="46"/>
      <c r="DK367" s="5"/>
      <c r="EB367" s="18"/>
      <c r="EC367" s="77"/>
      <c r="ED367" s="77"/>
      <c r="EE367" s="18"/>
      <c r="EF367" s="18"/>
      <c r="EG367" s="18"/>
      <c r="EH367" s="5"/>
      <c r="EI367" s="5"/>
      <c r="EJ367" s="5"/>
      <c r="EK367" s="5"/>
      <c r="EL367" s="5"/>
      <c r="FE367" s="26"/>
      <c r="FF367" s="26"/>
      <c r="FG367" s="26"/>
      <c r="FH367" s="26"/>
      <c r="FI367" s="26"/>
      <c r="FJ367" s="26"/>
      <c r="FK367" s="26"/>
      <c r="FL367" s="26"/>
      <c r="FM367" s="26"/>
      <c r="FN367" s="205"/>
      <c r="FO367" s="205"/>
      <c r="FP367" s="205"/>
      <c r="FQ367" s="205"/>
      <c r="FR367" s="205"/>
      <c r="FS367" s="205"/>
      <c r="FT367" s="205"/>
      <c r="FU367" s="77"/>
      <c r="FV367" s="77"/>
      <c r="FW367" s="77"/>
      <c r="FX367" s="205"/>
      <c r="FY367" s="205"/>
      <c r="FZ367" s="205"/>
      <c r="GA367" s="205"/>
      <c r="GB367" s="205"/>
      <c r="GC367" s="205"/>
      <c r="GD367" s="205"/>
      <c r="GE367" s="205"/>
      <c r="GF367" s="205"/>
      <c r="GG367" s="205"/>
      <c r="GH367" s="205"/>
      <c r="GI367" s="205"/>
      <c r="GJ367" s="205"/>
      <c r="GK367" s="205"/>
      <c r="GL367" s="205"/>
      <c r="GM367" s="205"/>
      <c r="GN367" s="205"/>
      <c r="GO367" s="205"/>
      <c r="GP367" s="205"/>
      <c r="GQ367" s="205"/>
      <c r="GR367" s="205"/>
      <c r="GS367" s="205"/>
      <c r="GT367" s="205"/>
      <c r="GU367" s="205"/>
      <c r="GV367" s="18"/>
      <c r="GW367" s="5"/>
      <c r="GX367" s="5"/>
      <c r="GY367" s="77"/>
      <c r="GZ367" s="18"/>
      <c r="HA367" s="18"/>
      <c r="HB367" s="18"/>
      <c r="HC367" s="18"/>
      <c r="HD367" s="18"/>
      <c r="HE367" s="18"/>
      <c r="HF367" s="18"/>
      <c r="HG367" s="18"/>
      <c r="HH367" s="18"/>
      <c r="HI367" s="18"/>
      <c r="HJ367" s="18"/>
      <c r="HK367" s="18"/>
    </row>
    <row r="368" spans="40:219">
      <c r="AN368" s="26"/>
      <c r="AO368" s="26"/>
      <c r="AP368" s="15"/>
      <c r="AQ368" s="5"/>
      <c r="AR368" s="26"/>
      <c r="AS368" s="26"/>
      <c r="AT368" s="26"/>
      <c r="AU368" s="26"/>
      <c r="AV368" s="95"/>
      <c r="AW368" s="95"/>
      <c r="AX368" s="95"/>
      <c r="AY368" s="54"/>
      <c r="AZ368" s="54"/>
      <c r="BA368" s="15"/>
      <c r="BB368" s="54"/>
      <c r="BC368" s="54"/>
      <c r="BD368" s="22"/>
      <c r="BE368" s="23"/>
      <c r="BL368" s="92"/>
      <c r="BN368" s="5"/>
      <c r="BO368" s="54"/>
      <c r="BP368" s="5"/>
      <c r="BQ368" s="5"/>
      <c r="BR368" s="24"/>
      <c r="BS368" s="25"/>
      <c r="BT368" s="25"/>
      <c r="BU368" s="25"/>
      <c r="BV368" s="25"/>
      <c r="BW368" s="25"/>
      <c r="BX368" s="25"/>
      <c r="BY368" s="25"/>
      <c r="BZ368" s="25"/>
      <c r="CA368" s="25"/>
      <c r="CB368" s="25"/>
      <c r="CC368" s="5"/>
      <c r="CD368" s="5"/>
      <c r="CE368" s="5"/>
      <c r="CF368" s="5"/>
      <c r="CG368" s="5"/>
      <c r="CH368" s="5"/>
      <c r="CI368" s="68"/>
      <c r="CJ368" s="5"/>
      <c r="CK368" s="5"/>
      <c r="CL368" s="102"/>
      <c r="CM368" s="5"/>
      <c r="CN368" s="5"/>
      <c r="CO368" s="5"/>
      <c r="CP368" s="25"/>
      <c r="CQ368" s="68"/>
      <c r="CR368" s="68"/>
      <c r="CS368" s="5"/>
      <c r="CT368" s="5"/>
      <c r="CU368" s="68"/>
      <c r="CV368" s="5"/>
      <c r="CW368" s="25"/>
      <c r="CX368" s="72"/>
      <c r="CY368" s="102"/>
      <c r="CZ368" s="5"/>
      <c r="DA368" s="47"/>
      <c r="DB368" s="46"/>
      <c r="DC368" s="5"/>
      <c r="DD368" s="5"/>
      <c r="DE368" s="5"/>
      <c r="DF368" s="5"/>
      <c r="DG368" s="5"/>
      <c r="DH368" s="203"/>
      <c r="DI368" s="203"/>
      <c r="DJ368" s="46"/>
      <c r="DK368" s="5"/>
      <c r="EB368" s="18"/>
      <c r="EC368" s="77"/>
      <c r="ED368" s="77"/>
      <c r="EE368" s="18"/>
      <c r="EF368" s="18"/>
      <c r="EG368" s="18"/>
      <c r="EH368" s="5"/>
      <c r="EI368" s="5"/>
      <c r="EJ368" s="5"/>
      <c r="EK368" s="5"/>
      <c r="EL368" s="5"/>
      <c r="FE368" s="26"/>
      <c r="FF368" s="26"/>
      <c r="FG368" s="26"/>
      <c r="FH368" s="26"/>
      <c r="FI368" s="26"/>
      <c r="FJ368" s="26"/>
      <c r="FK368" s="26"/>
      <c r="FL368" s="26"/>
      <c r="FM368" s="26"/>
      <c r="FN368" s="205"/>
      <c r="FO368" s="205"/>
      <c r="FP368" s="205"/>
      <c r="FQ368" s="205"/>
      <c r="FR368" s="205"/>
      <c r="FS368" s="205"/>
      <c r="FT368" s="205"/>
      <c r="FU368" s="77"/>
      <c r="FV368" s="77"/>
      <c r="FW368" s="77"/>
      <c r="FX368" s="205"/>
      <c r="FY368" s="205"/>
      <c r="FZ368" s="205"/>
      <c r="GA368" s="205"/>
      <c r="GB368" s="205"/>
      <c r="GC368" s="205"/>
      <c r="GD368" s="205"/>
      <c r="GE368" s="205"/>
      <c r="GF368" s="205"/>
      <c r="GG368" s="205"/>
      <c r="GH368" s="205"/>
      <c r="GI368" s="205"/>
      <c r="GJ368" s="205"/>
      <c r="GK368" s="205"/>
      <c r="GL368" s="205"/>
      <c r="GM368" s="205"/>
      <c r="GN368" s="205"/>
      <c r="GO368" s="205"/>
      <c r="GP368" s="205"/>
      <c r="GQ368" s="205"/>
      <c r="GR368" s="205"/>
      <c r="GS368" s="205"/>
      <c r="GT368" s="205"/>
      <c r="GU368" s="205"/>
      <c r="GV368" s="18"/>
      <c r="GW368" s="5"/>
      <c r="GX368" s="5"/>
      <c r="GY368" s="77"/>
      <c r="GZ368" s="18"/>
      <c r="HA368" s="18"/>
      <c r="HB368" s="18"/>
      <c r="HC368" s="18"/>
      <c r="HD368" s="18"/>
      <c r="HE368" s="18"/>
      <c r="HF368" s="18"/>
      <c r="HG368" s="18"/>
      <c r="HH368" s="18"/>
      <c r="HI368" s="18"/>
      <c r="HJ368" s="18"/>
      <c r="HK368" s="18"/>
    </row>
    <row r="369" spans="40:219">
      <c r="AN369" s="26"/>
      <c r="AO369" s="26"/>
      <c r="AP369" s="15"/>
      <c r="AQ369" s="5"/>
      <c r="AR369" s="26"/>
      <c r="AS369" s="26"/>
      <c r="AT369" s="26"/>
      <c r="AU369" s="26"/>
      <c r="AV369" s="95"/>
      <c r="AW369" s="95"/>
      <c r="AX369" s="95"/>
      <c r="AY369" s="54"/>
      <c r="AZ369" s="54"/>
      <c r="BA369" s="15"/>
      <c r="BB369" s="54"/>
      <c r="BC369" s="54"/>
      <c r="BD369" s="22"/>
      <c r="BE369" s="23"/>
      <c r="BL369" s="92"/>
      <c r="BN369" s="5"/>
      <c r="BO369" s="54"/>
      <c r="BP369" s="5"/>
      <c r="BQ369" s="5"/>
      <c r="BR369" s="24"/>
      <c r="BS369" s="25"/>
      <c r="BT369" s="25"/>
      <c r="BU369" s="25"/>
      <c r="BV369" s="25"/>
      <c r="BW369" s="25"/>
      <c r="BX369" s="25"/>
      <c r="BY369" s="25"/>
      <c r="BZ369" s="25"/>
      <c r="CA369" s="25"/>
      <c r="CB369" s="25"/>
      <c r="CC369" s="5"/>
      <c r="CD369" s="5"/>
      <c r="CE369" s="5"/>
      <c r="CF369" s="5"/>
      <c r="CG369" s="5"/>
      <c r="CH369" s="5"/>
      <c r="CI369" s="68"/>
      <c r="CJ369" s="5"/>
      <c r="CK369" s="5"/>
      <c r="CL369" s="102"/>
      <c r="CM369" s="5"/>
      <c r="CN369" s="5"/>
      <c r="CO369" s="5"/>
      <c r="CP369" s="25"/>
      <c r="CQ369" s="68"/>
      <c r="CR369" s="68"/>
      <c r="CS369" s="5"/>
      <c r="CT369" s="5"/>
      <c r="CU369" s="68"/>
      <c r="CV369" s="5"/>
      <c r="CW369" s="25"/>
      <c r="CX369" s="72"/>
      <c r="CY369" s="102"/>
      <c r="CZ369" s="5"/>
      <c r="DA369" s="47"/>
      <c r="DB369" s="46"/>
      <c r="DC369" s="5"/>
      <c r="DD369" s="5"/>
      <c r="DE369" s="5"/>
      <c r="DF369" s="5"/>
      <c r="DG369" s="5"/>
      <c r="DH369" s="203"/>
      <c r="DI369" s="203"/>
      <c r="DJ369" s="46"/>
      <c r="DK369" s="5"/>
      <c r="EB369" s="18"/>
      <c r="EC369" s="77"/>
      <c r="ED369" s="77"/>
      <c r="EE369" s="18"/>
      <c r="EF369" s="18"/>
      <c r="EG369" s="18"/>
      <c r="EH369" s="5"/>
      <c r="EI369" s="5"/>
      <c r="EJ369" s="5"/>
      <c r="EK369" s="5"/>
      <c r="EL369" s="5"/>
      <c r="FE369" s="26"/>
      <c r="FF369" s="26"/>
      <c r="FG369" s="26"/>
      <c r="FH369" s="26"/>
      <c r="FI369" s="26"/>
      <c r="FJ369" s="26"/>
      <c r="FK369" s="26"/>
      <c r="FL369" s="26"/>
      <c r="FM369" s="26"/>
      <c r="FN369" s="205"/>
      <c r="FO369" s="205"/>
      <c r="FP369" s="205"/>
      <c r="FQ369" s="205"/>
      <c r="FR369" s="205"/>
      <c r="FS369" s="205"/>
      <c r="FT369" s="205"/>
      <c r="FU369" s="77"/>
      <c r="FV369" s="77"/>
      <c r="FW369" s="77"/>
      <c r="FX369" s="205"/>
      <c r="FY369" s="205"/>
      <c r="FZ369" s="205"/>
      <c r="GA369" s="205"/>
      <c r="GB369" s="205"/>
      <c r="GC369" s="205"/>
      <c r="GD369" s="205"/>
      <c r="GE369" s="205"/>
      <c r="GF369" s="205"/>
      <c r="GG369" s="205"/>
      <c r="GH369" s="205"/>
      <c r="GI369" s="205"/>
      <c r="GJ369" s="205"/>
      <c r="GK369" s="205"/>
      <c r="GL369" s="205"/>
      <c r="GM369" s="205"/>
      <c r="GN369" s="205"/>
      <c r="GO369" s="205"/>
      <c r="GP369" s="205"/>
      <c r="GQ369" s="205"/>
      <c r="GR369" s="205"/>
      <c r="GS369" s="205"/>
      <c r="GT369" s="205"/>
      <c r="GU369" s="205"/>
      <c r="GV369" s="18"/>
      <c r="GW369" s="5"/>
      <c r="GX369" s="5"/>
      <c r="GY369" s="77"/>
      <c r="GZ369" s="18"/>
      <c r="HA369" s="18"/>
      <c r="HB369" s="18"/>
      <c r="HC369" s="18"/>
      <c r="HD369" s="18"/>
      <c r="HE369" s="18"/>
      <c r="HF369" s="18"/>
      <c r="HG369" s="18"/>
      <c r="HH369" s="18"/>
      <c r="HI369" s="18"/>
      <c r="HJ369" s="18"/>
      <c r="HK369" s="18"/>
    </row>
    <row r="370" spans="40:219">
      <c r="AN370" s="26"/>
      <c r="AO370" s="26"/>
      <c r="AP370" s="15"/>
      <c r="AQ370" s="5"/>
      <c r="AR370" s="26"/>
      <c r="AS370" s="26"/>
      <c r="AT370" s="26"/>
      <c r="AU370" s="26"/>
      <c r="AV370" s="95"/>
      <c r="AW370" s="95"/>
      <c r="AX370" s="95"/>
      <c r="AY370" s="54"/>
      <c r="AZ370" s="54"/>
      <c r="BA370" s="15"/>
      <c r="BB370" s="54"/>
      <c r="BC370" s="54"/>
      <c r="BD370" s="22"/>
      <c r="BE370" s="23"/>
      <c r="BL370" s="92"/>
      <c r="BN370" s="5"/>
      <c r="BO370" s="54"/>
      <c r="BP370" s="5"/>
      <c r="BQ370" s="5"/>
      <c r="BR370" s="24"/>
      <c r="BS370" s="25"/>
      <c r="BT370" s="25"/>
      <c r="BU370" s="25"/>
      <c r="BV370" s="25"/>
      <c r="BW370" s="25"/>
      <c r="BX370" s="25"/>
      <c r="BY370" s="25"/>
      <c r="BZ370" s="25"/>
      <c r="CA370" s="25"/>
      <c r="CB370" s="25"/>
      <c r="CC370" s="5"/>
      <c r="CD370" s="5"/>
      <c r="CE370" s="5"/>
      <c r="CF370" s="5"/>
      <c r="CG370" s="5"/>
      <c r="CH370" s="5"/>
      <c r="CI370" s="68"/>
      <c r="CJ370" s="5"/>
      <c r="CK370" s="5"/>
      <c r="CL370" s="102"/>
      <c r="CM370" s="5"/>
      <c r="CN370" s="5"/>
      <c r="CO370" s="5"/>
      <c r="CP370" s="25"/>
      <c r="CQ370" s="68"/>
      <c r="CR370" s="68"/>
      <c r="CS370" s="5"/>
      <c r="CT370" s="5"/>
      <c r="CU370" s="68"/>
      <c r="CV370" s="5"/>
      <c r="CW370" s="25"/>
      <c r="CX370" s="72"/>
      <c r="CY370" s="102"/>
      <c r="CZ370" s="5"/>
      <c r="DA370" s="47"/>
      <c r="DB370" s="46"/>
      <c r="DC370" s="5"/>
      <c r="DD370" s="5"/>
      <c r="DE370" s="5"/>
      <c r="DF370" s="5"/>
      <c r="DG370" s="5"/>
      <c r="DH370" s="203"/>
      <c r="DI370" s="203"/>
      <c r="DJ370" s="46"/>
      <c r="DK370" s="5"/>
      <c r="EB370" s="18"/>
      <c r="EC370" s="77"/>
      <c r="ED370" s="77"/>
      <c r="EE370" s="18"/>
      <c r="EF370" s="18"/>
      <c r="EG370" s="18"/>
      <c r="EH370" s="5"/>
      <c r="EI370" s="5"/>
      <c r="EJ370" s="5"/>
      <c r="EK370" s="5"/>
      <c r="EL370" s="5"/>
      <c r="FE370" s="26"/>
      <c r="FF370" s="26"/>
      <c r="FG370" s="26"/>
      <c r="FH370" s="26"/>
      <c r="FI370" s="26"/>
      <c r="FJ370" s="26"/>
      <c r="FK370" s="26"/>
      <c r="FL370" s="26"/>
      <c r="FM370" s="26"/>
      <c r="FN370" s="205"/>
      <c r="FO370" s="205"/>
      <c r="FP370" s="205"/>
      <c r="FQ370" s="205"/>
      <c r="FR370" s="205"/>
      <c r="FS370" s="205"/>
      <c r="FT370" s="205"/>
      <c r="FU370" s="77"/>
      <c r="FV370" s="77"/>
      <c r="FW370" s="77"/>
      <c r="FX370" s="205"/>
      <c r="FY370" s="205"/>
      <c r="FZ370" s="205"/>
      <c r="GA370" s="205"/>
      <c r="GB370" s="205"/>
      <c r="GC370" s="205"/>
      <c r="GD370" s="205"/>
      <c r="GE370" s="205"/>
      <c r="GF370" s="205"/>
      <c r="GG370" s="205"/>
      <c r="GH370" s="205"/>
      <c r="GI370" s="205"/>
      <c r="GJ370" s="205"/>
      <c r="GK370" s="205"/>
      <c r="GL370" s="205"/>
      <c r="GM370" s="205"/>
      <c r="GN370" s="205"/>
      <c r="GO370" s="205"/>
      <c r="GP370" s="205"/>
      <c r="GQ370" s="205"/>
      <c r="GR370" s="205"/>
      <c r="GS370" s="205"/>
      <c r="GT370" s="205"/>
      <c r="GU370" s="205"/>
      <c r="GV370" s="18"/>
      <c r="GW370" s="5"/>
      <c r="GX370" s="5"/>
      <c r="GY370" s="77"/>
      <c r="GZ370" s="18"/>
      <c r="HA370" s="18"/>
      <c r="HB370" s="18"/>
      <c r="HC370" s="18"/>
      <c r="HD370" s="18"/>
      <c r="HE370" s="18"/>
      <c r="HF370" s="18"/>
      <c r="HG370" s="18"/>
      <c r="HH370" s="18"/>
      <c r="HI370" s="18"/>
      <c r="HJ370" s="18"/>
      <c r="HK370" s="18"/>
    </row>
    <row r="371" spans="40:219">
      <c r="AN371" s="26"/>
      <c r="AO371" s="26"/>
      <c r="AP371" s="15"/>
      <c r="AQ371" s="5"/>
      <c r="AR371" s="26"/>
      <c r="AS371" s="26"/>
      <c r="AT371" s="26"/>
      <c r="AU371" s="26"/>
      <c r="AV371" s="95"/>
      <c r="AW371" s="95"/>
      <c r="AX371" s="95"/>
      <c r="AY371" s="54"/>
      <c r="AZ371" s="54"/>
      <c r="BA371" s="15"/>
      <c r="BB371" s="54"/>
      <c r="BC371" s="54"/>
      <c r="BD371" s="22"/>
      <c r="BE371" s="23"/>
      <c r="BL371" s="92"/>
      <c r="BN371" s="5"/>
      <c r="BO371" s="54"/>
      <c r="BP371" s="5"/>
      <c r="BQ371" s="5"/>
      <c r="BR371" s="24"/>
      <c r="BS371" s="25"/>
      <c r="BT371" s="25"/>
      <c r="BU371" s="25"/>
      <c r="BV371" s="25"/>
      <c r="BW371" s="25"/>
      <c r="BX371" s="25"/>
      <c r="BY371" s="25"/>
      <c r="BZ371" s="25"/>
      <c r="CA371" s="25"/>
      <c r="CB371" s="25"/>
      <c r="CC371" s="5"/>
      <c r="CD371" s="5"/>
      <c r="CE371" s="5"/>
      <c r="CF371" s="5"/>
      <c r="CG371" s="5"/>
      <c r="CH371" s="5"/>
      <c r="CI371" s="68"/>
      <c r="CJ371" s="5"/>
      <c r="CK371" s="5"/>
      <c r="CL371" s="102"/>
      <c r="CM371" s="5"/>
      <c r="CN371" s="5"/>
      <c r="CO371" s="5"/>
      <c r="CP371" s="25"/>
      <c r="CQ371" s="68"/>
      <c r="CR371" s="68"/>
      <c r="CS371" s="5"/>
      <c r="CT371" s="5"/>
      <c r="CU371" s="68"/>
      <c r="CV371" s="5"/>
      <c r="CW371" s="25"/>
      <c r="CX371" s="72"/>
      <c r="CY371" s="102"/>
      <c r="CZ371" s="5"/>
      <c r="DA371" s="47"/>
      <c r="DB371" s="46"/>
      <c r="DC371" s="5"/>
      <c r="DD371" s="5"/>
      <c r="DE371" s="5"/>
      <c r="DF371" s="5"/>
      <c r="DG371" s="5"/>
      <c r="DH371" s="203"/>
      <c r="DI371" s="203"/>
      <c r="DJ371" s="46"/>
      <c r="DK371" s="5"/>
      <c r="EB371" s="18"/>
      <c r="EC371" s="77"/>
      <c r="ED371" s="77"/>
      <c r="EE371" s="18"/>
      <c r="EF371" s="18"/>
      <c r="EG371" s="18"/>
      <c r="EH371" s="5"/>
      <c r="EI371" s="5"/>
      <c r="EJ371" s="5"/>
      <c r="EK371" s="5"/>
      <c r="EL371" s="5"/>
      <c r="FE371" s="26"/>
      <c r="FF371" s="26"/>
      <c r="FG371" s="26"/>
      <c r="FH371" s="26"/>
      <c r="FI371" s="26"/>
      <c r="FJ371" s="26"/>
      <c r="FK371" s="26"/>
      <c r="FL371" s="26"/>
      <c r="FM371" s="26"/>
      <c r="FN371" s="205"/>
      <c r="FO371" s="205"/>
      <c r="FP371" s="205"/>
      <c r="FQ371" s="205"/>
      <c r="FR371" s="205"/>
      <c r="FS371" s="205"/>
      <c r="FT371" s="205"/>
      <c r="FU371" s="77"/>
      <c r="FV371" s="77"/>
      <c r="FW371" s="77"/>
      <c r="FX371" s="205"/>
      <c r="FY371" s="205"/>
      <c r="FZ371" s="205"/>
      <c r="GA371" s="205"/>
      <c r="GB371" s="205"/>
      <c r="GC371" s="205"/>
      <c r="GD371" s="205"/>
      <c r="GE371" s="205"/>
      <c r="GF371" s="205"/>
      <c r="GG371" s="205"/>
      <c r="GH371" s="205"/>
      <c r="GI371" s="205"/>
      <c r="GJ371" s="205"/>
      <c r="GK371" s="205"/>
      <c r="GL371" s="205"/>
      <c r="GM371" s="205"/>
      <c r="GN371" s="205"/>
      <c r="GO371" s="205"/>
      <c r="GP371" s="205"/>
      <c r="GQ371" s="205"/>
      <c r="GR371" s="205"/>
      <c r="GS371" s="205"/>
      <c r="GT371" s="205"/>
      <c r="GU371" s="205"/>
      <c r="GV371" s="18"/>
      <c r="GW371" s="5"/>
      <c r="GX371" s="5"/>
      <c r="GY371" s="77"/>
      <c r="GZ371" s="18"/>
      <c r="HA371" s="18"/>
      <c r="HB371" s="18"/>
      <c r="HC371" s="18"/>
      <c r="HD371" s="18"/>
      <c r="HE371" s="18"/>
      <c r="HF371" s="18"/>
      <c r="HG371" s="18"/>
      <c r="HH371" s="18"/>
      <c r="HI371" s="18"/>
      <c r="HJ371" s="18"/>
      <c r="HK371" s="18"/>
    </row>
    <row r="372" spans="40:219">
      <c r="AN372" s="26"/>
      <c r="AO372" s="26"/>
      <c r="AP372" s="15"/>
      <c r="AQ372" s="5"/>
      <c r="AR372" s="26"/>
      <c r="AS372" s="26"/>
      <c r="AT372" s="26"/>
      <c r="AU372" s="26"/>
      <c r="AV372" s="95"/>
      <c r="AW372" s="95"/>
      <c r="AX372" s="95"/>
      <c r="AY372" s="54"/>
      <c r="AZ372" s="54"/>
      <c r="BA372" s="15"/>
      <c r="BB372" s="54"/>
      <c r="BC372" s="54"/>
      <c r="BD372" s="22"/>
      <c r="BE372" s="23"/>
      <c r="BL372" s="92"/>
      <c r="BN372" s="5"/>
      <c r="BO372" s="54"/>
      <c r="BP372" s="5"/>
      <c r="BQ372" s="5"/>
      <c r="BR372" s="24"/>
      <c r="BS372" s="25"/>
      <c r="BT372" s="25"/>
      <c r="BU372" s="25"/>
      <c r="BV372" s="25"/>
      <c r="BW372" s="25"/>
      <c r="BX372" s="25"/>
      <c r="BY372" s="25"/>
      <c r="BZ372" s="25"/>
      <c r="CA372" s="25"/>
      <c r="CB372" s="25"/>
      <c r="CC372" s="5"/>
      <c r="CD372" s="5"/>
      <c r="CE372" s="5"/>
      <c r="CF372" s="5"/>
      <c r="CG372" s="5"/>
      <c r="CH372" s="5"/>
      <c r="CI372" s="68"/>
      <c r="CJ372" s="5"/>
      <c r="CK372" s="5"/>
      <c r="CL372" s="102"/>
      <c r="CM372" s="5"/>
      <c r="CN372" s="5"/>
      <c r="CO372" s="5"/>
      <c r="CP372" s="25"/>
      <c r="CQ372" s="68"/>
      <c r="CR372" s="68"/>
      <c r="CS372" s="5"/>
      <c r="CT372" s="5"/>
      <c r="CU372" s="68"/>
      <c r="CV372" s="5"/>
      <c r="CW372" s="25"/>
      <c r="CX372" s="72"/>
      <c r="CY372" s="102"/>
      <c r="CZ372" s="5"/>
      <c r="DA372" s="47"/>
      <c r="DB372" s="46"/>
      <c r="DC372" s="5"/>
      <c r="DD372" s="5"/>
      <c r="DE372" s="5"/>
      <c r="DF372" s="5"/>
      <c r="DG372" s="5"/>
      <c r="DH372" s="203"/>
      <c r="DI372" s="203"/>
      <c r="DJ372" s="46"/>
      <c r="DK372" s="5"/>
      <c r="EB372" s="18"/>
      <c r="EC372" s="77"/>
      <c r="ED372" s="77"/>
      <c r="EE372" s="18"/>
      <c r="EF372" s="18"/>
      <c r="EG372" s="18"/>
      <c r="EH372" s="5"/>
      <c r="EI372" s="5"/>
      <c r="EJ372" s="5"/>
      <c r="EK372" s="5"/>
      <c r="EL372" s="5"/>
      <c r="FE372" s="26"/>
      <c r="FF372" s="26"/>
      <c r="FG372" s="26"/>
      <c r="FH372" s="26"/>
      <c r="FI372" s="26"/>
      <c r="FJ372" s="26"/>
      <c r="FK372" s="26"/>
      <c r="FL372" s="26"/>
      <c r="FM372" s="26"/>
      <c r="FN372" s="205"/>
      <c r="FO372" s="205"/>
      <c r="FP372" s="205"/>
      <c r="FQ372" s="205"/>
      <c r="FR372" s="205"/>
      <c r="FS372" s="205"/>
      <c r="FT372" s="205"/>
      <c r="FU372" s="77"/>
      <c r="FV372" s="77"/>
      <c r="FW372" s="77"/>
      <c r="FX372" s="205"/>
      <c r="FY372" s="205"/>
      <c r="FZ372" s="205"/>
      <c r="GA372" s="205"/>
      <c r="GB372" s="205"/>
      <c r="GC372" s="205"/>
      <c r="GD372" s="205"/>
      <c r="GE372" s="205"/>
      <c r="GF372" s="205"/>
      <c r="GG372" s="205"/>
      <c r="GH372" s="205"/>
      <c r="GI372" s="205"/>
      <c r="GJ372" s="205"/>
      <c r="GK372" s="205"/>
      <c r="GL372" s="205"/>
      <c r="GM372" s="205"/>
      <c r="GN372" s="205"/>
      <c r="GO372" s="205"/>
      <c r="GP372" s="205"/>
      <c r="GQ372" s="205"/>
      <c r="GR372" s="205"/>
      <c r="GS372" s="205"/>
      <c r="GT372" s="205"/>
      <c r="GU372" s="205"/>
      <c r="GV372" s="18"/>
      <c r="GW372" s="5"/>
      <c r="GX372" s="5"/>
      <c r="GY372" s="77"/>
      <c r="GZ372" s="18"/>
      <c r="HA372" s="18"/>
      <c r="HB372" s="18"/>
      <c r="HC372" s="18"/>
      <c r="HD372" s="18"/>
      <c r="HE372" s="18"/>
      <c r="HF372" s="18"/>
      <c r="HG372" s="18"/>
      <c r="HH372" s="18"/>
      <c r="HI372" s="18"/>
      <c r="HJ372" s="18"/>
      <c r="HK372" s="18"/>
    </row>
    <row r="373" spans="40:219">
      <c r="AN373" s="26"/>
      <c r="AO373" s="26"/>
      <c r="AP373" s="15"/>
      <c r="AQ373" s="5"/>
      <c r="AR373" s="26"/>
      <c r="AS373" s="26"/>
      <c r="AT373" s="26"/>
      <c r="AU373" s="26"/>
      <c r="AV373" s="95"/>
      <c r="AW373" s="95"/>
      <c r="AX373" s="95"/>
      <c r="AY373" s="54"/>
      <c r="AZ373" s="54"/>
      <c r="BA373" s="15"/>
      <c r="BB373" s="54"/>
      <c r="BC373" s="54"/>
      <c r="BD373" s="22"/>
      <c r="BE373" s="23"/>
      <c r="BL373" s="92"/>
      <c r="BN373" s="5"/>
      <c r="BO373" s="54"/>
      <c r="BP373" s="5"/>
      <c r="BQ373" s="5"/>
      <c r="BR373" s="24"/>
      <c r="BS373" s="25"/>
      <c r="BT373" s="25"/>
      <c r="BU373" s="25"/>
      <c r="BV373" s="25"/>
      <c r="BW373" s="25"/>
      <c r="BX373" s="25"/>
      <c r="BY373" s="25"/>
      <c r="BZ373" s="25"/>
      <c r="CA373" s="25"/>
      <c r="CB373" s="25"/>
      <c r="CC373" s="5"/>
      <c r="CD373" s="5"/>
      <c r="CE373" s="5"/>
      <c r="CF373" s="5"/>
      <c r="CG373" s="5"/>
      <c r="CH373" s="5"/>
      <c r="CI373" s="68"/>
      <c r="CJ373" s="5"/>
      <c r="CK373" s="5"/>
      <c r="CL373" s="102"/>
      <c r="CM373" s="5"/>
      <c r="CN373" s="5"/>
      <c r="CO373" s="5"/>
      <c r="CP373" s="25"/>
      <c r="CQ373" s="68"/>
      <c r="CR373" s="68"/>
      <c r="CS373" s="5"/>
      <c r="CT373" s="5"/>
      <c r="CU373" s="68"/>
      <c r="CV373" s="5"/>
      <c r="CW373" s="25"/>
      <c r="CX373" s="72"/>
      <c r="CY373" s="102"/>
      <c r="CZ373" s="5"/>
      <c r="DA373" s="47"/>
      <c r="DB373" s="46"/>
      <c r="DC373" s="5"/>
      <c r="DD373" s="5"/>
      <c r="DE373" s="5"/>
      <c r="DF373" s="5"/>
      <c r="DG373" s="5"/>
      <c r="DH373" s="203"/>
      <c r="DI373" s="203"/>
      <c r="DJ373" s="46"/>
      <c r="DK373" s="5"/>
      <c r="EB373" s="18"/>
      <c r="EC373" s="77"/>
      <c r="ED373" s="77"/>
      <c r="EE373" s="18"/>
      <c r="EF373" s="18"/>
      <c r="EG373" s="18"/>
      <c r="EH373" s="5"/>
      <c r="EI373" s="5"/>
      <c r="EJ373" s="5"/>
      <c r="EK373" s="5"/>
      <c r="EL373" s="5"/>
      <c r="FE373" s="26"/>
      <c r="FF373" s="26"/>
      <c r="FG373" s="26"/>
      <c r="FH373" s="26"/>
      <c r="FI373" s="26"/>
      <c r="FJ373" s="26"/>
      <c r="FK373" s="26"/>
      <c r="FL373" s="26"/>
      <c r="FM373" s="26"/>
      <c r="FN373" s="205"/>
      <c r="FO373" s="205"/>
      <c r="FP373" s="205"/>
      <c r="FQ373" s="205"/>
      <c r="FR373" s="205"/>
      <c r="FS373" s="205"/>
      <c r="FT373" s="205"/>
      <c r="FU373" s="77"/>
      <c r="FV373" s="77"/>
      <c r="FW373" s="77"/>
      <c r="FX373" s="205"/>
      <c r="FY373" s="205"/>
      <c r="FZ373" s="205"/>
      <c r="GA373" s="205"/>
      <c r="GB373" s="205"/>
      <c r="GC373" s="205"/>
      <c r="GD373" s="205"/>
      <c r="GE373" s="205"/>
      <c r="GF373" s="205"/>
      <c r="GG373" s="205"/>
      <c r="GH373" s="205"/>
      <c r="GI373" s="205"/>
      <c r="GJ373" s="205"/>
      <c r="GK373" s="205"/>
      <c r="GL373" s="205"/>
      <c r="GM373" s="205"/>
      <c r="GN373" s="205"/>
      <c r="GO373" s="205"/>
      <c r="GP373" s="205"/>
      <c r="GQ373" s="205"/>
      <c r="GR373" s="205"/>
      <c r="GS373" s="205"/>
      <c r="GT373" s="205"/>
      <c r="GU373" s="205"/>
      <c r="GV373" s="18"/>
      <c r="GW373" s="5"/>
      <c r="GX373" s="5"/>
      <c r="GY373" s="77"/>
      <c r="GZ373" s="18"/>
      <c r="HA373" s="18"/>
      <c r="HB373" s="18"/>
      <c r="HC373" s="18"/>
      <c r="HD373" s="18"/>
      <c r="HE373" s="18"/>
      <c r="HF373" s="18"/>
      <c r="HG373" s="18"/>
      <c r="HH373" s="18"/>
      <c r="HI373" s="18"/>
      <c r="HJ373" s="18"/>
      <c r="HK373" s="18"/>
    </row>
    <row r="374" spans="40:219">
      <c r="AN374" s="26"/>
      <c r="AO374" s="26"/>
      <c r="AP374" s="15"/>
      <c r="AQ374" s="5"/>
      <c r="AR374" s="26"/>
      <c r="AS374" s="26"/>
      <c r="AT374" s="26"/>
      <c r="AU374" s="26"/>
      <c r="AV374" s="95"/>
      <c r="AW374" s="95"/>
      <c r="AX374" s="95"/>
      <c r="AY374" s="54"/>
      <c r="AZ374" s="54"/>
      <c r="BA374" s="15"/>
      <c r="BB374" s="54"/>
      <c r="BC374" s="54"/>
      <c r="BD374" s="22"/>
      <c r="BE374" s="23"/>
      <c r="BL374" s="92"/>
      <c r="BN374" s="5"/>
      <c r="BO374" s="54"/>
      <c r="BP374" s="5"/>
      <c r="BQ374" s="5"/>
      <c r="BR374" s="24"/>
      <c r="BS374" s="25"/>
      <c r="BT374" s="25"/>
      <c r="BU374" s="25"/>
      <c r="BV374" s="25"/>
      <c r="BW374" s="25"/>
      <c r="BX374" s="25"/>
      <c r="BY374" s="25"/>
      <c r="BZ374" s="25"/>
      <c r="CA374" s="25"/>
      <c r="CB374" s="25"/>
      <c r="CC374" s="5"/>
      <c r="CD374" s="5"/>
      <c r="CE374" s="5"/>
      <c r="CF374" s="5"/>
      <c r="CG374" s="5"/>
      <c r="CH374" s="5"/>
      <c r="CI374" s="68"/>
      <c r="CJ374" s="5"/>
      <c r="CK374" s="5"/>
      <c r="CL374" s="102"/>
      <c r="CM374" s="5"/>
      <c r="CN374" s="5"/>
      <c r="CO374" s="5"/>
      <c r="CP374" s="25"/>
      <c r="CQ374" s="68"/>
      <c r="CR374" s="68"/>
      <c r="CS374" s="5"/>
      <c r="CT374" s="5"/>
      <c r="CU374" s="68"/>
      <c r="CV374" s="5"/>
      <c r="CW374" s="25"/>
      <c r="CX374" s="72"/>
      <c r="CY374" s="102"/>
      <c r="CZ374" s="5"/>
      <c r="DA374" s="47"/>
      <c r="DB374" s="46"/>
      <c r="DC374" s="5"/>
      <c r="DD374" s="5"/>
      <c r="DE374" s="5"/>
      <c r="DF374" s="5"/>
      <c r="DG374" s="5"/>
      <c r="DH374" s="203"/>
      <c r="DI374" s="203"/>
      <c r="DJ374" s="46"/>
      <c r="DK374" s="5"/>
      <c r="EB374" s="18"/>
      <c r="EC374" s="77"/>
      <c r="ED374" s="77"/>
      <c r="EE374" s="18"/>
      <c r="EF374" s="18"/>
      <c r="EG374" s="18"/>
      <c r="EH374" s="5"/>
      <c r="EI374" s="5"/>
      <c r="EJ374" s="5"/>
      <c r="EK374" s="5"/>
      <c r="EL374" s="5"/>
      <c r="FE374" s="26"/>
      <c r="FF374" s="26"/>
      <c r="FG374" s="26"/>
      <c r="FH374" s="26"/>
      <c r="FI374" s="26"/>
      <c r="FJ374" s="26"/>
      <c r="FK374" s="26"/>
      <c r="FL374" s="26"/>
      <c r="FM374" s="26"/>
      <c r="FN374" s="205"/>
      <c r="FO374" s="205"/>
      <c r="FP374" s="205"/>
      <c r="FQ374" s="205"/>
      <c r="FR374" s="205"/>
      <c r="FS374" s="205"/>
      <c r="FT374" s="205"/>
      <c r="FU374" s="77"/>
      <c r="FV374" s="77"/>
      <c r="FW374" s="77"/>
      <c r="FX374" s="205"/>
      <c r="FY374" s="205"/>
      <c r="FZ374" s="205"/>
      <c r="GA374" s="205"/>
      <c r="GB374" s="205"/>
      <c r="GC374" s="205"/>
      <c r="GD374" s="205"/>
      <c r="GE374" s="205"/>
      <c r="GF374" s="205"/>
      <c r="GG374" s="205"/>
      <c r="GH374" s="205"/>
      <c r="GI374" s="205"/>
      <c r="GJ374" s="205"/>
      <c r="GK374" s="205"/>
      <c r="GL374" s="205"/>
      <c r="GM374" s="205"/>
      <c r="GN374" s="205"/>
      <c r="GO374" s="205"/>
      <c r="GP374" s="205"/>
      <c r="GQ374" s="205"/>
      <c r="GR374" s="205"/>
      <c r="GS374" s="205"/>
      <c r="GT374" s="205"/>
      <c r="GU374" s="205"/>
      <c r="GV374" s="18"/>
      <c r="GW374" s="5"/>
      <c r="GX374" s="5"/>
      <c r="GY374" s="77"/>
      <c r="GZ374" s="18"/>
      <c r="HA374" s="18"/>
      <c r="HB374" s="18"/>
      <c r="HC374" s="18"/>
      <c r="HD374" s="18"/>
      <c r="HE374" s="18"/>
      <c r="HF374" s="18"/>
      <c r="HG374" s="18"/>
      <c r="HH374" s="18"/>
      <c r="HI374" s="18"/>
      <c r="HJ374" s="18"/>
      <c r="HK374" s="18"/>
    </row>
    <row r="375" spans="40:219">
      <c r="AN375" s="26"/>
      <c r="AO375" s="26"/>
      <c r="AP375" s="15"/>
      <c r="AQ375" s="5"/>
      <c r="AR375" s="26"/>
      <c r="AS375" s="26"/>
      <c r="AT375" s="26"/>
      <c r="AU375" s="26"/>
      <c r="AV375" s="95"/>
      <c r="AW375" s="95"/>
      <c r="AX375" s="95"/>
      <c r="AY375" s="54"/>
      <c r="AZ375" s="54"/>
      <c r="BA375" s="15"/>
      <c r="BB375" s="54"/>
      <c r="BC375" s="54"/>
      <c r="BD375" s="22"/>
      <c r="BE375" s="23"/>
      <c r="BL375" s="92"/>
      <c r="BN375" s="5"/>
      <c r="BO375" s="54"/>
      <c r="BP375" s="5"/>
      <c r="BQ375" s="5"/>
      <c r="BR375" s="24"/>
      <c r="BS375" s="25"/>
      <c r="BT375" s="25"/>
      <c r="BU375" s="25"/>
      <c r="BV375" s="25"/>
      <c r="BW375" s="25"/>
      <c r="BX375" s="25"/>
      <c r="BY375" s="25"/>
      <c r="BZ375" s="25"/>
      <c r="CA375" s="25"/>
      <c r="CB375" s="25"/>
      <c r="CC375" s="5"/>
      <c r="CD375" s="5"/>
      <c r="CE375" s="5"/>
      <c r="CF375" s="5"/>
      <c r="CG375" s="5"/>
      <c r="CH375" s="5"/>
      <c r="CI375" s="68"/>
      <c r="CJ375" s="5"/>
      <c r="CK375" s="5"/>
      <c r="CL375" s="102"/>
      <c r="CM375" s="5"/>
      <c r="CN375" s="5"/>
      <c r="CO375" s="5"/>
      <c r="CP375" s="25"/>
      <c r="CQ375" s="68"/>
      <c r="CR375" s="68"/>
      <c r="CS375" s="5"/>
      <c r="CT375" s="5"/>
      <c r="CU375" s="68"/>
      <c r="CV375" s="5"/>
      <c r="CW375" s="25"/>
      <c r="CX375" s="72"/>
      <c r="CY375" s="102"/>
      <c r="CZ375" s="5"/>
      <c r="DA375" s="47"/>
      <c r="DB375" s="46"/>
      <c r="DC375" s="5"/>
      <c r="DD375" s="5"/>
      <c r="DE375" s="5"/>
      <c r="DF375" s="5"/>
      <c r="DG375" s="5"/>
      <c r="DH375" s="203"/>
      <c r="DI375" s="203"/>
      <c r="DJ375" s="46"/>
      <c r="DK375" s="5"/>
      <c r="EB375" s="18"/>
      <c r="EC375" s="77"/>
      <c r="ED375" s="77"/>
      <c r="EE375" s="18"/>
      <c r="EF375" s="18"/>
      <c r="EG375" s="18"/>
      <c r="EH375" s="5"/>
      <c r="EI375" s="5"/>
      <c r="EJ375" s="5"/>
      <c r="EK375" s="5"/>
      <c r="EL375" s="5"/>
      <c r="FE375" s="26"/>
      <c r="FF375" s="26"/>
      <c r="FG375" s="26"/>
      <c r="FH375" s="26"/>
      <c r="FI375" s="26"/>
      <c r="FJ375" s="26"/>
      <c r="FK375" s="26"/>
      <c r="FL375" s="26"/>
      <c r="FM375" s="26"/>
      <c r="FN375" s="205"/>
      <c r="FO375" s="205"/>
      <c r="FP375" s="205"/>
      <c r="FQ375" s="205"/>
      <c r="FR375" s="205"/>
      <c r="FS375" s="205"/>
      <c r="FT375" s="205"/>
      <c r="FU375" s="77"/>
      <c r="FV375" s="77"/>
      <c r="FW375" s="77"/>
      <c r="FX375" s="205"/>
      <c r="FY375" s="205"/>
      <c r="FZ375" s="205"/>
      <c r="GA375" s="205"/>
      <c r="GB375" s="205"/>
      <c r="GC375" s="205"/>
      <c r="GD375" s="205"/>
      <c r="GE375" s="205"/>
      <c r="GF375" s="205"/>
      <c r="GG375" s="205"/>
      <c r="GH375" s="205"/>
      <c r="GI375" s="205"/>
      <c r="GJ375" s="205"/>
      <c r="GK375" s="205"/>
      <c r="GL375" s="205"/>
      <c r="GM375" s="205"/>
      <c r="GN375" s="205"/>
      <c r="GO375" s="205"/>
      <c r="GP375" s="205"/>
      <c r="GQ375" s="205"/>
      <c r="GR375" s="205"/>
      <c r="GS375" s="205"/>
      <c r="GT375" s="205"/>
      <c r="GU375" s="205"/>
      <c r="GV375" s="18"/>
      <c r="GW375" s="5"/>
      <c r="GX375" s="5"/>
      <c r="GY375" s="77"/>
      <c r="GZ375" s="18"/>
      <c r="HA375" s="18"/>
      <c r="HB375" s="18"/>
      <c r="HC375" s="18"/>
      <c r="HD375" s="18"/>
      <c r="HE375" s="18"/>
      <c r="HF375" s="18"/>
      <c r="HG375" s="18"/>
      <c r="HH375" s="18"/>
      <c r="HI375" s="18"/>
      <c r="HJ375" s="18"/>
      <c r="HK375" s="18"/>
    </row>
    <row r="376" spans="40:219">
      <c r="AN376" s="26"/>
      <c r="AO376" s="26"/>
      <c r="AP376" s="15"/>
      <c r="AQ376" s="5"/>
      <c r="AR376" s="26"/>
      <c r="AS376" s="26"/>
      <c r="AT376" s="26"/>
      <c r="AU376" s="26"/>
      <c r="AV376" s="95"/>
      <c r="AW376" s="95"/>
      <c r="AX376" s="95"/>
      <c r="AY376" s="54"/>
      <c r="AZ376" s="54"/>
      <c r="BA376" s="15"/>
      <c r="BB376" s="54"/>
      <c r="BC376" s="54"/>
      <c r="BD376" s="22"/>
      <c r="BE376" s="23"/>
      <c r="BL376" s="92"/>
      <c r="BN376" s="5"/>
      <c r="BO376" s="54"/>
      <c r="BP376" s="5"/>
      <c r="BQ376" s="5"/>
      <c r="BR376" s="24"/>
      <c r="BS376" s="25"/>
      <c r="BT376" s="25"/>
      <c r="BU376" s="25"/>
      <c r="BV376" s="25"/>
      <c r="BW376" s="25"/>
      <c r="BX376" s="25"/>
      <c r="BY376" s="25"/>
      <c r="BZ376" s="25"/>
      <c r="CA376" s="25"/>
      <c r="CB376" s="25"/>
      <c r="CC376" s="5"/>
      <c r="CD376" s="5"/>
      <c r="CE376" s="5"/>
      <c r="CF376" s="5"/>
      <c r="CG376" s="5"/>
      <c r="CH376" s="5"/>
      <c r="CI376" s="68"/>
      <c r="CJ376" s="5"/>
      <c r="CK376" s="5"/>
      <c r="CL376" s="102"/>
      <c r="CM376" s="5"/>
      <c r="CN376" s="5"/>
      <c r="CO376" s="5"/>
      <c r="CP376" s="25"/>
      <c r="CQ376" s="68"/>
      <c r="CR376" s="68"/>
      <c r="CS376" s="5"/>
      <c r="CT376" s="5"/>
      <c r="CU376" s="68"/>
      <c r="CV376" s="5"/>
      <c r="CW376" s="25"/>
      <c r="CX376" s="72"/>
      <c r="CY376" s="102"/>
      <c r="CZ376" s="5"/>
      <c r="DA376" s="47"/>
      <c r="DB376" s="46"/>
      <c r="DC376" s="5"/>
      <c r="DD376" s="5"/>
      <c r="DE376" s="5"/>
      <c r="DF376" s="5"/>
      <c r="DG376" s="5"/>
      <c r="DH376" s="203"/>
      <c r="DI376" s="203"/>
      <c r="DJ376" s="46"/>
      <c r="DK376" s="5"/>
      <c r="EB376" s="18"/>
      <c r="EC376" s="77"/>
      <c r="ED376" s="77"/>
      <c r="EE376" s="18"/>
      <c r="EF376" s="18"/>
      <c r="EG376" s="18"/>
      <c r="EH376" s="5"/>
      <c r="EI376" s="5"/>
      <c r="EJ376" s="5"/>
      <c r="EK376" s="5"/>
      <c r="EL376" s="5"/>
      <c r="FE376" s="26"/>
      <c r="FF376" s="26"/>
      <c r="FG376" s="26"/>
      <c r="FH376" s="26"/>
      <c r="FI376" s="26"/>
      <c r="FJ376" s="26"/>
      <c r="FK376" s="26"/>
      <c r="FL376" s="26"/>
      <c r="FM376" s="26"/>
      <c r="FN376" s="205"/>
      <c r="FO376" s="205"/>
      <c r="FP376" s="205"/>
      <c r="FQ376" s="205"/>
      <c r="FR376" s="205"/>
      <c r="FS376" s="205"/>
      <c r="FT376" s="205"/>
      <c r="FU376" s="77"/>
      <c r="FV376" s="77"/>
      <c r="FW376" s="77"/>
      <c r="FX376" s="205"/>
      <c r="FY376" s="205"/>
      <c r="FZ376" s="205"/>
      <c r="GA376" s="205"/>
      <c r="GB376" s="205"/>
      <c r="GC376" s="205"/>
      <c r="GD376" s="205"/>
      <c r="GE376" s="205"/>
      <c r="GF376" s="205"/>
      <c r="GG376" s="205"/>
      <c r="GH376" s="205"/>
      <c r="GI376" s="205"/>
      <c r="GJ376" s="205"/>
      <c r="GK376" s="205"/>
      <c r="GL376" s="205"/>
      <c r="GM376" s="205"/>
      <c r="GN376" s="205"/>
      <c r="GO376" s="205"/>
      <c r="GP376" s="205"/>
      <c r="GQ376" s="205"/>
      <c r="GR376" s="205"/>
      <c r="GS376" s="205"/>
      <c r="GT376" s="205"/>
      <c r="GU376" s="205"/>
      <c r="GV376" s="18"/>
      <c r="GW376" s="5"/>
      <c r="GX376" s="5"/>
      <c r="GY376" s="77"/>
      <c r="GZ376" s="18"/>
      <c r="HA376" s="18"/>
      <c r="HB376" s="18"/>
      <c r="HC376" s="18"/>
      <c r="HD376" s="18"/>
      <c r="HE376" s="18"/>
      <c r="HF376" s="18"/>
      <c r="HG376" s="18"/>
      <c r="HH376" s="18"/>
      <c r="HI376" s="18"/>
      <c r="HJ376" s="18"/>
      <c r="HK376" s="18"/>
    </row>
    <row r="377" spans="40:219">
      <c r="AN377" s="26"/>
      <c r="AO377" s="26"/>
      <c r="AP377" s="15"/>
      <c r="AQ377" s="5"/>
      <c r="AR377" s="26"/>
      <c r="AS377" s="26"/>
      <c r="AT377" s="26"/>
      <c r="AU377" s="26"/>
      <c r="AV377" s="95"/>
      <c r="AW377" s="95"/>
      <c r="AX377" s="95"/>
      <c r="AY377" s="54"/>
      <c r="AZ377" s="54"/>
      <c r="BA377" s="15"/>
      <c r="BB377" s="54"/>
      <c r="BC377" s="54"/>
      <c r="BD377" s="22"/>
      <c r="BE377" s="23"/>
      <c r="BL377" s="92"/>
      <c r="BN377" s="5"/>
      <c r="BO377" s="54"/>
      <c r="BP377" s="5"/>
      <c r="BQ377" s="5"/>
      <c r="BR377" s="24"/>
      <c r="BS377" s="25"/>
      <c r="BT377" s="25"/>
      <c r="BU377" s="25"/>
      <c r="BV377" s="25"/>
      <c r="BW377" s="25"/>
      <c r="BX377" s="25"/>
      <c r="BY377" s="25"/>
      <c r="BZ377" s="25"/>
      <c r="CA377" s="25"/>
      <c r="CB377" s="25"/>
      <c r="CC377" s="5"/>
      <c r="CD377" s="5"/>
      <c r="CE377" s="5"/>
      <c r="CF377" s="5"/>
      <c r="CG377" s="5"/>
      <c r="CH377" s="5"/>
      <c r="CI377" s="68"/>
      <c r="CJ377" s="5"/>
      <c r="CK377" s="5"/>
      <c r="CL377" s="102"/>
      <c r="CM377" s="5"/>
      <c r="CN377" s="5"/>
      <c r="CO377" s="5"/>
      <c r="CP377" s="25"/>
      <c r="CQ377" s="68"/>
      <c r="CR377" s="68"/>
      <c r="CS377" s="5"/>
      <c r="CT377" s="5"/>
      <c r="CU377" s="68"/>
      <c r="CV377" s="5"/>
      <c r="CW377" s="25"/>
      <c r="CX377" s="72"/>
      <c r="CY377" s="102"/>
      <c r="CZ377" s="5"/>
      <c r="DA377" s="47"/>
      <c r="DB377" s="46"/>
      <c r="DC377" s="5"/>
      <c r="DD377" s="5"/>
      <c r="DE377" s="5"/>
      <c r="DF377" s="5"/>
      <c r="DG377" s="5"/>
      <c r="DH377" s="203"/>
      <c r="DI377" s="203"/>
      <c r="DJ377" s="46"/>
      <c r="DK377" s="5"/>
      <c r="EB377" s="18"/>
      <c r="EC377" s="77"/>
      <c r="ED377" s="77"/>
      <c r="EE377" s="18"/>
      <c r="EF377" s="18"/>
      <c r="EG377" s="18"/>
      <c r="EH377" s="5"/>
      <c r="EI377" s="5"/>
      <c r="EJ377" s="5"/>
      <c r="EK377" s="5"/>
      <c r="EL377" s="5"/>
      <c r="FE377" s="26"/>
      <c r="FF377" s="26"/>
      <c r="FG377" s="26"/>
      <c r="FH377" s="26"/>
      <c r="FI377" s="26"/>
      <c r="FJ377" s="26"/>
      <c r="FK377" s="26"/>
      <c r="FL377" s="26"/>
      <c r="FM377" s="26"/>
      <c r="FN377" s="205"/>
      <c r="FO377" s="205"/>
      <c r="FP377" s="205"/>
      <c r="FQ377" s="205"/>
      <c r="FR377" s="205"/>
      <c r="FS377" s="205"/>
      <c r="FT377" s="205"/>
      <c r="FU377" s="77"/>
      <c r="FV377" s="77"/>
      <c r="FW377" s="77"/>
      <c r="FX377" s="205"/>
      <c r="FY377" s="205"/>
      <c r="FZ377" s="205"/>
      <c r="GA377" s="205"/>
      <c r="GB377" s="205"/>
      <c r="GC377" s="205"/>
      <c r="GD377" s="205"/>
      <c r="GE377" s="205"/>
      <c r="GF377" s="205"/>
      <c r="GG377" s="205"/>
      <c r="GH377" s="205"/>
      <c r="GI377" s="205"/>
      <c r="GJ377" s="205"/>
      <c r="GK377" s="205"/>
      <c r="GL377" s="205"/>
      <c r="GM377" s="205"/>
      <c r="GN377" s="205"/>
      <c r="GO377" s="205"/>
      <c r="GP377" s="205"/>
      <c r="GQ377" s="205"/>
      <c r="GR377" s="205"/>
      <c r="GS377" s="205"/>
      <c r="GT377" s="205"/>
      <c r="GU377" s="205"/>
      <c r="GV377" s="18"/>
      <c r="GW377" s="5"/>
      <c r="GX377" s="5"/>
      <c r="GY377" s="77"/>
      <c r="GZ377" s="18"/>
      <c r="HA377" s="18"/>
      <c r="HB377" s="18"/>
      <c r="HC377" s="18"/>
      <c r="HD377" s="18"/>
      <c r="HE377" s="18"/>
      <c r="HF377" s="18"/>
      <c r="HG377" s="18"/>
      <c r="HH377" s="18"/>
      <c r="HI377" s="18"/>
      <c r="HJ377" s="18"/>
      <c r="HK377" s="18"/>
    </row>
    <row r="378" spans="40:219">
      <c r="AN378" s="26"/>
      <c r="AO378" s="26"/>
      <c r="AP378" s="15"/>
      <c r="AQ378" s="5"/>
      <c r="AR378" s="26"/>
      <c r="AS378" s="26"/>
      <c r="AT378" s="26"/>
      <c r="AU378" s="26"/>
      <c r="AV378" s="95"/>
      <c r="AW378" s="95"/>
      <c r="AX378" s="95"/>
      <c r="AY378" s="54"/>
      <c r="AZ378" s="54"/>
      <c r="BA378" s="15"/>
      <c r="BB378" s="54"/>
      <c r="BC378" s="54"/>
      <c r="BD378" s="22"/>
      <c r="BE378" s="23"/>
      <c r="BL378" s="92"/>
      <c r="BN378" s="5"/>
      <c r="BO378" s="54"/>
      <c r="BP378" s="5"/>
      <c r="BQ378" s="5"/>
      <c r="BR378" s="24"/>
      <c r="BS378" s="25"/>
      <c r="BT378" s="25"/>
      <c r="BU378" s="25"/>
      <c r="BV378" s="25"/>
      <c r="BW378" s="25"/>
      <c r="BX378" s="25"/>
      <c r="BY378" s="25"/>
      <c r="BZ378" s="25"/>
      <c r="CA378" s="25"/>
      <c r="CB378" s="25"/>
      <c r="CC378" s="5"/>
      <c r="CD378" s="5"/>
      <c r="CE378" s="5"/>
      <c r="CF378" s="5"/>
      <c r="CG378" s="5"/>
      <c r="CH378" s="5"/>
      <c r="CI378" s="68"/>
      <c r="CJ378" s="5"/>
      <c r="CK378" s="5"/>
      <c r="CL378" s="102"/>
      <c r="CM378" s="5"/>
      <c r="CN378" s="5"/>
      <c r="CO378" s="5"/>
      <c r="CP378" s="25"/>
      <c r="CQ378" s="68"/>
      <c r="CR378" s="68"/>
      <c r="CS378" s="5"/>
      <c r="CT378" s="5"/>
      <c r="CU378" s="68"/>
      <c r="CV378" s="5"/>
      <c r="CW378" s="25"/>
      <c r="CX378" s="72"/>
      <c r="CY378" s="102"/>
      <c r="CZ378" s="5"/>
      <c r="DA378" s="47"/>
      <c r="DB378" s="46"/>
      <c r="DC378" s="5"/>
      <c r="DD378" s="5"/>
      <c r="DE378" s="5"/>
      <c r="DF378" s="5"/>
      <c r="DG378" s="5"/>
      <c r="DH378" s="203"/>
      <c r="DI378" s="203"/>
      <c r="DJ378" s="46"/>
      <c r="DK378" s="5"/>
      <c r="EB378" s="18"/>
      <c r="EC378" s="77"/>
      <c r="ED378" s="77"/>
      <c r="EE378" s="18"/>
      <c r="EF378" s="18"/>
      <c r="EG378" s="18"/>
      <c r="EH378" s="5"/>
      <c r="EI378" s="5"/>
      <c r="EJ378" s="5"/>
      <c r="EK378" s="5"/>
      <c r="EL378" s="5"/>
      <c r="FE378" s="26"/>
      <c r="FF378" s="26"/>
      <c r="FG378" s="26"/>
      <c r="FH378" s="26"/>
      <c r="FI378" s="26"/>
      <c r="FJ378" s="26"/>
      <c r="FK378" s="26"/>
      <c r="FL378" s="26"/>
      <c r="FM378" s="26"/>
      <c r="FN378" s="205"/>
      <c r="FO378" s="205"/>
      <c r="FP378" s="205"/>
      <c r="FQ378" s="205"/>
      <c r="FR378" s="205"/>
      <c r="FS378" s="205"/>
      <c r="FT378" s="205"/>
      <c r="FU378" s="77"/>
      <c r="FV378" s="77"/>
      <c r="FW378" s="77"/>
      <c r="FX378" s="205"/>
      <c r="FY378" s="205"/>
      <c r="FZ378" s="205"/>
      <c r="GA378" s="205"/>
      <c r="GB378" s="205"/>
      <c r="GC378" s="205"/>
      <c r="GD378" s="205"/>
      <c r="GE378" s="205"/>
      <c r="GF378" s="205"/>
      <c r="GG378" s="205"/>
      <c r="GH378" s="205"/>
      <c r="GI378" s="205"/>
      <c r="GJ378" s="205"/>
      <c r="GK378" s="205"/>
      <c r="GL378" s="205"/>
      <c r="GM378" s="205"/>
      <c r="GN378" s="205"/>
      <c r="GO378" s="205"/>
      <c r="GP378" s="205"/>
      <c r="GQ378" s="205"/>
      <c r="GR378" s="205"/>
      <c r="GS378" s="205"/>
      <c r="GT378" s="205"/>
      <c r="GU378" s="205"/>
      <c r="GV378" s="18"/>
      <c r="GW378" s="5"/>
      <c r="GX378" s="5"/>
      <c r="GY378" s="77"/>
      <c r="GZ378" s="18"/>
      <c r="HA378" s="18"/>
      <c r="HB378" s="18"/>
      <c r="HC378" s="18"/>
      <c r="HD378" s="18"/>
      <c r="HE378" s="18"/>
      <c r="HF378" s="18"/>
      <c r="HG378" s="18"/>
      <c r="HH378" s="18"/>
      <c r="HI378" s="18"/>
      <c r="HJ378" s="18"/>
      <c r="HK378" s="18"/>
    </row>
    <row r="379" spans="40:219">
      <c r="AN379" s="26"/>
      <c r="AO379" s="26"/>
      <c r="AP379" s="15"/>
      <c r="AQ379" s="5"/>
      <c r="AR379" s="26"/>
      <c r="AS379" s="26"/>
      <c r="AT379" s="26"/>
      <c r="AU379" s="26"/>
      <c r="AV379" s="95"/>
      <c r="AW379" s="95"/>
      <c r="AX379" s="95"/>
      <c r="AY379" s="54"/>
      <c r="AZ379" s="54"/>
      <c r="BA379" s="15"/>
      <c r="BB379" s="54"/>
      <c r="BC379" s="54"/>
      <c r="BD379" s="22"/>
      <c r="BE379" s="23"/>
      <c r="BL379" s="92"/>
      <c r="BN379" s="5"/>
      <c r="BO379" s="54"/>
      <c r="BP379" s="5"/>
      <c r="BQ379" s="5"/>
      <c r="BR379" s="24"/>
      <c r="BS379" s="25"/>
      <c r="BT379" s="25"/>
      <c r="BU379" s="25"/>
      <c r="BV379" s="25"/>
      <c r="BW379" s="25"/>
      <c r="BX379" s="25"/>
      <c r="BY379" s="25"/>
      <c r="BZ379" s="25"/>
      <c r="CA379" s="25"/>
      <c r="CB379" s="25"/>
      <c r="CC379" s="5"/>
      <c r="CD379" s="5"/>
      <c r="CE379" s="5"/>
      <c r="CF379" s="5"/>
      <c r="CG379" s="5"/>
      <c r="CH379" s="5"/>
      <c r="CI379" s="68"/>
      <c r="CJ379" s="5"/>
      <c r="CK379" s="5"/>
      <c r="CL379" s="102"/>
      <c r="CM379" s="5"/>
      <c r="CN379" s="5"/>
      <c r="CO379" s="5"/>
      <c r="CP379" s="25"/>
      <c r="CQ379" s="68"/>
      <c r="CR379" s="68"/>
      <c r="CS379" s="5"/>
      <c r="CT379" s="5"/>
      <c r="CU379" s="68"/>
      <c r="CV379" s="5"/>
      <c r="CW379" s="25"/>
      <c r="CX379" s="72"/>
      <c r="CY379" s="102"/>
      <c r="CZ379" s="5"/>
      <c r="DA379" s="47"/>
      <c r="DB379" s="46"/>
      <c r="DC379" s="5"/>
      <c r="DD379" s="5"/>
      <c r="DE379" s="5"/>
      <c r="DF379" s="5"/>
      <c r="DG379" s="5"/>
      <c r="DH379" s="203"/>
      <c r="DI379" s="203"/>
      <c r="DJ379" s="46"/>
      <c r="DK379" s="5"/>
      <c r="EB379" s="18"/>
      <c r="EC379" s="77"/>
      <c r="ED379" s="77"/>
      <c r="EE379" s="18"/>
      <c r="EF379" s="18"/>
      <c r="EG379" s="18"/>
      <c r="EH379" s="5"/>
      <c r="EI379" s="5"/>
      <c r="EJ379" s="5"/>
      <c r="EK379" s="5"/>
      <c r="EL379" s="5"/>
      <c r="FE379" s="26"/>
      <c r="FF379" s="26"/>
      <c r="FG379" s="26"/>
      <c r="FH379" s="26"/>
      <c r="FI379" s="26"/>
      <c r="FJ379" s="26"/>
      <c r="FK379" s="26"/>
      <c r="FL379" s="26"/>
      <c r="FM379" s="26"/>
      <c r="FN379" s="205"/>
      <c r="FO379" s="205"/>
      <c r="FP379" s="205"/>
      <c r="FQ379" s="205"/>
      <c r="FR379" s="205"/>
      <c r="FS379" s="205"/>
      <c r="FT379" s="205"/>
      <c r="FU379" s="77"/>
      <c r="FV379" s="77"/>
      <c r="FW379" s="77"/>
      <c r="FX379" s="205"/>
      <c r="FY379" s="205"/>
      <c r="FZ379" s="205"/>
      <c r="GA379" s="205"/>
      <c r="GB379" s="205"/>
      <c r="GC379" s="205"/>
      <c r="GD379" s="205"/>
      <c r="GE379" s="205"/>
      <c r="GF379" s="205"/>
      <c r="GG379" s="205"/>
      <c r="GH379" s="205"/>
      <c r="GI379" s="205"/>
      <c r="GJ379" s="205"/>
      <c r="GK379" s="205"/>
      <c r="GL379" s="205"/>
      <c r="GM379" s="205"/>
      <c r="GN379" s="205"/>
      <c r="GO379" s="205"/>
      <c r="GP379" s="205"/>
      <c r="GQ379" s="205"/>
      <c r="GR379" s="205"/>
      <c r="GS379" s="205"/>
      <c r="GT379" s="205"/>
      <c r="GU379" s="205"/>
      <c r="GV379" s="18"/>
      <c r="GW379" s="5"/>
      <c r="GX379" s="5"/>
      <c r="GY379" s="77"/>
      <c r="GZ379" s="18"/>
      <c r="HA379" s="18"/>
      <c r="HB379" s="18"/>
      <c r="HC379" s="18"/>
      <c r="HD379" s="18"/>
      <c r="HE379" s="18"/>
      <c r="HF379" s="18"/>
      <c r="HG379" s="18"/>
      <c r="HH379" s="18"/>
      <c r="HI379" s="18"/>
      <c r="HJ379" s="18"/>
      <c r="HK379" s="18"/>
    </row>
    <row r="380" spans="40:219">
      <c r="AN380" s="26"/>
      <c r="AO380" s="26"/>
      <c r="AP380" s="15"/>
      <c r="AQ380" s="5"/>
      <c r="AR380" s="26"/>
      <c r="AS380" s="26"/>
      <c r="AT380" s="26"/>
      <c r="AU380" s="26"/>
      <c r="AV380" s="95"/>
      <c r="AW380" s="95"/>
      <c r="AX380" s="95"/>
      <c r="AY380" s="54"/>
      <c r="AZ380" s="54"/>
      <c r="BA380" s="15"/>
      <c r="BB380" s="54"/>
      <c r="BC380" s="54"/>
      <c r="BD380" s="22"/>
      <c r="BE380" s="23"/>
      <c r="BL380" s="92"/>
      <c r="BN380" s="5"/>
      <c r="BO380" s="54"/>
      <c r="BP380" s="5"/>
      <c r="BQ380" s="5"/>
      <c r="BR380" s="24"/>
      <c r="BS380" s="25"/>
      <c r="BT380" s="25"/>
      <c r="BU380" s="25"/>
      <c r="BV380" s="25"/>
      <c r="BW380" s="25"/>
      <c r="BX380" s="25"/>
      <c r="BY380" s="25"/>
      <c r="BZ380" s="25"/>
      <c r="CA380" s="25"/>
      <c r="CB380" s="25"/>
      <c r="CC380" s="5"/>
      <c r="CD380" s="5"/>
      <c r="CE380" s="5"/>
      <c r="CF380" s="5"/>
      <c r="CG380" s="5"/>
      <c r="CH380" s="5"/>
      <c r="CI380" s="68"/>
      <c r="CJ380" s="5"/>
      <c r="CK380" s="5"/>
      <c r="CL380" s="102"/>
      <c r="CM380" s="5"/>
      <c r="CN380" s="5"/>
      <c r="CO380" s="5"/>
      <c r="CP380" s="25"/>
      <c r="CQ380" s="68"/>
      <c r="CR380" s="68"/>
      <c r="CS380" s="5"/>
      <c r="CT380" s="5"/>
      <c r="CU380" s="68"/>
      <c r="CV380" s="5"/>
      <c r="CW380" s="25"/>
      <c r="CX380" s="72"/>
      <c r="CY380" s="102"/>
      <c r="CZ380" s="5"/>
      <c r="DA380" s="47"/>
      <c r="DB380" s="46"/>
      <c r="DC380" s="5"/>
      <c r="DD380" s="5"/>
      <c r="DE380" s="5"/>
      <c r="DF380" s="5"/>
      <c r="DG380" s="5"/>
      <c r="DH380" s="203"/>
      <c r="DI380" s="203"/>
      <c r="DJ380" s="46"/>
      <c r="DK380" s="5"/>
      <c r="EB380" s="18"/>
      <c r="EC380" s="77"/>
      <c r="ED380" s="77"/>
      <c r="EE380" s="18"/>
      <c r="EF380" s="18"/>
      <c r="EG380" s="18"/>
      <c r="EH380" s="5"/>
      <c r="EI380" s="5"/>
      <c r="EJ380" s="5"/>
      <c r="EK380" s="5"/>
      <c r="EL380" s="5"/>
      <c r="FE380" s="26"/>
      <c r="FF380" s="26"/>
      <c r="FG380" s="26"/>
      <c r="FH380" s="26"/>
      <c r="FI380" s="26"/>
      <c r="FJ380" s="26"/>
      <c r="FK380" s="26"/>
      <c r="FL380" s="26"/>
      <c r="FM380" s="26"/>
      <c r="FN380" s="205"/>
      <c r="FO380" s="205"/>
      <c r="FP380" s="205"/>
      <c r="FQ380" s="205"/>
      <c r="FR380" s="205"/>
      <c r="FS380" s="205"/>
      <c r="FT380" s="205"/>
      <c r="FU380" s="77"/>
      <c r="FV380" s="77"/>
      <c r="FW380" s="77"/>
      <c r="FX380" s="205"/>
      <c r="FY380" s="205"/>
      <c r="FZ380" s="205"/>
      <c r="GA380" s="205"/>
      <c r="GB380" s="205"/>
      <c r="GC380" s="205"/>
      <c r="GD380" s="205"/>
      <c r="GE380" s="205"/>
      <c r="GF380" s="205"/>
      <c r="GG380" s="205"/>
      <c r="GH380" s="205"/>
      <c r="GI380" s="205"/>
      <c r="GJ380" s="205"/>
      <c r="GK380" s="205"/>
      <c r="GL380" s="205"/>
      <c r="GM380" s="205"/>
      <c r="GN380" s="205"/>
      <c r="GO380" s="205"/>
      <c r="GP380" s="205"/>
      <c r="GQ380" s="205"/>
      <c r="GR380" s="205"/>
      <c r="GS380" s="205"/>
      <c r="GT380" s="205"/>
      <c r="GU380" s="205"/>
      <c r="GV380" s="18"/>
      <c r="GW380" s="5"/>
      <c r="GX380" s="5"/>
      <c r="GY380" s="77"/>
      <c r="GZ380" s="18"/>
      <c r="HA380" s="18"/>
      <c r="HB380" s="18"/>
      <c r="HC380" s="18"/>
      <c r="HD380" s="18"/>
      <c r="HE380" s="18"/>
      <c r="HF380" s="18"/>
      <c r="HG380" s="18"/>
      <c r="HH380" s="18"/>
      <c r="HI380" s="18"/>
      <c r="HJ380" s="18"/>
      <c r="HK380" s="18"/>
    </row>
    <row r="381" spans="40:219">
      <c r="AN381" s="26"/>
      <c r="AO381" s="26"/>
      <c r="AP381" s="15"/>
      <c r="AQ381" s="5"/>
      <c r="AR381" s="26"/>
      <c r="AS381" s="26"/>
      <c r="AT381" s="26"/>
      <c r="AU381" s="26"/>
      <c r="AV381" s="95"/>
      <c r="AW381" s="95"/>
      <c r="AX381" s="95"/>
      <c r="AY381" s="54"/>
      <c r="AZ381" s="54"/>
      <c r="BA381" s="15"/>
      <c r="BB381" s="54"/>
      <c r="BC381" s="54"/>
      <c r="BD381" s="22"/>
      <c r="BE381" s="23"/>
      <c r="BL381" s="92"/>
      <c r="BN381" s="5"/>
      <c r="BO381" s="54"/>
      <c r="BP381" s="5"/>
      <c r="BQ381" s="5"/>
      <c r="BR381" s="24"/>
      <c r="BS381" s="25"/>
      <c r="BT381" s="25"/>
      <c r="BU381" s="25"/>
      <c r="BV381" s="25"/>
      <c r="BW381" s="25"/>
      <c r="BX381" s="25"/>
      <c r="BY381" s="25"/>
      <c r="BZ381" s="25"/>
      <c r="CA381" s="25"/>
      <c r="CB381" s="25"/>
      <c r="CC381" s="5"/>
      <c r="CD381" s="5"/>
      <c r="CE381" s="5"/>
      <c r="CF381" s="5"/>
      <c r="CG381" s="5"/>
      <c r="CH381" s="5"/>
      <c r="CI381" s="68"/>
      <c r="CJ381" s="5"/>
      <c r="CK381" s="5"/>
      <c r="CL381" s="102"/>
      <c r="CM381" s="5"/>
      <c r="CN381" s="5"/>
      <c r="CO381" s="5"/>
      <c r="CP381" s="25"/>
      <c r="CQ381" s="68"/>
      <c r="CR381" s="68"/>
      <c r="CS381" s="5"/>
      <c r="CT381" s="5"/>
      <c r="CU381" s="68"/>
      <c r="CV381" s="5"/>
      <c r="CW381" s="25"/>
      <c r="CX381" s="72"/>
      <c r="CY381" s="102"/>
      <c r="CZ381" s="5"/>
      <c r="DA381" s="47"/>
      <c r="DB381" s="46"/>
      <c r="DC381" s="5"/>
      <c r="DD381" s="5"/>
      <c r="DE381" s="5"/>
      <c r="DF381" s="5"/>
      <c r="DG381" s="5"/>
      <c r="DH381" s="203"/>
      <c r="DI381" s="203"/>
      <c r="DJ381" s="46"/>
      <c r="DK381" s="5"/>
      <c r="EB381" s="18"/>
      <c r="EC381" s="77"/>
      <c r="ED381" s="77"/>
      <c r="EE381" s="18"/>
      <c r="EF381" s="18"/>
      <c r="EG381" s="18"/>
      <c r="EH381" s="5"/>
      <c r="EI381" s="5"/>
      <c r="EJ381" s="5"/>
      <c r="EK381" s="5"/>
      <c r="EL381" s="5"/>
      <c r="FE381" s="26"/>
      <c r="FF381" s="26"/>
      <c r="FG381" s="26"/>
      <c r="FH381" s="26"/>
      <c r="FI381" s="26"/>
      <c r="FJ381" s="26"/>
      <c r="FK381" s="26"/>
      <c r="FL381" s="26"/>
      <c r="FM381" s="26"/>
      <c r="FN381" s="205"/>
      <c r="FO381" s="205"/>
      <c r="FP381" s="205"/>
      <c r="FQ381" s="205"/>
      <c r="FR381" s="205"/>
      <c r="FS381" s="205"/>
      <c r="FT381" s="205"/>
      <c r="FU381" s="77"/>
      <c r="FV381" s="77"/>
      <c r="FW381" s="77"/>
      <c r="FX381" s="205"/>
      <c r="FY381" s="205"/>
      <c r="FZ381" s="205"/>
      <c r="GA381" s="205"/>
      <c r="GB381" s="205"/>
      <c r="GC381" s="205"/>
      <c r="GD381" s="205"/>
      <c r="GE381" s="205"/>
      <c r="GF381" s="205"/>
      <c r="GG381" s="205"/>
      <c r="GH381" s="205"/>
      <c r="GI381" s="205"/>
      <c r="GJ381" s="205"/>
      <c r="GK381" s="205"/>
      <c r="GL381" s="205"/>
      <c r="GM381" s="205"/>
      <c r="GN381" s="205"/>
      <c r="GO381" s="205"/>
      <c r="GP381" s="205"/>
      <c r="GQ381" s="205"/>
      <c r="GR381" s="205"/>
      <c r="GS381" s="205"/>
      <c r="GT381" s="205"/>
      <c r="GU381" s="205"/>
      <c r="GV381" s="18"/>
      <c r="GW381" s="5"/>
      <c r="GX381" s="5"/>
      <c r="GY381" s="77"/>
      <c r="GZ381" s="18"/>
      <c r="HA381" s="18"/>
      <c r="HB381" s="18"/>
      <c r="HC381" s="18"/>
      <c r="HD381" s="18"/>
      <c r="HE381" s="18"/>
      <c r="HF381" s="18"/>
      <c r="HG381" s="18"/>
      <c r="HH381" s="18"/>
      <c r="HI381" s="18"/>
      <c r="HJ381" s="18"/>
      <c r="HK381" s="18"/>
    </row>
    <row r="382" spans="40:219">
      <c r="AN382" s="26"/>
      <c r="AO382" s="26"/>
      <c r="AP382" s="15"/>
      <c r="AQ382" s="5"/>
      <c r="AR382" s="26"/>
      <c r="AS382" s="26"/>
      <c r="AT382" s="26"/>
      <c r="AU382" s="26"/>
      <c r="AV382" s="95"/>
      <c r="AW382" s="95"/>
      <c r="AX382" s="95"/>
      <c r="AY382" s="54"/>
      <c r="AZ382" s="54"/>
      <c r="BA382" s="15"/>
      <c r="BB382" s="54"/>
      <c r="BC382" s="54"/>
      <c r="BD382" s="22"/>
      <c r="BE382" s="23"/>
      <c r="BL382" s="92"/>
      <c r="BN382" s="5"/>
      <c r="BO382" s="54"/>
      <c r="BP382" s="5"/>
      <c r="BQ382" s="5"/>
      <c r="BR382" s="24"/>
      <c r="BS382" s="25"/>
      <c r="BT382" s="25"/>
      <c r="BU382" s="25"/>
      <c r="BV382" s="25"/>
      <c r="BW382" s="25"/>
      <c r="BX382" s="25"/>
      <c r="BY382" s="25"/>
      <c r="BZ382" s="25"/>
      <c r="CA382" s="25"/>
      <c r="CB382" s="25"/>
      <c r="CC382" s="5"/>
      <c r="CD382" s="5"/>
      <c r="CE382" s="5"/>
      <c r="CF382" s="5"/>
      <c r="CG382" s="5"/>
      <c r="CH382" s="5"/>
      <c r="CI382" s="68"/>
      <c r="CJ382" s="5"/>
      <c r="CK382" s="5"/>
      <c r="CL382" s="102"/>
      <c r="CM382" s="5"/>
      <c r="CN382" s="5"/>
      <c r="CO382" s="5"/>
      <c r="CP382" s="25"/>
      <c r="CQ382" s="68"/>
      <c r="CR382" s="68"/>
      <c r="CS382" s="5"/>
      <c r="CT382" s="5"/>
      <c r="CU382" s="68"/>
      <c r="CV382" s="5"/>
      <c r="CW382" s="25"/>
      <c r="CX382" s="72"/>
      <c r="CY382" s="102"/>
      <c r="CZ382" s="5"/>
      <c r="DA382" s="47"/>
      <c r="DB382" s="46"/>
      <c r="DC382" s="5"/>
      <c r="DD382" s="5"/>
      <c r="DE382" s="5"/>
      <c r="DF382" s="5"/>
      <c r="DG382" s="5"/>
      <c r="DH382" s="203"/>
      <c r="DI382" s="203"/>
      <c r="DJ382" s="46"/>
      <c r="DK382" s="5"/>
      <c r="EB382" s="18"/>
      <c r="EC382" s="77"/>
      <c r="ED382" s="77"/>
      <c r="EE382" s="18"/>
      <c r="EF382" s="18"/>
      <c r="EG382" s="18"/>
      <c r="EH382" s="5"/>
      <c r="EI382" s="5"/>
      <c r="EJ382" s="5"/>
      <c r="EK382" s="5"/>
      <c r="EL382" s="5"/>
      <c r="FE382" s="26"/>
      <c r="FF382" s="26"/>
      <c r="FG382" s="26"/>
      <c r="FH382" s="26"/>
      <c r="FI382" s="26"/>
      <c r="FJ382" s="26"/>
      <c r="FK382" s="26"/>
      <c r="FL382" s="26"/>
      <c r="FM382" s="26"/>
      <c r="FN382" s="205"/>
      <c r="FO382" s="205"/>
      <c r="FP382" s="205"/>
      <c r="FQ382" s="205"/>
      <c r="FR382" s="205"/>
      <c r="FS382" s="205"/>
      <c r="FT382" s="205"/>
      <c r="FU382" s="77"/>
      <c r="FV382" s="77"/>
      <c r="FW382" s="77"/>
      <c r="FX382" s="205"/>
      <c r="FY382" s="205"/>
      <c r="FZ382" s="205"/>
      <c r="GA382" s="205"/>
      <c r="GB382" s="205"/>
      <c r="GC382" s="205"/>
      <c r="GD382" s="205"/>
      <c r="GE382" s="205"/>
      <c r="GF382" s="205"/>
      <c r="GG382" s="205"/>
      <c r="GH382" s="205"/>
      <c r="GI382" s="205"/>
      <c r="GJ382" s="205"/>
      <c r="GK382" s="205"/>
      <c r="GL382" s="205"/>
      <c r="GM382" s="205"/>
      <c r="GN382" s="205"/>
      <c r="GO382" s="205"/>
      <c r="GP382" s="205"/>
      <c r="GQ382" s="205"/>
      <c r="GR382" s="205"/>
      <c r="GS382" s="205"/>
      <c r="GT382" s="205"/>
      <c r="GU382" s="205"/>
      <c r="GV382" s="18"/>
      <c r="GW382" s="5"/>
      <c r="GX382" s="5"/>
      <c r="GY382" s="77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</row>
    <row r="383" spans="40:219">
      <c r="AN383" s="26"/>
      <c r="AO383" s="26"/>
      <c r="AP383" s="15"/>
      <c r="AQ383" s="5"/>
      <c r="AR383" s="26"/>
      <c r="AS383" s="26"/>
      <c r="AT383" s="26"/>
      <c r="AU383" s="26"/>
      <c r="AV383" s="95"/>
      <c r="AW383" s="95"/>
      <c r="AX383" s="95"/>
      <c r="AY383" s="54"/>
      <c r="AZ383" s="54"/>
      <c r="BA383" s="15"/>
      <c r="BB383" s="54"/>
      <c r="BC383" s="54"/>
      <c r="BD383" s="22"/>
      <c r="BE383" s="23"/>
      <c r="BL383" s="92"/>
      <c r="BN383" s="5"/>
      <c r="BO383" s="54"/>
      <c r="BP383" s="5"/>
      <c r="BQ383" s="5"/>
      <c r="BR383" s="24"/>
      <c r="BS383" s="25"/>
      <c r="BT383" s="25"/>
      <c r="BU383" s="25"/>
      <c r="BV383" s="25"/>
      <c r="BW383" s="25"/>
      <c r="BX383" s="25"/>
      <c r="BY383" s="25"/>
      <c r="BZ383" s="25"/>
      <c r="CA383" s="25"/>
      <c r="CB383" s="25"/>
      <c r="CC383" s="5"/>
      <c r="CD383" s="5"/>
      <c r="CE383" s="5"/>
      <c r="CF383" s="5"/>
      <c r="CG383" s="5"/>
      <c r="CH383" s="5"/>
      <c r="CI383" s="68"/>
      <c r="CJ383" s="5"/>
      <c r="CK383" s="5"/>
      <c r="CL383" s="102"/>
      <c r="CM383" s="5"/>
      <c r="CN383" s="5"/>
      <c r="CO383" s="5"/>
      <c r="CP383" s="25"/>
      <c r="CQ383" s="68"/>
      <c r="CR383" s="68"/>
      <c r="CS383" s="5"/>
      <c r="CT383" s="5"/>
      <c r="CU383" s="68"/>
      <c r="CV383" s="5"/>
      <c r="CW383" s="25"/>
      <c r="CX383" s="72"/>
      <c r="CY383" s="102"/>
      <c r="CZ383" s="5"/>
      <c r="DA383" s="47"/>
      <c r="DB383" s="46"/>
      <c r="DC383" s="5"/>
      <c r="DD383" s="5"/>
      <c r="DE383" s="5"/>
      <c r="DF383" s="5"/>
      <c r="DG383" s="5"/>
      <c r="DH383" s="203"/>
      <c r="DI383" s="203"/>
      <c r="DJ383" s="46"/>
      <c r="DK383" s="5"/>
      <c r="EB383" s="18"/>
      <c r="EC383" s="77"/>
      <c r="ED383" s="77"/>
      <c r="EE383" s="18"/>
      <c r="EF383" s="18"/>
      <c r="EG383" s="18"/>
      <c r="EH383" s="5"/>
      <c r="EI383" s="5"/>
      <c r="EJ383" s="5"/>
      <c r="EK383" s="5"/>
      <c r="EL383" s="5"/>
      <c r="FE383" s="26"/>
      <c r="FF383" s="26"/>
      <c r="FG383" s="26"/>
      <c r="FH383" s="26"/>
      <c r="FI383" s="26"/>
      <c r="FJ383" s="26"/>
      <c r="FK383" s="26"/>
      <c r="FL383" s="26"/>
      <c r="FM383" s="26"/>
      <c r="FN383" s="205"/>
      <c r="FO383" s="205"/>
      <c r="FP383" s="205"/>
      <c r="FQ383" s="205"/>
      <c r="FR383" s="205"/>
      <c r="FS383" s="205"/>
      <c r="FT383" s="205"/>
      <c r="FU383" s="77"/>
      <c r="FV383" s="77"/>
      <c r="FW383" s="77"/>
      <c r="FX383" s="205"/>
      <c r="FY383" s="205"/>
      <c r="FZ383" s="205"/>
      <c r="GA383" s="205"/>
      <c r="GB383" s="205"/>
      <c r="GC383" s="205"/>
      <c r="GD383" s="205"/>
      <c r="GE383" s="205"/>
      <c r="GF383" s="205"/>
      <c r="GG383" s="205"/>
      <c r="GH383" s="205"/>
      <c r="GI383" s="205"/>
      <c r="GJ383" s="205"/>
      <c r="GK383" s="205"/>
      <c r="GL383" s="205"/>
      <c r="GM383" s="205"/>
      <c r="GN383" s="205"/>
      <c r="GO383" s="205"/>
      <c r="GP383" s="205"/>
      <c r="GQ383" s="205"/>
      <c r="GR383" s="205"/>
      <c r="GS383" s="205"/>
      <c r="GT383" s="205"/>
      <c r="GU383" s="205"/>
      <c r="GV383" s="18"/>
      <c r="GW383" s="5"/>
      <c r="GX383" s="5"/>
      <c r="GY383" s="77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</row>
    <row r="384" spans="40:219">
      <c r="AN384" s="26"/>
      <c r="AO384" s="26"/>
      <c r="AP384" s="15"/>
      <c r="AQ384" s="5"/>
      <c r="AR384" s="26"/>
      <c r="AS384" s="26"/>
      <c r="AT384" s="26"/>
      <c r="AU384" s="26"/>
      <c r="AV384" s="95"/>
      <c r="AW384" s="95"/>
      <c r="AX384" s="95"/>
      <c r="AY384" s="54"/>
      <c r="AZ384" s="54"/>
      <c r="BA384" s="15"/>
      <c r="BB384" s="54"/>
      <c r="BC384" s="54"/>
      <c r="BD384" s="22"/>
      <c r="BE384" s="23"/>
      <c r="BL384" s="92"/>
      <c r="BN384" s="5"/>
      <c r="BO384" s="54"/>
      <c r="BP384" s="5"/>
      <c r="BQ384" s="5"/>
      <c r="BR384" s="24"/>
      <c r="BS384" s="25"/>
      <c r="BT384" s="25"/>
      <c r="BU384" s="25"/>
      <c r="BV384" s="25"/>
      <c r="BW384" s="25"/>
      <c r="BX384" s="25"/>
      <c r="BY384" s="25"/>
      <c r="BZ384" s="25"/>
      <c r="CA384" s="25"/>
      <c r="CB384" s="25"/>
      <c r="CC384" s="5"/>
      <c r="CD384" s="5"/>
      <c r="CE384" s="5"/>
      <c r="CF384" s="5"/>
      <c r="CG384" s="5"/>
      <c r="CH384" s="5"/>
      <c r="CI384" s="68"/>
      <c r="CJ384" s="5"/>
      <c r="CK384" s="5"/>
      <c r="CL384" s="102"/>
      <c r="CM384" s="5"/>
      <c r="CN384" s="5"/>
      <c r="CO384" s="5"/>
      <c r="CP384" s="25"/>
      <c r="CQ384" s="68"/>
      <c r="CR384" s="68"/>
      <c r="CS384" s="5"/>
      <c r="CT384" s="5"/>
      <c r="CU384" s="68"/>
      <c r="CV384" s="5"/>
      <c r="CW384" s="25"/>
      <c r="CX384" s="72"/>
      <c r="CY384" s="102"/>
      <c r="CZ384" s="5"/>
      <c r="DA384" s="47"/>
      <c r="DB384" s="46"/>
      <c r="DC384" s="5"/>
      <c r="DD384" s="5"/>
      <c r="DE384" s="5"/>
      <c r="DF384" s="5"/>
      <c r="DG384" s="5"/>
      <c r="DH384" s="203"/>
      <c r="DI384" s="203"/>
      <c r="DJ384" s="46"/>
      <c r="DK384" s="5"/>
      <c r="EB384" s="18"/>
      <c r="EC384" s="77"/>
      <c r="ED384" s="77"/>
      <c r="EE384" s="18"/>
      <c r="EF384" s="18"/>
      <c r="EG384" s="18"/>
      <c r="EH384" s="5"/>
      <c r="EI384" s="5"/>
      <c r="EJ384" s="5"/>
      <c r="EK384" s="5"/>
      <c r="EL384" s="5"/>
      <c r="FE384" s="26"/>
      <c r="FF384" s="26"/>
      <c r="FG384" s="26"/>
      <c r="FH384" s="26"/>
      <c r="FI384" s="26"/>
      <c r="FJ384" s="26"/>
      <c r="FK384" s="26"/>
      <c r="FL384" s="26"/>
      <c r="FM384" s="26"/>
      <c r="FN384" s="205"/>
      <c r="FO384" s="205"/>
      <c r="FP384" s="205"/>
      <c r="FQ384" s="205"/>
      <c r="FR384" s="205"/>
      <c r="FS384" s="205"/>
      <c r="FT384" s="205"/>
      <c r="FU384" s="77"/>
      <c r="FV384" s="77"/>
      <c r="FW384" s="77"/>
      <c r="FX384" s="205"/>
      <c r="FY384" s="205"/>
      <c r="FZ384" s="205"/>
      <c r="GA384" s="205"/>
      <c r="GB384" s="205"/>
      <c r="GC384" s="205"/>
      <c r="GD384" s="205"/>
      <c r="GE384" s="205"/>
      <c r="GF384" s="205"/>
      <c r="GG384" s="205"/>
      <c r="GH384" s="205"/>
      <c r="GI384" s="205"/>
      <c r="GJ384" s="205"/>
      <c r="GK384" s="205"/>
      <c r="GL384" s="205"/>
      <c r="GM384" s="205"/>
      <c r="GN384" s="205"/>
      <c r="GO384" s="205"/>
      <c r="GP384" s="205"/>
      <c r="GQ384" s="205"/>
      <c r="GR384" s="205"/>
      <c r="GS384" s="205"/>
      <c r="GT384" s="205"/>
      <c r="GU384" s="205"/>
      <c r="GV384" s="18"/>
      <c r="GW384" s="5"/>
      <c r="GX384" s="5"/>
      <c r="GY384" s="77"/>
      <c r="GZ384" s="18"/>
      <c r="HA384" s="18"/>
      <c r="HB384" s="18"/>
      <c r="HC384" s="18"/>
      <c r="HD384" s="18"/>
      <c r="HE384" s="18"/>
      <c r="HF384" s="18"/>
      <c r="HG384" s="18"/>
      <c r="HH384" s="18"/>
      <c r="HI384" s="18"/>
      <c r="HJ384" s="18"/>
      <c r="HK384" s="18"/>
    </row>
    <row r="385" spans="40:219">
      <c r="AN385" s="26"/>
      <c r="AO385" s="26"/>
      <c r="AP385" s="15"/>
      <c r="AQ385" s="5"/>
      <c r="AR385" s="26"/>
      <c r="AS385" s="26"/>
      <c r="AT385" s="26"/>
      <c r="AU385" s="26"/>
      <c r="AV385" s="95"/>
      <c r="AW385" s="95"/>
      <c r="AX385" s="95"/>
      <c r="AY385" s="54"/>
      <c r="AZ385" s="54"/>
      <c r="BA385" s="15"/>
      <c r="BB385" s="54"/>
      <c r="BC385" s="54"/>
      <c r="BD385" s="22"/>
      <c r="BE385" s="23"/>
      <c r="BL385" s="92"/>
      <c r="BN385" s="5"/>
      <c r="BO385" s="54"/>
      <c r="BP385" s="5"/>
      <c r="BQ385" s="5"/>
      <c r="BR385" s="24"/>
      <c r="BS385" s="25"/>
      <c r="BT385" s="25"/>
      <c r="BU385" s="25"/>
      <c r="BV385" s="25"/>
      <c r="BW385" s="25"/>
      <c r="BX385" s="25"/>
      <c r="BY385" s="25"/>
      <c r="BZ385" s="25"/>
      <c r="CA385" s="25"/>
      <c r="CB385" s="25"/>
      <c r="CC385" s="5"/>
      <c r="CD385" s="5"/>
      <c r="CE385" s="5"/>
      <c r="CF385" s="5"/>
      <c r="CG385" s="5"/>
      <c r="CH385" s="5"/>
      <c r="CI385" s="68"/>
      <c r="CJ385" s="5"/>
      <c r="CK385" s="5"/>
      <c r="CL385" s="102"/>
      <c r="CM385" s="5"/>
      <c r="CN385" s="5"/>
      <c r="CO385" s="5"/>
      <c r="CP385" s="25"/>
      <c r="CQ385" s="68"/>
      <c r="CR385" s="68"/>
      <c r="CS385" s="5"/>
      <c r="CT385" s="5"/>
      <c r="CU385" s="68"/>
      <c r="CV385" s="5"/>
      <c r="CW385" s="25"/>
      <c r="CX385" s="72"/>
      <c r="CY385" s="102"/>
      <c r="CZ385" s="5"/>
      <c r="DA385" s="47"/>
      <c r="DB385" s="46"/>
      <c r="DC385" s="5"/>
      <c r="DD385" s="5"/>
      <c r="DE385" s="5"/>
      <c r="DF385" s="5"/>
      <c r="DG385" s="5"/>
      <c r="DH385" s="203"/>
      <c r="DI385" s="203"/>
      <c r="DJ385" s="46"/>
      <c r="DK385" s="5"/>
      <c r="EB385" s="18"/>
      <c r="EC385" s="77"/>
      <c r="ED385" s="77"/>
      <c r="EE385" s="18"/>
      <c r="EF385" s="18"/>
      <c r="EG385" s="18"/>
      <c r="EH385" s="5"/>
      <c r="EI385" s="5"/>
      <c r="EJ385" s="5"/>
      <c r="EK385" s="5"/>
      <c r="EL385" s="5"/>
      <c r="FE385" s="26"/>
      <c r="FF385" s="26"/>
      <c r="FG385" s="26"/>
      <c r="FH385" s="26"/>
      <c r="FI385" s="26"/>
      <c r="FJ385" s="26"/>
      <c r="FK385" s="26"/>
      <c r="FL385" s="26"/>
      <c r="FM385" s="26"/>
      <c r="FN385" s="205"/>
      <c r="FO385" s="205"/>
      <c r="FP385" s="205"/>
      <c r="FQ385" s="205"/>
      <c r="FR385" s="205"/>
      <c r="FS385" s="205"/>
      <c r="FT385" s="205"/>
      <c r="FU385" s="77"/>
      <c r="FV385" s="77"/>
      <c r="FW385" s="77"/>
      <c r="FX385" s="205"/>
      <c r="FY385" s="205"/>
      <c r="FZ385" s="205"/>
      <c r="GA385" s="205"/>
      <c r="GB385" s="205"/>
      <c r="GC385" s="205"/>
      <c r="GD385" s="205"/>
      <c r="GE385" s="205"/>
      <c r="GF385" s="205"/>
      <c r="GG385" s="205"/>
      <c r="GH385" s="205"/>
      <c r="GI385" s="205"/>
      <c r="GJ385" s="205"/>
      <c r="GK385" s="205"/>
      <c r="GL385" s="205"/>
      <c r="GM385" s="205"/>
      <c r="GN385" s="205"/>
      <c r="GO385" s="205"/>
      <c r="GP385" s="205"/>
      <c r="GQ385" s="205"/>
      <c r="GR385" s="205"/>
      <c r="GS385" s="205"/>
      <c r="GT385" s="205"/>
      <c r="GU385" s="205"/>
      <c r="GV385" s="18"/>
      <c r="GW385" s="5"/>
      <c r="GX385" s="5"/>
      <c r="GY385" s="77"/>
      <c r="GZ385" s="18"/>
      <c r="HA385" s="18"/>
      <c r="HB385" s="18"/>
      <c r="HC385" s="18"/>
      <c r="HD385" s="18"/>
      <c r="HE385" s="18"/>
      <c r="HF385" s="18"/>
      <c r="HG385" s="18"/>
      <c r="HH385" s="18"/>
      <c r="HI385" s="18"/>
      <c r="HJ385" s="18"/>
      <c r="HK385" s="18"/>
    </row>
    <row r="386" spans="40:219">
      <c r="AN386" s="26"/>
      <c r="AO386" s="26"/>
      <c r="AP386" s="15"/>
      <c r="AQ386" s="5"/>
      <c r="AR386" s="26"/>
      <c r="AS386" s="26"/>
      <c r="AT386" s="26"/>
      <c r="AU386" s="26"/>
      <c r="AV386" s="95"/>
      <c r="AW386" s="95"/>
      <c r="AX386" s="95"/>
      <c r="AY386" s="54"/>
      <c r="AZ386" s="54"/>
      <c r="BA386" s="15"/>
      <c r="BB386" s="54"/>
      <c r="BC386" s="54"/>
      <c r="BD386" s="22"/>
      <c r="BE386" s="23"/>
      <c r="BL386" s="92"/>
      <c r="BN386" s="5"/>
      <c r="BO386" s="54"/>
      <c r="BP386" s="5"/>
      <c r="BQ386" s="5"/>
      <c r="BR386" s="24"/>
      <c r="BS386" s="25"/>
      <c r="BT386" s="25"/>
      <c r="BU386" s="25"/>
      <c r="BV386" s="25"/>
      <c r="BW386" s="25"/>
      <c r="BX386" s="25"/>
      <c r="BY386" s="25"/>
      <c r="BZ386" s="25"/>
      <c r="CA386" s="25"/>
      <c r="CB386" s="25"/>
      <c r="CC386" s="5"/>
      <c r="CD386" s="5"/>
      <c r="CE386" s="5"/>
      <c r="CF386" s="5"/>
      <c r="CG386" s="5"/>
      <c r="CH386" s="5"/>
      <c r="CI386" s="68"/>
      <c r="CJ386" s="5"/>
      <c r="CK386" s="5"/>
      <c r="CL386" s="102"/>
      <c r="CM386" s="5"/>
      <c r="CN386" s="5"/>
      <c r="CO386" s="5"/>
      <c r="CP386" s="25"/>
      <c r="CQ386" s="68"/>
      <c r="CR386" s="68"/>
      <c r="CS386" s="5"/>
      <c r="CT386" s="5"/>
      <c r="CU386" s="68"/>
      <c r="CV386" s="5"/>
      <c r="CW386" s="25"/>
      <c r="CX386" s="72"/>
      <c r="CY386" s="102"/>
      <c r="CZ386" s="5"/>
      <c r="DA386" s="47"/>
      <c r="DB386" s="46"/>
      <c r="DC386" s="5"/>
      <c r="DD386" s="5"/>
      <c r="DE386" s="5"/>
      <c r="DF386" s="5"/>
      <c r="DG386" s="5"/>
      <c r="DH386" s="203"/>
      <c r="DI386" s="203"/>
      <c r="DJ386" s="46"/>
      <c r="DK386" s="5"/>
      <c r="EB386" s="18"/>
      <c r="EC386" s="77"/>
      <c r="ED386" s="77"/>
      <c r="EE386" s="18"/>
      <c r="EF386" s="18"/>
      <c r="EG386" s="18"/>
      <c r="EH386" s="5"/>
      <c r="EI386" s="5"/>
      <c r="EJ386" s="5"/>
      <c r="EK386" s="5"/>
      <c r="EL386" s="5"/>
      <c r="FE386" s="26"/>
      <c r="FF386" s="26"/>
      <c r="FG386" s="26"/>
      <c r="FH386" s="26"/>
      <c r="FI386" s="26"/>
      <c r="FJ386" s="26"/>
      <c r="FK386" s="26"/>
      <c r="FL386" s="26"/>
      <c r="FM386" s="26"/>
      <c r="FN386" s="205"/>
      <c r="FO386" s="205"/>
      <c r="FP386" s="205"/>
      <c r="FQ386" s="205"/>
      <c r="FR386" s="205"/>
      <c r="FS386" s="205"/>
      <c r="FT386" s="205"/>
      <c r="FU386" s="77"/>
      <c r="FV386" s="77"/>
      <c r="FW386" s="77"/>
      <c r="FX386" s="205"/>
      <c r="FY386" s="205"/>
      <c r="FZ386" s="205"/>
      <c r="GA386" s="205"/>
      <c r="GB386" s="205"/>
      <c r="GC386" s="205"/>
      <c r="GD386" s="205"/>
      <c r="GE386" s="205"/>
      <c r="GF386" s="205"/>
      <c r="GG386" s="205"/>
      <c r="GH386" s="205"/>
      <c r="GI386" s="205"/>
      <c r="GJ386" s="205"/>
      <c r="GK386" s="205"/>
      <c r="GL386" s="205"/>
      <c r="GM386" s="205"/>
      <c r="GN386" s="205"/>
      <c r="GO386" s="205"/>
      <c r="GP386" s="205"/>
      <c r="GQ386" s="205"/>
      <c r="GR386" s="205"/>
      <c r="GS386" s="205"/>
      <c r="GT386" s="205"/>
      <c r="GU386" s="205"/>
      <c r="GV386" s="18"/>
      <c r="GW386" s="5"/>
      <c r="GX386" s="5"/>
      <c r="GY386" s="77"/>
      <c r="GZ386" s="18"/>
      <c r="HA386" s="18"/>
      <c r="HB386" s="18"/>
      <c r="HC386" s="18"/>
      <c r="HD386" s="18"/>
      <c r="HE386" s="18"/>
      <c r="HF386" s="18"/>
      <c r="HG386" s="18"/>
      <c r="HH386" s="18"/>
      <c r="HI386" s="18"/>
      <c r="HJ386" s="18"/>
      <c r="HK386" s="18"/>
    </row>
    <row r="387" spans="40:219">
      <c r="AN387" s="26"/>
      <c r="AO387" s="26"/>
      <c r="AP387" s="15"/>
      <c r="AQ387" s="5"/>
      <c r="AR387" s="26"/>
      <c r="AS387" s="26"/>
      <c r="AT387" s="26"/>
      <c r="AU387" s="26"/>
      <c r="AV387" s="95"/>
      <c r="AW387" s="95"/>
      <c r="AX387" s="95"/>
      <c r="AY387" s="54"/>
      <c r="AZ387" s="54"/>
      <c r="BA387" s="15"/>
      <c r="BB387" s="54"/>
      <c r="BC387" s="54"/>
      <c r="BD387" s="22"/>
      <c r="BE387" s="23"/>
      <c r="BL387" s="92"/>
      <c r="BN387" s="5"/>
      <c r="BO387" s="54"/>
      <c r="BP387" s="5"/>
      <c r="BQ387" s="5"/>
      <c r="BR387" s="24"/>
      <c r="BS387" s="25"/>
      <c r="BT387" s="25"/>
      <c r="BU387" s="25"/>
      <c r="BV387" s="25"/>
      <c r="BW387" s="25"/>
      <c r="BX387" s="25"/>
      <c r="BY387" s="25"/>
      <c r="BZ387" s="25"/>
      <c r="CA387" s="25"/>
      <c r="CB387" s="25"/>
      <c r="CC387" s="5"/>
      <c r="CD387" s="5"/>
      <c r="CE387" s="5"/>
      <c r="CF387" s="5"/>
      <c r="CG387" s="5"/>
      <c r="CH387" s="5"/>
      <c r="CI387" s="68"/>
      <c r="CJ387" s="5"/>
      <c r="CK387" s="5"/>
      <c r="CL387" s="102"/>
      <c r="CM387" s="5"/>
      <c r="CN387" s="5"/>
      <c r="CO387" s="5"/>
      <c r="CP387" s="25"/>
      <c r="CQ387" s="68"/>
      <c r="CR387" s="68"/>
      <c r="CS387" s="5"/>
      <c r="CT387" s="5"/>
      <c r="CU387" s="68"/>
      <c r="CV387" s="5"/>
      <c r="CW387" s="25"/>
      <c r="CX387" s="72"/>
      <c r="CY387" s="102"/>
      <c r="CZ387" s="5"/>
      <c r="DA387" s="47"/>
      <c r="DB387" s="46"/>
      <c r="DC387" s="5"/>
      <c r="DD387" s="5"/>
      <c r="DE387" s="5"/>
      <c r="DF387" s="5"/>
      <c r="DG387" s="5"/>
      <c r="DH387" s="203"/>
      <c r="DI387" s="203"/>
      <c r="DJ387" s="46"/>
      <c r="DK387" s="5"/>
      <c r="EB387" s="18"/>
      <c r="EC387" s="77"/>
      <c r="ED387" s="77"/>
      <c r="EE387" s="18"/>
      <c r="EF387" s="18"/>
      <c r="EG387" s="18"/>
      <c r="EH387" s="5"/>
      <c r="EI387" s="5"/>
      <c r="EJ387" s="5"/>
      <c r="EK387" s="5"/>
      <c r="EL387" s="5"/>
      <c r="FE387" s="26"/>
      <c r="FF387" s="26"/>
      <c r="FG387" s="26"/>
      <c r="FH387" s="26"/>
      <c r="FI387" s="26"/>
      <c r="FJ387" s="26"/>
      <c r="FK387" s="26"/>
      <c r="FL387" s="26"/>
      <c r="FM387" s="26"/>
      <c r="FN387" s="205"/>
      <c r="FO387" s="205"/>
      <c r="FP387" s="205"/>
      <c r="FQ387" s="205"/>
      <c r="FR387" s="205"/>
      <c r="FS387" s="205"/>
      <c r="FT387" s="205"/>
      <c r="FU387" s="77"/>
      <c r="FV387" s="77"/>
      <c r="FW387" s="77"/>
      <c r="FX387" s="205"/>
      <c r="FY387" s="205"/>
      <c r="FZ387" s="205"/>
      <c r="GA387" s="205"/>
      <c r="GB387" s="205"/>
      <c r="GC387" s="205"/>
      <c r="GD387" s="205"/>
      <c r="GE387" s="205"/>
      <c r="GF387" s="205"/>
      <c r="GG387" s="205"/>
      <c r="GH387" s="205"/>
      <c r="GI387" s="205"/>
      <c r="GJ387" s="205"/>
      <c r="GK387" s="205"/>
      <c r="GL387" s="205"/>
      <c r="GM387" s="205"/>
      <c r="GN387" s="205"/>
      <c r="GO387" s="205"/>
      <c r="GP387" s="205"/>
      <c r="GQ387" s="205"/>
      <c r="GR387" s="205"/>
      <c r="GS387" s="205"/>
      <c r="GT387" s="205"/>
      <c r="GU387" s="205"/>
      <c r="GV387" s="18"/>
      <c r="GW387" s="5"/>
      <c r="GX387" s="5"/>
      <c r="GY387" s="77"/>
      <c r="GZ387" s="18"/>
      <c r="HA387" s="18"/>
      <c r="HB387" s="18"/>
      <c r="HC387" s="18"/>
      <c r="HD387" s="18"/>
      <c r="HE387" s="18"/>
      <c r="HF387" s="18"/>
      <c r="HG387" s="18"/>
      <c r="HH387" s="18"/>
      <c r="HI387" s="18"/>
      <c r="HJ387" s="18"/>
      <c r="HK387" s="18"/>
    </row>
    <row r="388" spans="40:219">
      <c r="AN388" s="26"/>
      <c r="AO388" s="26"/>
      <c r="AP388" s="15"/>
      <c r="AQ388" s="5"/>
      <c r="AR388" s="26"/>
      <c r="AS388" s="26"/>
      <c r="AT388" s="26"/>
      <c r="AU388" s="26"/>
      <c r="AV388" s="95"/>
      <c r="AW388" s="95"/>
      <c r="AX388" s="95"/>
      <c r="AY388" s="54"/>
      <c r="AZ388" s="54"/>
      <c r="BA388" s="15"/>
      <c r="BB388" s="54"/>
      <c r="BC388" s="54"/>
      <c r="BD388" s="22"/>
      <c r="BE388" s="23"/>
      <c r="BL388" s="92"/>
      <c r="BN388" s="5"/>
      <c r="BO388" s="54"/>
      <c r="BP388" s="5"/>
      <c r="BQ388" s="5"/>
      <c r="BR388" s="24"/>
      <c r="BS388" s="25"/>
      <c r="BT388" s="25"/>
      <c r="BU388" s="25"/>
      <c r="BV388" s="25"/>
      <c r="BW388" s="25"/>
      <c r="BX388" s="25"/>
      <c r="BY388" s="25"/>
      <c r="BZ388" s="25"/>
      <c r="CA388" s="25"/>
      <c r="CB388" s="25"/>
      <c r="CC388" s="5"/>
      <c r="CD388" s="5"/>
      <c r="CE388" s="5"/>
      <c r="CF388" s="5"/>
      <c r="CG388" s="5"/>
      <c r="CH388" s="5"/>
      <c r="CI388" s="68"/>
      <c r="CJ388" s="5"/>
      <c r="CK388" s="5"/>
      <c r="CL388" s="102"/>
      <c r="CM388" s="5"/>
      <c r="CN388" s="5"/>
      <c r="CO388" s="5"/>
      <c r="CP388" s="25"/>
      <c r="CQ388" s="68"/>
      <c r="CR388" s="68"/>
      <c r="CS388" s="5"/>
      <c r="CT388" s="5"/>
      <c r="CU388" s="68"/>
      <c r="CV388" s="5"/>
      <c r="CW388" s="25"/>
      <c r="CX388" s="72"/>
      <c r="CY388" s="102"/>
      <c r="CZ388" s="5"/>
      <c r="DA388" s="47"/>
      <c r="DB388" s="46"/>
      <c r="DC388" s="5"/>
      <c r="DD388" s="5"/>
      <c r="DE388" s="5"/>
      <c r="DF388" s="5"/>
      <c r="DG388" s="5"/>
      <c r="DH388" s="203"/>
      <c r="DI388" s="203"/>
      <c r="DJ388" s="46"/>
      <c r="DK388" s="5"/>
      <c r="EB388" s="18"/>
      <c r="EC388" s="77"/>
      <c r="ED388" s="77"/>
      <c r="EE388" s="18"/>
      <c r="EF388" s="18"/>
      <c r="EG388" s="18"/>
      <c r="EH388" s="5"/>
      <c r="EI388" s="5"/>
      <c r="EJ388" s="5"/>
      <c r="EK388" s="5"/>
      <c r="EL388" s="5"/>
      <c r="FE388" s="26"/>
      <c r="FF388" s="26"/>
      <c r="FG388" s="26"/>
      <c r="FH388" s="26"/>
      <c r="FI388" s="26"/>
      <c r="FJ388" s="26"/>
      <c r="FK388" s="26"/>
      <c r="FL388" s="26"/>
      <c r="FM388" s="26"/>
      <c r="FN388" s="205"/>
      <c r="FO388" s="205"/>
      <c r="FP388" s="205"/>
      <c r="FQ388" s="205"/>
      <c r="FR388" s="205"/>
      <c r="FS388" s="205"/>
      <c r="FT388" s="205"/>
      <c r="FU388" s="77"/>
      <c r="FV388" s="77"/>
      <c r="FW388" s="77"/>
      <c r="FX388" s="205"/>
      <c r="FY388" s="205"/>
      <c r="FZ388" s="205"/>
      <c r="GA388" s="205"/>
      <c r="GB388" s="205"/>
      <c r="GC388" s="205"/>
      <c r="GD388" s="205"/>
      <c r="GE388" s="205"/>
      <c r="GF388" s="205"/>
      <c r="GG388" s="205"/>
      <c r="GH388" s="205"/>
      <c r="GI388" s="205"/>
      <c r="GJ388" s="205"/>
      <c r="GK388" s="205"/>
      <c r="GL388" s="205"/>
      <c r="GM388" s="205"/>
      <c r="GN388" s="205"/>
      <c r="GO388" s="205"/>
      <c r="GP388" s="205"/>
      <c r="GQ388" s="205"/>
      <c r="GR388" s="205"/>
      <c r="GS388" s="205"/>
      <c r="GT388" s="205"/>
      <c r="GU388" s="205"/>
      <c r="GV388" s="18"/>
      <c r="GW388" s="5"/>
      <c r="GX388" s="5"/>
      <c r="GY388" s="77"/>
      <c r="GZ388" s="18"/>
      <c r="HA388" s="18"/>
      <c r="HB388" s="18"/>
      <c r="HC388" s="18"/>
      <c r="HD388" s="18"/>
      <c r="HE388" s="18"/>
      <c r="HF388" s="18"/>
      <c r="HG388" s="18"/>
      <c r="HH388" s="18"/>
      <c r="HI388" s="18"/>
      <c r="HJ388" s="18"/>
      <c r="HK388" s="18"/>
    </row>
    <row r="389" spans="40:219">
      <c r="AN389" s="26"/>
      <c r="AO389" s="26"/>
      <c r="AP389" s="15"/>
      <c r="AQ389" s="5"/>
      <c r="AR389" s="26"/>
      <c r="AS389" s="26"/>
      <c r="AT389" s="26"/>
      <c r="AU389" s="26"/>
      <c r="AV389" s="95"/>
      <c r="AW389" s="95"/>
      <c r="AX389" s="95"/>
      <c r="AY389" s="54"/>
      <c r="AZ389" s="54"/>
      <c r="BA389" s="15"/>
      <c r="BB389" s="54"/>
      <c r="BC389" s="54"/>
      <c r="BD389" s="22"/>
      <c r="BE389" s="23"/>
      <c r="BL389" s="92"/>
      <c r="BN389" s="5"/>
      <c r="BO389" s="54"/>
      <c r="BP389" s="5"/>
      <c r="BQ389" s="5"/>
      <c r="BR389" s="24"/>
      <c r="BS389" s="25"/>
      <c r="BT389" s="25"/>
      <c r="BU389" s="25"/>
      <c r="BV389" s="25"/>
      <c r="BW389" s="25"/>
      <c r="BX389" s="25"/>
      <c r="BY389" s="25"/>
      <c r="BZ389" s="25"/>
      <c r="CA389" s="25"/>
      <c r="CB389" s="25"/>
      <c r="CC389" s="5"/>
      <c r="CD389" s="5"/>
      <c r="CE389" s="5"/>
      <c r="CF389" s="5"/>
      <c r="CG389" s="5"/>
      <c r="CH389" s="5"/>
      <c r="CI389" s="68"/>
      <c r="CJ389" s="5"/>
      <c r="CK389" s="5"/>
      <c r="CL389" s="102"/>
      <c r="CM389" s="5"/>
      <c r="CN389" s="5"/>
      <c r="CO389" s="5"/>
      <c r="CP389" s="25"/>
      <c r="CQ389" s="68"/>
      <c r="CR389" s="68"/>
      <c r="CS389" s="5"/>
      <c r="CT389" s="5"/>
      <c r="CU389" s="68"/>
      <c r="CV389" s="5"/>
      <c r="CW389" s="25"/>
      <c r="CX389" s="72"/>
      <c r="CY389" s="102"/>
      <c r="CZ389" s="5"/>
      <c r="DA389" s="47"/>
      <c r="DB389" s="46"/>
      <c r="DC389" s="5"/>
      <c r="DD389" s="5"/>
      <c r="DE389" s="5"/>
      <c r="DF389" s="5"/>
      <c r="DG389" s="5"/>
      <c r="DH389" s="203"/>
      <c r="DI389" s="203"/>
      <c r="DJ389" s="46"/>
      <c r="DK389" s="5"/>
      <c r="EB389" s="18"/>
      <c r="EC389" s="77"/>
      <c r="ED389" s="77"/>
      <c r="EE389" s="18"/>
      <c r="EF389" s="18"/>
      <c r="EG389" s="18"/>
      <c r="EH389" s="5"/>
      <c r="EI389" s="5"/>
      <c r="EJ389" s="5"/>
      <c r="EK389" s="5"/>
      <c r="EL389" s="5"/>
      <c r="FE389" s="26"/>
      <c r="FF389" s="26"/>
      <c r="FG389" s="26"/>
      <c r="FH389" s="26"/>
      <c r="FI389" s="26"/>
      <c r="FJ389" s="26"/>
      <c r="FK389" s="26"/>
      <c r="FL389" s="26"/>
      <c r="FM389" s="26"/>
      <c r="FN389" s="205"/>
      <c r="FO389" s="205"/>
      <c r="FP389" s="205"/>
      <c r="FQ389" s="205"/>
      <c r="FR389" s="205"/>
      <c r="FS389" s="205"/>
      <c r="FT389" s="205"/>
      <c r="FU389" s="77"/>
      <c r="FV389" s="77"/>
      <c r="FW389" s="77"/>
      <c r="FX389" s="205"/>
      <c r="FY389" s="205"/>
      <c r="FZ389" s="205"/>
      <c r="GA389" s="205"/>
      <c r="GB389" s="205"/>
      <c r="GC389" s="205"/>
      <c r="GD389" s="205"/>
      <c r="GE389" s="205"/>
      <c r="GF389" s="205"/>
      <c r="GG389" s="205"/>
      <c r="GH389" s="205"/>
      <c r="GI389" s="205"/>
      <c r="GJ389" s="205"/>
      <c r="GK389" s="205"/>
      <c r="GL389" s="205"/>
      <c r="GM389" s="205"/>
      <c r="GN389" s="205"/>
      <c r="GO389" s="205"/>
      <c r="GP389" s="205"/>
      <c r="GQ389" s="205"/>
      <c r="GR389" s="205"/>
      <c r="GS389" s="205"/>
      <c r="GT389" s="205"/>
      <c r="GU389" s="205"/>
      <c r="GV389" s="18"/>
      <c r="GW389" s="5"/>
      <c r="GX389" s="5"/>
      <c r="GY389" s="77"/>
      <c r="GZ389" s="18"/>
      <c r="HA389" s="18"/>
      <c r="HB389" s="18"/>
      <c r="HC389" s="18"/>
      <c r="HD389" s="18"/>
      <c r="HE389" s="18"/>
      <c r="HF389" s="18"/>
      <c r="HG389" s="18"/>
      <c r="HH389" s="18"/>
      <c r="HI389" s="18"/>
      <c r="HJ389" s="18"/>
      <c r="HK389" s="18"/>
    </row>
    <row r="390" spans="40:219">
      <c r="AN390" s="26"/>
      <c r="AO390" s="26"/>
      <c r="AP390" s="15"/>
      <c r="AQ390" s="5"/>
      <c r="AR390" s="26"/>
      <c r="AS390" s="26"/>
      <c r="AT390" s="26"/>
      <c r="AU390" s="26"/>
      <c r="AV390" s="95"/>
      <c r="AW390" s="95"/>
      <c r="AX390" s="95"/>
      <c r="AY390" s="54"/>
      <c r="AZ390" s="54"/>
      <c r="BA390" s="15"/>
      <c r="BB390" s="54"/>
      <c r="BC390" s="54"/>
      <c r="BD390" s="22"/>
      <c r="BE390" s="23"/>
      <c r="BL390" s="92"/>
      <c r="BN390" s="5"/>
      <c r="BO390" s="54"/>
      <c r="BP390" s="5"/>
      <c r="BQ390" s="5"/>
      <c r="BR390" s="24"/>
      <c r="BS390" s="25"/>
      <c r="BT390" s="25"/>
      <c r="BU390" s="25"/>
      <c r="BV390" s="25"/>
      <c r="BW390" s="25"/>
      <c r="BX390" s="25"/>
      <c r="BY390" s="25"/>
      <c r="BZ390" s="25"/>
      <c r="CA390" s="25"/>
      <c r="CB390" s="25"/>
      <c r="CC390" s="5"/>
      <c r="CD390" s="5"/>
      <c r="CE390" s="5"/>
      <c r="CF390" s="5"/>
      <c r="CG390" s="5"/>
      <c r="CH390" s="5"/>
      <c r="CI390" s="68"/>
      <c r="CJ390" s="5"/>
      <c r="CK390" s="5"/>
      <c r="CL390" s="102"/>
      <c r="CM390" s="5"/>
      <c r="CN390" s="5"/>
      <c r="CO390" s="5"/>
      <c r="CP390" s="25"/>
      <c r="CQ390" s="68"/>
      <c r="CR390" s="68"/>
      <c r="CS390" s="5"/>
      <c r="CT390" s="5"/>
      <c r="CU390" s="68"/>
      <c r="CV390" s="5"/>
      <c r="CW390" s="25"/>
      <c r="CX390" s="72"/>
      <c r="CY390" s="102"/>
      <c r="CZ390" s="5"/>
      <c r="DA390" s="47"/>
      <c r="DB390" s="46"/>
      <c r="DC390" s="5"/>
      <c r="DD390" s="5"/>
      <c r="DE390" s="5"/>
      <c r="DF390" s="5"/>
      <c r="DG390" s="5"/>
      <c r="DH390" s="203"/>
      <c r="DI390" s="203"/>
      <c r="DJ390" s="46"/>
      <c r="DK390" s="5"/>
      <c r="EB390" s="18"/>
      <c r="EC390" s="77"/>
      <c r="ED390" s="77"/>
      <c r="EE390" s="18"/>
      <c r="EF390" s="18"/>
      <c r="EG390" s="18"/>
      <c r="EH390" s="5"/>
      <c r="EI390" s="5"/>
      <c r="EJ390" s="5"/>
      <c r="EK390" s="5"/>
      <c r="EL390" s="5"/>
      <c r="FE390" s="26"/>
      <c r="FF390" s="26"/>
      <c r="FG390" s="26"/>
      <c r="FH390" s="26"/>
      <c r="FI390" s="26"/>
      <c r="FJ390" s="26"/>
      <c r="FK390" s="26"/>
      <c r="FL390" s="26"/>
      <c r="FM390" s="26"/>
      <c r="FN390" s="205"/>
      <c r="FO390" s="205"/>
      <c r="FP390" s="205"/>
      <c r="FQ390" s="205"/>
      <c r="FR390" s="205"/>
      <c r="FS390" s="205"/>
      <c r="FT390" s="205"/>
      <c r="FU390" s="77"/>
      <c r="FV390" s="77"/>
      <c r="FW390" s="77"/>
      <c r="FX390" s="205"/>
      <c r="FY390" s="205"/>
      <c r="FZ390" s="205"/>
      <c r="GA390" s="205"/>
      <c r="GB390" s="205"/>
      <c r="GC390" s="205"/>
      <c r="GD390" s="205"/>
      <c r="GE390" s="205"/>
      <c r="GF390" s="205"/>
      <c r="GG390" s="205"/>
      <c r="GH390" s="205"/>
      <c r="GI390" s="205"/>
      <c r="GJ390" s="205"/>
      <c r="GK390" s="205"/>
      <c r="GL390" s="205"/>
      <c r="GM390" s="205"/>
      <c r="GN390" s="205"/>
      <c r="GO390" s="205"/>
      <c r="GP390" s="205"/>
      <c r="GQ390" s="205"/>
      <c r="GR390" s="205"/>
      <c r="GS390" s="205"/>
      <c r="GT390" s="205"/>
      <c r="GU390" s="205"/>
      <c r="GV390" s="18"/>
      <c r="GW390" s="5"/>
      <c r="GX390" s="5"/>
      <c r="GY390" s="77"/>
      <c r="GZ390" s="18"/>
      <c r="HA390" s="18"/>
      <c r="HB390" s="18"/>
      <c r="HC390" s="18"/>
      <c r="HD390" s="18"/>
      <c r="HE390" s="18"/>
      <c r="HF390" s="18"/>
      <c r="HG390" s="18"/>
      <c r="HH390" s="18"/>
      <c r="HI390" s="18"/>
      <c r="HJ390" s="18"/>
      <c r="HK390" s="18"/>
    </row>
    <row r="391" spans="40:219">
      <c r="AN391" s="26"/>
      <c r="AO391" s="26"/>
      <c r="AP391" s="15"/>
      <c r="AQ391" s="5"/>
      <c r="AR391" s="26"/>
      <c r="AS391" s="26"/>
      <c r="AT391" s="26"/>
      <c r="AU391" s="26"/>
      <c r="AV391" s="95"/>
      <c r="AW391" s="95"/>
      <c r="AX391" s="95"/>
      <c r="AY391" s="54"/>
      <c r="AZ391" s="54"/>
      <c r="BA391" s="15"/>
      <c r="BB391" s="54"/>
      <c r="BC391" s="54"/>
      <c r="BD391" s="22"/>
      <c r="BE391" s="23"/>
      <c r="BL391" s="92"/>
      <c r="BN391" s="5"/>
      <c r="BO391" s="54"/>
      <c r="BP391" s="5"/>
      <c r="BQ391" s="5"/>
      <c r="BR391" s="24"/>
      <c r="BS391" s="25"/>
      <c r="BT391" s="25"/>
      <c r="BU391" s="25"/>
      <c r="BV391" s="25"/>
      <c r="BW391" s="25"/>
      <c r="BX391" s="25"/>
      <c r="BY391" s="25"/>
      <c r="BZ391" s="25"/>
      <c r="CA391" s="25"/>
      <c r="CB391" s="25"/>
      <c r="CC391" s="5"/>
      <c r="CD391" s="5"/>
      <c r="CE391" s="5"/>
      <c r="CF391" s="5"/>
      <c r="CG391" s="5"/>
      <c r="CH391" s="5"/>
      <c r="CI391" s="68"/>
      <c r="CJ391" s="5"/>
      <c r="CK391" s="5"/>
      <c r="CL391" s="102"/>
      <c r="CM391" s="5"/>
      <c r="CN391" s="5"/>
      <c r="CO391" s="5"/>
      <c r="CP391" s="25"/>
      <c r="CQ391" s="68"/>
      <c r="CR391" s="68"/>
      <c r="CS391" s="5"/>
      <c r="CT391" s="5"/>
      <c r="CU391" s="68"/>
      <c r="CV391" s="5"/>
      <c r="CW391" s="25"/>
      <c r="CX391" s="72"/>
      <c r="CY391" s="102"/>
      <c r="CZ391" s="5"/>
      <c r="DA391" s="47"/>
      <c r="DB391" s="46"/>
      <c r="DC391" s="5"/>
      <c r="DD391" s="5"/>
      <c r="DE391" s="5"/>
      <c r="DF391" s="5"/>
      <c r="DG391" s="5"/>
      <c r="DH391" s="203"/>
      <c r="DI391" s="203"/>
      <c r="DJ391" s="46"/>
      <c r="DK391" s="5"/>
      <c r="EB391" s="18"/>
      <c r="EC391" s="77"/>
      <c r="ED391" s="77"/>
      <c r="EE391" s="18"/>
      <c r="EF391" s="18"/>
      <c r="EG391" s="18"/>
      <c r="EH391" s="5"/>
      <c r="EI391" s="5"/>
      <c r="EJ391" s="5"/>
      <c r="EK391" s="5"/>
      <c r="EL391" s="5"/>
      <c r="FE391" s="26"/>
      <c r="FF391" s="26"/>
      <c r="FG391" s="26"/>
      <c r="FH391" s="26"/>
      <c r="FI391" s="26"/>
      <c r="FJ391" s="26"/>
      <c r="FK391" s="26"/>
      <c r="FL391" s="26"/>
      <c r="FM391" s="26"/>
      <c r="FN391" s="205"/>
      <c r="FO391" s="205"/>
      <c r="FP391" s="205"/>
      <c r="FQ391" s="205"/>
      <c r="FR391" s="205"/>
      <c r="FS391" s="205"/>
      <c r="FT391" s="205"/>
      <c r="FU391" s="77"/>
      <c r="FV391" s="77"/>
      <c r="FW391" s="77"/>
      <c r="FX391" s="205"/>
      <c r="FY391" s="205"/>
      <c r="FZ391" s="205"/>
      <c r="GA391" s="205"/>
      <c r="GB391" s="205"/>
      <c r="GC391" s="205"/>
      <c r="GD391" s="205"/>
      <c r="GE391" s="205"/>
      <c r="GF391" s="205"/>
      <c r="GG391" s="205"/>
      <c r="GH391" s="205"/>
      <c r="GI391" s="205"/>
      <c r="GJ391" s="205"/>
      <c r="GK391" s="205"/>
      <c r="GL391" s="205"/>
      <c r="GM391" s="205"/>
      <c r="GN391" s="205"/>
      <c r="GO391" s="205"/>
      <c r="GP391" s="205"/>
      <c r="GQ391" s="205"/>
      <c r="GR391" s="205"/>
      <c r="GS391" s="205"/>
      <c r="GT391" s="205"/>
      <c r="GU391" s="205"/>
      <c r="GV391" s="18"/>
      <c r="GW391" s="5"/>
      <c r="GX391" s="5"/>
      <c r="GY391" s="77"/>
      <c r="GZ391" s="18"/>
      <c r="HA391" s="18"/>
      <c r="HB391" s="18"/>
      <c r="HC391" s="18"/>
      <c r="HD391" s="18"/>
      <c r="HE391" s="18"/>
      <c r="HF391" s="18"/>
      <c r="HG391" s="18"/>
      <c r="HH391" s="18"/>
      <c r="HI391" s="18"/>
      <c r="HJ391" s="18"/>
      <c r="HK391" s="18"/>
    </row>
    <row r="392" spans="40:219">
      <c r="AN392" s="26"/>
      <c r="AO392" s="26"/>
      <c r="AP392" s="15"/>
      <c r="AQ392" s="5"/>
      <c r="AR392" s="26"/>
      <c r="AS392" s="26"/>
      <c r="AT392" s="26"/>
      <c r="AU392" s="26"/>
      <c r="AV392" s="95"/>
      <c r="AW392" s="95"/>
      <c r="AX392" s="95"/>
      <c r="AY392" s="54"/>
      <c r="AZ392" s="54"/>
      <c r="BA392" s="15"/>
      <c r="BB392" s="54"/>
      <c r="BC392" s="54"/>
      <c r="BD392" s="22"/>
      <c r="BE392" s="23"/>
      <c r="BL392" s="92"/>
      <c r="BN392" s="5"/>
      <c r="BO392" s="54"/>
      <c r="BP392" s="5"/>
      <c r="BQ392" s="5"/>
      <c r="BR392" s="24"/>
      <c r="BS392" s="25"/>
      <c r="BT392" s="25"/>
      <c r="BU392" s="25"/>
      <c r="BV392" s="25"/>
      <c r="BW392" s="25"/>
      <c r="BX392" s="25"/>
      <c r="BY392" s="25"/>
      <c r="BZ392" s="25"/>
      <c r="CA392" s="25"/>
      <c r="CB392" s="25"/>
      <c r="CC392" s="5"/>
      <c r="CD392" s="5"/>
      <c r="CE392" s="5"/>
      <c r="CF392" s="5"/>
      <c r="CG392" s="5"/>
      <c r="CH392" s="5"/>
      <c r="CI392" s="68"/>
      <c r="CJ392" s="5"/>
      <c r="CK392" s="5"/>
      <c r="CL392" s="102"/>
      <c r="CM392" s="5"/>
      <c r="CN392" s="5"/>
      <c r="CO392" s="5"/>
      <c r="CP392" s="25"/>
      <c r="CQ392" s="68"/>
      <c r="CR392" s="68"/>
      <c r="CS392" s="5"/>
      <c r="CT392" s="5"/>
      <c r="CU392" s="68"/>
      <c r="CV392" s="5"/>
      <c r="CW392" s="25"/>
      <c r="CX392" s="72"/>
      <c r="CY392" s="102"/>
      <c r="CZ392" s="5"/>
      <c r="DA392" s="47"/>
      <c r="DB392" s="46"/>
      <c r="DC392" s="5"/>
      <c r="DD392" s="5"/>
      <c r="DE392" s="5"/>
      <c r="DF392" s="5"/>
      <c r="DG392" s="5"/>
      <c r="DH392" s="203"/>
      <c r="DI392" s="203"/>
      <c r="DJ392" s="46"/>
      <c r="DK392" s="5"/>
      <c r="EB392" s="18"/>
      <c r="EC392" s="77"/>
      <c r="ED392" s="77"/>
      <c r="EE392" s="18"/>
      <c r="EF392" s="18"/>
      <c r="EG392" s="18"/>
      <c r="EH392" s="5"/>
      <c r="EI392" s="5"/>
      <c r="EJ392" s="5"/>
      <c r="EK392" s="5"/>
      <c r="EL392" s="5"/>
      <c r="FE392" s="26"/>
      <c r="FF392" s="26"/>
      <c r="FG392" s="26"/>
      <c r="FH392" s="26"/>
      <c r="FI392" s="26"/>
      <c r="FJ392" s="26"/>
      <c r="FK392" s="26"/>
      <c r="FL392" s="26"/>
      <c r="FM392" s="26"/>
      <c r="FN392" s="205"/>
      <c r="FO392" s="205"/>
      <c r="FP392" s="205"/>
      <c r="FQ392" s="205"/>
      <c r="FR392" s="205"/>
      <c r="FS392" s="205"/>
      <c r="FT392" s="205"/>
      <c r="FU392" s="77"/>
      <c r="FV392" s="77"/>
      <c r="FW392" s="77"/>
      <c r="FX392" s="205"/>
      <c r="FY392" s="205"/>
      <c r="FZ392" s="205"/>
      <c r="GA392" s="205"/>
      <c r="GB392" s="205"/>
      <c r="GC392" s="205"/>
      <c r="GD392" s="205"/>
      <c r="GE392" s="205"/>
      <c r="GF392" s="205"/>
      <c r="GG392" s="205"/>
      <c r="GH392" s="205"/>
      <c r="GI392" s="205"/>
      <c r="GJ392" s="205"/>
      <c r="GK392" s="205"/>
      <c r="GL392" s="205"/>
      <c r="GM392" s="205"/>
      <c r="GN392" s="205"/>
      <c r="GO392" s="205"/>
      <c r="GP392" s="205"/>
      <c r="GQ392" s="205"/>
      <c r="GR392" s="205"/>
      <c r="GS392" s="205"/>
      <c r="GT392" s="205"/>
      <c r="GU392" s="205"/>
      <c r="GV392" s="18"/>
      <c r="GW392" s="5"/>
      <c r="GX392" s="5"/>
      <c r="GY392" s="77"/>
      <c r="GZ392" s="18"/>
      <c r="HA392" s="18"/>
      <c r="HB392" s="18"/>
      <c r="HC392" s="18"/>
      <c r="HD392" s="18"/>
      <c r="HE392" s="18"/>
      <c r="HF392" s="18"/>
      <c r="HG392" s="18"/>
      <c r="HH392" s="18"/>
      <c r="HI392" s="18"/>
      <c r="HJ392" s="18"/>
      <c r="HK392" s="18"/>
    </row>
    <row r="393" spans="40:219">
      <c r="AN393" s="26"/>
      <c r="AO393" s="26"/>
      <c r="AP393" s="15"/>
      <c r="AQ393" s="5"/>
      <c r="AR393" s="26"/>
      <c r="AS393" s="26"/>
      <c r="AT393" s="26"/>
      <c r="AU393" s="26"/>
      <c r="AV393" s="95"/>
      <c r="AW393" s="95"/>
      <c r="AX393" s="95"/>
      <c r="AY393" s="54"/>
      <c r="AZ393" s="54"/>
      <c r="BA393" s="15"/>
      <c r="BB393" s="54"/>
      <c r="BC393" s="54"/>
      <c r="BD393" s="22"/>
      <c r="BE393" s="23"/>
      <c r="BL393" s="92"/>
      <c r="BN393" s="5"/>
      <c r="BO393" s="54"/>
      <c r="BP393" s="5"/>
      <c r="BQ393" s="5"/>
      <c r="BR393" s="24"/>
      <c r="BS393" s="25"/>
      <c r="BT393" s="25"/>
      <c r="BU393" s="25"/>
      <c r="BV393" s="25"/>
      <c r="BW393" s="25"/>
      <c r="BX393" s="25"/>
      <c r="BY393" s="25"/>
      <c r="BZ393" s="25"/>
      <c r="CA393" s="25"/>
      <c r="CB393" s="25"/>
      <c r="CC393" s="5"/>
      <c r="CD393" s="5"/>
      <c r="CE393" s="5"/>
      <c r="CF393" s="5"/>
      <c r="CG393" s="5"/>
      <c r="CH393" s="5"/>
      <c r="CI393" s="68"/>
      <c r="CJ393" s="5"/>
      <c r="CK393" s="5"/>
      <c r="CL393" s="102"/>
      <c r="CM393" s="5"/>
      <c r="CN393" s="5"/>
      <c r="CO393" s="5"/>
      <c r="CP393" s="25"/>
      <c r="CQ393" s="68"/>
      <c r="CR393" s="68"/>
      <c r="CS393" s="5"/>
      <c r="CT393" s="5"/>
      <c r="CU393" s="68"/>
      <c r="CV393" s="5"/>
      <c r="CW393" s="25"/>
      <c r="CX393" s="72"/>
      <c r="CY393" s="102"/>
      <c r="CZ393" s="5"/>
      <c r="DA393" s="47"/>
      <c r="DB393" s="46"/>
      <c r="DC393" s="5"/>
      <c r="DD393" s="5"/>
      <c r="DE393" s="5"/>
      <c r="DF393" s="5"/>
      <c r="DG393" s="5"/>
      <c r="DH393" s="203"/>
      <c r="DI393" s="203"/>
      <c r="DJ393" s="46"/>
      <c r="DK393" s="5"/>
      <c r="EB393" s="18"/>
      <c r="EC393" s="77"/>
      <c r="ED393" s="77"/>
      <c r="EE393" s="18"/>
      <c r="EF393" s="18"/>
      <c r="EG393" s="18"/>
      <c r="EH393" s="5"/>
      <c r="EI393" s="5"/>
      <c r="EJ393" s="5"/>
      <c r="EK393" s="5"/>
      <c r="EL393" s="5"/>
      <c r="FE393" s="26"/>
      <c r="FF393" s="26"/>
      <c r="FG393" s="26"/>
      <c r="FH393" s="26"/>
      <c r="FI393" s="26"/>
      <c r="FJ393" s="26"/>
      <c r="FK393" s="26"/>
      <c r="FL393" s="26"/>
      <c r="FM393" s="26"/>
      <c r="FN393" s="205"/>
      <c r="FO393" s="205"/>
      <c r="FP393" s="205"/>
      <c r="FQ393" s="205"/>
      <c r="FR393" s="205"/>
      <c r="FS393" s="205"/>
      <c r="FT393" s="205"/>
      <c r="FU393" s="77"/>
      <c r="FV393" s="77"/>
      <c r="FW393" s="77"/>
      <c r="FX393" s="205"/>
      <c r="FY393" s="205"/>
      <c r="FZ393" s="205"/>
      <c r="GA393" s="205"/>
      <c r="GB393" s="205"/>
      <c r="GC393" s="205"/>
      <c r="GD393" s="205"/>
      <c r="GE393" s="205"/>
      <c r="GF393" s="205"/>
      <c r="GG393" s="205"/>
      <c r="GH393" s="205"/>
      <c r="GI393" s="205"/>
      <c r="GJ393" s="205"/>
      <c r="GK393" s="205"/>
      <c r="GL393" s="205"/>
      <c r="GM393" s="205"/>
      <c r="GN393" s="205"/>
      <c r="GO393" s="205"/>
      <c r="GP393" s="205"/>
      <c r="GQ393" s="205"/>
      <c r="GR393" s="205"/>
      <c r="GS393" s="205"/>
      <c r="GT393" s="205"/>
      <c r="GU393" s="205"/>
      <c r="GV393" s="18"/>
      <c r="GW393" s="5"/>
      <c r="GX393" s="5"/>
      <c r="GY393" s="77"/>
      <c r="GZ393" s="18"/>
      <c r="HA393" s="18"/>
      <c r="HB393" s="18"/>
      <c r="HC393" s="18"/>
      <c r="HD393" s="18"/>
      <c r="HE393" s="18"/>
      <c r="HF393" s="18"/>
      <c r="HG393" s="18"/>
      <c r="HH393" s="18"/>
      <c r="HI393" s="18"/>
      <c r="HJ393" s="18"/>
      <c r="HK393" s="18"/>
    </row>
    <row r="394" spans="40:219">
      <c r="AN394" s="26"/>
      <c r="AO394" s="26"/>
      <c r="AP394" s="15"/>
      <c r="AQ394" s="5"/>
      <c r="AR394" s="26"/>
      <c r="AS394" s="26"/>
      <c r="AT394" s="26"/>
      <c r="AU394" s="26"/>
      <c r="AV394" s="95"/>
      <c r="AW394" s="95"/>
      <c r="AX394" s="95"/>
      <c r="AY394" s="54"/>
      <c r="AZ394" s="54"/>
      <c r="BA394" s="15"/>
      <c r="BB394" s="54"/>
      <c r="BC394" s="54"/>
      <c r="BD394" s="22"/>
      <c r="BE394" s="23"/>
      <c r="BL394" s="92"/>
      <c r="BN394" s="5"/>
      <c r="BO394" s="54"/>
      <c r="BP394" s="5"/>
      <c r="BQ394" s="5"/>
      <c r="BR394" s="24"/>
      <c r="BS394" s="25"/>
      <c r="BT394" s="25"/>
      <c r="BU394" s="25"/>
      <c r="BV394" s="25"/>
      <c r="BW394" s="25"/>
      <c r="BX394" s="25"/>
      <c r="BY394" s="25"/>
      <c r="BZ394" s="25"/>
      <c r="CA394" s="25"/>
      <c r="CB394" s="25"/>
      <c r="CC394" s="5"/>
      <c r="CD394" s="5"/>
      <c r="CE394" s="5"/>
      <c r="CF394" s="5"/>
      <c r="CG394" s="5"/>
      <c r="CH394" s="5"/>
      <c r="CI394" s="68"/>
      <c r="CJ394" s="5"/>
      <c r="CK394" s="5"/>
      <c r="CL394" s="102"/>
      <c r="CM394" s="5"/>
      <c r="CN394" s="5"/>
      <c r="CO394" s="5"/>
      <c r="CP394" s="25"/>
      <c r="CQ394" s="68"/>
      <c r="CR394" s="68"/>
      <c r="CS394" s="5"/>
      <c r="CT394" s="5"/>
      <c r="CU394" s="68"/>
      <c r="CV394" s="5"/>
      <c r="CW394" s="25"/>
      <c r="CX394" s="72"/>
      <c r="CY394" s="102"/>
      <c r="CZ394" s="5"/>
      <c r="DA394" s="47"/>
      <c r="DB394" s="46"/>
      <c r="DC394" s="5"/>
      <c r="DD394" s="5"/>
      <c r="DE394" s="5"/>
      <c r="DF394" s="5"/>
      <c r="DG394" s="5"/>
      <c r="DH394" s="203"/>
      <c r="DI394" s="203"/>
      <c r="DJ394" s="46"/>
      <c r="DK394" s="5"/>
      <c r="EB394" s="18"/>
      <c r="EC394" s="77"/>
      <c r="ED394" s="77"/>
      <c r="EE394" s="18"/>
      <c r="EF394" s="18"/>
      <c r="EG394" s="18"/>
      <c r="EH394" s="5"/>
      <c r="EI394" s="5"/>
      <c r="EJ394" s="5"/>
      <c r="EK394" s="5"/>
      <c r="EL394" s="5"/>
      <c r="FE394" s="26"/>
      <c r="FF394" s="26"/>
      <c r="FG394" s="26"/>
      <c r="FH394" s="26"/>
      <c r="FI394" s="26"/>
      <c r="FJ394" s="26"/>
      <c r="FK394" s="26"/>
      <c r="FL394" s="26"/>
      <c r="FM394" s="26"/>
      <c r="FN394" s="205"/>
      <c r="FO394" s="205"/>
      <c r="FP394" s="205"/>
      <c r="FQ394" s="205"/>
      <c r="FR394" s="205"/>
      <c r="FS394" s="205"/>
      <c r="FT394" s="205"/>
      <c r="FU394" s="77"/>
      <c r="FV394" s="77"/>
      <c r="FW394" s="77"/>
      <c r="FX394" s="205"/>
      <c r="FY394" s="205"/>
      <c r="FZ394" s="205"/>
      <c r="GA394" s="205"/>
      <c r="GB394" s="205"/>
      <c r="GC394" s="205"/>
      <c r="GD394" s="205"/>
      <c r="GE394" s="205"/>
      <c r="GF394" s="205"/>
      <c r="GG394" s="205"/>
      <c r="GH394" s="205"/>
      <c r="GI394" s="205"/>
      <c r="GJ394" s="205"/>
      <c r="GK394" s="205"/>
      <c r="GL394" s="205"/>
      <c r="GM394" s="205"/>
      <c r="GN394" s="205"/>
      <c r="GO394" s="205"/>
      <c r="GP394" s="205"/>
      <c r="GQ394" s="205"/>
      <c r="GR394" s="205"/>
      <c r="GS394" s="205"/>
      <c r="GT394" s="205"/>
      <c r="GU394" s="205"/>
      <c r="GV394" s="18"/>
      <c r="GW394" s="5"/>
      <c r="GX394" s="5"/>
      <c r="GY394" s="77"/>
      <c r="GZ394" s="18"/>
      <c r="HA394" s="18"/>
      <c r="HB394" s="18"/>
      <c r="HC394" s="18"/>
      <c r="HD394" s="18"/>
      <c r="HE394" s="18"/>
      <c r="HF394" s="18"/>
      <c r="HG394" s="18"/>
      <c r="HH394" s="18"/>
      <c r="HI394" s="18"/>
      <c r="HJ394" s="18"/>
      <c r="HK394" s="18"/>
    </row>
    <row r="395" spans="40:219">
      <c r="AN395" s="26"/>
      <c r="AO395" s="26"/>
      <c r="AP395" s="15"/>
      <c r="AQ395" s="5"/>
      <c r="AR395" s="26"/>
      <c r="AS395" s="26"/>
      <c r="AT395" s="26"/>
      <c r="AU395" s="26"/>
      <c r="AV395" s="95"/>
      <c r="AW395" s="95"/>
      <c r="AX395" s="95"/>
      <c r="AY395" s="54"/>
      <c r="AZ395" s="54"/>
      <c r="BA395" s="15"/>
      <c r="BB395" s="54"/>
      <c r="BC395" s="54"/>
      <c r="BD395" s="22"/>
      <c r="BE395" s="23"/>
      <c r="BL395" s="92"/>
      <c r="BN395" s="5"/>
      <c r="BO395" s="54"/>
      <c r="BP395" s="5"/>
      <c r="BQ395" s="5"/>
      <c r="BR395" s="24"/>
      <c r="BS395" s="25"/>
      <c r="BT395" s="25"/>
      <c r="BU395" s="25"/>
      <c r="BV395" s="25"/>
      <c r="BW395" s="25"/>
      <c r="BX395" s="25"/>
      <c r="BY395" s="25"/>
      <c r="BZ395" s="25"/>
      <c r="CA395" s="25"/>
      <c r="CB395" s="25"/>
      <c r="CC395" s="5"/>
      <c r="CD395" s="5"/>
      <c r="CE395" s="5"/>
      <c r="CF395" s="5"/>
      <c r="CG395" s="5"/>
      <c r="CH395" s="5"/>
      <c r="CI395" s="68"/>
      <c r="CJ395" s="5"/>
      <c r="CK395" s="5"/>
      <c r="CL395" s="102"/>
      <c r="CM395" s="5"/>
      <c r="CN395" s="5"/>
      <c r="CO395" s="5"/>
      <c r="CP395" s="25"/>
      <c r="CQ395" s="68"/>
      <c r="CR395" s="68"/>
      <c r="CS395" s="5"/>
      <c r="CT395" s="5"/>
      <c r="CU395" s="68"/>
      <c r="CV395" s="5"/>
      <c r="CW395" s="25"/>
      <c r="CX395" s="72"/>
      <c r="CY395" s="102"/>
      <c r="CZ395" s="5"/>
      <c r="DA395" s="47"/>
      <c r="DB395" s="46"/>
      <c r="DC395" s="5"/>
      <c r="DD395" s="5"/>
      <c r="DE395" s="5"/>
      <c r="DF395" s="5"/>
      <c r="DG395" s="5"/>
      <c r="DH395" s="203"/>
      <c r="DI395" s="203"/>
      <c r="DJ395" s="46"/>
      <c r="DK395" s="5"/>
      <c r="EB395" s="18"/>
      <c r="EC395" s="77"/>
      <c r="ED395" s="77"/>
      <c r="EE395" s="18"/>
      <c r="EF395" s="18"/>
      <c r="EG395" s="18"/>
      <c r="EH395" s="5"/>
      <c r="EI395" s="5"/>
      <c r="EJ395" s="5"/>
      <c r="EK395" s="5"/>
      <c r="EL395" s="5"/>
      <c r="FE395" s="26"/>
      <c r="FF395" s="26"/>
      <c r="FG395" s="26"/>
      <c r="FH395" s="26"/>
      <c r="FI395" s="26"/>
      <c r="FJ395" s="26"/>
      <c r="FK395" s="26"/>
      <c r="FL395" s="26"/>
      <c r="FM395" s="26"/>
      <c r="FN395" s="205"/>
      <c r="FO395" s="205"/>
      <c r="FP395" s="205"/>
      <c r="FQ395" s="205"/>
      <c r="FR395" s="205"/>
      <c r="FS395" s="205"/>
      <c r="FT395" s="205"/>
      <c r="FU395" s="77"/>
      <c r="FV395" s="77"/>
      <c r="FW395" s="77"/>
      <c r="FX395" s="205"/>
      <c r="FY395" s="205"/>
      <c r="FZ395" s="205"/>
      <c r="GA395" s="205"/>
      <c r="GB395" s="205"/>
      <c r="GC395" s="205"/>
      <c r="GD395" s="205"/>
      <c r="GE395" s="205"/>
      <c r="GF395" s="205"/>
      <c r="GG395" s="205"/>
      <c r="GH395" s="205"/>
      <c r="GI395" s="205"/>
      <c r="GJ395" s="205"/>
      <c r="GK395" s="205"/>
      <c r="GL395" s="205"/>
      <c r="GM395" s="205"/>
      <c r="GN395" s="205"/>
      <c r="GO395" s="205"/>
      <c r="GP395" s="205"/>
      <c r="GQ395" s="205"/>
      <c r="GR395" s="205"/>
      <c r="GS395" s="205"/>
      <c r="GT395" s="205"/>
      <c r="GU395" s="205"/>
      <c r="GV395" s="18"/>
      <c r="GW395" s="5"/>
      <c r="GX395" s="5"/>
      <c r="GY395" s="77"/>
      <c r="GZ395" s="18"/>
      <c r="HA395" s="18"/>
      <c r="HB395" s="18"/>
      <c r="HC395" s="18"/>
      <c r="HD395" s="18"/>
      <c r="HE395" s="18"/>
      <c r="HF395" s="18"/>
      <c r="HG395" s="18"/>
      <c r="HH395" s="18"/>
      <c r="HI395" s="18"/>
      <c r="HJ395" s="18"/>
      <c r="HK395" s="18"/>
    </row>
    <row r="396" spans="40:219">
      <c r="AN396" s="26"/>
      <c r="AO396" s="26"/>
      <c r="AP396" s="15"/>
      <c r="AQ396" s="5"/>
      <c r="AR396" s="26"/>
      <c r="AS396" s="26"/>
      <c r="AT396" s="26"/>
      <c r="AU396" s="26"/>
      <c r="AV396" s="95"/>
      <c r="AW396" s="95"/>
      <c r="AX396" s="95"/>
      <c r="AY396" s="54"/>
      <c r="AZ396" s="54"/>
      <c r="BA396" s="15"/>
      <c r="BB396" s="54"/>
      <c r="BC396" s="54"/>
      <c r="BD396" s="22"/>
      <c r="BE396" s="23"/>
      <c r="BL396" s="92"/>
      <c r="BN396" s="5"/>
      <c r="BO396" s="54"/>
      <c r="BP396" s="5"/>
      <c r="BQ396" s="5"/>
      <c r="BR396" s="24"/>
      <c r="BS396" s="25"/>
      <c r="BT396" s="25"/>
      <c r="BU396" s="25"/>
      <c r="BV396" s="25"/>
      <c r="BW396" s="25"/>
      <c r="BX396" s="25"/>
      <c r="BY396" s="25"/>
      <c r="BZ396" s="25"/>
      <c r="CA396" s="25"/>
      <c r="CB396" s="25"/>
      <c r="CC396" s="5"/>
      <c r="CD396" s="5"/>
      <c r="CE396" s="5"/>
      <c r="CF396" s="5"/>
      <c r="CG396" s="5"/>
      <c r="CH396" s="5"/>
      <c r="CI396" s="68"/>
      <c r="CJ396" s="5"/>
      <c r="CK396" s="5"/>
      <c r="CL396" s="102"/>
      <c r="CM396" s="5"/>
      <c r="CN396" s="5"/>
      <c r="CO396" s="5"/>
      <c r="CP396" s="25"/>
      <c r="CQ396" s="68"/>
      <c r="CR396" s="68"/>
      <c r="CS396" s="5"/>
      <c r="CT396" s="5"/>
      <c r="CU396" s="68"/>
      <c r="CV396" s="5"/>
      <c r="CW396" s="25"/>
      <c r="CX396" s="72"/>
      <c r="CY396" s="102"/>
      <c r="CZ396" s="5"/>
      <c r="DA396" s="47"/>
      <c r="DB396" s="46"/>
      <c r="DC396" s="5"/>
      <c r="DD396" s="5"/>
      <c r="DE396" s="5"/>
      <c r="DF396" s="5"/>
      <c r="DG396" s="5"/>
      <c r="DH396" s="203"/>
      <c r="DI396" s="203"/>
      <c r="DJ396" s="46"/>
      <c r="DK396" s="5"/>
      <c r="EB396" s="18"/>
      <c r="EC396" s="77"/>
      <c r="ED396" s="77"/>
      <c r="EE396" s="18"/>
      <c r="EF396" s="18"/>
      <c r="EG396" s="18"/>
      <c r="EH396" s="5"/>
      <c r="EI396" s="5"/>
      <c r="EJ396" s="5"/>
      <c r="EK396" s="5"/>
      <c r="EL396" s="5"/>
      <c r="FE396" s="26"/>
      <c r="FF396" s="26"/>
      <c r="FG396" s="26"/>
      <c r="FH396" s="26"/>
      <c r="FI396" s="26"/>
      <c r="FJ396" s="26"/>
      <c r="FK396" s="26"/>
      <c r="FL396" s="26"/>
      <c r="FM396" s="26"/>
      <c r="FN396" s="205"/>
      <c r="FO396" s="205"/>
      <c r="FP396" s="205"/>
      <c r="FQ396" s="205"/>
      <c r="FR396" s="205"/>
      <c r="FS396" s="205"/>
      <c r="FT396" s="205"/>
      <c r="FU396" s="77"/>
      <c r="FV396" s="77"/>
      <c r="FW396" s="77"/>
      <c r="FX396" s="205"/>
      <c r="FY396" s="205"/>
      <c r="FZ396" s="205"/>
      <c r="GA396" s="205"/>
      <c r="GB396" s="205"/>
      <c r="GC396" s="205"/>
      <c r="GD396" s="205"/>
      <c r="GE396" s="205"/>
      <c r="GF396" s="205"/>
      <c r="GG396" s="205"/>
      <c r="GH396" s="205"/>
      <c r="GI396" s="205"/>
      <c r="GJ396" s="205"/>
      <c r="GK396" s="205"/>
      <c r="GL396" s="205"/>
      <c r="GM396" s="205"/>
      <c r="GN396" s="205"/>
      <c r="GO396" s="205"/>
      <c r="GP396" s="205"/>
      <c r="GQ396" s="205"/>
      <c r="GR396" s="205"/>
      <c r="GS396" s="205"/>
      <c r="GT396" s="205"/>
      <c r="GU396" s="205"/>
      <c r="GV396" s="18"/>
      <c r="GW396" s="5"/>
      <c r="GX396" s="5"/>
      <c r="GY396" s="77"/>
      <c r="GZ396" s="18"/>
      <c r="HA396" s="18"/>
      <c r="HB396" s="18"/>
      <c r="HC396" s="18"/>
      <c r="HD396" s="18"/>
      <c r="HE396" s="18"/>
      <c r="HF396" s="18"/>
      <c r="HG396" s="18"/>
      <c r="HH396" s="18"/>
      <c r="HI396" s="18"/>
      <c r="HJ396" s="18"/>
      <c r="HK396" s="18"/>
    </row>
    <row r="397" spans="40:219">
      <c r="AN397" s="26"/>
      <c r="AO397" s="26"/>
      <c r="AP397" s="15"/>
      <c r="AQ397" s="5"/>
      <c r="AR397" s="26"/>
      <c r="AS397" s="26"/>
      <c r="AT397" s="26"/>
      <c r="AU397" s="26"/>
      <c r="AV397" s="95"/>
      <c r="AW397" s="95"/>
      <c r="AX397" s="95"/>
      <c r="AY397" s="54"/>
      <c r="AZ397" s="54"/>
      <c r="BA397" s="15"/>
      <c r="BB397" s="54"/>
      <c r="BC397" s="54"/>
      <c r="BD397" s="22"/>
      <c r="BE397" s="23"/>
      <c r="BL397" s="92"/>
      <c r="BN397" s="5"/>
      <c r="BO397" s="54"/>
      <c r="BP397" s="5"/>
      <c r="BQ397" s="5"/>
      <c r="BR397" s="24"/>
      <c r="BS397" s="25"/>
      <c r="BT397" s="25"/>
      <c r="BU397" s="25"/>
      <c r="BV397" s="25"/>
      <c r="BW397" s="25"/>
      <c r="BX397" s="25"/>
      <c r="BY397" s="25"/>
      <c r="BZ397" s="25"/>
      <c r="CA397" s="25"/>
      <c r="CB397" s="25"/>
      <c r="CC397" s="5"/>
      <c r="CD397" s="5"/>
      <c r="CE397" s="5"/>
      <c r="CF397" s="5"/>
      <c r="CG397" s="5"/>
      <c r="CH397" s="5"/>
      <c r="CI397" s="68"/>
      <c r="CJ397" s="5"/>
      <c r="CK397" s="5"/>
      <c r="CL397" s="102"/>
      <c r="CM397" s="5"/>
      <c r="CN397" s="5"/>
      <c r="CO397" s="5"/>
      <c r="CP397" s="25"/>
      <c r="CQ397" s="68"/>
      <c r="CR397" s="68"/>
      <c r="CS397" s="5"/>
      <c r="CT397" s="5"/>
      <c r="CU397" s="68"/>
      <c r="CV397" s="5"/>
      <c r="CW397" s="25"/>
      <c r="CX397" s="72"/>
      <c r="CY397" s="102"/>
      <c r="CZ397" s="5"/>
      <c r="DA397" s="47"/>
      <c r="DB397" s="46"/>
      <c r="DC397" s="5"/>
      <c r="DD397" s="5"/>
      <c r="DE397" s="5"/>
      <c r="DF397" s="5"/>
      <c r="DG397" s="5"/>
      <c r="DH397" s="203"/>
      <c r="DI397" s="203"/>
      <c r="DJ397" s="46"/>
      <c r="DK397" s="5"/>
      <c r="EB397" s="18"/>
      <c r="EC397" s="77"/>
      <c r="ED397" s="77"/>
      <c r="EE397" s="18"/>
      <c r="EF397" s="18"/>
      <c r="EG397" s="18"/>
      <c r="EH397" s="5"/>
      <c r="EI397" s="5"/>
      <c r="EJ397" s="5"/>
      <c r="EK397" s="5"/>
      <c r="EL397" s="5"/>
      <c r="FE397" s="26"/>
      <c r="FF397" s="26"/>
      <c r="FG397" s="26"/>
      <c r="FH397" s="26"/>
      <c r="FI397" s="26"/>
      <c r="FJ397" s="26"/>
      <c r="FK397" s="26"/>
      <c r="FL397" s="26"/>
      <c r="FM397" s="26"/>
      <c r="FN397" s="205"/>
      <c r="FO397" s="205"/>
      <c r="FP397" s="205"/>
      <c r="FQ397" s="205"/>
      <c r="FR397" s="205"/>
      <c r="FS397" s="205"/>
      <c r="FT397" s="205"/>
      <c r="FU397" s="77"/>
      <c r="FV397" s="77"/>
      <c r="FW397" s="77"/>
      <c r="FX397" s="205"/>
      <c r="FY397" s="205"/>
      <c r="FZ397" s="205"/>
      <c r="GA397" s="205"/>
      <c r="GB397" s="205"/>
      <c r="GC397" s="205"/>
      <c r="GD397" s="205"/>
      <c r="GE397" s="205"/>
      <c r="GF397" s="205"/>
      <c r="GG397" s="205"/>
      <c r="GH397" s="205"/>
      <c r="GI397" s="205"/>
      <c r="GJ397" s="205"/>
      <c r="GK397" s="205"/>
      <c r="GL397" s="205"/>
      <c r="GM397" s="205"/>
      <c r="GN397" s="205"/>
      <c r="GO397" s="205"/>
      <c r="GP397" s="205"/>
      <c r="GQ397" s="205"/>
      <c r="GR397" s="205"/>
      <c r="GS397" s="205"/>
      <c r="GT397" s="205"/>
      <c r="GU397" s="205"/>
      <c r="GV397" s="18"/>
      <c r="GW397" s="5"/>
      <c r="GX397" s="5"/>
      <c r="GY397" s="77"/>
      <c r="GZ397" s="18"/>
      <c r="HA397" s="18"/>
      <c r="HB397" s="18"/>
      <c r="HC397" s="18"/>
      <c r="HD397" s="18"/>
      <c r="HE397" s="18"/>
      <c r="HF397" s="18"/>
      <c r="HG397" s="18"/>
      <c r="HH397" s="18"/>
      <c r="HI397" s="18"/>
      <c r="HJ397" s="18"/>
      <c r="HK397" s="18"/>
    </row>
    <row r="398" spans="40:219">
      <c r="AN398" s="26"/>
      <c r="AO398" s="26"/>
      <c r="AP398" s="15"/>
      <c r="AQ398" s="5"/>
      <c r="AR398" s="26"/>
      <c r="AS398" s="26"/>
      <c r="AT398" s="26"/>
      <c r="AU398" s="26"/>
      <c r="AV398" s="95"/>
      <c r="AW398" s="95"/>
      <c r="AX398" s="95"/>
      <c r="AY398" s="54"/>
      <c r="AZ398" s="54"/>
      <c r="BA398" s="15"/>
      <c r="BB398" s="54"/>
      <c r="BC398" s="54"/>
      <c r="BD398" s="22"/>
      <c r="BE398" s="23"/>
      <c r="BL398" s="92"/>
      <c r="BN398" s="5"/>
      <c r="BO398" s="54"/>
      <c r="BP398" s="5"/>
      <c r="BQ398" s="5"/>
      <c r="BR398" s="24"/>
      <c r="BS398" s="25"/>
      <c r="BT398" s="25"/>
      <c r="BU398" s="25"/>
      <c r="BV398" s="25"/>
      <c r="BW398" s="25"/>
      <c r="BX398" s="25"/>
      <c r="BY398" s="25"/>
      <c r="BZ398" s="25"/>
      <c r="CA398" s="25"/>
      <c r="CB398" s="25"/>
      <c r="CC398" s="5"/>
      <c r="CD398" s="5"/>
      <c r="CE398" s="5"/>
      <c r="CF398" s="5"/>
      <c r="CG398" s="5"/>
      <c r="CH398" s="5"/>
      <c r="CI398" s="68"/>
      <c r="CJ398" s="5"/>
      <c r="CK398" s="5"/>
      <c r="CL398" s="102"/>
      <c r="CM398" s="5"/>
      <c r="CN398" s="5"/>
      <c r="CO398" s="5"/>
      <c r="CP398" s="25"/>
      <c r="CQ398" s="68"/>
      <c r="CR398" s="68"/>
      <c r="CS398" s="5"/>
      <c r="CT398" s="5"/>
      <c r="CU398" s="68"/>
      <c r="CV398" s="5"/>
      <c r="CW398" s="25"/>
      <c r="CX398" s="72"/>
      <c r="CY398" s="102"/>
      <c r="CZ398" s="5"/>
      <c r="DA398" s="47"/>
      <c r="DB398" s="46"/>
      <c r="DC398" s="5"/>
      <c r="DD398" s="5"/>
      <c r="DE398" s="5"/>
      <c r="DF398" s="5"/>
      <c r="DG398" s="5"/>
      <c r="DH398" s="203"/>
      <c r="DI398" s="203"/>
      <c r="DJ398" s="46"/>
      <c r="DK398" s="5"/>
      <c r="EB398" s="18"/>
      <c r="EC398" s="77"/>
      <c r="ED398" s="77"/>
      <c r="EE398" s="18"/>
      <c r="EF398" s="18"/>
      <c r="EG398" s="18"/>
      <c r="EH398" s="5"/>
      <c r="EI398" s="5"/>
      <c r="EJ398" s="5"/>
      <c r="EK398" s="5"/>
      <c r="EL398" s="5"/>
      <c r="FE398" s="26"/>
      <c r="FF398" s="26"/>
      <c r="FG398" s="26"/>
      <c r="FH398" s="26"/>
      <c r="FI398" s="26"/>
      <c r="FJ398" s="26"/>
      <c r="FK398" s="26"/>
      <c r="FL398" s="26"/>
      <c r="FM398" s="26"/>
      <c r="FN398" s="205"/>
      <c r="FO398" s="205"/>
      <c r="FP398" s="205"/>
      <c r="FQ398" s="205"/>
      <c r="FR398" s="205"/>
      <c r="FS398" s="205"/>
      <c r="FT398" s="205"/>
      <c r="FU398" s="77"/>
      <c r="FV398" s="77"/>
      <c r="FW398" s="77"/>
      <c r="FX398" s="205"/>
      <c r="FY398" s="205"/>
      <c r="FZ398" s="205"/>
      <c r="GA398" s="205"/>
      <c r="GB398" s="205"/>
      <c r="GC398" s="205"/>
      <c r="GD398" s="205"/>
      <c r="GE398" s="205"/>
      <c r="GF398" s="205"/>
      <c r="GG398" s="205"/>
      <c r="GH398" s="205"/>
      <c r="GI398" s="205"/>
      <c r="GJ398" s="205"/>
      <c r="GK398" s="205"/>
      <c r="GL398" s="205"/>
      <c r="GM398" s="205"/>
      <c r="GN398" s="205"/>
      <c r="GO398" s="205"/>
      <c r="GP398" s="205"/>
      <c r="GQ398" s="205"/>
      <c r="GR398" s="205"/>
      <c r="GS398" s="205"/>
      <c r="GT398" s="205"/>
      <c r="GU398" s="205"/>
      <c r="GV398" s="18"/>
      <c r="GW398" s="5"/>
      <c r="GX398" s="5"/>
      <c r="GY398" s="77"/>
      <c r="GZ398" s="18"/>
      <c r="HA398" s="18"/>
      <c r="HB398" s="18"/>
      <c r="HC398" s="18"/>
      <c r="HD398" s="18"/>
      <c r="HE398" s="18"/>
      <c r="HF398" s="18"/>
      <c r="HG398" s="18"/>
      <c r="HH398" s="18"/>
      <c r="HI398" s="18"/>
      <c r="HJ398" s="18"/>
      <c r="HK398" s="18"/>
    </row>
    <row r="399" spans="40:219">
      <c r="AN399" s="26"/>
      <c r="AO399" s="26"/>
      <c r="AP399" s="15"/>
      <c r="AQ399" s="5"/>
      <c r="AR399" s="26"/>
      <c r="AS399" s="26"/>
      <c r="AT399" s="26"/>
      <c r="AU399" s="26"/>
      <c r="AV399" s="95"/>
      <c r="AW399" s="95"/>
      <c r="AX399" s="95"/>
      <c r="AY399" s="54"/>
      <c r="AZ399" s="54"/>
      <c r="BA399" s="15"/>
      <c r="BB399" s="54"/>
      <c r="BC399" s="54"/>
      <c r="BD399" s="22"/>
      <c r="BE399" s="23"/>
      <c r="BL399" s="92"/>
      <c r="BN399" s="5"/>
      <c r="BO399" s="54"/>
      <c r="BP399" s="5"/>
      <c r="BQ399" s="5"/>
      <c r="BR399" s="24"/>
      <c r="BS399" s="25"/>
      <c r="BT399" s="25"/>
      <c r="BU399" s="25"/>
      <c r="BV399" s="25"/>
      <c r="BW399" s="25"/>
      <c r="BX399" s="25"/>
      <c r="BY399" s="25"/>
      <c r="BZ399" s="25"/>
      <c r="CA399" s="25"/>
      <c r="CB399" s="25"/>
      <c r="CC399" s="5"/>
      <c r="CD399" s="5"/>
      <c r="CE399" s="5"/>
      <c r="CF399" s="5"/>
      <c r="CG399" s="5"/>
      <c r="CH399" s="5"/>
      <c r="CI399" s="68"/>
      <c r="CJ399" s="5"/>
      <c r="CK399" s="5"/>
      <c r="CL399" s="102"/>
      <c r="CM399" s="5"/>
      <c r="CN399" s="5"/>
      <c r="CO399" s="5"/>
      <c r="CP399" s="25"/>
      <c r="CQ399" s="68"/>
      <c r="CR399" s="68"/>
      <c r="CS399" s="5"/>
      <c r="CT399" s="5"/>
      <c r="CU399" s="68"/>
      <c r="CV399" s="5"/>
      <c r="CW399" s="25"/>
      <c r="CX399" s="72"/>
      <c r="CY399" s="102"/>
      <c r="CZ399" s="5"/>
      <c r="DA399" s="47"/>
      <c r="DB399" s="46"/>
      <c r="DC399" s="5"/>
      <c r="DD399" s="5"/>
      <c r="DE399" s="5"/>
      <c r="DF399" s="5"/>
      <c r="DG399" s="5"/>
      <c r="DH399" s="203"/>
      <c r="DI399" s="203"/>
      <c r="DJ399" s="46"/>
      <c r="DK399" s="5"/>
      <c r="EB399" s="18"/>
      <c r="EC399" s="77"/>
      <c r="ED399" s="77"/>
      <c r="EE399" s="18"/>
      <c r="EF399" s="18"/>
      <c r="EG399" s="18"/>
      <c r="EH399" s="5"/>
      <c r="EI399" s="5"/>
      <c r="EJ399" s="5"/>
      <c r="EK399" s="5"/>
      <c r="EL399" s="5"/>
      <c r="FE399" s="26"/>
      <c r="FF399" s="26"/>
      <c r="FG399" s="26"/>
      <c r="FH399" s="26"/>
      <c r="FI399" s="26"/>
      <c r="FJ399" s="26"/>
      <c r="FK399" s="26"/>
      <c r="FL399" s="26"/>
      <c r="FM399" s="26"/>
      <c r="FN399" s="205"/>
      <c r="FO399" s="205"/>
      <c r="FP399" s="205"/>
      <c r="FQ399" s="205"/>
      <c r="FR399" s="205"/>
      <c r="FS399" s="205"/>
      <c r="FT399" s="205"/>
      <c r="FU399" s="77"/>
      <c r="FV399" s="77"/>
      <c r="FW399" s="77"/>
      <c r="FX399" s="205"/>
      <c r="FY399" s="205"/>
      <c r="FZ399" s="205"/>
      <c r="GA399" s="205"/>
      <c r="GB399" s="205"/>
      <c r="GC399" s="205"/>
      <c r="GD399" s="205"/>
      <c r="GE399" s="205"/>
      <c r="GF399" s="205"/>
      <c r="GG399" s="205"/>
      <c r="GH399" s="205"/>
      <c r="GI399" s="205"/>
      <c r="GJ399" s="205"/>
      <c r="GK399" s="205"/>
      <c r="GL399" s="205"/>
      <c r="GM399" s="205"/>
      <c r="GN399" s="205"/>
      <c r="GO399" s="205"/>
      <c r="GP399" s="205"/>
      <c r="GQ399" s="205"/>
      <c r="GR399" s="205"/>
      <c r="GS399" s="205"/>
      <c r="GT399" s="205"/>
      <c r="GU399" s="205"/>
      <c r="GV399" s="18"/>
      <c r="GW399" s="5"/>
      <c r="GX399" s="5"/>
      <c r="GY399" s="77"/>
      <c r="GZ399" s="18"/>
      <c r="HA399" s="18"/>
      <c r="HB399" s="18"/>
      <c r="HC399" s="18"/>
      <c r="HD399" s="18"/>
      <c r="HE399" s="18"/>
      <c r="HF399" s="18"/>
      <c r="HG399" s="18"/>
      <c r="HH399" s="18"/>
      <c r="HI399" s="18"/>
      <c r="HJ399" s="18"/>
      <c r="HK399" s="18"/>
    </row>
    <row r="400" spans="40:219">
      <c r="AN400" s="26"/>
      <c r="AO400" s="26"/>
      <c r="AP400" s="15"/>
      <c r="AQ400" s="5"/>
      <c r="AR400" s="26"/>
      <c r="AS400" s="26"/>
      <c r="AT400" s="26"/>
      <c r="AU400" s="26"/>
      <c r="AV400" s="95"/>
      <c r="AW400" s="95"/>
      <c r="AX400" s="95"/>
      <c r="AY400" s="54"/>
      <c r="AZ400" s="54"/>
      <c r="BA400" s="15"/>
      <c r="BB400" s="54"/>
      <c r="BC400" s="54"/>
      <c r="BD400" s="22"/>
      <c r="BE400" s="23"/>
      <c r="BL400" s="92"/>
      <c r="BN400" s="5"/>
      <c r="BO400" s="54"/>
      <c r="BP400" s="5"/>
      <c r="BQ400" s="5"/>
      <c r="BR400" s="24"/>
      <c r="BS400" s="25"/>
      <c r="BT400" s="25"/>
      <c r="BU400" s="25"/>
      <c r="BV400" s="25"/>
      <c r="BW400" s="25"/>
      <c r="BX400" s="25"/>
      <c r="BY400" s="25"/>
      <c r="BZ400" s="25"/>
      <c r="CA400" s="25"/>
      <c r="CB400" s="25"/>
      <c r="CC400" s="5"/>
      <c r="CD400" s="5"/>
      <c r="CE400" s="5"/>
      <c r="CF400" s="5"/>
      <c r="CG400" s="5"/>
      <c r="CH400" s="5"/>
      <c r="CI400" s="68"/>
      <c r="CJ400" s="5"/>
      <c r="CK400" s="5"/>
      <c r="CL400" s="102"/>
      <c r="CM400" s="5"/>
      <c r="CN400" s="5"/>
      <c r="CO400" s="5"/>
      <c r="CP400" s="25"/>
      <c r="CQ400" s="68"/>
      <c r="CR400" s="68"/>
      <c r="CS400" s="5"/>
      <c r="CT400" s="5"/>
      <c r="CU400" s="68"/>
      <c r="CV400" s="5"/>
      <c r="CW400" s="25"/>
      <c r="CX400" s="72"/>
      <c r="CY400" s="102"/>
      <c r="CZ400" s="5"/>
      <c r="DA400" s="47"/>
      <c r="DB400" s="46"/>
      <c r="DC400" s="5"/>
      <c r="DD400" s="5"/>
      <c r="DE400" s="5"/>
      <c r="DF400" s="5"/>
      <c r="DG400" s="5"/>
      <c r="DH400" s="203"/>
      <c r="DI400" s="203"/>
      <c r="DJ400" s="46"/>
      <c r="DK400" s="5"/>
      <c r="EB400" s="18"/>
      <c r="EC400" s="77"/>
      <c r="ED400" s="77"/>
      <c r="EE400" s="18"/>
      <c r="EF400" s="18"/>
      <c r="EG400" s="18"/>
      <c r="EH400" s="5"/>
      <c r="EI400" s="5"/>
      <c r="EJ400" s="5"/>
      <c r="EK400" s="5"/>
      <c r="EL400" s="5"/>
      <c r="FE400" s="26"/>
      <c r="FF400" s="26"/>
      <c r="FG400" s="26"/>
      <c r="FH400" s="26"/>
      <c r="FI400" s="26"/>
      <c r="FJ400" s="26"/>
      <c r="FK400" s="26"/>
      <c r="FL400" s="26"/>
      <c r="FM400" s="26"/>
      <c r="FN400" s="205"/>
      <c r="FO400" s="205"/>
      <c r="FP400" s="205"/>
      <c r="FQ400" s="205"/>
      <c r="FR400" s="205"/>
      <c r="FS400" s="205"/>
      <c r="FT400" s="205"/>
      <c r="FU400" s="77"/>
      <c r="FV400" s="77"/>
      <c r="FW400" s="77"/>
      <c r="FX400" s="205"/>
      <c r="FY400" s="205"/>
      <c r="FZ400" s="205"/>
      <c r="GA400" s="205"/>
      <c r="GB400" s="205"/>
      <c r="GC400" s="205"/>
      <c r="GD400" s="205"/>
      <c r="GE400" s="205"/>
      <c r="GF400" s="205"/>
      <c r="GG400" s="205"/>
      <c r="GH400" s="205"/>
      <c r="GI400" s="205"/>
      <c r="GJ400" s="205"/>
      <c r="GK400" s="205"/>
      <c r="GL400" s="205"/>
      <c r="GM400" s="205"/>
      <c r="GN400" s="205"/>
      <c r="GO400" s="205"/>
      <c r="GP400" s="205"/>
      <c r="GQ400" s="205"/>
      <c r="GR400" s="205"/>
      <c r="GS400" s="205"/>
      <c r="GT400" s="205"/>
      <c r="GU400" s="205"/>
      <c r="GV400" s="18"/>
      <c r="GW400" s="5"/>
      <c r="GX400" s="5"/>
      <c r="GY400" s="77"/>
      <c r="GZ400" s="18"/>
      <c r="HA400" s="18"/>
      <c r="HB400" s="18"/>
      <c r="HC400" s="18"/>
      <c r="HD400" s="18"/>
      <c r="HE400" s="18"/>
      <c r="HF400" s="18"/>
      <c r="HG400" s="18"/>
      <c r="HH400" s="18"/>
      <c r="HI400" s="18"/>
      <c r="HJ400" s="18"/>
      <c r="HK400" s="18"/>
    </row>
    <row r="401" spans="40:219">
      <c r="AN401" s="26"/>
      <c r="AO401" s="26"/>
      <c r="AP401" s="15"/>
      <c r="AQ401" s="5"/>
      <c r="AR401" s="26"/>
      <c r="AS401" s="26"/>
      <c r="AT401" s="26"/>
      <c r="AU401" s="26"/>
      <c r="AV401" s="95"/>
      <c r="AW401" s="95"/>
      <c r="AX401" s="95"/>
      <c r="AY401" s="54"/>
      <c r="AZ401" s="54"/>
      <c r="BA401" s="15"/>
      <c r="BB401" s="54"/>
      <c r="BC401" s="54"/>
      <c r="BD401" s="22"/>
      <c r="BE401" s="23"/>
      <c r="BL401" s="92"/>
      <c r="BN401" s="5"/>
      <c r="BO401" s="54"/>
      <c r="BP401" s="5"/>
      <c r="BQ401" s="5"/>
      <c r="BR401" s="24"/>
      <c r="BS401" s="25"/>
      <c r="BT401" s="25"/>
      <c r="BU401" s="25"/>
      <c r="BV401" s="25"/>
      <c r="BW401" s="25"/>
      <c r="BX401" s="25"/>
      <c r="BY401" s="25"/>
      <c r="BZ401" s="25"/>
      <c r="CA401" s="25"/>
      <c r="CB401" s="25"/>
      <c r="CC401" s="5"/>
      <c r="CD401" s="5"/>
      <c r="CE401" s="5"/>
      <c r="CF401" s="5"/>
      <c r="CG401" s="5"/>
      <c r="CH401" s="5"/>
      <c r="CI401" s="68"/>
      <c r="CJ401" s="5"/>
      <c r="CK401" s="5"/>
      <c r="CL401" s="102"/>
      <c r="CM401" s="5"/>
      <c r="CN401" s="5"/>
      <c r="CO401" s="5"/>
      <c r="CP401" s="25"/>
      <c r="CQ401" s="68"/>
      <c r="CR401" s="68"/>
      <c r="CS401" s="5"/>
      <c r="CT401" s="5"/>
      <c r="CU401" s="68"/>
      <c r="CV401" s="5"/>
      <c r="CW401" s="25"/>
      <c r="CX401" s="72"/>
      <c r="CY401" s="102"/>
      <c r="CZ401" s="5"/>
      <c r="DA401" s="47"/>
      <c r="DB401" s="46"/>
      <c r="DC401" s="5"/>
      <c r="DD401" s="5"/>
      <c r="DE401" s="5"/>
      <c r="DF401" s="5"/>
      <c r="DG401" s="5"/>
      <c r="DH401" s="203"/>
      <c r="DI401" s="203"/>
      <c r="DJ401" s="46"/>
      <c r="DK401" s="5"/>
      <c r="EB401" s="18"/>
      <c r="EC401" s="77"/>
      <c r="ED401" s="77"/>
      <c r="EE401" s="18"/>
      <c r="EF401" s="18"/>
      <c r="EG401" s="18"/>
      <c r="EH401" s="5"/>
      <c r="EI401" s="5"/>
      <c r="EJ401" s="5"/>
      <c r="EK401" s="5"/>
      <c r="EL401" s="5"/>
      <c r="FE401" s="26"/>
      <c r="FF401" s="26"/>
      <c r="FG401" s="26"/>
      <c r="FH401" s="26"/>
      <c r="FI401" s="26"/>
      <c r="FJ401" s="26"/>
      <c r="FK401" s="26"/>
      <c r="FL401" s="26"/>
      <c r="FM401" s="26"/>
      <c r="FN401" s="205"/>
      <c r="FO401" s="205"/>
      <c r="FP401" s="205"/>
      <c r="FQ401" s="205"/>
      <c r="FR401" s="205"/>
      <c r="FS401" s="205"/>
      <c r="FT401" s="205"/>
      <c r="FU401" s="77"/>
      <c r="FV401" s="77"/>
      <c r="FW401" s="77"/>
      <c r="FX401" s="205"/>
      <c r="FY401" s="205"/>
      <c r="FZ401" s="205"/>
      <c r="GA401" s="205"/>
      <c r="GB401" s="205"/>
      <c r="GC401" s="205"/>
      <c r="GD401" s="205"/>
      <c r="GE401" s="205"/>
      <c r="GF401" s="205"/>
      <c r="GG401" s="205"/>
      <c r="GH401" s="205"/>
      <c r="GI401" s="205"/>
      <c r="GJ401" s="205"/>
      <c r="GK401" s="205"/>
      <c r="GL401" s="205"/>
      <c r="GM401" s="205"/>
      <c r="GN401" s="205"/>
      <c r="GO401" s="205"/>
      <c r="GP401" s="205"/>
      <c r="GQ401" s="205"/>
      <c r="GR401" s="205"/>
      <c r="GS401" s="205"/>
      <c r="GT401" s="205"/>
      <c r="GU401" s="205"/>
      <c r="GV401" s="18"/>
      <c r="GW401" s="5"/>
      <c r="GX401" s="5"/>
      <c r="GY401" s="77"/>
      <c r="GZ401" s="18"/>
      <c r="HA401" s="18"/>
      <c r="HB401" s="18"/>
      <c r="HC401" s="18"/>
      <c r="HD401" s="18"/>
      <c r="HE401" s="18"/>
      <c r="HF401" s="18"/>
      <c r="HG401" s="18"/>
      <c r="HH401" s="18"/>
      <c r="HI401" s="18"/>
      <c r="HJ401" s="18"/>
      <c r="HK401" s="18"/>
    </row>
    <row r="402" spans="40:219">
      <c r="AN402" s="26"/>
      <c r="AO402" s="26"/>
      <c r="AP402" s="15"/>
      <c r="AQ402" s="5"/>
      <c r="AR402" s="26"/>
      <c r="AS402" s="26"/>
      <c r="AT402" s="26"/>
      <c r="AU402" s="26"/>
      <c r="AV402" s="95"/>
      <c r="AW402" s="95"/>
      <c r="AX402" s="95"/>
      <c r="AY402" s="54"/>
      <c r="AZ402" s="54"/>
      <c r="BA402" s="15"/>
      <c r="BB402" s="54"/>
      <c r="BC402" s="54"/>
      <c r="BD402" s="22"/>
      <c r="BE402" s="23"/>
      <c r="BL402" s="92"/>
      <c r="BN402" s="5"/>
      <c r="BO402" s="54"/>
      <c r="BP402" s="5"/>
      <c r="BQ402" s="5"/>
      <c r="BR402" s="24"/>
      <c r="BS402" s="25"/>
      <c r="BT402" s="25"/>
      <c r="BU402" s="25"/>
      <c r="BV402" s="25"/>
      <c r="BW402" s="25"/>
      <c r="BX402" s="25"/>
      <c r="BY402" s="25"/>
      <c r="BZ402" s="25"/>
      <c r="CA402" s="25"/>
      <c r="CB402" s="25"/>
      <c r="CC402" s="5"/>
      <c r="CD402" s="5"/>
      <c r="CE402" s="5"/>
      <c r="CF402" s="5"/>
      <c r="CG402" s="5"/>
      <c r="CH402" s="5"/>
      <c r="CI402" s="68"/>
      <c r="CJ402" s="5"/>
      <c r="CK402" s="5"/>
      <c r="CL402" s="102"/>
      <c r="CM402" s="5"/>
      <c r="CN402" s="5"/>
      <c r="CO402" s="5"/>
      <c r="CP402" s="25"/>
      <c r="CQ402" s="68"/>
      <c r="CR402" s="68"/>
      <c r="CS402" s="5"/>
      <c r="CT402" s="5"/>
      <c r="CU402" s="68"/>
      <c r="CV402" s="5"/>
      <c r="CW402" s="25"/>
      <c r="CX402" s="72"/>
      <c r="CY402" s="102"/>
      <c r="CZ402" s="5"/>
      <c r="DA402" s="47"/>
      <c r="DB402" s="46"/>
      <c r="DC402" s="5"/>
      <c r="DD402" s="5"/>
      <c r="DE402" s="5"/>
      <c r="DF402" s="5"/>
      <c r="DG402" s="5"/>
      <c r="DH402" s="203"/>
      <c r="DI402" s="203"/>
      <c r="DJ402" s="46"/>
      <c r="DK402" s="5"/>
      <c r="EB402" s="18"/>
      <c r="EC402" s="77"/>
      <c r="ED402" s="77"/>
      <c r="EE402" s="18"/>
      <c r="EF402" s="18"/>
      <c r="EG402" s="18"/>
      <c r="EH402" s="5"/>
      <c r="EI402" s="5"/>
      <c r="EJ402" s="5"/>
      <c r="EK402" s="5"/>
      <c r="EL402" s="5"/>
      <c r="FE402" s="26"/>
      <c r="FF402" s="26"/>
      <c r="FG402" s="26"/>
      <c r="FH402" s="26"/>
      <c r="FI402" s="26"/>
      <c r="FJ402" s="26"/>
      <c r="FK402" s="26"/>
      <c r="FL402" s="26"/>
      <c r="FM402" s="26"/>
      <c r="FN402" s="205"/>
      <c r="FO402" s="205"/>
      <c r="FP402" s="205"/>
      <c r="FQ402" s="205"/>
      <c r="FR402" s="205"/>
      <c r="FS402" s="205"/>
      <c r="FT402" s="205"/>
      <c r="FU402" s="77"/>
      <c r="FV402" s="77"/>
      <c r="FW402" s="77"/>
      <c r="FX402" s="205"/>
      <c r="FY402" s="205"/>
      <c r="FZ402" s="205"/>
      <c r="GA402" s="205"/>
      <c r="GB402" s="205"/>
      <c r="GC402" s="205"/>
      <c r="GD402" s="205"/>
      <c r="GE402" s="205"/>
      <c r="GF402" s="205"/>
      <c r="GG402" s="205"/>
      <c r="GH402" s="205"/>
      <c r="GI402" s="205"/>
      <c r="GJ402" s="205"/>
      <c r="GK402" s="205"/>
      <c r="GL402" s="205"/>
      <c r="GM402" s="205"/>
      <c r="GN402" s="205"/>
      <c r="GO402" s="205"/>
      <c r="GP402" s="205"/>
      <c r="GQ402" s="205"/>
      <c r="GR402" s="205"/>
      <c r="GS402" s="205"/>
      <c r="GT402" s="205"/>
      <c r="GU402" s="205"/>
      <c r="GV402" s="18"/>
      <c r="GW402" s="5"/>
      <c r="GX402" s="5"/>
      <c r="GY402" s="77"/>
      <c r="GZ402" s="18"/>
      <c r="HA402" s="18"/>
      <c r="HB402" s="18"/>
      <c r="HC402" s="18"/>
      <c r="HD402" s="18"/>
      <c r="HE402" s="18"/>
      <c r="HF402" s="18"/>
      <c r="HG402" s="18"/>
      <c r="HH402" s="18"/>
      <c r="HI402" s="18"/>
      <c r="HJ402" s="18"/>
      <c r="HK402" s="18"/>
    </row>
    <row r="403" spans="40:219">
      <c r="AN403" s="26"/>
      <c r="AO403" s="26"/>
      <c r="AP403" s="15"/>
      <c r="AQ403" s="5"/>
      <c r="AR403" s="26"/>
      <c r="AS403" s="26"/>
      <c r="AT403" s="26"/>
      <c r="AU403" s="26"/>
      <c r="AV403" s="95"/>
      <c r="AW403" s="95"/>
      <c r="AX403" s="95"/>
      <c r="AY403" s="54"/>
      <c r="AZ403" s="54"/>
      <c r="BA403" s="15"/>
      <c r="BB403" s="54"/>
      <c r="BC403" s="54"/>
      <c r="BD403" s="22"/>
      <c r="BE403" s="23"/>
      <c r="BL403" s="92"/>
      <c r="BN403" s="5"/>
      <c r="BO403" s="54"/>
      <c r="BP403" s="5"/>
      <c r="BQ403" s="5"/>
      <c r="BR403" s="24"/>
      <c r="BS403" s="25"/>
      <c r="BT403" s="25"/>
      <c r="BU403" s="25"/>
      <c r="BV403" s="25"/>
      <c r="BW403" s="25"/>
      <c r="BX403" s="25"/>
      <c r="BY403" s="25"/>
      <c r="BZ403" s="25"/>
      <c r="CA403" s="25"/>
      <c r="CB403" s="25"/>
      <c r="CC403" s="5"/>
      <c r="CD403" s="5"/>
      <c r="CE403" s="5"/>
      <c r="CF403" s="5"/>
      <c r="CG403" s="5"/>
      <c r="CH403" s="5"/>
      <c r="CI403" s="68"/>
      <c r="CJ403" s="5"/>
      <c r="CK403" s="5"/>
      <c r="CL403" s="102"/>
      <c r="CM403" s="5"/>
      <c r="CN403" s="5"/>
      <c r="CO403" s="5"/>
      <c r="CP403" s="25"/>
      <c r="CQ403" s="68"/>
      <c r="CR403" s="68"/>
      <c r="CS403" s="5"/>
      <c r="CT403" s="5"/>
      <c r="CU403" s="68"/>
      <c r="CV403" s="5"/>
      <c r="CW403" s="25"/>
      <c r="CX403" s="72"/>
      <c r="CY403" s="102"/>
      <c r="CZ403" s="5"/>
      <c r="DA403" s="47"/>
      <c r="DB403" s="46"/>
      <c r="DC403" s="5"/>
      <c r="DD403" s="5"/>
      <c r="DE403" s="5"/>
      <c r="DF403" s="5"/>
      <c r="DG403" s="5"/>
      <c r="DH403" s="203"/>
      <c r="DI403" s="203"/>
      <c r="DJ403" s="46"/>
      <c r="DK403" s="5"/>
      <c r="EA403" s="206"/>
      <c r="EB403" s="207"/>
      <c r="EC403" s="208"/>
      <c r="ED403" s="208"/>
      <c r="EE403" s="207"/>
      <c r="EF403" s="207"/>
      <c r="EG403" s="207"/>
      <c r="EH403" s="209"/>
      <c r="EI403" s="209"/>
      <c r="EJ403" s="209"/>
      <c r="EK403" s="210"/>
      <c r="EL403" s="210"/>
      <c r="EM403" s="211"/>
      <c r="EN403" s="206"/>
      <c r="EO403" s="206"/>
      <c r="EP403" s="206"/>
      <c r="EQ403" s="206"/>
      <c r="ER403" s="206"/>
      <c r="ES403" s="206"/>
      <c r="ET403" s="206"/>
      <c r="EU403" s="206"/>
      <c r="EV403" s="206"/>
      <c r="EW403" s="212"/>
      <c r="EX403" s="212"/>
      <c r="EY403" s="212"/>
      <c r="EZ403" s="212"/>
      <c r="FA403" s="212"/>
      <c r="FB403" s="212"/>
      <c r="FC403" s="212"/>
      <c r="FD403" s="228"/>
      <c r="FE403" s="214"/>
      <c r="FF403" s="214"/>
      <c r="FG403" s="214"/>
      <c r="FH403" s="214"/>
      <c r="FI403" s="214"/>
      <c r="FJ403" s="214"/>
      <c r="FK403" s="214"/>
      <c r="FL403" s="214"/>
      <c r="FM403" s="214"/>
      <c r="FN403" s="213"/>
      <c r="FO403" s="213"/>
      <c r="FP403" s="213"/>
      <c r="FQ403" s="213"/>
      <c r="FR403" s="213"/>
      <c r="FS403" s="213"/>
      <c r="FT403" s="213"/>
      <c r="FU403" s="208"/>
      <c r="FV403" s="208"/>
      <c r="FW403" s="208"/>
      <c r="FX403" s="213"/>
      <c r="FY403" s="213"/>
      <c r="FZ403" s="213"/>
      <c r="GA403" s="213"/>
      <c r="GB403" s="213"/>
      <c r="GC403" s="213"/>
      <c r="GD403" s="213"/>
      <c r="GE403" s="213"/>
      <c r="GF403" s="213"/>
      <c r="GG403" s="213"/>
      <c r="GH403" s="213"/>
      <c r="GI403" s="213"/>
      <c r="GJ403" s="213"/>
      <c r="GK403" s="213"/>
      <c r="GL403" s="213"/>
      <c r="GM403" s="213"/>
    </row>
    <row r="404" spans="40:219">
      <c r="AN404" s="26"/>
      <c r="AO404" s="26"/>
      <c r="AP404" s="15"/>
      <c r="AQ404" s="5"/>
      <c r="AR404" s="26"/>
      <c r="AS404" s="26"/>
      <c r="AT404" s="26"/>
      <c r="AU404" s="26"/>
      <c r="AV404" s="95"/>
      <c r="AW404" s="95"/>
      <c r="AX404" s="95"/>
      <c r="AY404" s="54"/>
      <c r="AZ404" s="54"/>
      <c r="BA404" s="15"/>
      <c r="BB404" s="54"/>
      <c r="BC404" s="54"/>
      <c r="BD404" s="22"/>
      <c r="BE404" s="23"/>
      <c r="BL404" s="92"/>
      <c r="BN404" s="5"/>
      <c r="BO404" s="54"/>
      <c r="BP404" s="5"/>
      <c r="BQ404" s="5"/>
      <c r="BR404" s="24"/>
      <c r="BS404" s="25"/>
      <c r="BT404" s="25"/>
      <c r="BU404" s="25"/>
      <c r="BV404" s="25"/>
      <c r="BW404" s="25"/>
      <c r="BX404" s="25"/>
      <c r="BY404" s="25"/>
      <c r="BZ404" s="25"/>
      <c r="CA404" s="25"/>
      <c r="CB404" s="25"/>
      <c r="CC404" s="5"/>
      <c r="CD404" s="5"/>
      <c r="CE404" s="5"/>
      <c r="CF404" s="5"/>
      <c r="CG404" s="5"/>
      <c r="CH404" s="5"/>
      <c r="CI404" s="68"/>
      <c r="CJ404" s="5"/>
      <c r="CK404" s="5"/>
      <c r="CL404" s="102"/>
      <c r="CM404" s="5"/>
      <c r="CN404" s="5"/>
      <c r="CO404" s="5"/>
      <c r="CP404" s="25"/>
      <c r="CQ404" s="68"/>
      <c r="CR404" s="68"/>
      <c r="CS404" s="5"/>
      <c r="CT404" s="5"/>
      <c r="CU404" s="68"/>
      <c r="CV404" s="5"/>
      <c r="CW404" s="25"/>
      <c r="CX404" s="72"/>
      <c r="CY404" s="102"/>
      <c r="CZ404" s="5"/>
      <c r="DA404" s="47"/>
      <c r="DB404" s="46"/>
      <c r="DC404" s="5"/>
      <c r="DD404" s="5"/>
      <c r="DE404" s="5"/>
      <c r="DF404" s="5"/>
      <c r="DG404" s="5"/>
      <c r="DH404" s="203"/>
      <c r="DI404" s="203"/>
      <c r="DJ404" s="46"/>
      <c r="DK404" s="5"/>
    </row>
    <row r="405" spans="40:219">
      <c r="AN405" s="26"/>
      <c r="AO405" s="26"/>
      <c r="AP405" s="15"/>
      <c r="AQ405" s="5"/>
      <c r="AR405" s="26"/>
      <c r="AS405" s="26"/>
      <c r="AT405" s="26"/>
      <c r="AU405" s="26"/>
      <c r="AV405" s="95"/>
      <c r="AW405" s="95"/>
      <c r="AX405" s="95"/>
      <c r="AY405" s="54"/>
      <c r="AZ405" s="54"/>
      <c r="BA405" s="15"/>
      <c r="BB405" s="54"/>
      <c r="BC405" s="54"/>
      <c r="BD405" s="22"/>
      <c r="BE405" s="23"/>
      <c r="BL405" s="92"/>
      <c r="BN405" s="5"/>
      <c r="BO405" s="54"/>
      <c r="BP405" s="5"/>
      <c r="BQ405" s="5"/>
      <c r="BR405" s="24"/>
      <c r="BS405" s="25"/>
      <c r="BT405" s="25"/>
      <c r="BU405" s="25"/>
      <c r="BV405" s="25"/>
      <c r="BW405" s="25"/>
      <c r="BX405" s="25"/>
      <c r="BY405" s="25"/>
      <c r="BZ405" s="25"/>
      <c r="CA405" s="25"/>
      <c r="CB405" s="25"/>
      <c r="CC405" s="5"/>
      <c r="CD405" s="5"/>
      <c r="CE405" s="5"/>
      <c r="CF405" s="5"/>
      <c r="CG405" s="5"/>
      <c r="CH405" s="5"/>
      <c r="CI405" s="68"/>
      <c r="CJ405" s="5"/>
      <c r="CK405" s="5"/>
      <c r="CL405" s="102"/>
      <c r="CM405" s="5"/>
      <c r="CN405" s="5"/>
      <c r="CO405" s="5"/>
      <c r="CP405" s="25"/>
      <c r="CQ405" s="68"/>
      <c r="CR405" s="68"/>
      <c r="CS405" s="5"/>
      <c r="CT405" s="5"/>
      <c r="CU405" s="68"/>
      <c r="CV405" s="5"/>
      <c r="CW405" s="25"/>
      <c r="CX405" s="72"/>
      <c r="CY405" s="102"/>
      <c r="CZ405" s="5"/>
      <c r="DA405" s="47"/>
      <c r="DB405" s="46"/>
      <c r="DC405" s="5"/>
      <c r="DD405" s="5"/>
      <c r="DE405" s="5"/>
      <c r="DF405" s="5"/>
      <c r="DG405" s="5"/>
      <c r="DH405" s="203"/>
      <c r="DI405" s="203"/>
      <c r="DJ405" s="46"/>
      <c r="DK405" s="5"/>
    </row>
    <row r="406" spans="40:219">
      <c r="AN406" s="26"/>
      <c r="AO406" s="26"/>
      <c r="AP406" s="15"/>
      <c r="AQ406" s="5"/>
      <c r="AR406" s="26"/>
      <c r="AS406" s="26"/>
      <c r="AT406" s="26"/>
      <c r="AU406" s="26"/>
      <c r="AV406" s="95"/>
      <c r="AW406" s="95"/>
      <c r="AX406" s="95"/>
      <c r="AY406" s="54"/>
      <c r="AZ406" s="54"/>
      <c r="BA406" s="15"/>
      <c r="BB406" s="54"/>
      <c r="BC406" s="54"/>
      <c r="BD406" s="22"/>
      <c r="BE406" s="23"/>
      <c r="BL406" s="92"/>
      <c r="BN406" s="5"/>
      <c r="BO406" s="54"/>
      <c r="BP406" s="5"/>
      <c r="BQ406" s="5"/>
      <c r="BR406" s="24"/>
      <c r="BS406" s="25"/>
      <c r="BT406" s="25"/>
      <c r="BU406" s="25"/>
      <c r="BV406" s="25"/>
      <c r="BW406" s="25"/>
      <c r="BX406" s="25"/>
      <c r="BY406" s="25"/>
      <c r="BZ406" s="25"/>
      <c r="CA406" s="25"/>
      <c r="CB406" s="25"/>
      <c r="CC406" s="5"/>
      <c r="CD406" s="5"/>
      <c r="CE406" s="5"/>
      <c r="CF406" s="5"/>
      <c r="CG406" s="5"/>
      <c r="CH406" s="5"/>
      <c r="CI406" s="68"/>
      <c r="CJ406" s="5"/>
      <c r="CK406" s="5"/>
      <c r="CL406" s="102"/>
      <c r="CM406" s="5"/>
      <c r="CN406" s="5"/>
      <c r="CO406" s="5"/>
      <c r="CP406" s="25"/>
      <c r="CQ406" s="68"/>
      <c r="CR406" s="68"/>
      <c r="CS406" s="5"/>
      <c r="CT406" s="5"/>
      <c r="CU406" s="68"/>
      <c r="CV406" s="5"/>
      <c r="CW406" s="25"/>
      <c r="CX406" s="72"/>
      <c r="CY406" s="102"/>
      <c r="CZ406" s="5"/>
      <c r="DA406" s="47"/>
      <c r="DB406" s="46"/>
      <c r="DC406" s="5"/>
      <c r="DD406" s="5"/>
      <c r="DE406" s="5"/>
      <c r="DF406" s="5"/>
      <c r="DG406" s="5"/>
      <c r="DH406" s="203"/>
      <c r="DI406" s="203"/>
      <c r="DJ406" s="46"/>
      <c r="DK406" s="5"/>
    </row>
    <row r="407" spans="40:219">
      <c r="AN407" s="26"/>
      <c r="AO407" s="26"/>
      <c r="AP407" s="15"/>
      <c r="AQ407" s="5"/>
      <c r="AR407" s="26"/>
      <c r="AS407" s="26"/>
      <c r="AT407" s="26"/>
      <c r="AU407" s="26"/>
      <c r="AV407" s="95"/>
      <c r="AW407" s="95"/>
      <c r="AX407" s="95"/>
      <c r="AY407" s="54"/>
      <c r="AZ407" s="54"/>
      <c r="BA407" s="15"/>
      <c r="BB407" s="54"/>
      <c r="BC407" s="54"/>
      <c r="BD407" s="22"/>
      <c r="BE407" s="23"/>
      <c r="BL407" s="92"/>
      <c r="BN407" s="5"/>
      <c r="BO407" s="54"/>
      <c r="BP407" s="5"/>
      <c r="BQ407" s="5"/>
      <c r="BR407" s="24"/>
      <c r="BS407" s="25"/>
      <c r="BT407" s="25"/>
      <c r="BU407" s="25"/>
      <c r="BV407" s="25"/>
      <c r="BW407" s="25"/>
      <c r="BX407" s="25"/>
      <c r="BY407" s="25"/>
      <c r="BZ407" s="25"/>
      <c r="CA407" s="25"/>
      <c r="CB407" s="25"/>
      <c r="CC407" s="5"/>
      <c r="CD407" s="5"/>
      <c r="CE407" s="5"/>
      <c r="CF407" s="5"/>
      <c r="CG407" s="5"/>
      <c r="CH407" s="5"/>
      <c r="CI407" s="68"/>
      <c r="CJ407" s="5"/>
      <c r="CK407" s="5"/>
      <c r="CL407" s="102"/>
      <c r="CM407" s="5"/>
      <c r="CN407" s="5"/>
      <c r="CO407" s="5"/>
      <c r="CP407" s="25"/>
      <c r="CQ407" s="68"/>
      <c r="CR407" s="68"/>
      <c r="CS407" s="5"/>
      <c r="CT407" s="5"/>
      <c r="CU407" s="68"/>
      <c r="CV407" s="5"/>
      <c r="CW407" s="25"/>
      <c r="CX407" s="72"/>
      <c r="CY407" s="102"/>
      <c r="CZ407" s="5"/>
      <c r="DA407" s="47"/>
      <c r="DB407" s="46"/>
      <c r="DC407" s="5"/>
      <c r="DD407" s="5"/>
      <c r="DE407" s="5"/>
      <c r="DF407" s="5"/>
      <c r="DG407" s="5"/>
      <c r="DH407" s="203"/>
      <c r="DI407" s="203"/>
      <c r="DJ407" s="46"/>
      <c r="DK407" s="5"/>
    </row>
    <row r="408" spans="40:219">
      <c r="AN408" s="26"/>
      <c r="AO408" s="26"/>
      <c r="AP408" s="15"/>
      <c r="AQ408" s="5"/>
      <c r="AR408" s="26"/>
      <c r="AS408" s="26"/>
      <c r="AT408" s="26"/>
      <c r="AU408" s="26"/>
      <c r="AV408" s="95"/>
      <c r="AW408" s="95"/>
      <c r="AX408" s="95"/>
      <c r="AY408" s="54"/>
      <c r="AZ408" s="54"/>
      <c r="BA408" s="15"/>
      <c r="BB408" s="54"/>
      <c r="BC408" s="54"/>
      <c r="BD408" s="22"/>
      <c r="BE408" s="23"/>
      <c r="BL408" s="92"/>
      <c r="BN408" s="5"/>
      <c r="BO408" s="54"/>
      <c r="BP408" s="5"/>
      <c r="BQ408" s="5"/>
      <c r="BR408" s="24"/>
      <c r="BS408" s="25"/>
      <c r="BT408" s="25"/>
      <c r="BU408" s="25"/>
      <c r="BV408" s="25"/>
      <c r="BW408" s="25"/>
      <c r="BX408" s="25"/>
      <c r="BY408" s="25"/>
      <c r="BZ408" s="25"/>
      <c r="CA408" s="25"/>
      <c r="CB408" s="25"/>
      <c r="CC408" s="5"/>
      <c r="CD408" s="5"/>
      <c r="CE408" s="5"/>
      <c r="CF408" s="5"/>
      <c r="CG408" s="5"/>
      <c r="CH408" s="5"/>
      <c r="CI408" s="68"/>
      <c r="CJ408" s="5"/>
      <c r="CK408" s="5"/>
      <c r="CL408" s="102"/>
      <c r="CM408" s="5"/>
      <c r="CN408" s="5"/>
      <c r="CO408" s="5"/>
      <c r="CP408" s="25"/>
      <c r="CQ408" s="68"/>
      <c r="CR408" s="68"/>
      <c r="CS408" s="5"/>
      <c r="CT408" s="5"/>
      <c r="CU408" s="68"/>
      <c r="CV408" s="5"/>
      <c r="CW408" s="25"/>
      <c r="CX408" s="72"/>
      <c r="CY408" s="102"/>
      <c r="CZ408" s="5"/>
      <c r="DA408" s="47"/>
      <c r="DB408" s="46"/>
      <c r="DC408" s="5"/>
      <c r="DD408" s="5"/>
      <c r="DE408" s="5"/>
      <c r="DF408" s="5"/>
      <c r="DG408" s="5"/>
      <c r="DH408" s="203"/>
      <c r="DI408" s="203"/>
      <c r="DJ408" s="46"/>
      <c r="DK408" s="5"/>
    </row>
    <row r="409" spans="40:219">
      <c r="AN409" s="26"/>
      <c r="AO409" s="26"/>
      <c r="AP409" s="15"/>
      <c r="AQ409" s="5"/>
      <c r="AR409" s="26"/>
      <c r="AS409" s="26"/>
      <c r="AT409" s="26"/>
      <c r="AU409" s="26"/>
      <c r="AV409" s="95"/>
      <c r="AW409" s="95"/>
      <c r="AX409" s="95"/>
      <c r="AY409" s="54"/>
      <c r="AZ409" s="54"/>
      <c r="BA409" s="15"/>
      <c r="BB409" s="54"/>
      <c r="BC409" s="54"/>
      <c r="BD409" s="22"/>
      <c r="BE409" s="23"/>
      <c r="BL409" s="92"/>
      <c r="BN409" s="5"/>
      <c r="BO409" s="54"/>
      <c r="BP409" s="5"/>
      <c r="BQ409" s="5"/>
      <c r="BR409" s="24"/>
      <c r="BS409" s="25"/>
      <c r="BT409" s="25"/>
      <c r="BU409" s="25"/>
      <c r="BV409" s="25"/>
      <c r="BW409" s="25"/>
      <c r="BX409" s="25"/>
      <c r="BY409" s="25"/>
      <c r="BZ409" s="25"/>
      <c r="CA409" s="25"/>
      <c r="CB409" s="25"/>
      <c r="CC409" s="5"/>
      <c r="CD409" s="5"/>
      <c r="CE409" s="5"/>
      <c r="CF409" s="5"/>
      <c r="CG409" s="5"/>
      <c r="CH409" s="5"/>
      <c r="CI409" s="68"/>
      <c r="CJ409" s="5"/>
      <c r="CK409" s="5"/>
      <c r="CL409" s="102"/>
      <c r="CM409" s="5"/>
      <c r="CN409" s="5"/>
      <c r="CO409" s="5"/>
      <c r="CP409" s="25"/>
      <c r="CQ409" s="68"/>
      <c r="CR409" s="68"/>
      <c r="CS409" s="5"/>
      <c r="CT409" s="5"/>
      <c r="CU409" s="68"/>
      <c r="CV409" s="5"/>
      <c r="CW409" s="25"/>
      <c r="CX409" s="72"/>
      <c r="CY409" s="102"/>
      <c r="CZ409" s="5"/>
      <c r="DA409" s="47"/>
      <c r="DB409" s="46"/>
      <c r="DC409" s="5"/>
      <c r="DD409" s="5"/>
      <c r="DE409" s="5"/>
      <c r="DF409" s="5"/>
      <c r="DG409" s="5"/>
      <c r="DH409" s="203"/>
      <c r="DI409" s="203"/>
      <c r="DJ409" s="46"/>
      <c r="DK409" s="5"/>
    </row>
    <row r="410" spans="40:219">
      <c r="AN410" s="26"/>
      <c r="AO410" s="26"/>
      <c r="AP410" s="15"/>
      <c r="AQ410" s="5"/>
      <c r="AR410" s="26"/>
      <c r="AS410" s="26"/>
      <c r="AT410" s="26"/>
      <c r="AU410" s="26"/>
      <c r="AV410" s="95"/>
      <c r="AW410" s="95"/>
      <c r="AX410" s="95"/>
      <c r="AY410" s="54"/>
      <c r="AZ410" s="54"/>
      <c r="BA410" s="15"/>
      <c r="BB410" s="54"/>
      <c r="BC410" s="54"/>
      <c r="BD410" s="22"/>
      <c r="BE410" s="23"/>
      <c r="BL410" s="92"/>
      <c r="BN410" s="5"/>
      <c r="BO410" s="54"/>
      <c r="BP410" s="5"/>
      <c r="BQ410" s="5"/>
      <c r="BR410" s="24"/>
      <c r="BS410" s="25"/>
      <c r="BT410" s="25"/>
      <c r="BU410" s="25"/>
      <c r="BV410" s="25"/>
      <c r="BW410" s="25"/>
      <c r="BX410" s="25"/>
      <c r="BY410" s="25"/>
      <c r="BZ410" s="25"/>
      <c r="CA410" s="25"/>
      <c r="CB410" s="25"/>
      <c r="CC410" s="5"/>
      <c r="CD410" s="5"/>
      <c r="CE410" s="5"/>
      <c r="CF410" s="5"/>
      <c r="CG410" s="5"/>
      <c r="CH410" s="5"/>
      <c r="CI410" s="68"/>
      <c r="CJ410" s="5"/>
      <c r="CK410" s="5"/>
      <c r="CL410" s="102"/>
      <c r="CM410" s="5"/>
      <c r="CN410" s="5"/>
      <c r="CO410" s="5"/>
      <c r="CP410" s="25"/>
      <c r="CQ410" s="68"/>
      <c r="CR410" s="68"/>
      <c r="CS410" s="5"/>
      <c r="CT410" s="5"/>
      <c r="CU410" s="68"/>
      <c r="CV410" s="5"/>
      <c r="CW410" s="25"/>
      <c r="CX410" s="72"/>
      <c r="CY410" s="102"/>
      <c r="CZ410" s="5"/>
      <c r="DA410" s="47"/>
      <c r="DB410" s="46"/>
      <c r="DC410" s="5"/>
      <c r="DD410" s="5"/>
      <c r="DE410" s="5"/>
      <c r="DF410" s="5"/>
      <c r="DG410" s="5"/>
      <c r="DH410" s="203"/>
      <c r="DI410" s="203"/>
      <c r="DJ410" s="46"/>
      <c r="DK410" s="5"/>
    </row>
    <row r="411" spans="40:219">
      <c r="AN411" s="26"/>
      <c r="AO411" s="26"/>
      <c r="AP411" s="15"/>
      <c r="AQ411" s="5"/>
      <c r="AR411" s="26"/>
      <c r="AS411" s="26"/>
      <c r="AT411" s="26"/>
      <c r="AU411" s="26"/>
      <c r="AV411" s="95"/>
      <c r="AW411" s="95"/>
      <c r="AX411" s="95"/>
      <c r="AY411" s="54"/>
      <c r="AZ411" s="54"/>
      <c r="BA411" s="15"/>
      <c r="BB411" s="54"/>
      <c r="BC411" s="54"/>
      <c r="BD411" s="22"/>
      <c r="BE411" s="23"/>
      <c r="BL411" s="92"/>
      <c r="BN411" s="5"/>
      <c r="BO411" s="54"/>
      <c r="BP411" s="5"/>
      <c r="BQ411" s="5"/>
      <c r="BR411" s="24"/>
      <c r="BS411" s="25"/>
      <c r="BT411" s="25"/>
      <c r="BU411" s="25"/>
      <c r="BV411" s="25"/>
      <c r="BW411" s="25"/>
      <c r="BX411" s="25"/>
      <c r="BY411" s="25"/>
      <c r="BZ411" s="25"/>
      <c r="CA411" s="25"/>
      <c r="CB411" s="25"/>
      <c r="CC411" s="5"/>
      <c r="CD411" s="5"/>
      <c r="CE411" s="5"/>
      <c r="CF411" s="5"/>
      <c r="CG411" s="5"/>
      <c r="CH411" s="5"/>
      <c r="CI411" s="68"/>
      <c r="CJ411" s="5"/>
      <c r="CK411" s="5"/>
      <c r="CL411" s="102"/>
      <c r="CM411" s="5"/>
      <c r="CN411" s="5"/>
      <c r="CO411" s="5"/>
      <c r="CP411" s="25"/>
      <c r="CQ411" s="68"/>
      <c r="CR411" s="68"/>
      <c r="CS411" s="5"/>
      <c r="CT411" s="5"/>
      <c r="CU411" s="68"/>
      <c r="CV411" s="5"/>
      <c r="CW411" s="25"/>
      <c r="CX411" s="72"/>
      <c r="CY411" s="102"/>
      <c r="CZ411" s="5"/>
      <c r="DA411" s="47"/>
      <c r="DB411" s="46"/>
      <c r="DC411" s="5"/>
      <c r="DD411" s="5"/>
      <c r="DE411" s="5"/>
      <c r="DF411" s="5"/>
      <c r="DG411" s="5"/>
      <c r="DH411" s="203"/>
      <c r="DI411" s="203"/>
      <c r="DJ411" s="46"/>
      <c r="DK411" s="5"/>
    </row>
    <row r="412" spans="40:219">
      <c r="AN412" s="26"/>
      <c r="AO412" s="26"/>
      <c r="AP412" s="15"/>
      <c r="AQ412" s="5"/>
      <c r="AR412" s="26"/>
      <c r="AS412" s="26"/>
      <c r="AT412" s="26"/>
      <c r="AU412" s="26"/>
      <c r="AV412" s="95"/>
      <c r="AW412" s="95"/>
      <c r="AX412" s="95"/>
      <c r="AY412" s="54"/>
      <c r="AZ412" s="54"/>
      <c r="BA412" s="15"/>
      <c r="BB412" s="54"/>
      <c r="BC412" s="54"/>
      <c r="BD412" s="22"/>
      <c r="BE412" s="23"/>
      <c r="BL412" s="92"/>
      <c r="BN412" s="5"/>
      <c r="BO412" s="54"/>
      <c r="BP412" s="5"/>
      <c r="BQ412" s="5"/>
      <c r="BR412" s="24"/>
      <c r="BS412" s="25"/>
      <c r="BT412" s="25"/>
      <c r="BU412" s="25"/>
      <c r="BV412" s="25"/>
      <c r="BW412" s="25"/>
      <c r="BX412" s="25"/>
      <c r="BY412" s="25"/>
      <c r="BZ412" s="25"/>
      <c r="CA412" s="25"/>
      <c r="CB412" s="25"/>
      <c r="CC412" s="5"/>
      <c r="CD412" s="5"/>
      <c r="CE412" s="5"/>
      <c r="CF412" s="5"/>
      <c r="CG412" s="5"/>
      <c r="CH412" s="5"/>
      <c r="CI412" s="68"/>
      <c r="CJ412" s="5"/>
      <c r="CK412" s="5"/>
      <c r="CL412" s="102"/>
      <c r="CM412" s="5"/>
      <c r="CN412" s="5"/>
      <c r="CO412" s="5"/>
      <c r="CP412" s="25"/>
      <c r="CQ412" s="68"/>
      <c r="CR412" s="68"/>
      <c r="CS412" s="5"/>
      <c r="CT412" s="5"/>
      <c r="CU412" s="68"/>
      <c r="CV412" s="5"/>
      <c r="CW412" s="25"/>
      <c r="CX412" s="72"/>
      <c r="CY412" s="102"/>
      <c r="CZ412" s="5"/>
      <c r="DA412" s="47"/>
      <c r="DB412" s="46"/>
      <c r="DC412" s="5"/>
      <c r="DD412" s="5"/>
      <c r="DE412" s="5"/>
      <c r="DF412" s="5"/>
      <c r="DG412" s="5"/>
      <c r="DH412" s="203"/>
      <c r="DI412" s="203"/>
      <c r="DJ412" s="46"/>
      <c r="DK412" s="5"/>
    </row>
    <row r="413" spans="40:219">
      <c r="AN413" s="26"/>
      <c r="AO413" s="26"/>
      <c r="AP413" s="15"/>
      <c r="AQ413" s="5"/>
      <c r="AR413" s="26"/>
      <c r="AS413" s="26"/>
      <c r="AT413" s="26"/>
      <c r="AU413" s="26"/>
      <c r="AV413" s="95"/>
      <c r="AW413" s="95"/>
      <c r="AX413" s="95"/>
      <c r="AY413" s="54"/>
      <c r="AZ413" s="54"/>
      <c r="BA413" s="15"/>
      <c r="BB413" s="54"/>
      <c r="BC413" s="54"/>
      <c r="BD413" s="22"/>
      <c r="BE413" s="23"/>
      <c r="BL413" s="92"/>
      <c r="BN413" s="5"/>
      <c r="BO413" s="54"/>
      <c r="BP413" s="5"/>
      <c r="BQ413" s="5"/>
      <c r="BR413" s="24"/>
      <c r="BS413" s="25"/>
      <c r="BT413" s="25"/>
      <c r="BU413" s="25"/>
      <c r="BV413" s="25"/>
      <c r="BW413" s="25"/>
      <c r="BX413" s="25"/>
      <c r="BY413" s="25"/>
      <c r="BZ413" s="25"/>
      <c r="CA413" s="25"/>
      <c r="CB413" s="25"/>
      <c r="CC413" s="5"/>
      <c r="CD413" s="5"/>
      <c r="CE413" s="5"/>
      <c r="CF413" s="5"/>
      <c r="CG413" s="5"/>
      <c r="CH413" s="5"/>
      <c r="CI413" s="68"/>
      <c r="CJ413" s="5"/>
      <c r="CK413" s="5"/>
      <c r="CL413" s="102"/>
      <c r="CM413" s="5"/>
      <c r="CN413" s="5"/>
      <c r="CO413" s="5"/>
      <c r="CP413" s="25"/>
      <c r="CQ413" s="68"/>
      <c r="CR413" s="68"/>
      <c r="CS413" s="5"/>
      <c r="CT413" s="5"/>
      <c r="CU413" s="68"/>
      <c r="CV413" s="5"/>
      <c r="CW413" s="25"/>
      <c r="CX413" s="72"/>
      <c r="CY413" s="102"/>
      <c r="CZ413" s="5"/>
      <c r="DA413" s="47"/>
      <c r="DB413" s="46"/>
      <c r="DC413" s="5"/>
      <c r="DD413" s="5"/>
      <c r="DE413" s="5"/>
      <c r="DF413" s="5"/>
      <c r="DG413" s="5"/>
      <c r="DH413" s="203"/>
      <c r="DI413" s="203"/>
      <c r="DJ413" s="46"/>
      <c r="DK413" s="5"/>
    </row>
    <row r="414" spans="40:219">
      <c r="AN414" s="26"/>
      <c r="AO414" s="26"/>
      <c r="AP414" s="15"/>
      <c r="AQ414" s="5"/>
      <c r="AR414" s="26"/>
      <c r="AS414" s="26"/>
      <c r="AT414" s="26"/>
      <c r="AU414" s="26"/>
      <c r="AV414" s="95"/>
      <c r="AW414" s="95"/>
      <c r="AX414" s="95"/>
      <c r="AY414" s="54"/>
      <c r="AZ414" s="54"/>
      <c r="BA414" s="15"/>
      <c r="BB414" s="54"/>
      <c r="BC414" s="54"/>
      <c r="BD414" s="22"/>
      <c r="BE414" s="23"/>
      <c r="BL414" s="92"/>
      <c r="BN414" s="5"/>
      <c r="BO414" s="54"/>
      <c r="BP414" s="5"/>
      <c r="BQ414" s="5"/>
      <c r="BR414" s="24"/>
      <c r="BS414" s="25"/>
      <c r="BT414" s="25"/>
      <c r="BU414" s="25"/>
      <c r="BV414" s="25"/>
      <c r="BW414" s="25"/>
      <c r="BX414" s="25"/>
      <c r="BY414" s="25"/>
      <c r="BZ414" s="25"/>
      <c r="CA414" s="25"/>
      <c r="CB414" s="25"/>
      <c r="CC414" s="5"/>
      <c r="CD414" s="5"/>
      <c r="CE414" s="5"/>
      <c r="CF414" s="5"/>
      <c r="CG414" s="5"/>
      <c r="CH414" s="5"/>
      <c r="CI414" s="68"/>
      <c r="CJ414" s="5"/>
      <c r="CK414" s="5"/>
      <c r="CL414" s="102"/>
      <c r="CM414" s="5"/>
      <c r="CN414" s="5"/>
      <c r="CO414" s="5"/>
      <c r="CP414" s="25"/>
      <c r="CQ414" s="68"/>
      <c r="CR414" s="68"/>
      <c r="CS414" s="5"/>
      <c r="CT414" s="5"/>
      <c r="CU414" s="68"/>
      <c r="CV414" s="5"/>
      <c r="CW414" s="25"/>
      <c r="CX414" s="72"/>
      <c r="CY414" s="102"/>
      <c r="CZ414" s="5"/>
      <c r="DA414" s="47"/>
      <c r="DB414" s="46"/>
      <c r="DC414" s="5"/>
      <c r="DD414" s="5"/>
      <c r="DE414" s="5"/>
      <c r="DF414" s="5"/>
      <c r="DG414" s="5"/>
      <c r="DH414" s="203"/>
      <c r="DI414" s="203"/>
      <c r="DJ414" s="46"/>
      <c r="DK414" s="5"/>
    </row>
    <row r="415" spans="40:219">
      <c r="AN415" s="26"/>
      <c r="AO415" s="26"/>
      <c r="AP415" s="15"/>
      <c r="AQ415" s="5"/>
      <c r="AR415" s="26"/>
      <c r="AS415" s="26"/>
      <c r="AT415" s="26"/>
      <c r="AU415" s="26"/>
      <c r="AV415" s="95"/>
      <c r="AW415" s="95"/>
      <c r="AX415" s="95"/>
      <c r="AY415" s="54"/>
      <c r="AZ415" s="54"/>
      <c r="BA415" s="15"/>
      <c r="BB415" s="54"/>
      <c r="BC415" s="54"/>
      <c r="BD415" s="22"/>
      <c r="BE415" s="23"/>
      <c r="BL415" s="92"/>
      <c r="BN415" s="5"/>
      <c r="BO415" s="54"/>
      <c r="BP415" s="5"/>
      <c r="BQ415" s="5"/>
      <c r="BR415" s="24"/>
      <c r="BS415" s="25"/>
      <c r="BT415" s="25"/>
      <c r="BU415" s="25"/>
      <c r="BV415" s="25"/>
      <c r="BW415" s="25"/>
      <c r="BX415" s="25"/>
      <c r="BY415" s="25"/>
      <c r="BZ415" s="25"/>
      <c r="CA415" s="25"/>
      <c r="CB415" s="25"/>
      <c r="CC415" s="5"/>
      <c r="CD415" s="5"/>
      <c r="CE415" s="5"/>
      <c r="CF415" s="5"/>
      <c r="CG415" s="5"/>
      <c r="CH415" s="5"/>
      <c r="CI415" s="68"/>
      <c r="CJ415" s="5"/>
      <c r="CK415" s="5"/>
      <c r="CL415" s="102"/>
      <c r="CM415" s="5"/>
      <c r="CN415" s="5"/>
      <c r="CO415" s="5"/>
      <c r="CP415" s="25"/>
      <c r="CQ415" s="68"/>
      <c r="CR415" s="68"/>
      <c r="CS415" s="5"/>
      <c r="CT415" s="5"/>
      <c r="CU415" s="68"/>
      <c r="CV415" s="5"/>
      <c r="CW415" s="25"/>
      <c r="CX415" s="72"/>
      <c r="CY415" s="102"/>
      <c r="CZ415" s="5"/>
      <c r="DA415" s="47"/>
      <c r="DB415" s="46"/>
      <c r="DC415" s="5"/>
      <c r="DD415" s="5"/>
      <c r="DE415" s="5"/>
      <c r="DF415" s="5"/>
      <c r="DG415" s="5"/>
      <c r="DH415" s="203"/>
      <c r="DI415" s="203"/>
      <c r="DJ415" s="46"/>
      <c r="DK415" s="5"/>
    </row>
    <row r="416" spans="40:219">
      <c r="AN416" s="26"/>
      <c r="AO416" s="26"/>
      <c r="AP416" s="15"/>
      <c r="AQ416" s="5"/>
      <c r="AR416" s="26"/>
      <c r="AS416" s="26"/>
      <c r="AT416" s="26"/>
      <c r="AU416" s="26"/>
      <c r="AV416" s="95"/>
      <c r="AW416" s="95"/>
      <c r="AX416" s="95"/>
      <c r="AY416" s="54"/>
      <c r="AZ416" s="54"/>
      <c r="BA416" s="15"/>
      <c r="BB416" s="54"/>
      <c r="BC416" s="54"/>
      <c r="BD416" s="22"/>
      <c r="BE416" s="23"/>
      <c r="BL416" s="92"/>
      <c r="BN416" s="5"/>
      <c r="BO416" s="54"/>
      <c r="BP416" s="5"/>
      <c r="BQ416" s="5"/>
      <c r="BR416" s="24"/>
      <c r="BS416" s="25"/>
      <c r="BT416" s="25"/>
      <c r="BU416" s="25"/>
      <c r="BV416" s="25"/>
      <c r="BW416" s="25"/>
      <c r="BX416" s="25"/>
      <c r="BY416" s="25"/>
      <c r="BZ416" s="25"/>
      <c r="CA416" s="25"/>
      <c r="CB416" s="25"/>
      <c r="CC416" s="5"/>
      <c r="CD416" s="5"/>
      <c r="CE416" s="5"/>
      <c r="CF416" s="5"/>
      <c r="CG416" s="5"/>
      <c r="CH416" s="5"/>
      <c r="CI416" s="68"/>
      <c r="CJ416" s="5"/>
      <c r="CK416" s="5"/>
      <c r="CL416" s="102"/>
      <c r="CM416" s="5"/>
      <c r="CN416" s="5"/>
      <c r="CO416" s="5"/>
      <c r="CP416" s="25"/>
      <c r="CQ416" s="68"/>
      <c r="CR416" s="68"/>
      <c r="CS416" s="5"/>
      <c r="CT416" s="5"/>
      <c r="CU416" s="68"/>
      <c r="CV416" s="5"/>
      <c r="CW416" s="25"/>
      <c r="CX416" s="72"/>
      <c r="CY416" s="102"/>
      <c r="CZ416" s="5"/>
      <c r="DA416" s="47"/>
      <c r="DB416" s="46"/>
      <c r="DC416" s="5"/>
      <c r="DD416" s="5"/>
      <c r="DE416" s="5"/>
      <c r="DF416" s="5"/>
      <c r="DG416" s="5"/>
      <c r="DH416" s="203"/>
      <c r="DI416" s="203"/>
      <c r="DJ416" s="46"/>
      <c r="DK416" s="5"/>
    </row>
    <row r="417" spans="40:115">
      <c r="AN417" s="26"/>
      <c r="AO417" s="26"/>
      <c r="AP417" s="15"/>
      <c r="AQ417" s="5"/>
      <c r="AR417" s="26"/>
      <c r="AS417" s="26"/>
      <c r="AT417" s="26"/>
      <c r="AU417" s="26"/>
      <c r="AV417" s="95"/>
      <c r="AW417" s="95"/>
      <c r="AX417" s="95"/>
      <c r="AY417" s="54"/>
      <c r="AZ417" s="54"/>
      <c r="BA417" s="15"/>
      <c r="BB417" s="54"/>
      <c r="BC417" s="54"/>
      <c r="BD417" s="22"/>
      <c r="BE417" s="23"/>
      <c r="BL417" s="92"/>
      <c r="BN417" s="5"/>
      <c r="BO417" s="54"/>
      <c r="BP417" s="5"/>
      <c r="BQ417" s="5"/>
      <c r="BR417" s="24"/>
      <c r="BS417" s="25"/>
      <c r="BT417" s="25"/>
      <c r="BU417" s="25"/>
      <c r="BV417" s="25"/>
      <c r="BW417" s="25"/>
      <c r="BX417" s="25"/>
      <c r="BY417" s="25"/>
      <c r="BZ417" s="25"/>
      <c r="CA417" s="25"/>
      <c r="CB417" s="25"/>
      <c r="CC417" s="5"/>
      <c r="CD417" s="5"/>
      <c r="CE417" s="5"/>
      <c r="CF417" s="5"/>
      <c r="CG417" s="5"/>
      <c r="CH417" s="5"/>
      <c r="CI417" s="68"/>
      <c r="CJ417" s="5"/>
      <c r="CK417" s="5"/>
      <c r="CL417" s="102"/>
      <c r="CM417" s="5"/>
      <c r="CN417" s="5"/>
      <c r="CO417" s="5"/>
      <c r="CP417" s="25"/>
      <c r="CQ417" s="68"/>
      <c r="CR417" s="68"/>
      <c r="CS417" s="5"/>
      <c r="CT417" s="5"/>
      <c r="CU417" s="68"/>
      <c r="CV417" s="5"/>
      <c r="CW417" s="25"/>
      <c r="CX417" s="72"/>
      <c r="CY417" s="102"/>
      <c r="CZ417" s="5"/>
      <c r="DA417" s="47"/>
      <c r="DB417" s="46"/>
      <c r="DC417" s="5"/>
      <c r="DD417" s="5"/>
      <c r="DE417" s="5"/>
      <c r="DF417" s="5"/>
      <c r="DG417" s="5"/>
      <c r="DH417" s="203"/>
      <c r="DI417" s="203"/>
      <c r="DJ417" s="46"/>
      <c r="DK417" s="5"/>
    </row>
    <row r="418" spans="40:115">
      <c r="AN418" s="26"/>
      <c r="AO418" s="26"/>
      <c r="AP418" s="15"/>
      <c r="AQ418" s="5"/>
      <c r="AR418" s="26"/>
      <c r="AS418" s="26"/>
      <c r="AT418" s="26"/>
      <c r="AU418" s="26"/>
      <c r="AV418" s="95"/>
      <c r="AW418" s="95"/>
      <c r="AX418" s="95"/>
      <c r="AY418" s="54"/>
      <c r="AZ418" s="54"/>
      <c r="BA418" s="15"/>
      <c r="BB418" s="54"/>
      <c r="BC418" s="54"/>
      <c r="BD418" s="22"/>
      <c r="BE418" s="23"/>
      <c r="BL418" s="92"/>
      <c r="BN418" s="5"/>
      <c r="BO418" s="54"/>
      <c r="BP418" s="5"/>
      <c r="BQ418" s="5"/>
      <c r="BR418" s="24"/>
      <c r="BS418" s="25"/>
      <c r="BT418" s="25"/>
      <c r="BU418" s="25"/>
      <c r="BV418" s="25"/>
      <c r="BW418" s="25"/>
      <c r="BX418" s="25"/>
      <c r="BY418" s="25"/>
      <c r="BZ418" s="25"/>
      <c r="CA418" s="25"/>
      <c r="CB418" s="25"/>
      <c r="CC418" s="5"/>
      <c r="CD418" s="5"/>
      <c r="CE418" s="5"/>
      <c r="CF418" s="5"/>
      <c r="CG418" s="5"/>
      <c r="CH418" s="5"/>
      <c r="CI418" s="68"/>
      <c r="CJ418" s="5"/>
      <c r="CK418" s="5"/>
      <c r="CL418" s="102"/>
      <c r="CM418" s="5"/>
      <c r="CN418" s="5"/>
      <c r="CO418" s="5"/>
      <c r="CP418" s="25"/>
      <c r="CQ418" s="68"/>
      <c r="CR418" s="68"/>
      <c r="CS418" s="5"/>
      <c r="CT418" s="5"/>
      <c r="CU418" s="68"/>
      <c r="CV418" s="5"/>
      <c r="CW418" s="25"/>
      <c r="CX418" s="72"/>
      <c r="CY418" s="102"/>
      <c r="CZ418" s="5"/>
      <c r="DA418" s="47"/>
      <c r="DB418" s="46"/>
      <c r="DC418" s="5"/>
      <c r="DD418" s="5"/>
      <c r="DE418" s="5"/>
      <c r="DF418" s="5"/>
      <c r="DG418" s="5"/>
      <c r="DH418" s="203"/>
      <c r="DI418" s="203"/>
      <c r="DJ418" s="46"/>
      <c r="DK418" s="5"/>
    </row>
    <row r="419" spans="40:115">
      <c r="AN419" s="26"/>
      <c r="AO419" s="26"/>
      <c r="AP419" s="15"/>
      <c r="AQ419" s="5"/>
      <c r="AR419" s="26"/>
      <c r="AS419" s="26"/>
      <c r="AT419" s="26"/>
      <c r="AU419" s="26"/>
      <c r="AV419" s="95"/>
      <c r="AW419" s="95"/>
      <c r="AX419" s="95"/>
      <c r="AY419" s="54"/>
      <c r="AZ419" s="54"/>
      <c r="BA419" s="15"/>
      <c r="BB419" s="54"/>
      <c r="BC419" s="54"/>
      <c r="BD419" s="22"/>
      <c r="BE419" s="23"/>
      <c r="BL419" s="92"/>
      <c r="BN419" s="5"/>
      <c r="BO419" s="54"/>
      <c r="BP419" s="5"/>
      <c r="BQ419" s="5"/>
      <c r="BR419" s="24"/>
      <c r="BS419" s="25"/>
      <c r="BT419" s="25"/>
      <c r="BU419" s="25"/>
      <c r="BV419" s="25"/>
      <c r="BW419" s="25"/>
      <c r="BX419" s="25"/>
      <c r="BY419" s="25"/>
      <c r="BZ419" s="25"/>
      <c r="CA419" s="25"/>
      <c r="CB419" s="25"/>
      <c r="CC419" s="5"/>
      <c r="CD419" s="5"/>
      <c r="CE419" s="5"/>
      <c r="CF419" s="5"/>
      <c r="CG419" s="5"/>
      <c r="CH419" s="5"/>
      <c r="CI419" s="68"/>
      <c r="CJ419" s="5"/>
      <c r="CK419" s="5"/>
      <c r="CL419" s="102"/>
      <c r="CM419" s="5"/>
      <c r="CN419" s="5"/>
      <c r="CO419" s="5"/>
      <c r="CP419" s="25"/>
      <c r="CQ419" s="68"/>
      <c r="CR419" s="68"/>
      <c r="CS419" s="5"/>
      <c r="CT419" s="5"/>
      <c r="CU419" s="68"/>
      <c r="CV419" s="5"/>
      <c r="CW419" s="25"/>
      <c r="CX419" s="72"/>
      <c r="CY419" s="102"/>
      <c r="CZ419" s="5"/>
      <c r="DA419" s="47"/>
      <c r="DB419" s="46"/>
      <c r="DC419" s="5"/>
      <c r="DD419" s="5"/>
      <c r="DE419" s="5"/>
      <c r="DF419" s="5"/>
      <c r="DG419" s="5"/>
      <c r="DH419" s="203"/>
      <c r="DI419" s="203"/>
      <c r="DJ419" s="46"/>
      <c r="DK419" s="5"/>
    </row>
    <row r="420" spans="40:115">
      <c r="AN420" s="26"/>
      <c r="AO420" s="26"/>
      <c r="AP420" s="15"/>
      <c r="AQ420" s="5"/>
      <c r="AR420" s="26"/>
      <c r="AS420" s="26"/>
      <c r="AT420" s="26"/>
      <c r="AU420" s="26"/>
      <c r="AV420" s="95"/>
      <c r="AW420" s="95"/>
      <c r="AX420" s="95"/>
      <c r="AY420" s="54"/>
      <c r="AZ420" s="54"/>
      <c r="BA420" s="15"/>
      <c r="BB420" s="54"/>
      <c r="BC420" s="54"/>
      <c r="BD420" s="22"/>
      <c r="BE420" s="23"/>
      <c r="BL420" s="92"/>
      <c r="BN420" s="5"/>
      <c r="BO420" s="54"/>
      <c r="BP420" s="5"/>
      <c r="BQ420" s="5"/>
      <c r="BR420" s="24"/>
      <c r="BS420" s="25"/>
      <c r="BT420" s="25"/>
      <c r="BU420" s="25"/>
      <c r="BV420" s="25"/>
      <c r="BW420" s="25"/>
      <c r="BX420" s="25"/>
      <c r="BY420" s="25"/>
      <c r="BZ420" s="25"/>
      <c r="CA420" s="25"/>
      <c r="CB420" s="25"/>
      <c r="CC420" s="5"/>
      <c r="CD420" s="5"/>
      <c r="CE420" s="5"/>
      <c r="CF420" s="5"/>
      <c r="CG420" s="5"/>
      <c r="CH420" s="5"/>
      <c r="CI420" s="68"/>
      <c r="CJ420" s="5"/>
      <c r="CK420" s="5"/>
      <c r="CL420" s="102"/>
      <c r="CM420" s="5"/>
      <c r="CN420" s="5"/>
      <c r="CO420" s="5"/>
      <c r="CP420" s="25"/>
      <c r="CQ420" s="68"/>
      <c r="CR420" s="68"/>
      <c r="CS420" s="5"/>
      <c r="CT420" s="5"/>
      <c r="CU420" s="68"/>
      <c r="CV420" s="5"/>
      <c r="CW420" s="25"/>
      <c r="CX420" s="72"/>
      <c r="CY420" s="102"/>
      <c r="CZ420" s="5"/>
      <c r="DA420" s="47"/>
      <c r="DB420" s="46"/>
      <c r="DC420" s="5"/>
      <c r="DD420" s="5"/>
      <c r="DE420" s="5"/>
      <c r="DF420" s="5"/>
      <c r="DG420" s="5"/>
      <c r="DH420" s="203"/>
      <c r="DI420" s="203"/>
      <c r="DJ420" s="46"/>
      <c r="DK420" s="5"/>
    </row>
    <row r="421" spans="40:115">
      <c r="AN421" s="26"/>
      <c r="AO421" s="26"/>
      <c r="AP421" s="15"/>
      <c r="AQ421" s="5"/>
      <c r="AR421" s="26"/>
      <c r="AS421" s="26"/>
      <c r="AT421" s="26"/>
      <c r="AU421" s="26"/>
      <c r="AV421" s="95"/>
      <c r="AW421" s="95"/>
      <c r="AX421" s="95"/>
      <c r="AY421" s="54"/>
      <c r="AZ421" s="54"/>
      <c r="BA421" s="15"/>
      <c r="BB421" s="54"/>
      <c r="BC421" s="54"/>
      <c r="BD421" s="22"/>
      <c r="BE421" s="23"/>
      <c r="BL421" s="92"/>
      <c r="BN421" s="5"/>
      <c r="BO421" s="54"/>
      <c r="BP421" s="5"/>
      <c r="BQ421" s="5"/>
      <c r="BR421" s="24"/>
      <c r="BS421" s="25"/>
      <c r="BT421" s="25"/>
      <c r="BU421" s="25"/>
      <c r="BV421" s="25"/>
      <c r="BW421" s="25"/>
      <c r="BX421" s="25"/>
      <c r="BY421" s="25"/>
      <c r="BZ421" s="25"/>
      <c r="CA421" s="25"/>
      <c r="CB421" s="25"/>
      <c r="CC421" s="5"/>
      <c r="CD421" s="5"/>
      <c r="CE421" s="5"/>
      <c r="CF421" s="5"/>
      <c r="CG421" s="5"/>
      <c r="CH421" s="5"/>
      <c r="CI421" s="68"/>
      <c r="CJ421" s="5"/>
      <c r="CK421" s="5"/>
      <c r="CL421" s="102"/>
      <c r="CM421" s="5"/>
      <c r="CN421" s="5"/>
      <c r="CO421" s="5"/>
      <c r="CP421" s="25"/>
      <c r="CQ421" s="68"/>
      <c r="CR421" s="68"/>
      <c r="CS421" s="5"/>
      <c r="CT421" s="5"/>
      <c r="CU421" s="68"/>
      <c r="CV421" s="5"/>
      <c r="CW421" s="25"/>
      <c r="CX421" s="72"/>
      <c r="CY421" s="102"/>
      <c r="CZ421" s="5"/>
      <c r="DA421" s="47"/>
      <c r="DB421" s="46"/>
      <c r="DC421" s="5"/>
      <c r="DD421" s="5"/>
      <c r="DE421" s="5"/>
      <c r="DF421" s="5"/>
      <c r="DG421" s="5"/>
      <c r="DH421" s="203"/>
      <c r="DI421" s="203"/>
      <c r="DJ421" s="46"/>
      <c r="DK421" s="5"/>
    </row>
    <row r="422" spans="40:115">
      <c r="AN422" s="26"/>
      <c r="AO422" s="26"/>
      <c r="AP422" s="15"/>
      <c r="AQ422" s="5"/>
      <c r="AR422" s="26"/>
      <c r="AS422" s="26"/>
      <c r="AT422" s="26"/>
      <c r="AU422" s="26"/>
      <c r="AV422" s="95"/>
      <c r="AW422" s="95"/>
      <c r="AX422" s="95"/>
      <c r="AY422" s="54"/>
      <c r="AZ422" s="54"/>
      <c r="BA422" s="15"/>
      <c r="BB422" s="54"/>
      <c r="BC422" s="54"/>
      <c r="BD422" s="22"/>
      <c r="BE422" s="23"/>
      <c r="BL422" s="92"/>
      <c r="BN422" s="5"/>
      <c r="BO422" s="54"/>
      <c r="BP422" s="5"/>
      <c r="BQ422" s="5"/>
      <c r="BR422" s="24"/>
      <c r="BS422" s="25"/>
      <c r="BT422" s="25"/>
      <c r="BU422" s="25"/>
      <c r="BV422" s="25"/>
      <c r="BW422" s="25"/>
      <c r="BX422" s="25"/>
      <c r="BY422" s="25"/>
      <c r="BZ422" s="25"/>
      <c r="CA422" s="25"/>
      <c r="CB422" s="25"/>
      <c r="CC422" s="5"/>
      <c r="CD422" s="5"/>
      <c r="CE422" s="5"/>
      <c r="CF422" s="5"/>
      <c r="CG422" s="5"/>
      <c r="CH422" s="5"/>
      <c r="CI422" s="68"/>
      <c r="CJ422" s="5"/>
      <c r="CK422" s="5"/>
      <c r="CL422" s="102"/>
      <c r="CM422" s="5"/>
      <c r="CN422" s="5"/>
      <c r="CO422" s="5"/>
      <c r="CP422" s="25"/>
      <c r="CQ422" s="68"/>
      <c r="CR422" s="68"/>
      <c r="CS422" s="5"/>
      <c r="CT422" s="5"/>
      <c r="CU422" s="68"/>
      <c r="CV422" s="5"/>
      <c r="CW422" s="25"/>
      <c r="CX422" s="72"/>
      <c r="CY422" s="102"/>
      <c r="CZ422" s="5"/>
      <c r="DA422" s="47"/>
      <c r="DB422" s="46"/>
      <c r="DC422" s="5"/>
      <c r="DD422" s="5"/>
      <c r="DE422" s="5"/>
      <c r="DF422" s="5"/>
      <c r="DG422" s="5"/>
      <c r="DH422" s="203"/>
      <c r="DI422" s="203"/>
      <c r="DJ422" s="46"/>
      <c r="DK422" s="5"/>
    </row>
    <row r="423" spans="40:115">
      <c r="AN423" s="26"/>
      <c r="AO423" s="26"/>
      <c r="AP423" s="15"/>
      <c r="AQ423" s="5"/>
      <c r="AR423" s="26"/>
      <c r="AS423" s="26"/>
      <c r="AT423" s="26"/>
      <c r="AU423" s="26"/>
      <c r="AV423" s="95"/>
      <c r="AW423" s="95"/>
      <c r="AX423" s="95"/>
      <c r="AY423" s="54"/>
      <c r="AZ423" s="54"/>
      <c r="BA423" s="15"/>
      <c r="BB423" s="54"/>
      <c r="BC423" s="54"/>
      <c r="BD423" s="22"/>
      <c r="BE423" s="23"/>
      <c r="BL423" s="92"/>
      <c r="BN423" s="5"/>
      <c r="BO423" s="54"/>
      <c r="BP423" s="5"/>
      <c r="BQ423" s="5"/>
      <c r="BR423" s="24"/>
      <c r="BS423" s="25"/>
      <c r="BT423" s="25"/>
      <c r="BU423" s="25"/>
      <c r="BV423" s="25"/>
      <c r="BW423" s="25"/>
      <c r="BX423" s="25"/>
      <c r="BY423" s="25"/>
      <c r="BZ423" s="25"/>
      <c r="CA423" s="25"/>
      <c r="CB423" s="25"/>
      <c r="CC423" s="5"/>
      <c r="CD423" s="5"/>
      <c r="CE423" s="5"/>
      <c r="CF423" s="5"/>
      <c r="CG423" s="5"/>
      <c r="CH423" s="5"/>
      <c r="CI423" s="68"/>
      <c r="CJ423" s="5"/>
      <c r="CK423" s="5"/>
      <c r="CL423" s="102"/>
      <c r="CM423" s="5"/>
      <c r="CN423" s="5"/>
      <c r="CO423" s="5"/>
      <c r="CP423" s="25"/>
      <c r="CQ423" s="68"/>
      <c r="CR423" s="68"/>
      <c r="CS423" s="5"/>
      <c r="CT423" s="5"/>
      <c r="CU423" s="68"/>
      <c r="CV423" s="5"/>
      <c r="CW423" s="25"/>
      <c r="CX423" s="72"/>
      <c r="CY423" s="102"/>
      <c r="CZ423" s="5"/>
      <c r="DA423" s="47"/>
      <c r="DB423" s="46"/>
      <c r="DC423" s="5"/>
      <c r="DD423" s="5"/>
      <c r="DE423" s="5"/>
      <c r="DF423" s="5"/>
      <c r="DG423" s="5"/>
      <c r="DH423" s="203"/>
      <c r="DI423" s="203"/>
      <c r="DJ423" s="46"/>
      <c r="DK423" s="5"/>
    </row>
    <row r="424" spans="40:115">
      <c r="AN424" s="26"/>
      <c r="AO424" s="26"/>
      <c r="AP424" s="15"/>
      <c r="AQ424" s="5"/>
      <c r="AR424" s="26"/>
      <c r="AS424" s="26"/>
      <c r="AT424" s="26"/>
      <c r="AU424" s="26"/>
      <c r="AV424" s="95"/>
      <c r="AW424" s="95"/>
      <c r="AX424" s="95"/>
      <c r="AY424" s="54"/>
      <c r="AZ424" s="54"/>
      <c r="BA424" s="15"/>
      <c r="BB424" s="54"/>
      <c r="BC424" s="54"/>
      <c r="BD424" s="22"/>
      <c r="BE424" s="23"/>
      <c r="BL424" s="92"/>
      <c r="BN424" s="5"/>
      <c r="BO424" s="54"/>
      <c r="BP424" s="5"/>
      <c r="BQ424" s="5"/>
      <c r="BR424" s="24"/>
      <c r="BS424" s="25"/>
      <c r="BT424" s="25"/>
      <c r="BU424" s="25"/>
      <c r="BV424" s="25"/>
      <c r="BW424" s="25"/>
      <c r="BX424" s="25"/>
      <c r="BY424" s="25"/>
      <c r="BZ424" s="25"/>
      <c r="CA424" s="25"/>
      <c r="CB424" s="25"/>
      <c r="CC424" s="5"/>
      <c r="CD424" s="5"/>
      <c r="CE424" s="5"/>
      <c r="CF424" s="5"/>
      <c r="CG424" s="5"/>
      <c r="CH424" s="5"/>
      <c r="CI424" s="68"/>
      <c r="CJ424" s="5"/>
      <c r="CK424" s="5"/>
      <c r="CL424" s="102"/>
      <c r="CM424" s="5"/>
      <c r="CN424" s="5"/>
      <c r="CO424" s="5"/>
      <c r="CP424" s="25"/>
      <c r="CQ424" s="68"/>
      <c r="CR424" s="68"/>
      <c r="CS424" s="5"/>
      <c r="CT424" s="5"/>
      <c r="CU424" s="68"/>
      <c r="CV424" s="5"/>
      <c r="CW424" s="25"/>
      <c r="CX424" s="72"/>
      <c r="CY424" s="102"/>
      <c r="CZ424" s="5"/>
      <c r="DA424" s="47"/>
      <c r="DB424" s="46"/>
      <c r="DC424" s="5"/>
      <c r="DD424" s="5"/>
      <c r="DE424" s="5"/>
      <c r="DF424" s="5"/>
      <c r="DG424" s="5"/>
      <c r="DH424" s="203"/>
      <c r="DI424" s="203"/>
      <c r="DJ424" s="46"/>
      <c r="DK424" s="5"/>
    </row>
    <row r="425" spans="40:115">
      <c r="AN425" s="26"/>
      <c r="AO425" s="26"/>
      <c r="AP425" s="15"/>
      <c r="AQ425" s="5"/>
      <c r="AR425" s="26"/>
      <c r="AS425" s="26"/>
      <c r="AT425" s="26"/>
      <c r="AU425" s="26"/>
      <c r="AV425" s="95"/>
      <c r="AW425" s="95"/>
      <c r="AX425" s="95"/>
      <c r="AY425" s="54"/>
      <c r="AZ425" s="54"/>
      <c r="BA425" s="15"/>
      <c r="BB425" s="54"/>
      <c r="BC425" s="54"/>
      <c r="BD425" s="22"/>
      <c r="BE425" s="23"/>
      <c r="BL425" s="92"/>
      <c r="BN425" s="5"/>
      <c r="BO425" s="54"/>
      <c r="BP425" s="5"/>
      <c r="BQ425" s="5"/>
      <c r="BR425" s="24"/>
      <c r="BS425" s="25"/>
      <c r="BT425" s="25"/>
      <c r="BU425" s="25"/>
      <c r="BV425" s="25"/>
      <c r="BW425" s="25"/>
      <c r="BX425" s="25"/>
      <c r="BY425" s="25"/>
      <c r="BZ425" s="25"/>
      <c r="CA425" s="25"/>
      <c r="CB425" s="25"/>
      <c r="CC425" s="5"/>
      <c r="CD425" s="5"/>
      <c r="CE425" s="5"/>
      <c r="CF425" s="5"/>
      <c r="CG425" s="5"/>
      <c r="CH425" s="5"/>
      <c r="CI425" s="68"/>
      <c r="CJ425" s="5"/>
      <c r="CK425" s="5"/>
      <c r="CL425" s="102"/>
      <c r="CM425" s="5"/>
      <c r="CN425" s="5"/>
      <c r="CO425" s="5"/>
      <c r="CP425" s="25"/>
      <c r="CQ425" s="68"/>
      <c r="CR425" s="68"/>
      <c r="CS425" s="5"/>
      <c r="CT425" s="5"/>
      <c r="CU425" s="68"/>
      <c r="CV425" s="5"/>
      <c r="CW425" s="25"/>
      <c r="CX425" s="72"/>
      <c r="CY425" s="102"/>
      <c r="CZ425" s="5"/>
      <c r="DA425" s="47"/>
      <c r="DB425" s="46"/>
      <c r="DC425" s="5"/>
      <c r="DD425" s="5"/>
      <c r="DE425" s="5"/>
      <c r="DF425" s="5"/>
      <c r="DG425" s="5"/>
      <c r="DH425" s="203"/>
      <c r="DI425" s="203"/>
      <c r="DJ425" s="46"/>
      <c r="DK425" s="5"/>
    </row>
    <row r="426" spans="40:115">
      <c r="AN426" s="26"/>
      <c r="AO426" s="26"/>
      <c r="AP426" s="15"/>
      <c r="AQ426" s="5"/>
      <c r="AR426" s="26"/>
      <c r="AS426" s="26"/>
      <c r="AT426" s="26"/>
      <c r="AU426" s="26"/>
      <c r="AV426" s="95"/>
      <c r="AW426" s="95"/>
      <c r="AX426" s="95"/>
      <c r="AY426" s="54"/>
      <c r="AZ426" s="54"/>
      <c r="BA426" s="15"/>
      <c r="BB426" s="54"/>
      <c r="BC426" s="54"/>
      <c r="BD426" s="22"/>
      <c r="BE426" s="23"/>
      <c r="BL426" s="92"/>
      <c r="BN426" s="5"/>
      <c r="BO426" s="54"/>
      <c r="BP426" s="5"/>
      <c r="BQ426" s="5"/>
      <c r="BR426" s="24"/>
      <c r="BS426" s="25"/>
      <c r="BT426" s="25"/>
      <c r="BU426" s="25"/>
      <c r="BV426" s="25"/>
      <c r="BW426" s="25"/>
      <c r="BX426" s="25"/>
      <c r="BY426" s="25"/>
      <c r="BZ426" s="25"/>
      <c r="CA426" s="25"/>
      <c r="CB426" s="25"/>
      <c r="CC426" s="5"/>
      <c r="CD426" s="5"/>
      <c r="CE426" s="5"/>
      <c r="CF426" s="5"/>
      <c r="CG426" s="5"/>
      <c r="CH426" s="5"/>
      <c r="CI426" s="68"/>
      <c r="CJ426" s="5"/>
      <c r="CK426" s="5"/>
      <c r="CL426" s="102"/>
      <c r="CM426" s="5"/>
      <c r="CN426" s="5"/>
      <c r="CO426" s="5"/>
      <c r="CP426" s="25"/>
      <c r="CQ426" s="68"/>
      <c r="CR426" s="68"/>
      <c r="CS426" s="5"/>
      <c r="CT426" s="5"/>
      <c r="CU426" s="68"/>
      <c r="CV426" s="5"/>
      <c r="CW426" s="25"/>
      <c r="CX426" s="72"/>
      <c r="CY426" s="102"/>
      <c r="CZ426" s="5"/>
      <c r="DA426" s="47"/>
      <c r="DB426" s="46"/>
      <c r="DC426" s="5"/>
      <c r="DD426" s="5"/>
      <c r="DE426" s="5"/>
      <c r="DF426" s="5"/>
      <c r="DG426" s="5"/>
      <c r="DH426" s="203"/>
      <c r="DI426" s="203"/>
      <c r="DJ426" s="46"/>
      <c r="DK426" s="5"/>
    </row>
    <row r="427" spans="40:115">
      <c r="AN427" s="26"/>
      <c r="AO427" s="26"/>
      <c r="AP427" s="15"/>
      <c r="AQ427" s="5"/>
      <c r="AR427" s="26"/>
      <c r="AS427" s="26"/>
      <c r="AT427" s="26"/>
      <c r="AU427" s="26"/>
      <c r="AV427" s="95"/>
      <c r="AW427" s="95"/>
      <c r="AX427" s="95"/>
      <c r="AY427" s="54"/>
      <c r="AZ427" s="54"/>
      <c r="BA427" s="15"/>
      <c r="BB427" s="54"/>
      <c r="BC427" s="54"/>
      <c r="BD427" s="22"/>
      <c r="BE427" s="23"/>
      <c r="BL427" s="92"/>
      <c r="BN427" s="5"/>
      <c r="BO427" s="54"/>
      <c r="BP427" s="5"/>
      <c r="BQ427" s="5"/>
      <c r="BR427" s="24"/>
      <c r="BS427" s="25"/>
      <c r="BT427" s="25"/>
      <c r="BU427" s="25"/>
      <c r="BV427" s="25"/>
      <c r="BW427" s="25"/>
      <c r="BX427" s="25"/>
      <c r="BY427" s="25"/>
      <c r="BZ427" s="25"/>
      <c r="CA427" s="25"/>
      <c r="CB427" s="25"/>
      <c r="CC427" s="5"/>
      <c r="CD427" s="5"/>
      <c r="CE427" s="5"/>
      <c r="CF427" s="5"/>
      <c r="CG427" s="5"/>
      <c r="CH427" s="5"/>
      <c r="CI427" s="68"/>
      <c r="CJ427" s="5"/>
      <c r="CK427" s="5"/>
      <c r="CL427" s="102"/>
      <c r="CM427" s="5"/>
      <c r="CN427" s="5"/>
      <c r="CO427" s="5"/>
      <c r="CP427" s="25"/>
      <c r="CQ427" s="68"/>
      <c r="CR427" s="68"/>
      <c r="CS427" s="5"/>
      <c r="CT427" s="5"/>
      <c r="CU427" s="68"/>
      <c r="CV427" s="5"/>
      <c r="CW427" s="25"/>
      <c r="CX427" s="72"/>
      <c r="CY427" s="102"/>
      <c r="CZ427" s="5"/>
      <c r="DA427" s="47"/>
      <c r="DB427" s="46"/>
      <c r="DC427" s="5"/>
      <c r="DD427" s="5"/>
      <c r="DE427" s="5"/>
      <c r="DF427" s="5"/>
      <c r="DG427" s="5"/>
      <c r="DH427" s="203"/>
      <c r="DI427" s="203"/>
      <c r="DJ427" s="46"/>
      <c r="DK427" s="5"/>
    </row>
    <row r="428" spans="40:115">
      <c r="AN428" s="26"/>
      <c r="AO428" s="26"/>
      <c r="AP428" s="15"/>
      <c r="AQ428" s="5"/>
      <c r="AR428" s="26"/>
      <c r="AS428" s="26"/>
      <c r="AT428" s="26"/>
      <c r="AU428" s="26"/>
      <c r="AV428" s="95"/>
      <c r="AW428" s="95"/>
      <c r="AX428" s="95"/>
      <c r="AY428" s="54"/>
      <c r="AZ428" s="54"/>
      <c r="BA428" s="15"/>
      <c r="BB428" s="54"/>
      <c r="BC428" s="54"/>
      <c r="BD428" s="22"/>
      <c r="BE428" s="23"/>
      <c r="BL428" s="92"/>
      <c r="BN428" s="5"/>
      <c r="BO428" s="54"/>
      <c r="BP428" s="5"/>
      <c r="BQ428" s="5"/>
      <c r="BR428" s="24"/>
      <c r="BS428" s="25"/>
      <c r="BT428" s="25"/>
      <c r="BU428" s="25"/>
      <c r="BV428" s="25"/>
      <c r="BW428" s="25"/>
      <c r="BX428" s="25"/>
      <c r="BY428" s="25"/>
      <c r="BZ428" s="25"/>
      <c r="CA428" s="25"/>
      <c r="CB428" s="25"/>
      <c r="CC428" s="5"/>
      <c r="CD428" s="5"/>
      <c r="CE428" s="5"/>
      <c r="CF428" s="5"/>
      <c r="CG428" s="5"/>
      <c r="CH428" s="5"/>
      <c r="CI428" s="68"/>
      <c r="CJ428" s="5"/>
      <c r="CK428" s="5"/>
      <c r="CL428" s="102"/>
      <c r="CM428" s="5"/>
      <c r="CN428" s="5"/>
      <c r="CO428" s="5"/>
      <c r="CP428" s="25"/>
      <c r="CQ428" s="68"/>
      <c r="CR428" s="68"/>
      <c r="CS428" s="5"/>
      <c r="CT428" s="5"/>
      <c r="CU428" s="68"/>
      <c r="CV428" s="5"/>
      <c r="CW428" s="25"/>
      <c r="CX428" s="72"/>
      <c r="CY428" s="102"/>
      <c r="CZ428" s="5"/>
      <c r="DA428" s="47"/>
      <c r="DB428" s="46"/>
      <c r="DC428" s="5"/>
      <c r="DD428" s="5"/>
      <c r="DE428" s="5"/>
      <c r="DF428" s="5"/>
      <c r="DG428" s="5"/>
      <c r="DH428" s="203"/>
      <c r="DI428" s="203"/>
      <c r="DJ428" s="46"/>
      <c r="DK428" s="5"/>
    </row>
    <row r="429" spans="40:115">
      <c r="AN429" s="26"/>
      <c r="AO429" s="26"/>
      <c r="AP429" s="15"/>
      <c r="AQ429" s="5"/>
      <c r="AR429" s="26"/>
      <c r="AS429" s="26"/>
      <c r="AT429" s="26"/>
      <c r="AU429" s="26"/>
      <c r="AV429" s="95"/>
      <c r="AW429" s="95"/>
      <c r="AX429" s="95"/>
      <c r="AY429" s="54"/>
      <c r="AZ429" s="54"/>
      <c r="BA429" s="15"/>
      <c r="BB429" s="54"/>
      <c r="BC429" s="54"/>
      <c r="BD429" s="22"/>
      <c r="BE429" s="23"/>
      <c r="BL429" s="92"/>
      <c r="BN429" s="5"/>
      <c r="BO429" s="54"/>
      <c r="BP429" s="5"/>
      <c r="BQ429" s="5"/>
      <c r="BR429" s="24"/>
      <c r="BS429" s="25"/>
      <c r="BT429" s="25"/>
      <c r="BU429" s="25"/>
      <c r="BV429" s="25"/>
      <c r="BW429" s="25"/>
      <c r="BX429" s="25"/>
      <c r="BY429" s="25"/>
      <c r="BZ429" s="25"/>
      <c r="CA429" s="25"/>
      <c r="CB429" s="25"/>
      <c r="CC429" s="5"/>
      <c r="CD429" s="5"/>
      <c r="CE429" s="5"/>
      <c r="CF429" s="5"/>
      <c r="CG429" s="5"/>
      <c r="CH429" s="5"/>
      <c r="CI429" s="68"/>
      <c r="CJ429" s="5"/>
      <c r="CK429" s="5"/>
      <c r="CL429" s="102"/>
      <c r="CM429" s="5"/>
      <c r="CN429" s="5"/>
      <c r="CO429" s="5"/>
      <c r="CP429" s="25"/>
      <c r="CQ429" s="68"/>
      <c r="CR429" s="68"/>
      <c r="CS429" s="5"/>
      <c r="CT429" s="5"/>
      <c r="CU429" s="68"/>
      <c r="CV429" s="5"/>
      <c r="CW429" s="25"/>
      <c r="CX429" s="72"/>
      <c r="CY429" s="102"/>
      <c r="CZ429" s="5"/>
      <c r="DA429" s="47"/>
      <c r="DB429" s="46"/>
      <c r="DC429" s="5"/>
      <c r="DD429" s="5"/>
      <c r="DE429" s="5"/>
      <c r="DF429" s="5"/>
      <c r="DG429" s="5"/>
      <c r="DH429" s="203"/>
      <c r="DI429" s="203"/>
      <c r="DJ429" s="46"/>
      <c r="DK429" s="5"/>
    </row>
  </sheetData>
  <mergeCells count="178">
    <mergeCell ref="H97:N97"/>
    <mergeCell ref="D126:E126"/>
    <mergeCell ref="M81:N81"/>
    <mergeCell ref="DH16:DI16"/>
    <mergeCell ref="DJ16:DK16"/>
    <mergeCell ref="EJ18:EK18"/>
    <mergeCell ref="DK21:DK22"/>
    <mergeCell ref="FP21:FP22"/>
    <mergeCell ref="B94:N94"/>
    <mergeCell ref="AJ18:AK18"/>
    <mergeCell ref="E38:I38"/>
    <mergeCell ref="B101:J106"/>
    <mergeCell ref="B115:G115"/>
    <mergeCell ref="B114:G114"/>
    <mergeCell ref="B119:C119"/>
    <mergeCell ref="B120:C120"/>
    <mergeCell ref="E120:F120"/>
    <mergeCell ref="B97:G97"/>
    <mergeCell ref="L120:N120"/>
    <mergeCell ref="B100:J100"/>
    <mergeCell ref="K100:N100"/>
    <mergeCell ref="I114:N114"/>
    <mergeCell ref="FD21:FD22"/>
    <mergeCell ref="BP21:BP22"/>
    <mergeCell ref="GL21:GL22"/>
    <mergeCell ref="BL19:BN20"/>
    <mergeCell ref="BV21:BV22"/>
    <mergeCell ref="DG21:DG22"/>
    <mergeCell ref="C25:D25"/>
    <mergeCell ref="E25:F25"/>
    <mergeCell ref="E26:E27"/>
    <mergeCell ref="B34:D34"/>
    <mergeCell ref="G30:G31"/>
    <mergeCell ref="D30:D31"/>
    <mergeCell ref="F26:F27"/>
    <mergeCell ref="AB21:AB22"/>
    <mergeCell ref="BD21:BD22"/>
    <mergeCell ref="CV21:CV22"/>
    <mergeCell ref="CX21:CX22"/>
    <mergeCell ref="G25:N25"/>
    <mergeCell ref="BO21:BO22"/>
    <mergeCell ref="BM21:BM22"/>
    <mergeCell ref="BR21:BR22"/>
    <mergeCell ref="BU21:BU22"/>
    <mergeCell ref="CU21:CU22"/>
    <mergeCell ref="O18:Q20"/>
    <mergeCell ref="GB21:GB22"/>
    <mergeCell ref="GB19:GC20"/>
    <mergeCell ref="EA12:HK12"/>
    <mergeCell ref="EA11:HK11"/>
    <mergeCell ref="GM21:GM22"/>
    <mergeCell ref="GN21:GN22"/>
    <mergeCell ref="GO21:GO22"/>
    <mergeCell ref="GP21:GP22"/>
    <mergeCell ref="FW21:FW22"/>
    <mergeCell ref="GD21:GD22"/>
    <mergeCell ref="FV21:FV22"/>
    <mergeCell ref="EB14:EC14"/>
    <mergeCell ref="EH14:EI14"/>
    <mergeCell ref="EB15:EC15"/>
    <mergeCell ref="EH15:EI15"/>
    <mergeCell ref="EH16:EI16"/>
    <mergeCell ref="EH17:EI17"/>
    <mergeCell ref="HK21:HK22"/>
    <mergeCell ref="HH19:HK20"/>
    <mergeCell ref="GS21:GS22"/>
    <mergeCell ref="GT21:GT22"/>
    <mergeCell ref="GU21:GU22"/>
    <mergeCell ref="GV21:GV22"/>
    <mergeCell ref="GW21:GW22"/>
    <mergeCell ref="GX21:GX22"/>
    <mergeCell ref="GY21:GY22"/>
    <mergeCell ref="CZ21:CZ22"/>
    <mergeCell ref="DC21:DC22"/>
    <mergeCell ref="CK21:CK22"/>
    <mergeCell ref="CM21:CM22"/>
    <mergeCell ref="CQ21:CQ22"/>
    <mergeCell ref="CO21:CO22"/>
    <mergeCell ref="CR21:CR22"/>
    <mergeCell ref="CP21:CP22"/>
    <mergeCell ref="DE21:DE22"/>
    <mergeCell ref="DD21:DD22"/>
    <mergeCell ref="DJ21:DJ22"/>
    <mergeCell ref="B11:J12"/>
    <mergeCell ref="K11:N12"/>
    <mergeCell ref="B13:D13"/>
    <mergeCell ref="AA11:DK11"/>
    <mergeCell ref="AA12:DK12"/>
    <mergeCell ref="AC14:AD14"/>
    <mergeCell ref="AC15:AD15"/>
    <mergeCell ref="DJ14:DK14"/>
    <mergeCell ref="DJ15:DK15"/>
    <mergeCell ref="DH13:DK13"/>
    <mergeCell ref="DH15:DI15"/>
    <mergeCell ref="DH14:DI14"/>
    <mergeCell ref="O11:Q11"/>
    <mergeCell ref="BS21:BS22"/>
    <mergeCell ref="BT21:BT22"/>
    <mergeCell ref="BX21:CB21"/>
    <mergeCell ref="CC21:CC22"/>
    <mergeCell ref="CG21:CG22"/>
    <mergeCell ref="CH21:CH22"/>
    <mergeCell ref="CE21:CE22"/>
    <mergeCell ref="DB21:DB22"/>
    <mergeCell ref="CW21:CW22"/>
    <mergeCell ref="CY21:CY22"/>
    <mergeCell ref="HA19:HC20"/>
    <mergeCell ref="BW21:BW22"/>
    <mergeCell ref="FL21:FL22"/>
    <mergeCell ref="FM21:FM22"/>
    <mergeCell ref="EB21:EB22"/>
    <mergeCell ref="FC21:FC22"/>
    <mergeCell ref="CJ21:CJ22"/>
    <mergeCell ref="CL21:CL22"/>
    <mergeCell ref="CD21:CD22"/>
    <mergeCell ref="GF21:GF22"/>
    <mergeCell ref="GG21:GG22"/>
    <mergeCell ref="GH21:GH22"/>
    <mergeCell ref="GI21:GI22"/>
    <mergeCell ref="GC21:GC22"/>
    <mergeCell ref="GJ21:GJ22"/>
    <mergeCell ref="GK21:GK22"/>
    <mergeCell ref="DF21:DF22"/>
    <mergeCell ref="DH21:DH22"/>
    <mergeCell ref="DI21:DI22"/>
    <mergeCell ref="CF21:CF22"/>
    <mergeCell ref="DA21:DA22"/>
    <mergeCell ref="CN21:CN22"/>
    <mergeCell ref="CS21:CS22"/>
    <mergeCell ref="CT21:CT22"/>
    <mergeCell ref="I124:M124"/>
    <mergeCell ref="B121:F121"/>
    <mergeCell ref="E119:F119"/>
    <mergeCell ref="B109:N110"/>
    <mergeCell ref="L123:M123"/>
    <mergeCell ref="L121:M121"/>
    <mergeCell ref="H98:K99"/>
    <mergeCell ref="HG21:HG22"/>
    <mergeCell ref="O101:Q101"/>
    <mergeCell ref="O100:Q100"/>
    <mergeCell ref="FN21:FN22"/>
    <mergeCell ref="BC21:BC22"/>
    <mergeCell ref="GE21:GE22"/>
    <mergeCell ref="FO21:FO22"/>
    <mergeCell ref="GZ21:GZ22"/>
    <mergeCell ref="HA21:HA22"/>
    <mergeCell ref="BQ21:BQ22"/>
    <mergeCell ref="BB21:BB22"/>
    <mergeCell ref="CI21:CI22"/>
    <mergeCell ref="HB21:HB22"/>
    <mergeCell ref="HC21:HC22"/>
    <mergeCell ref="GQ21:GQ22"/>
    <mergeCell ref="GR21:GR22"/>
    <mergeCell ref="HF21:HF22"/>
    <mergeCell ref="B126:C126"/>
    <mergeCell ref="HI21:HI22"/>
    <mergeCell ref="HJ21:HJ22"/>
    <mergeCell ref="EA19:FK20"/>
    <mergeCell ref="FL19:FN20"/>
    <mergeCell ref="GD19:GM20"/>
    <mergeCell ref="GN19:GZ20"/>
    <mergeCell ref="HD19:HG20"/>
    <mergeCell ref="FB21:FB22"/>
    <mergeCell ref="FQ21:FQ22"/>
    <mergeCell ref="FR21:FR22"/>
    <mergeCell ref="FS21:FS22"/>
    <mergeCell ref="FT21:FT22"/>
    <mergeCell ref="FU21:FU22"/>
    <mergeCell ref="HH21:HH22"/>
    <mergeCell ref="HD21:HD22"/>
    <mergeCell ref="HE21:HE22"/>
    <mergeCell ref="I125:M125"/>
    <mergeCell ref="BL21:BL22"/>
    <mergeCell ref="BN21:BN22"/>
    <mergeCell ref="I115:N115"/>
    <mergeCell ref="L122:M122"/>
    <mergeCell ref="B122:F122"/>
    <mergeCell ref="B123:F123"/>
  </mergeCells>
  <phoneticPr fontId="43" type="noConversion"/>
  <conditionalFormatting sqref="N52 N83:N86 N79:N80 N70:N73">
    <cfRule type="containsText" dxfId="25" priority="103" operator="containsText" text="Check">
      <formula>NOT(ISERROR(SEARCH("Check",N52)))</formula>
    </cfRule>
    <cfRule type="containsText" dxfId="24" priority="104" operator="containsText" text="OK">
      <formula>NOT(ISERROR(SEARCH("OK",N52)))</formula>
    </cfRule>
  </conditionalFormatting>
  <conditionalFormatting sqref="CQ430:CU1993 CV430:CV14192 CZ430:CZ14192 GY23:GZ23 GQ23:GV67 GQ68:GU1993 GV68:GV14192 GZ24:GZ14192 FN23:FQ1993 HC23:HG14192 FS23:FT1993 GC23:GO1993 HK23:HK14192 BN23:BQ1993 BS23:BT1993 CC23:CO1993 CY23:CZ429 DC23:DG14192 CQ23:CV429 DK23:DK14192">
    <cfRule type="containsText" dxfId="23" priority="91" operator="containsText" text="Check">
      <formula>NOT(ISERROR(SEARCH("Check",BN23)))</formula>
    </cfRule>
    <cfRule type="cellIs" dxfId="22" priority="92" operator="equal">
      <formula>"OK"</formula>
    </cfRule>
  </conditionalFormatting>
  <conditionalFormatting sqref="N60">
    <cfRule type="containsText" dxfId="21" priority="61" operator="containsText" text="Check">
      <formula>NOT(ISERROR(SEARCH("Check",N60)))</formula>
    </cfRule>
    <cfRule type="containsText" dxfId="20" priority="62" operator="containsText" text="OK">
      <formula>NOT(ISERROR(SEARCH("OK",N60)))</formula>
    </cfRule>
  </conditionalFormatting>
  <conditionalFormatting sqref="F91:F93">
    <cfRule type="containsText" dxfId="19" priority="52" operator="containsText" text="OK">
      <formula>NOT(ISERROR(SEARCH("OK",F91)))</formula>
    </cfRule>
  </conditionalFormatting>
  <conditionalFormatting sqref="N90">
    <cfRule type="containsText" dxfId="18" priority="42" operator="containsText" text="Check">
      <formula>NOT(ISERROR(SEARCH("Check",N90)))</formula>
    </cfRule>
    <cfRule type="containsText" dxfId="17" priority="43" operator="containsText" text="OK">
      <formula>NOT(ISERROR(SEARCH("OK",N90)))</formula>
    </cfRule>
  </conditionalFormatting>
  <conditionalFormatting sqref="N63">
    <cfRule type="containsText" dxfId="16" priority="36" operator="containsText" text="Check">
      <formula>NOT(ISERROR(SEARCH("Check",N63)))</formula>
    </cfRule>
    <cfRule type="containsText" dxfId="15" priority="37" operator="containsText" text="OK">
      <formula>NOT(ISERROR(SEARCH("OK",N63)))</formula>
    </cfRule>
  </conditionalFormatting>
  <conditionalFormatting sqref="K77">
    <cfRule type="containsText" dxfId="14" priority="33" operator="containsText" text="Cập nhật">
      <formula>NOT(ISERROR(SEARCH("Cập nhật",K77)))</formula>
    </cfRule>
  </conditionalFormatting>
  <conditionalFormatting sqref="L149">
    <cfRule type="containsText" dxfId="13" priority="13" operator="containsText" text="Check">
      <formula>NOT(ISERROR(SEARCH("Check",L149)))</formula>
    </cfRule>
    <cfRule type="containsText" dxfId="12" priority="14" operator="containsText" text="OK">
      <formula>NOT(ISERROR(SEARCH("OK",L149)))</formula>
    </cfRule>
  </conditionalFormatting>
  <conditionalFormatting sqref="N79">
    <cfRule type="containsText" dxfId="11" priority="12" operator="containsText" text="Gia cường">
      <formula>NOT(ISERROR(SEARCH("Gia cường",N79)))</formula>
    </cfRule>
  </conditionalFormatting>
  <conditionalFormatting sqref="N69">
    <cfRule type="containsText" dxfId="10" priority="10" operator="containsText" text="Check">
      <formula>NOT(ISERROR(SEARCH("Check",N69)))</formula>
    </cfRule>
    <cfRule type="containsText" dxfId="9" priority="11" operator="containsText" text="OK">
      <formula>NOT(ISERROR(SEARCH("OK",N69)))</formula>
    </cfRule>
  </conditionalFormatting>
  <conditionalFormatting sqref="N69">
    <cfRule type="containsText" dxfId="8" priority="9" operator="containsText" text="Gia cường">
      <formula>NOT(ISERROR(SEARCH("Gia cường",N69)))</formula>
    </cfRule>
  </conditionalFormatting>
  <conditionalFormatting sqref="GY24:GY36">
    <cfRule type="containsText" dxfId="7" priority="5" operator="containsText" text="Check">
      <formula>NOT(ISERROR(SEARCH("Check",GY24)))</formula>
    </cfRule>
    <cfRule type="cellIs" dxfId="6" priority="6" operator="equal">
      <formula>"OK"</formula>
    </cfRule>
  </conditionalFormatting>
  <conditionalFormatting sqref="N106:N108 N111:N113">
    <cfRule type="expression" dxfId="5" priority="3">
      <formula>$K$100="PTHH"</formula>
    </cfRule>
  </conditionalFormatting>
  <dataValidations count="6">
    <dataValidation type="list" allowBlank="1" showInputMessage="1" showErrorMessage="1" sqref="K100:N100" xr:uid="{00000000-0002-0000-0200-000000000000}">
      <formula1>$O$102:$O$106</formula1>
    </dataValidation>
    <dataValidation type="list" allowBlank="1" showInputMessage="1" showErrorMessage="1" sqref="O47" xr:uid="{00000000-0002-0000-0200-000001000000}">
      <formula1>"Yes,No"</formula1>
    </dataValidation>
    <dataValidation type="list" allowBlank="1" showInputMessage="1" showErrorMessage="1" sqref="DJ14:DK14" xr:uid="{00000000-0002-0000-0200-000002000000}">
      <formula1>"Cột chính,Cột phụ"</formula1>
    </dataValidation>
    <dataValidation type="list" allowBlank="1" showInputMessage="1" showErrorMessage="1" sqref="O11" xr:uid="{00000000-0002-0000-0200-000003000000}">
      <formula1>"H Tổng,H Bụng"</formula1>
    </dataValidation>
    <dataValidation type="list" allowBlank="1" showInputMessage="1" showErrorMessage="1" sqref="Q16" xr:uid="{00000000-0002-0000-0200-000004000000}">
      <formula1>$Q$13:$Q$15</formula1>
    </dataValidation>
    <dataValidation type="list" allowBlank="1" showInputMessage="1" showErrorMessage="1" sqref="M81:M82" xr:uid="{00000000-0002-0000-0200-000005000000}">
      <formula1>"Tải trọng tĩnh,Tải trọng di dộng"</formula1>
    </dataValidation>
  </dataValidations>
  <printOptions horizontalCentered="1"/>
  <pageMargins left="0.5" right="0.5" top="0.5" bottom="0.5" header="0.31496062992126" footer="0.31496062992126"/>
  <pageSetup paperSize="9" fitToHeight="0" orientation="portrait" r:id="rId1"/>
  <rowBreaks count="1" manualBreakCount="1">
    <brk id="63" max="16383" man="1"/>
  </rowBreaks>
  <ignoredErrors>
    <ignoredError sqref="FF13:FF18" numberStoredAsText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6000000}">
          <x14:formula1>
            <xm:f>Data!$A$3:$A$99</xm:f>
          </x14:formula1>
          <xm:sqref>C25:D25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6"/>
  <sheetViews>
    <sheetView showGridLines="0" zoomScaleNormal="100" workbookViewId="0">
      <selection activeCell="D3" sqref="D3"/>
    </sheetView>
  </sheetViews>
  <sheetFormatPr defaultRowHeight="14.4"/>
  <cols>
    <col min="2" max="2" width="64.88671875" customWidth="1"/>
  </cols>
  <sheetData>
    <row r="1" spans="1:3" ht="77.25" customHeight="1">
      <c r="A1" s="158">
        <v>1</v>
      </c>
      <c r="B1" s="157"/>
    </row>
    <row r="2" spans="1:3" ht="75.75" customHeight="1">
      <c r="A2" s="158">
        <v>2</v>
      </c>
      <c r="B2" s="157"/>
      <c r="C2">
        <f>INDEX(Pic!$B$1:$B$5,Pic!$B$6)</f>
        <v>0</v>
      </c>
    </row>
    <row r="3" spans="1:3" ht="105" customHeight="1">
      <c r="A3" s="158">
        <v>3</v>
      </c>
      <c r="B3" s="157"/>
    </row>
    <row r="4" spans="1:3" ht="76.5" customHeight="1">
      <c r="A4" s="158">
        <v>4</v>
      </c>
      <c r="B4" s="157"/>
    </row>
    <row r="5" spans="1:3" ht="81.75" customHeight="1">
      <c r="A5" s="158">
        <v>5</v>
      </c>
      <c r="B5" s="157"/>
    </row>
    <row r="6" spans="1:3">
      <c r="B6" s="137">
        <f>MATCH(Cal!K100,Cal!O102:O106,0)</f>
        <v>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61"/>
  <sheetViews>
    <sheetView workbookViewId="0">
      <pane ySplit="3" topLeftCell="A4" activePane="bottomLeft" state="frozen"/>
      <selection pane="bottomLeft" activeCell="S45" sqref="S45"/>
    </sheetView>
  </sheetViews>
  <sheetFormatPr defaultRowHeight="14.4"/>
  <cols>
    <col min="1" max="1" width="8.109375" bestFit="1" customWidth="1"/>
    <col min="2" max="2" width="10.88671875" bestFit="1" customWidth="1"/>
    <col min="3" max="3" width="9" bestFit="1" customWidth="1"/>
    <col min="4" max="4" width="9.88671875" bestFit="1" customWidth="1"/>
    <col min="5" max="5" width="9.6640625" bestFit="1" customWidth="1"/>
    <col min="6" max="6" width="10.33203125" bestFit="1" customWidth="1"/>
    <col min="7" max="7" width="12" bestFit="1" customWidth="1"/>
    <col min="8" max="8" width="11.88671875" bestFit="1" customWidth="1"/>
    <col min="9" max="9" width="11.44140625" bestFit="1" customWidth="1"/>
    <col min="11" max="11" width="14.33203125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t="s">
        <v>253</v>
      </c>
      <c r="G1" t="s">
        <v>254</v>
      </c>
      <c r="H1" t="s">
        <v>255</v>
      </c>
      <c r="I1" t="s">
        <v>256</v>
      </c>
      <c r="J1" t="s">
        <v>369</v>
      </c>
      <c r="K1" t="s">
        <v>49</v>
      </c>
      <c r="L1" t="s">
        <v>87</v>
      </c>
      <c r="M1" t="s">
        <v>370</v>
      </c>
      <c r="N1" t="s">
        <v>371</v>
      </c>
      <c r="O1" t="s">
        <v>40</v>
      </c>
    </row>
    <row r="2" spans="1:15">
      <c r="A2">
        <v>10</v>
      </c>
      <c r="B2">
        <v>1062</v>
      </c>
      <c r="C2">
        <v>-11.56</v>
      </c>
      <c r="D2">
        <v>0.42</v>
      </c>
      <c r="E2">
        <v>-12.78</v>
      </c>
      <c r="F2">
        <v>0.17299999999999999</v>
      </c>
      <c r="G2">
        <v>36.200000000000003</v>
      </c>
      <c r="H2">
        <v>-0.06</v>
      </c>
      <c r="I2">
        <v>0.19</v>
      </c>
      <c r="J2" s="155" t="s">
        <v>372</v>
      </c>
      <c r="K2">
        <v>450</v>
      </c>
      <c r="L2" s="155">
        <v>200</v>
      </c>
      <c r="M2" s="155">
        <v>6</v>
      </c>
      <c r="N2" s="155">
        <v>8</v>
      </c>
      <c r="O2" s="155">
        <v>0</v>
      </c>
    </row>
    <row r="3" spans="1:15">
      <c r="A3">
        <v>1198</v>
      </c>
      <c r="B3">
        <v>1062</v>
      </c>
      <c r="C3">
        <v>-11.515000000000001</v>
      </c>
      <c r="D3">
        <v>0.42</v>
      </c>
      <c r="E3">
        <v>-12.55</v>
      </c>
      <c r="F3">
        <v>0.17299999999999999</v>
      </c>
      <c r="G3">
        <v>34.299999999999997</v>
      </c>
      <c r="H3">
        <v>-0.13</v>
      </c>
      <c r="I3">
        <v>0.16700000000000001</v>
      </c>
      <c r="J3" s="155" t="str">
        <f t="shared" ref="J3:O18" si="0">J2</f>
        <v>COMBO1</v>
      </c>
      <c r="K3">
        <f t="shared" si="0"/>
        <v>450</v>
      </c>
      <c r="L3" s="155">
        <f t="shared" si="0"/>
        <v>200</v>
      </c>
      <c r="M3" s="155">
        <f t="shared" si="0"/>
        <v>6</v>
      </c>
      <c r="N3" s="155">
        <f t="shared" si="0"/>
        <v>8</v>
      </c>
      <c r="O3" s="155">
        <f t="shared" si="0"/>
        <v>0</v>
      </c>
    </row>
    <row r="4" spans="1:15">
      <c r="A4">
        <v>1198</v>
      </c>
      <c r="B4">
        <v>1063</v>
      </c>
      <c r="C4">
        <v>-11.515000000000001</v>
      </c>
      <c r="D4">
        <v>0.42</v>
      </c>
      <c r="E4">
        <v>-12.55</v>
      </c>
      <c r="F4">
        <v>0.17399999999999999</v>
      </c>
      <c r="G4">
        <v>34.33</v>
      </c>
      <c r="H4">
        <v>-0.13</v>
      </c>
      <c r="I4">
        <v>0.16700000000000001</v>
      </c>
      <c r="J4" s="155" t="str">
        <f t="shared" si="0"/>
        <v>COMBO1</v>
      </c>
      <c r="K4" s="156">
        <f>$K$61+((K2-$K$61)*($O$61-New_Text_Document[[#This Row],[L]]))/$O$61</f>
        <v>444.82758620689657</v>
      </c>
      <c r="L4" s="155">
        <f t="shared" si="0"/>
        <v>200</v>
      </c>
      <c r="M4" s="155">
        <f t="shared" si="0"/>
        <v>6</v>
      </c>
      <c r="N4" s="155">
        <f t="shared" si="0"/>
        <v>8</v>
      </c>
      <c r="O4" s="155">
        <f>O2+$O$61/29</f>
        <v>0.35165517241379313</v>
      </c>
    </row>
    <row r="5" spans="1:15">
      <c r="A5">
        <v>1180</v>
      </c>
      <c r="B5">
        <v>1063</v>
      </c>
      <c r="C5">
        <v>-11.432</v>
      </c>
      <c r="D5">
        <v>0.42</v>
      </c>
      <c r="E5">
        <v>-12.14</v>
      </c>
      <c r="F5">
        <v>0.17399999999999999</v>
      </c>
      <c r="G5">
        <v>30.93</v>
      </c>
      <c r="H5">
        <v>-0.24</v>
      </c>
      <c r="I5">
        <v>0.126</v>
      </c>
      <c r="J5" s="155" t="str">
        <f t="shared" si="0"/>
        <v>COMBO1</v>
      </c>
      <c r="K5" s="156">
        <f>$K$61+((K3-$K$61)*($O$61-New_Text_Document[[#This Row],[L]]))/$O$61</f>
        <v>444.82758620689657</v>
      </c>
      <c r="L5" s="155">
        <f t="shared" si="0"/>
        <v>200</v>
      </c>
      <c r="M5" s="155">
        <f t="shared" si="0"/>
        <v>6</v>
      </c>
      <c r="N5" s="155">
        <f t="shared" si="0"/>
        <v>8</v>
      </c>
      <c r="O5" s="155">
        <f t="shared" ref="O5:O60" si="1">O3+$O$61/29</f>
        <v>0.35165517241379313</v>
      </c>
    </row>
    <row r="6" spans="1:15">
      <c r="A6">
        <v>1181</v>
      </c>
      <c r="B6">
        <v>1064</v>
      </c>
      <c r="C6">
        <v>-11.304</v>
      </c>
      <c r="D6">
        <v>0.42</v>
      </c>
      <c r="E6">
        <v>-11.5</v>
      </c>
      <c r="F6">
        <v>0.17499999999999999</v>
      </c>
      <c r="G6">
        <v>25.95</v>
      </c>
      <c r="H6">
        <v>-0.42</v>
      </c>
      <c r="I6">
        <v>6.6000000000000003E-2</v>
      </c>
      <c r="J6" s="155" t="str">
        <f t="shared" si="0"/>
        <v>COMBO1</v>
      </c>
      <c r="K6" s="156">
        <f>$K$61+((K4-$K$61)*($O$61-New_Text_Document[[#This Row],[L]]))/$O$61</f>
        <v>434.83947681331745</v>
      </c>
      <c r="L6" s="155">
        <f t="shared" si="0"/>
        <v>200</v>
      </c>
      <c r="M6" s="155">
        <f t="shared" si="0"/>
        <v>6</v>
      </c>
      <c r="N6" s="155">
        <f t="shared" si="0"/>
        <v>8</v>
      </c>
      <c r="O6" s="155">
        <f t="shared" si="1"/>
        <v>0.70331034482758625</v>
      </c>
    </row>
    <row r="7" spans="1:15">
      <c r="A7">
        <v>1180</v>
      </c>
      <c r="B7">
        <v>1064</v>
      </c>
      <c r="C7">
        <v>-11.432</v>
      </c>
      <c r="D7">
        <v>0.42</v>
      </c>
      <c r="E7">
        <v>-12.14</v>
      </c>
      <c r="F7">
        <v>0.17499999999999999</v>
      </c>
      <c r="G7">
        <v>30.97</v>
      </c>
      <c r="H7">
        <v>-0.24</v>
      </c>
      <c r="I7">
        <v>0.125</v>
      </c>
      <c r="J7" s="155" t="str">
        <f t="shared" si="0"/>
        <v>COMBO1</v>
      </c>
      <c r="K7" s="156">
        <f>$K$61+((K5-$K$61)*($O$61-New_Text_Document[[#This Row],[L]]))/$O$61</f>
        <v>434.83947681331745</v>
      </c>
      <c r="L7" s="155">
        <f t="shared" si="0"/>
        <v>200</v>
      </c>
      <c r="M7" s="155">
        <f t="shared" si="0"/>
        <v>6</v>
      </c>
      <c r="N7" s="155">
        <f t="shared" si="0"/>
        <v>8</v>
      </c>
      <c r="O7" s="155">
        <f t="shared" si="1"/>
        <v>0.70331034482758625</v>
      </c>
    </row>
    <row r="8" spans="1:15">
      <c r="A8">
        <v>1181</v>
      </c>
      <c r="B8">
        <v>1065</v>
      </c>
      <c r="C8">
        <v>-11.304</v>
      </c>
      <c r="D8">
        <v>0.42</v>
      </c>
      <c r="E8">
        <v>-11.5</v>
      </c>
      <c r="F8">
        <v>0.17599999999999999</v>
      </c>
      <c r="G8">
        <v>25.99</v>
      </c>
      <c r="H8">
        <v>-0.42</v>
      </c>
      <c r="I8">
        <v>6.4000000000000001E-2</v>
      </c>
      <c r="J8" s="155" t="str">
        <f t="shared" si="0"/>
        <v>COMBO1</v>
      </c>
      <c r="K8" s="156">
        <f>$K$61+((K6-$K$61)*($O$61-New_Text_Document[[#This Row],[L]]))/$O$61</f>
        <v>420.89056541883633</v>
      </c>
      <c r="L8" s="155">
        <f t="shared" si="0"/>
        <v>200</v>
      </c>
      <c r="M8" s="155">
        <f t="shared" si="0"/>
        <v>6</v>
      </c>
      <c r="N8" s="155">
        <f t="shared" si="0"/>
        <v>8</v>
      </c>
      <c r="O8" s="155">
        <f t="shared" si="1"/>
        <v>1.0549655172413794</v>
      </c>
    </row>
    <row r="9" spans="1:15">
      <c r="A9">
        <v>1182</v>
      </c>
      <c r="B9">
        <v>1065</v>
      </c>
      <c r="C9">
        <v>-11.177</v>
      </c>
      <c r="D9">
        <v>0.42</v>
      </c>
      <c r="E9">
        <v>-10.86</v>
      </c>
      <c r="F9">
        <v>0.17599999999999999</v>
      </c>
      <c r="G9">
        <v>21.24</v>
      </c>
      <c r="H9">
        <v>-0.6</v>
      </c>
      <c r="I9">
        <v>8.0000000000000002E-3</v>
      </c>
      <c r="J9" s="155" t="str">
        <f t="shared" si="0"/>
        <v>COMBO1</v>
      </c>
      <c r="K9" s="156">
        <f>$K$61+((K7-$K$61)*($O$61-New_Text_Document[[#This Row],[L]]))/$O$61</f>
        <v>420.89056541883633</v>
      </c>
      <c r="L9" s="155">
        <f t="shared" si="0"/>
        <v>200</v>
      </c>
      <c r="M9" s="155">
        <f t="shared" si="0"/>
        <v>6</v>
      </c>
      <c r="N9" s="155">
        <f t="shared" si="0"/>
        <v>8</v>
      </c>
      <c r="O9" s="155">
        <f t="shared" si="1"/>
        <v>1.0549655172413794</v>
      </c>
    </row>
    <row r="10" spans="1:15">
      <c r="A10">
        <v>1182</v>
      </c>
      <c r="B10">
        <v>1066</v>
      </c>
      <c r="C10">
        <v>-11.177</v>
      </c>
      <c r="D10">
        <v>0.42</v>
      </c>
      <c r="E10">
        <v>-10.86</v>
      </c>
      <c r="F10">
        <v>0.17699999999999999</v>
      </c>
      <c r="G10">
        <v>21.28</v>
      </c>
      <c r="H10">
        <v>-0.6</v>
      </c>
      <c r="I10">
        <v>6.0000000000000001E-3</v>
      </c>
      <c r="J10" s="155" t="str">
        <f t="shared" si="0"/>
        <v>COMBO1</v>
      </c>
      <c r="K10" s="156">
        <f>$K$61+((K8-$K$61)*($O$61-New_Text_Document[[#This Row],[L]]))/$O$61</f>
        <v>404.21600467141064</v>
      </c>
      <c r="L10" s="155">
        <f t="shared" si="0"/>
        <v>200</v>
      </c>
      <c r="M10" s="155">
        <f t="shared" si="0"/>
        <v>6</v>
      </c>
      <c r="N10" s="155">
        <f t="shared" si="0"/>
        <v>8</v>
      </c>
      <c r="O10" s="155">
        <f t="shared" si="1"/>
        <v>1.4066206896551725</v>
      </c>
    </row>
    <row r="11" spans="1:15">
      <c r="A11">
        <v>177</v>
      </c>
      <c r="B11">
        <v>1066</v>
      </c>
      <c r="C11">
        <v>-11.048999999999999</v>
      </c>
      <c r="D11">
        <v>0.42</v>
      </c>
      <c r="E11">
        <v>-10.23</v>
      </c>
      <c r="F11">
        <v>0.17699999999999999</v>
      </c>
      <c r="G11">
        <v>16.8</v>
      </c>
      <c r="H11">
        <v>-0.78</v>
      </c>
      <c r="I11">
        <v>-4.8000000000000001E-2</v>
      </c>
      <c r="J11" s="155" t="str">
        <f t="shared" si="0"/>
        <v>COMBO1</v>
      </c>
      <c r="K11" s="156">
        <f>$K$61+((K9-$K$61)*($O$61-New_Text_Document[[#This Row],[L]]))/$O$61</f>
        <v>404.21600467141064</v>
      </c>
      <c r="L11" s="155">
        <f t="shared" si="0"/>
        <v>200</v>
      </c>
      <c r="M11" s="155">
        <f t="shared" si="0"/>
        <v>6</v>
      </c>
      <c r="N11" s="155">
        <f t="shared" si="0"/>
        <v>8</v>
      </c>
      <c r="O11" s="155">
        <f t="shared" si="1"/>
        <v>1.4066206896551725</v>
      </c>
    </row>
    <row r="12" spans="1:15">
      <c r="A12">
        <v>253</v>
      </c>
      <c r="B12">
        <v>1067</v>
      </c>
      <c r="C12">
        <v>-11.034000000000001</v>
      </c>
      <c r="D12">
        <v>0.42</v>
      </c>
      <c r="E12">
        <v>-10.15</v>
      </c>
      <c r="F12">
        <v>0.17799999999999999</v>
      </c>
      <c r="G12">
        <v>16.309999999999999</v>
      </c>
      <c r="H12">
        <v>-0.8</v>
      </c>
      <c r="I12">
        <v>-5.5E-2</v>
      </c>
      <c r="J12" s="155" t="str">
        <f t="shared" si="0"/>
        <v>COMBO1</v>
      </c>
      <c r="K12" s="156">
        <f>$K$61+((K10-$K$61)*($O$61-New_Text_Document[[#This Row],[L]]))/$O$61</f>
        <v>386.24772800392606</v>
      </c>
      <c r="L12" s="155">
        <f t="shared" si="0"/>
        <v>200</v>
      </c>
      <c r="M12" s="155">
        <f t="shared" si="0"/>
        <v>6</v>
      </c>
      <c r="N12" s="155">
        <f t="shared" si="0"/>
        <v>8</v>
      </c>
      <c r="O12" s="155">
        <f t="shared" si="1"/>
        <v>1.7582758620689656</v>
      </c>
    </row>
    <row r="13" spans="1:15">
      <c r="A13">
        <v>177</v>
      </c>
      <c r="B13">
        <v>1067</v>
      </c>
      <c r="C13">
        <v>-11.048999999999999</v>
      </c>
      <c r="D13">
        <v>0.42</v>
      </c>
      <c r="E13">
        <v>-10.23</v>
      </c>
      <c r="F13">
        <v>0.17799999999999999</v>
      </c>
      <c r="G13">
        <v>16.829999999999998</v>
      </c>
      <c r="H13">
        <v>-0.78</v>
      </c>
      <c r="I13">
        <v>-4.9000000000000002E-2</v>
      </c>
      <c r="J13" s="155" t="str">
        <f t="shared" si="0"/>
        <v>COMBO1</v>
      </c>
      <c r="K13" s="156">
        <f>$K$61+((K11-$K$61)*($O$61-New_Text_Document[[#This Row],[L]]))/$O$61</f>
        <v>386.24772800392606</v>
      </c>
      <c r="L13" s="155">
        <f t="shared" si="0"/>
        <v>200</v>
      </c>
      <c r="M13" s="155">
        <f t="shared" si="0"/>
        <v>6</v>
      </c>
      <c r="N13" s="155">
        <f t="shared" si="0"/>
        <v>8</v>
      </c>
      <c r="O13" s="155">
        <f t="shared" si="1"/>
        <v>1.7582758620689656</v>
      </c>
    </row>
    <row r="14" spans="1:15">
      <c r="A14">
        <v>253</v>
      </c>
      <c r="B14">
        <v>1068</v>
      </c>
      <c r="C14">
        <v>-11.034000000000001</v>
      </c>
      <c r="D14">
        <v>0.42</v>
      </c>
      <c r="E14">
        <v>-10.15</v>
      </c>
      <c r="F14">
        <v>0.17899999999999999</v>
      </c>
      <c r="G14">
        <v>16.329999999999998</v>
      </c>
      <c r="H14">
        <v>-0.8</v>
      </c>
      <c r="I14">
        <v>-5.6000000000000001E-2</v>
      </c>
      <c r="J14" s="155" t="str">
        <f t="shared" si="0"/>
        <v>COMBO1</v>
      </c>
      <c r="K14" s="156">
        <f>$K$61+((K12-$K$61)*($O$61-New_Text_Document[[#This Row],[L]]))/$O$61</f>
        <v>368.40337048587241</v>
      </c>
      <c r="L14" s="155">
        <f t="shared" si="0"/>
        <v>200</v>
      </c>
      <c r="M14" s="155">
        <f t="shared" si="0"/>
        <v>6</v>
      </c>
      <c r="N14" s="155">
        <f t="shared" si="0"/>
        <v>8</v>
      </c>
      <c r="O14" s="155">
        <f t="shared" si="1"/>
        <v>2.1099310344827589</v>
      </c>
    </row>
    <row r="15" spans="1:15">
      <c r="A15">
        <v>1183</v>
      </c>
      <c r="B15">
        <v>1068</v>
      </c>
      <c r="C15">
        <v>-10.954000000000001</v>
      </c>
      <c r="D15">
        <v>0.42</v>
      </c>
      <c r="E15">
        <v>-9.75</v>
      </c>
      <c r="F15">
        <v>0.17899999999999999</v>
      </c>
      <c r="G15">
        <v>13.68</v>
      </c>
      <c r="H15">
        <v>-0.91</v>
      </c>
      <c r="I15">
        <v>-8.7999999999999995E-2</v>
      </c>
      <c r="J15" s="155" t="str">
        <f t="shared" si="0"/>
        <v>COMBO1</v>
      </c>
      <c r="K15" s="156">
        <f>$K$61+((K13-$K$61)*($O$61-New_Text_Document[[#This Row],[L]]))/$O$61</f>
        <v>368.40337048587241</v>
      </c>
      <c r="L15" s="155">
        <f t="shared" si="0"/>
        <v>200</v>
      </c>
      <c r="M15" s="155">
        <f t="shared" si="0"/>
        <v>6</v>
      </c>
      <c r="N15" s="155">
        <f t="shared" si="0"/>
        <v>8</v>
      </c>
      <c r="O15" s="155">
        <f t="shared" si="1"/>
        <v>2.1099310344827589</v>
      </c>
    </row>
    <row r="16" spans="1:15">
      <c r="A16">
        <v>1183</v>
      </c>
      <c r="B16">
        <v>1069</v>
      </c>
      <c r="C16">
        <v>-10.954000000000001</v>
      </c>
      <c r="D16">
        <v>0.42</v>
      </c>
      <c r="E16">
        <v>-9.75</v>
      </c>
      <c r="F16">
        <v>0.17899999999999999</v>
      </c>
      <c r="G16">
        <v>13.7</v>
      </c>
      <c r="H16">
        <v>-0.91</v>
      </c>
      <c r="I16">
        <v>-0.09</v>
      </c>
      <c r="J16" s="155" t="str">
        <f t="shared" si="0"/>
        <v>COMBO1</v>
      </c>
      <c r="K16" s="156">
        <f>$K$61+((K14-$K$61)*($O$61-New_Text_Document[[#This Row],[L]]))/$O$61</f>
        <v>351.8922120927308</v>
      </c>
      <c r="L16" s="155">
        <f t="shared" si="0"/>
        <v>200</v>
      </c>
      <c r="M16" s="155">
        <f t="shared" si="0"/>
        <v>6</v>
      </c>
      <c r="N16" s="155">
        <f t="shared" si="0"/>
        <v>8</v>
      </c>
      <c r="O16" s="155">
        <f t="shared" si="1"/>
        <v>2.4615862068965519</v>
      </c>
    </row>
    <row r="17" spans="1:15">
      <c r="A17">
        <v>1184</v>
      </c>
      <c r="B17">
        <v>1069</v>
      </c>
      <c r="C17">
        <v>-10.875</v>
      </c>
      <c r="D17">
        <v>0.42</v>
      </c>
      <c r="E17">
        <v>-9.36</v>
      </c>
      <c r="F17">
        <v>0.17899999999999999</v>
      </c>
      <c r="G17">
        <v>11.16</v>
      </c>
      <c r="H17">
        <v>-1.03</v>
      </c>
      <c r="I17">
        <v>-0.122</v>
      </c>
      <c r="J17" s="155" t="str">
        <f t="shared" si="0"/>
        <v>COMBO1</v>
      </c>
      <c r="K17" s="156">
        <f>$K$61+((K15-$K$61)*($O$61-New_Text_Document[[#This Row],[L]]))/$O$61</f>
        <v>351.8922120927308</v>
      </c>
      <c r="L17" s="155">
        <f t="shared" si="0"/>
        <v>200</v>
      </c>
      <c r="M17" s="155">
        <f t="shared" si="0"/>
        <v>6</v>
      </c>
      <c r="N17" s="155">
        <f t="shared" si="0"/>
        <v>8</v>
      </c>
      <c r="O17" s="155">
        <f t="shared" si="1"/>
        <v>2.4615862068965519</v>
      </c>
    </row>
    <row r="18" spans="1:15">
      <c r="A18">
        <v>386</v>
      </c>
      <c r="B18">
        <v>1070</v>
      </c>
      <c r="C18">
        <v>-10.795</v>
      </c>
      <c r="D18">
        <v>0.42</v>
      </c>
      <c r="E18">
        <v>-8.9600000000000009</v>
      </c>
      <c r="F18">
        <v>0.18</v>
      </c>
      <c r="G18">
        <v>8.74</v>
      </c>
      <c r="H18">
        <v>-1.1399999999999999</v>
      </c>
      <c r="I18">
        <v>-0.156</v>
      </c>
      <c r="J18" s="155" t="str">
        <f t="shared" si="0"/>
        <v>COMBO1</v>
      </c>
      <c r="K18" s="156">
        <f>$K$61+((K16-$K$61)*($O$61-New_Text_Document[[#This Row],[L]]))/$O$61</f>
        <v>337.57711910163266</v>
      </c>
      <c r="L18" s="155">
        <f t="shared" si="0"/>
        <v>200</v>
      </c>
      <c r="M18" s="155">
        <f t="shared" si="0"/>
        <v>6</v>
      </c>
      <c r="N18" s="155">
        <f t="shared" si="0"/>
        <v>8</v>
      </c>
      <c r="O18" s="155">
        <f t="shared" si="1"/>
        <v>2.813241379310345</v>
      </c>
    </row>
    <row r="19" spans="1:15">
      <c r="A19">
        <v>1184</v>
      </c>
      <c r="B19">
        <v>1070</v>
      </c>
      <c r="C19">
        <v>-10.875</v>
      </c>
      <c r="D19">
        <v>0.42</v>
      </c>
      <c r="E19">
        <v>-9.36</v>
      </c>
      <c r="F19">
        <v>0.18</v>
      </c>
      <c r="G19">
        <v>11.18</v>
      </c>
      <c r="H19">
        <v>-1.03</v>
      </c>
      <c r="I19">
        <v>-0.124</v>
      </c>
      <c r="J19" s="155" t="str">
        <f t="shared" ref="J19:J61" si="2">J18</f>
        <v>COMBO1</v>
      </c>
      <c r="K19" s="156">
        <f>$K$61+((K17-$K$61)*($O$61-New_Text_Document[[#This Row],[L]]))/$O$61</f>
        <v>337.57711910163266</v>
      </c>
      <c r="L19" s="155">
        <f t="shared" ref="L19:N34" si="3">L18</f>
        <v>200</v>
      </c>
      <c r="M19" s="155">
        <f t="shared" si="3"/>
        <v>6</v>
      </c>
      <c r="N19" s="155">
        <f t="shared" si="3"/>
        <v>8</v>
      </c>
      <c r="O19" s="155">
        <f t="shared" si="1"/>
        <v>2.813241379310345</v>
      </c>
    </row>
    <row r="20" spans="1:15">
      <c r="A20">
        <v>386</v>
      </c>
      <c r="B20">
        <v>1071</v>
      </c>
      <c r="C20">
        <v>-10.795</v>
      </c>
      <c r="D20">
        <v>-3.33</v>
      </c>
      <c r="E20">
        <v>-8.9600000000000009</v>
      </c>
      <c r="F20">
        <v>0.17499999999999999</v>
      </c>
      <c r="G20">
        <v>8.77</v>
      </c>
      <c r="H20">
        <v>-1.1399999999999999</v>
      </c>
      <c r="I20">
        <v>-0.159</v>
      </c>
      <c r="J20" s="155" t="str">
        <f t="shared" si="2"/>
        <v>COMBO1</v>
      </c>
      <c r="K20" s="156">
        <f>$K$61+((K18-$K$61)*($O$61-New_Text_Document[[#This Row],[L]]))/$O$61</f>
        <v>325.91525455285012</v>
      </c>
      <c r="L20" s="155">
        <f t="shared" si="3"/>
        <v>200</v>
      </c>
      <c r="M20" s="155">
        <f t="shared" si="3"/>
        <v>6</v>
      </c>
      <c r="N20" s="155">
        <f t="shared" si="3"/>
        <v>8</v>
      </c>
      <c r="O20" s="155">
        <f t="shared" si="1"/>
        <v>3.1648965517241381</v>
      </c>
    </row>
    <row r="21" spans="1:15">
      <c r="A21">
        <v>1185</v>
      </c>
      <c r="B21">
        <v>1071</v>
      </c>
      <c r="C21">
        <v>-10.669</v>
      </c>
      <c r="D21">
        <v>-3.33</v>
      </c>
      <c r="E21">
        <v>-8.33</v>
      </c>
      <c r="F21">
        <v>0.17499999999999999</v>
      </c>
      <c r="G21">
        <v>5.0999999999999996</v>
      </c>
      <c r="H21">
        <v>0.27</v>
      </c>
      <c r="I21">
        <v>-0.21099999999999999</v>
      </c>
      <c r="J21" s="155" t="str">
        <f t="shared" si="2"/>
        <v>COMBO1</v>
      </c>
      <c r="K21" s="156">
        <f>$K$61+((K19-$K$61)*($O$61-New_Text_Document[[#This Row],[L]]))/$O$61</f>
        <v>325.91525455285012</v>
      </c>
      <c r="L21" s="155">
        <f t="shared" si="3"/>
        <v>200</v>
      </c>
      <c r="M21" s="155">
        <f t="shared" si="3"/>
        <v>6</v>
      </c>
      <c r="N21" s="155">
        <f t="shared" si="3"/>
        <v>8</v>
      </c>
      <c r="O21" s="155">
        <f t="shared" si="1"/>
        <v>3.1648965517241381</v>
      </c>
    </row>
    <row r="22" spans="1:15">
      <c r="A22">
        <v>83</v>
      </c>
      <c r="B22">
        <v>1072</v>
      </c>
      <c r="C22">
        <v>-10.542</v>
      </c>
      <c r="D22">
        <v>-3.33</v>
      </c>
      <c r="E22">
        <v>-7.69</v>
      </c>
      <c r="F22">
        <v>0.16500000000000001</v>
      </c>
      <c r="G22">
        <v>1.74</v>
      </c>
      <c r="H22">
        <v>1.69</v>
      </c>
      <c r="I22">
        <v>-0.26900000000000002</v>
      </c>
      <c r="J22" s="155" t="str">
        <f t="shared" si="2"/>
        <v>COMBO1</v>
      </c>
      <c r="K22" s="156">
        <f>$K$61+((K20-$K$61)*($O$61-New_Text_Document[[#This Row],[L]]))/$O$61</f>
        <v>316.9789598794535</v>
      </c>
      <c r="L22" s="155">
        <f t="shared" si="3"/>
        <v>200</v>
      </c>
      <c r="M22" s="155">
        <f t="shared" si="3"/>
        <v>6</v>
      </c>
      <c r="N22" s="155">
        <f t="shared" si="3"/>
        <v>8</v>
      </c>
      <c r="O22" s="155">
        <f t="shared" si="1"/>
        <v>3.5165517241379312</v>
      </c>
    </row>
    <row r="23" spans="1:15">
      <c r="A23">
        <v>1185</v>
      </c>
      <c r="B23">
        <v>1072</v>
      </c>
      <c r="C23">
        <v>-10.669</v>
      </c>
      <c r="D23">
        <v>-3.33</v>
      </c>
      <c r="E23">
        <v>-8.33</v>
      </c>
      <c r="F23">
        <v>0.16500000000000001</v>
      </c>
      <c r="G23">
        <v>5.14</v>
      </c>
      <c r="H23">
        <v>0.27</v>
      </c>
      <c r="I23">
        <v>-0.21099999999999999</v>
      </c>
      <c r="J23" s="155" t="str">
        <f t="shared" si="2"/>
        <v>COMBO1</v>
      </c>
      <c r="K23" s="156">
        <f>$K$61+((K21-$K$61)*($O$61-New_Text_Document[[#This Row],[L]]))/$O$61</f>
        <v>316.9789598794535</v>
      </c>
      <c r="L23" s="155">
        <f t="shared" si="3"/>
        <v>200</v>
      </c>
      <c r="M23" s="155">
        <f t="shared" si="3"/>
        <v>6</v>
      </c>
      <c r="N23" s="155">
        <f t="shared" si="3"/>
        <v>8</v>
      </c>
      <c r="O23" s="155">
        <f t="shared" si="1"/>
        <v>3.5165517241379312</v>
      </c>
    </row>
    <row r="24" spans="1:15">
      <c r="A24">
        <v>83</v>
      </c>
      <c r="B24">
        <v>1073</v>
      </c>
      <c r="C24">
        <v>-13.206</v>
      </c>
      <c r="D24">
        <v>1.46</v>
      </c>
      <c r="E24">
        <v>-7.46</v>
      </c>
      <c r="F24">
        <v>-7.6999999999999999E-2</v>
      </c>
      <c r="G24">
        <v>1.65</v>
      </c>
      <c r="H24">
        <v>1.69</v>
      </c>
      <c r="I24">
        <v>-0.26300000000000001</v>
      </c>
      <c r="J24" s="155" t="str">
        <f t="shared" si="2"/>
        <v>COMBO1</v>
      </c>
      <c r="K24" s="156">
        <f>$K$61+((K22-$K$61)*($O$61-New_Text_Document[[#This Row],[L]]))/$O$61</f>
        <v>310.53866475276425</v>
      </c>
      <c r="L24" s="155">
        <f t="shared" si="3"/>
        <v>200</v>
      </c>
      <c r="M24" s="155">
        <f t="shared" si="3"/>
        <v>6</v>
      </c>
      <c r="N24" s="155">
        <f t="shared" si="3"/>
        <v>8</v>
      </c>
      <c r="O24" s="155">
        <f t="shared" si="1"/>
        <v>3.8682068965517242</v>
      </c>
    </row>
    <row r="25" spans="1:15">
      <c r="A25">
        <v>1186</v>
      </c>
      <c r="B25">
        <v>1073</v>
      </c>
      <c r="C25">
        <v>-13.08</v>
      </c>
      <c r="D25">
        <v>1.46</v>
      </c>
      <c r="E25">
        <v>-6.83</v>
      </c>
      <c r="F25">
        <v>-7.6999999999999999E-2</v>
      </c>
      <c r="G25">
        <v>-1.39</v>
      </c>
      <c r="H25">
        <v>1.07</v>
      </c>
      <c r="I25">
        <v>-0.22500000000000001</v>
      </c>
      <c r="J25" s="155" t="str">
        <f t="shared" si="2"/>
        <v>COMBO1</v>
      </c>
      <c r="K25" s="156">
        <f>$K$61+((K23-$K$61)*($O$61-New_Text_Document[[#This Row],[L]]))/$O$61</f>
        <v>310.53866475276425</v>
      </c>
      <c r="L25" s="155">
        <f t="shared" si="3"/>
        <v>200</v>
      </c>
      <c r="M25" s="155">
        <f t="shared" si="3"/>
        <v>6</v>
      </c>
      <c r="N25" s="155">
        <f t="shared" si="3"/>
        <v>8</v>
      </c>
      <c r="O25" s="155">
        <f t="shared" si="1"/>
        <v>3.8682068965517242</v>
      </c>
    </row>
    <row r="26" spans="1:15">
      <c r="A26">
        <v>1187</v>
      </c>
      <c r="B26">
        <v>1074</v>
      </c>
      <c r="C26">
        <v>-12.954000000000001</v>
      </c>
      <c r="D26">
        <v>1.46</v>
      </c>
      <c r="E26">
        <v>-6.2</v>
      </c>
      <c r="F26">
        <v>-7.1999999999999995E-2</v>
      </c>
      <c r="G26">
        <v>-4.1100000000000003</v>
      </c>
      <c r="H26">
        <v>0.45</v>
      </c>
      <c r="I26">
        <v>-0.186</v>
      </c>
      <c r="J26" s="155" t="str">
        <f t="shared" si="2"/>
        <v>COMBO1</v>
      </c>
      <c r="K26" s="156">
        <f>$K$61+((K24-$K$61)*($O$61-New_Text_Document[[#This Row],[L]]))/$O$61</f>
        <v>306.17783795851699</v>
      </c>
      <c r="L26" s="155">
        <f t="shared" si="3"/>
        <v>200</v>
      </c>
      <c r="M26" s="155">
        <f t="shared" si="3"/>
        <v>6</v>
      </c>
      <c r="N26" s="155">
        <f t="shared" si="3"/>
        <v>8</v>
      </c>
      <c r="O26" s="155">
        <f t="shared" si="1"/>
        <v>4.2198620689655177</v>
      </c>
    </row>
    <row r="27" spans="1:15">
      <c r="A27">
        <v>1186</v>
      </c>
      <c r="B27">
        <v>1074</v>
      </c>
      <c r="C27">
        <v>-13.08</v>
      </c>
      <c r="D27">
        <v>1.46</v>
      </c>
      <c r="E27">
        <v>-6.83</v>
      </c>
      <c r="F27">
        <v>-7.1999999999999995E-2</v>
      </c>
      <c r="G27">
        <v>-1.34</v>
      </c>
      <c r="H27">
        <v>1.07</v>
      </c>
      <c r="I27">
        <v>-0.221</v>
      </c>
      <c r="J27" s="155" t="str">
        <f t="shared" si="2"/>
        <v>COMBO1</v>
      </c>
      <c r="K27" s="156">
        <f>$K$61+((K25-$K$61)*($O$61-New_Text_Document[[#This Row],[L]]))/$O$61</f>
        <v>306.17783795851699</v>
      </c>
      <c r="L27" s="155">
        <f t="shared" si="3"/>
        <v>200</v>
      </c>
      <c r="M27" s="155">
        <f t="shared" si="3"/>
        <v>6</v>
      </c>
      <c r="N27" s="155">
        <f t="shared" si="3"/>
        <v>8</v>
      </c>
      <c r="O27" s="155">
        <f t="shared" si="1"/>
        <v>4.2198620689655177</v>
      </c>
    </row>
    <row r="28" spans="1:15">
      <c r="A28">
        <v>1188</v>
      </c>
      <c r="B28">
        <v>1075</v>
      </c>
      <c r="C28">
        <v>-12.827999999999999</v>
      </c>
      <c r="D28">
        <v>1.46</v>
      </c>
      <c r="E28">
        <v>-5.57</v>
      </c>
      <c r="F28">
        <v>-6.7000000000000004E-2</v>
      </c>
      <c r="G28">
        <v>-6.56</v>
      </c>
      <c r="H28">
        <v>-0.17</v>
      </c>
      <c r="I28">
        <v>-0.152</v>
      </c>
      <c r="J28" s="155" t="str">
        <f t="shared" si="2"/>
        <v>COMBO1</v>
      </c>
      <c r="K28" s="156">
        <f>$K$61+((K26-$K$61)*($O$61-New_Text_Document[[#This Row],[L]]))/$O$61</f>
        <v>303.40846232194042</v>
      </c>
      <c r="L28" s="155">
        <f t="shared" si="3"/>
        <v>200</v>
      </c>
      <c r="M28" s="155">
        <f t="shared" si="3"/>
        <v>6</v>
      </c>
      <c r="N28" s="155">
        <f t="shared" si="3"/>
        <v>8</v>
      </c>
      <c r="O28" s="155">
        <f t="shared" si="1"/>
        <v>4.5715172413793113</v>
      </c>
    </row>
    <row r="29" spans="1:15">
      <c r="A29">
        <v>1187</v>
      </c>
      <c r="B29">
        <v>1075</v>
      </c>
      <c r="C29">
        <v>-12.954000000000001</v>
      </c>
      <c r="D29">
        <v>1.46</v>
      </c>
      <c r="E29">
        <v>-6.2</v>
      </c>
      <c r="F29">
        <v>-6.7000000000000004E-2</v>
      </c>
      <c r="G29">
        <v>-4.0599999999999996</v>
      </c>
      <c r="H29">
        <v>0.45</v>
      </c>
      <c r="I29">
        <v>-0.185</v>
      </c>
      <c r="J29" s="155" t="str">
        <f t="shared" si="2"/>
        <v>COMBO1</v>
      </c>
      <c r="K29" s="156">
        <f>$K$61+((K27-$K$61)*($O$61-New_Text_Document[[#This Row],[L]]))/$O$61</f>
        <v>303.40846232194042</v>
      </c>
      <c r="L29" s="155">
        <f t="shared" si="3"/>
        <v>200</v>
      </c>
      <c r="M29" s="155">
        <f t="shared" si="3"/>
        <v>6</v>
      </c>
      <c r="N29" s="155">
        <f t="shared" si="3"/>
        <v>8</v>
      </c>
      <c r="O29" s="155">
        <f t="shared" si="1"/>
        <v>4.5715172413793113</v>
      </c>
    </row>
    <row r="30" spans="1:15">
      <c r="A30">
        <v>1188</v>
      </c>
      <c r="B30">
        <v>1076</v>
      </c>
      <c r="C30">
        <v>-12.827999999999999</v>
      </c>
      <c r="D30">
        <v>1.46</v>
      </c>
      <c r="E30">
        <v>-5.57</v>
      </c>
      <c r="F30">
        <v>-6.3E-2</v>
      </c>
      <c r="G30">
        <v>-6.52</v>
      </c>
      <c r="H30">
        <v>-0.17</v>
      </c>
      <c r="I30">
        <v>-0.153</v>
      </c>
      <c r="J30" s="155" t="str">
        <f t="shared" si="2"/>
        <v>COMBO1</v>
      </c>
      <c r="K30" s="156">
        <f>$K$61+((K28-$K$61)*($O$61-New_Text_Document[[#This Row],[L]]))/$O$61</f>
        <v>301.76299775272781</v>
      </c>
      <c r="L30" s="155">
        <f t="shared" si="3"/>
        <v>200</v>
      </c>
      <c r="M30" s="155">
        <f t="shared" si="3"/>
        <v>6</v>
      </c>
      <c r="N30" s="155">
        <f t="shared" si="3"/>
        <v>8</v>
      </c>
      <c r="O30" s="155">
        <f t="shared" si="1"/>
        <v>4.9231724137931048</v>
      </c>
    </row>
    <row r="31" spans="1:15">
      <c r="A31">
        <v>178</v>
      </c>
      <c r="B31">
        <v>1076</v>
      </c>
      <c r="C31">
        <v>-12.702999999999999</v>
      </c>
      <c r="D31">
        <v>1.46</v>
      </c>
      <c r="E31">
        <v>-4.95</v>
      </c>
      <c r="F31">
        <v>-6.3E-2</v>
      </c>
      <c r="G31">
        <v>-8.75</v>
      </c>
      <c r="H31">
        <v>-0.79</v>
      </c>
      <c r="I31">
        <v>-0.122</v>
      </c>
      <c r="J31" s="155" t="str">
        <f t="shared" si="2"/>
        <v>COMBO1</v>
      </c>
      <c r="K31" s="156">
        <f>$K$61+((K29-$K$61)*($O$61-New_Text_Document[[#This Row],[L]]))/$O$61</f>
        <v>301.76299775272781</v>
      </c>
      <c r="L31" s="155">
        <f t="shared" si="3"/>
        <v>200</v>
      </c>
      <c r="M31" s="155">
        <f t="shared" si="3"/>
        <v>6</v>
      </c>
      <c r="N31" s="155">
        <f t="shared" si="3"/>
        <v>8</v>
      </c>
      <c r="O31" s="155">
        <f t="shared" si="1"/>
        <v>4.9231724137931048</v>
      </c>
    </row>
    <row r="32" spans="1:15">
      <c r="A32">
        <v>178</v>
      </c>
      <c r="B32">
        <v>1077</v>
      </c>
      <c r="C32">
        <v>-12.702999999999999</v>
      </c>
      <c r="D32">
        <v>-0.6</v>
      </c>
      <c r="E32">
        <v>-4.95</v>
      </c>
      <c r="F32">
        <v>-6.2E-2</v>
      </c>
      <c r="G32">
        <v>-8.7100000000000009</v>
      </c>
      <c r="H32">
        <v>-0.79</v>
      </c>
      <c r="I32">
        <v>-0.124</v>
      </c>
      <c r="J32" s="155" t="str">
        <f t="shared" si="2"/>
        <v>COMBO1</v>
      </c>
      <c r="K32" s="156">
        <f>$K$61+((K30-$K$61)*($O$61-New_Text_Document[[#This Row],[L]]))/$O$61</f>
        <v>300.85110236338585</v>
      </c>
      <c r="L32" s="155">
        <f t="shared" si="3"/>
        <v>200</v>
      </c>
      <c r="M32" s="155">
        <f t="shared" si="3"/>
        <v>6</v>
      </c>
      <c r="N32" s="155">
        <f t="shared" si="3"/>
        <v>8</v>
      </c>
      <c r="O32" s="155">
        <f t="shared" si="1"/>
        <v>5.2748275862068983</v>
      </c>
    </row>
    <row r="33" spans="1:15">
      <c r="A33">
        <v>1189</v>
      </c>
      <c r="B33">
        <v>1077</v>
      </c>
      <c r="C33">
        <v>-12.577999999999999</v>
      </c>
      <c r="D33">
        <v>-0.6</v>
      </c>
      <c r="E33">
        <v>-4.32</v>
      </c>
      <c r="F33">
        <v>-6.2E-2</v>
      </c>
      <c r="G33">
        <v>-10.68</v>
      </c>
      <c r="H33">
        <v>-0.53</v>
      </c>
      <c r="I33">
        <v>-9.6000000000000002E-2</v>
      </c>
      <c r="J33" s="155" t="str">
        <f t="shared" si="2"/>
        <v>COMBO1</v>
      </c>
      <c r="K33" s="156">
        <f>$K$61+((K31-$K$61)*($O$61-New_Text_Document[[#This Row],[L]]))/$O$61</f>
        <v>300.85110236338585</v>
      </c>
      <c r="L33" s="155">
        <f t="shared" si="3"/>
        <v>200</v>
      </c>
      <c r="M33" s="155">
        <f t="shared" si="3"/>
        <v>6</v>
      </c>
      <c r="N33" s="155">
        <f t="shared" si="3"/>
        <v>8</v>
      </c>
      <c r="O33" s="155">
        <f t="shared" si="1"/>
        <v>5.2748275862068983</v>
      </c>
    </row>
    <row r="34" spans="1:15">
      <c r="A34">
        <v>1189</v>
      </c>
      <c r="B34">
        <v>1078</v>
      </c>
      <c r="C34">
        <v>-12.577999999999999</v>
      </c>
      <c r="D34">
        <v>-0.6</v>
      </c>
      <c r="E34">
        <v>-4.32</v>
      </c>
      <c r="F34">
        <v>-6.3E-2</v>
      </c>
      <c r="G34">
        <v>-10.63</v>
      </c>
      <c r="H34">
        <v>-0.53</v>
      </c>
      <c r="I34">
        <v>-9.7000000000000003E-2</v>
      </c>
      <c r="J34" s="155" t="str">
        <f t="shared" si="2"/>
        <v>COMBO1</v>
      </c>
      <c r="K34" s="156">
        <f>$K$61+((K32-$K$61)*($O$61-New_Text_Document[[#This Row],[L]]))/$O$61</f>
        <v>300.38152864565575</v>
      </c>
      <c r="L34" s="155">
        <f t="shared" si="3"/>
        <v>200</v>
      </c>
      <c r="M34" s="155">
        <f t="shared" si="3"/>
        <v>6</v>
      </c>
      <c r="N34" s="155">
        <f t="shared" si="3"/>
        <v>8</v>
      </c>
      <c r="O34" s="155">
        <f t="shared" si="1"/>
        <v>5.6264827586206918</v>
      </c>
    </row>
    <row r="35" spans="1:15">
      <c r="A35">
        <v>1190</v>
      </c>
      <c r="B35">
        <v>1078</v>
      </c>
      <c r="C35">
        <v>-12.452999999999999</v>
      </c>
      <c r="D35">
        <v>-0.6</v>
      </c>
      <c r="E35">
        <v>-3.7</v>
      </c>
      <c r="F35">
        <v>-6.3E-2</v>
      </c>
      <c r="G35">
        <v>-12.34</v>
      </c>
      <c r="H35">
        <v>-0.27</v>
      </c>
      <c r="I35">
        <v>-7.2999999999999995E-2</v>
      </c>
      <c r="J35" s="155" t="str">
        <f t="shared" si="2"/>
        <v>COMBO1</v>
      </c>
      <c r="K35" s="156">
        <f>$K$61+((K33-$K$61)*($O$61-New_Text_Document[[#This Row],[L]]))/$O$61</f>
        <v>300.38152864565575</v>
      </c>
      <c r="L35" s="155">
        <f t="shared" ref="L35:N50" si="4">L34</f>
        <v>200</v>
      </c>
      <c r="M35" s="155">
        <f t="shared" si="4"/>
        <v>6</v>
      </c>
      <c r="N35" s="155">
        <f t="shared" si="4"/>
        <v>8</v>
      </c>
      <c r="O35" s="155">
        <f t="shared" si="1"/>
        <v>5.6264827586206918</v>
      </c>
    </row>
    <row r="36" spans="1:15">
      <c r="A36">
        <v>1191</v>
      </c>
      <c r="B36">
        <v>1079</v>
      </c>
      <c r="C36">
        <v>-12.327999999999999</v>
      </c>
      <c r="D36">
        <v>-0.6</v>
      </c>
      <c r="E36">
        <v>-3.07</v>
      </c>
      <c r="F36">
        <v>-6.5000000000000002E-2</v>
      </c>
      <c r="G36">
        <v>-13.73</v>
      </c>
      <c r="H36">
        <v>-0.02</v>
      </c>
      <c r="I36">
        <v>-5.1999999999999998E-2</v>
      </c>
      <c r="J36" s="155" t="str">
        <f t="shared" si="2"/>
        <v>COMBO1</v>
      </c>
      <c r="K36" s="156">
        <f>$K$61+((K34-$K$61)*($O$61-New_Text_Document[[#This Row],[L]]))/$O$61</f>
        <v>300.15787392234029</v>
      </c>
      <c r="L36" s="155">
        <f t="shared" si="4"/>
        <v>200</v>
      </c>
      <c r="M36" s="155">
        <f t="shared" si="4"/>
        <v>6</v>
      </c>
      <c r="N36" s="155">
        <f t="shared" si="4"/>
        <v>8</v>
      </c>
      <c r="O36" s="155">
        <f t="shared" si="1"/>
        <v>5.9781379310344853</v>
      </c>
    </row>
    <row r="37" spans="1:15">
      <c r="A37">
        <v>1190</v>
      </c>
      <c r="B37">
        <v>1079</v>
      </c>
      <c r="C37">
        <v>-12.452999999999999</v>
      </c>
      <c r="D37">
        <v>-0.6</v>
      </c>
      <c r="E37">
        <v>-3.7</v>
      </c>
      <c r="F37">
        <v>-6.5000000000000002E-2</v>
      </c>
      <c r="G37">
        <v>-12.29</v>
      </c>
      <c r="H37">
        <v>-0.27</v>
      </c>
      <c r="I37">
        <v>-7.3999999999999996E-2</v>
      </c>
      <c r="J37" s="155" t="str">
        <f t="shared" si="2"/>
        <v>COMBO1</v>
      </c>
      <c r="K37" s="156">
        <f>$K$61+((K35-$K$61)*($O$61-New_Text_Document[[#This Row],[L]]))/$O$61</f>
        <v>300.15787392234029</v>
      </c>
      <c r="L37" s="155">
        <f t="shared" si="4"/>
        <v>200</v>
      </c>
      <c r="M37" s="155">
        <f t="shared" si="4"/>
        <v>6</v>
      </c>
      <c r="N37" s="155">
        <f t="shared" si="4"/>
        <v>8</v>
      </c>
      <c r="O37" s="155">
        <f t="shared" si="1"/>
        <v>5.9781379310344853</v>
      </c>
    </row>
    <row r="38" spans="1:15">
      <c r="A38">
        <v>81</v>
      </c>
      <c r="B38">
        <v>1080</v>
      </c>
      <c r="C38">
        <v>-12.204000000000001</v>
      </c>
      <c r="D38">
        <v>-0.6</v>
      </c>
      <c r="E38">
        <v>-2.4500000000000002</v>
      </c>
      <c r="F38">
        <v>-6.7000000000000004E-2</v>
      </c>
      <c r="G38">
        <v>-14.86</v>
      </c>
      <c r="H38">
        <v>0.24</v>
      </c>
      <c r="I38">
        <v>-3.4000000000000002E-2</v>
      </c>
      <c r="J38" s="155" t="str">
        <f t="shared" si="2"/>
        <v>COMBO1</v>
      </c>
      <c r="K38" s="156">
        <f>$K$61+((K36-$K$61)*($O$61-New_Text_Document[[#This Row],[L]]))/$O$61</f>
        <v>300.05988321192217</v>
      </c>
      <c r="L38" s="155">
        <f t="shared" si="4"/>
        <v>200</v>
      </c>
      <c r="M38" s="155">
        <f t="shared" si="4"/>
        <v>6</v>
      </c>
      <c r="N38" s="155">
        <f t="shared" si="4"/>
        <v>8</v>
      </c>
      <c r="O38" s="155">
        <f t="shared" si="1"/>
        <v>6.3297931034482788</v>
      </c>
    </row>
    <row r="39" spans="1:15">
      <c r="A39">
        <v>1191</v>
      </c>
      <c r="B39">
        <v>1080</v>
      </c>
      <c r="C39">
        <v>-12.327999999999999</v>
      </c>
      <c r="D39">
        <v>-0.6</v>
      </c>
      <c r="E39">
        <v>-3.07</v>
      </c>
      <c r="F39">
        <v>-6.7000000000000004E-2</v>
      </c>
      <c r="G39">
        <v>-13.69</v>
      </c>
      <c r="H39">
        <v>-0.02</v>
      </c>
      <c r="I39">
        <v>-5.1999999999999998E-2</v>
      </c>
      <c r="J39" s="155" t="str">
        <f t="shared" si="2"/>
        <v>COMBO1</v>
      </c>
      <c r="K39" s="156">
        <f>$K$61+((K37-$K$61)*($O$61-New_Text_Document[[#This Row],[L]]))/$O$61</f>
        <v>300.05988321192217</v>
      </c>
      <c r="L39" s="155">
        <f t="shared" si="4"/>
        <v>200</v>
      </c>
      <c r="M39" s="155">
        <f t="shared" si="4"/>
        <v>6</v>
      </c>
      <c r="N39" s="155">
        <f t="shared" si="4"/>
        <v>8</v>
      </c>
      <c r="O39" s="155">
        <f t="shared" si="1"/>
        <v>6.3297931034482788</v>
      </c>
    </row>
    <row r="40" spans="1:15">
      <c r="A40">
        <v>81</v>
      </c>
      <c r="B40">
        <v>1081</v>
      </c>
      <c r="C40">
        <v>-12.611000000000001</v>
      </c>
      <c r="D40">
        <v>0.2</v>
      </c>
      <c r="E40">
        <v>-2.2200000000000002</v>
      </c>
      <c r="F40">
        <v>-8.6999999999999994E-2</v>
      </c>
      <c r="G40">
        <v>-14.83</v>
      </c>
      <c r="H40">
        <v>0.24</v>
      </c>
      <c r="I40">
        <v>-3.5000000000000003E-2</v>
      </c>
      <c r="J40" s="155" t="str">
        <f t="shared" si="2"/>
        <v>COMBO1</v>
      </c>
      <c r="K40" s="156">
        <f>$K$61+((K38-$K$61)*($O$61-New_Text_Document[[#This Row],[L]]))/$O$61</f>
        <v>300.02064938342141</v>
      </c>
      <c r="L40" s="155">
        <f t="shared" si="4"/>
        <v>200</v>
      </c>
      <c r="M40" s="155">
        <f t="shared" si="4"/>
        <v>6</v>
      </c>
      <c r="N40" s="155">
        <f t="shared" si="4"/>
        <v>8</v>
      </c>
      <c r="O40" s="155">
        <f t="shared" si="1"/>
        <v>6.6814482758620724</v>
      </c>
    </row>
    <row r="41" spans="1:15">
      <c r="A41">
        <v>1192</v>
      </c>
      <c r="B41">
        <v>1081</v>
      </c>
      <c r="C41">
        <v>-12.487</v>
      </c>
      <c r="D41">
        <v>0.2</v>
      </c>
      <c r="E41">
        <v>-1.6</v>
      </c>
      <c r="F41">
        <v>-8.6999999999999994E-2</v>
      </c>
      <c r="G41">
        <v>-15.64</v>
      </c>
      <c r="H41">
        <v>0.15</v>
      </c>
      <c r="I41">
        <v>-0.01</v>
      </c>
      <c r="J41" s="155" t="str">
        <f t="shared" si="2"/>
        <v>COMBO1</v>
      </c>
      <c r="K41" s="156">
        <f>$K$61+((K39-$K$61)*($O$61-New_Text_Document[[#This Row],[L]]))/$O$61</f>
        <v>300.02064938342141</v>
      </c>
      <c r="L41" s="155">
        <f t="shared" si="4"/>
        <v>200</v>
      </c>
      <c r="M41" s="155">
        <f t="shared" si="4"/>
        <v>6</v>
      </c>
      <c r="N41" s="155">
        <f t="shared" si="4"/>
        <v>8</v>
      </c>
      <c r="O41" s="155">
        <f t="shared" si="1"/>
        <v>6.6814482758620724</v>
      </c>
    </row>
    <row r="42" spans="1:15">
      <c r="A42">
        <v>1192</v>
      </c>
      <c r="B42">
        <v>1082</v>
      </c>
      <c r="C42">
        <v>-12.487</v>
      </c>
      <c r="D42">
        <v>0.2</v>
      </c>
      <c r="E42">
        <v>-1.6</v>
      </c>
      <c r="F42">
        <v>-8.6999999999999994E-2</v>
      </c>
      <c r="G42">
        <v>-15.6</v>
      </c>
      <c r="H42">
        <v>0.15</v>
      </c>
      <c r="I42">
        <v>-0.01</v>
      </c>
      <c r="J42" s="155" t="str">
        <f t="shared" si="2"/>
        <v>COMBO1</v>
      </c>
      <c r="K42" s="156">
        <f>$K$61+((K40-$K$61)*($O$61-New_Text_Document[[#This Row],[L]]))/$O$61</f>
        <v>300.00640842933768</v>
      </c>
      <c r="L42" s="155">
        <f t="shared" si="4"/>
        <v>200</v>
      </c>
      <c r="M42" s="155">
        <f t="shared" si="4"/>
        <v>6</v>
      </c>
      <c r="N42" s="155">
        <f t="shared" si="4"/>
        <v>8</v>
      </c>
      <c r="O42" s="155">
        <f t="shared" si="1"/>
        <v>7.0331034482758659</v>
      </c>
    </row>
    <row r="43" spans="1:15">
      <c r="A43">
        <v>385</v>
      </c>
      <c r="B43">
        <v>1082</v>
      </c>
      <c r="C43">
        <v>-12.363</v>
      </c>
      <c r="D43">
        <v>0.2</v>
      </c>
      <c r="E43">
        <v>-0.98</v>
      </c>
      <c r="F43">
        <v>-8.6999999999999994E-2</v>
      </c>
      <c r="G43">
        <v>-16.149999999999999</v>
      </c>
      <c r="H43">
        <v>7.0000000000000007E-2</v>
      </c>
      <c r="I43">
        <v>1.4E-2</v>
      </c>
      <c r="J43" s="155" t="str">
        <f t="shared" si="2"/>
        <v>COMBO1</v>
      </c>
      <c r="K43" s="156">
        <f>$K$61+((K41-$K$61)*($O$61-New_Text_Document[[#This Row],[L]]))/$O$61</f>
        <v>300.00640842933768</v>
      </c>
      <c r="L43" s="155">
        <f t="shared" si="4"/>
        <v>200</v>
      </c>
      <c r="M43" s="155">
        <f t="shared" si="4"/>
        <v>6</v>
      </c>
      <c r="N43" s="155">
        <f t="shared" si="4"/>
        <v>8</v>
      </c>
      <c r="O43" s="155">
        <f t="shared" si="1"/>
        <v>7.0331034482758659</v>
      </c>
    </row>
    <row r="44" spans="1:15">
      <c r="A44">
        <v>385</v>
      </c>
      <c r="B44">
        <v>1083</v>
      </c>
      <c r="C44">
        <v>-12.363</v>
      </c>
      <c r="D44">
        <v>0.18</v>
      </c>
      <c r="E44">
        <v>-0.98</v>
      </c>
      <c r="F44">
        <v>-8.5999999999999993E-2</v>
      </c>
      <c r="G44">
        <v>-16.11</v>
      </c>
      <c r="H44">
        <v>7.0000000000000007E-2</v>
      </c>
      <c r="I44">
        <v>1.4E-2</v>
      </c>
      <c r="J44" s="155" t="str">
        <f t="shared" si="2"/>
        <v>COMBO1</v>
      </c>
      <c r="K44" s="156">
        <f>$K$61+((K42-$K$61)*($O$61-New_Text_Document[[#This Row],[L]]))/$O$61</f>
        <v>300.00176784257593</v>
      </c>
      <c r="L44" s="155">
        <f t="shared" si="4"/>
        <v>200</v>
      </c>
      <c r="M44" s="155">
        <f t="shared" si="4"/>
        <v>6</v>
      </c>
      <c r="N44" s="155">
        <f t="shared" si="4"/>
        <v>8</v>
      </c>
      <c r="O44" s="155">
        <f t="shared" si="1"/>
        <v>7.3847586206896594</v>
      </c>
    </row>
    <row r="45" spans="1:15">
      <c r="A45">
        <v>1193</v>
      </c>
      <c r="B45">
        <v>1083</v>
      </c>
      <c r="C45">
        <v>-12.285</v>
      </c>
      <c r="D45">
        <v>0.18</v>
      </c>
      <c r="E45">
        <v>-0.59</v>
      </c>
      <c r="F45">
        <v>-8.5999999999999993E-2</v>
      </c>
      <c r="G45">
        <v>-16.32</v>
      </c>
      <c r="H45">
        <v>0.02</v>
      </c>
      <c r="I45">
        <v>2.9000000000000001E-2</v>
      </c>
      <c r="J45" s="155" t="str">
        <f t="shared" si="2"/>
        <v>COMBO1</v>
      </c>
      <c r="K45" s="156">
        <f>$K$61+((K43-$K$61)*($O$61-New_Text_Document[[#This Row],[L]]))/$O$61</f>
        <v>300.00176784257593</v>
      </c>
      <c r="L45" s="155">
        <f t="shared" si="4"/>
        <v>200</v>
      </c>
      <c r="M45" s="155">
        <f t="shared" si="4"/>
        <v>6</v>
      </c>
      <c r="N45" s="155">
        <f t="shared" si="4"/>
        <v>8</v>
      </c>
      <c r="O45" s="155">
        <f t="shared" si="1"/>
        <v>7.3847586206896594</v>
      </c>
    </row>
    <row r="46" spans="1:15">
      <c r="A46">
        <v>1193</v>
      </c>
      <c r="B46">
        <v>1084</v>
      </c>
      <c r="C46">
        <v>-12.285</v>
      </c>
      <c r="D46">
        <v>0.18</v>
      </c>
      <c r="E46">
        <v>-0.59</v>
      </c>
      <c r="F46">
        <v>-8.5999999999999993E-2</v>
      </c>
      <c r="G46">
        <v>-16.29</v>
      </c>
      <c r="H46">
        <v>0.02</v>
      </c>
      <c r="I46">
        <v>2.9000000000000001E-2</v>
      </c>
      <c r="J46" s="155" t="str">
        <f t="shared" si="2"/>
        <v>COMBO1</v>
      </c>
      <c r="K46" s="156">
        <f>$K$61+((K44-$K$61)*($O$61-New_Text_Document[[#This Row],[L]]))/$O$61</f>
        <v>300.00042672062176</v>
      </c>
      <c r="L46" s="155">
        <f t="shared" si="4"/>
        <v>200</v>
      </c>
      <c r="M46" s="155">
        <f t="shared" si="4"/>
        <v>6</v>
      </c>
      <c r="N46" s="155">
        <f t="shared" si="4"/>
        <v>8</v>
      </c>
      <c r="O46" s="155">
        <f t="shared" si="1"/>
        <v>7.7364137931034529</v>
      </c>
    </row>
    <row r="47" spans="1:15">
      <c r="A47">
        <v>1194</v>
      </c>
      <c r="B47">
        <v>1084</v>
      </c>
      <c r="C47">
        <v>-12.208</v>
      </c>
      <c r="D47">
        <v>0.18</v>
      </c>
      <c r="E47">
        <v>-0.2</v>
      </c>
      <c r="F47">
        <v>-8.5999999999999993E-2</v>
      </c>
      <c r="G47">
        <v>-16.399999999999999</v>
      </c>
      <c r="H47">
        <v>-0.02</v>
      </c>
      <c r="I47">
        <v>4.2999999999999997E-2</v>
      </c>
      <c r="J47" s="155" t="str">
        <f t="shared" si="2"/>
        <v>COMBO1</v>
      </c>
      <c r="K47" s="156">
        <f>$K$61+((K45-$K$61)*($O$61-New_Text_Document[[#This Row],[L]]))/$O$61</f>
        <v>300.00042672062176</v>
      </c>
      <c r="L47" s="155">
        <f t="shared" si="4"/>
        <v>200</v>
      </c>
      <c r="M47" s="155">
        <f t="shared" si="4"/>
        <v>6</v>
      </c>
      <c r="N47" s="155">
        <f t="shared" si="4"/>
        <v>8</v>
      </c>
      <c r="O47" s="155">
        <f t="shared" si="1"/>
        <v>7.7364137931034529</v>
      </c>
    </row>
    <row r="48" spans="1:15">
      <c r="A48">
        <v>339</v>
      </c>
      <c r="B48">
        <v>1085</v>
      </c>
      <c r="C48">
        <v>-12.131</v>
      </c>
      <c r="D48">
        <v>0.18</v>
      </c>
      <c r="E48">
        <v>0.19</v>
      </c>
      <c r="F48">
        <v>-8.5999999999999993E-2</v>
      </c>
      <c r="G48">
        <v>-16.38</v>
      </c>
      <c r="H48">
        <v>-7.0000000000000007E-2</v>
      </c>
      <c r="I48">
        <v>5.7000000000000002E-2</v>
      </c>
      <c r="J48" s="155" t="str">
        <f t="shared" si="2"/>
        <v>COMBO1</v>
      </c>
      <c r="K48" s="156">
        <f>$K$61+((K46-$K$61)*($O$61-New_Text_Document[[#This Row],[L]]))/$O$61</f>
        <v>300.00008828702516</v>
      </c>
      <c r="L48" s="155">
        <f t="shared" si="4"/>
        <v>200</v>
      </c>
      <c r="M48" s="155">
        <f t="shared" si="4"/>
        <v>6</v>
      </c>
      <c r="N48" s="155">
        <f t="shared" si="4"/>
        <v>8</v>
      </c>
      <c r="O48" s="155">
        <f t="shared" si="1"/>
        <v>8.0880689655172464</v>
      </c>
    </row>
    <row r="49" spans="1:15">
      <c r="A49">
        <v>1194</v>
      </c>
      <c r="B49">
        <v>1085</v>
      </c>
      <c r="C49">
        <v>-12.208</v>
      </c>
      <c r="D49">
        <v>0.18</v>
      </c>
      <c r="E49">
        <v>-0.2</v>
      </c>
      <c r="F49">
        <v>-8.5999999999999993E-2</v>
      </c>
      <c r="G49">
        <v>-16.37</v>
      </c>
      <c r="H49">
        <v>-0.02</v>
      </c>
      <c r="I49">
        <v>4.2999999999999997E-2</v>
      </c>
      <c r="J49" s="155" t="str">
        <f t="shared" si="2"/>
        <v>COMBO1</v>
      </c>
      <c r="K49" s="156">
        <f>$K$61+((K47-$K$61)*($O$61-New_Text_Document[[#This Row],[L]]))/$O$61</f>
        <v>300.00008828702516</v>
      </c>
      <c r="L49" s="155">
        <f t="shared" si="4"/>
        <v>200</v>
      </c>
      <c r="M49" s="155">
        <f t="shared" si="4"/>
        <v>6</v>
      </c>
      <c r="N49" s="155">
        <f t="shared" si="4"/>
        <v>8</v>
      </c>
      <c r="O49" s="155">
        <f t="shared" si="1"/>
        <v>8.0880689655172464</v>
      </c>
    </row>
    <row r="50" spans="1:15">
      <c r="A50">
        <v>179</v>
      </c>
      <c r="B50">
        <v>1086</v>
      </c>
      <c r="C50">
        <v>-12.116</v>
      </c>
      <c r="D50">
        <v>0.18</v>
      </c>
      <c r="E50">
        <v>0.26</v>
      </c>
      <c r="F50">
        <v>-8.5000000000000006E-2</v>
      </c>
      <c r="G50">
        <v>-16.350000000000001</v>
      </c>
      <c r="H50">
        <v>-0.08</v>
      </c>
      <c r="I50">
        <v>0.06</v>
      </c>
      <c r="J50" s="155" t="str">
        <f t="shared" si="2"/>
        <v>COMBO1</v>
      </c>
      <c r="K50" s="156">
        <f>$K$61+((K48-$K$61)*($O$61-New_Text_Document[[#This Row],[L]]))/$O$61</f>
        <v>300.00001522190087</v>
      </c>
      <c r="L50" s="155">
        <f t="shared" si="4"/>
        <v>200</v>
      </c>
      <c r="M50" s="155">
        <f t="shared" si="4"/>
        <v>6</v>
      </c>
      <c r="N50" s="155">
        <f t="shared" si="4"/>
        <v>8</v>
      </c>
      <c r="O50" s="155">
        <f t="shared" si="1"/>
        <v>8.439724137931039</v>
      </c>
    </row>
    <row r="51" spans="1:15">
      <c r="A51">
        <v>339</v>
      </c>
      <c r="B51">
        <v>1086</v>
      </c>
      <c r="C51">
        <v>-12.131</v>
      </c>
      <c r="D51">
        <v>0.18</v>
      </c>
      <c r="E51">
        <v>0.19</v>
      </c>
      <c r="F51">
        <v>-8.5000000000000006E-2</v>
      </c>
      <c r="G51">
        <v>-16.36</v>
      </c>
      <c r="H51">
        <v>-7.0000000000000007E-2</v>
      </c>
      <c r="I51">
        <v>5.7000000000000002E-2</v>
      </c>
      <c r="J51" s="155" t="str">
        <f t="shared" si="2"/>
        <v>COMBO1</v>
      </c>
      <c r="K51" s="156">
        <f>$K$61+((K49-$K$61)*($O$61-New_Text_Document[[#This Row],[L]]))/$O$61</f>
        <v>300.00001522190087</v>
      </c>
      <c r="L51" s="155">
        <f t="shared" ref="L51:N61" si="5">L50</f>
        <v>200</v>
      </c>
      <c r="M51" s="155">
        <f t="shared" si="5"/>
        <v>6</v>
      </c>
      <c r="N51" s="155">
        <f t="shared" si="5"/>
        <v>8</v>
      </c>
      <c r="O51" s="155">
        <f t="shared" si="1"/>
        <v>8.439724137931039</v>
      </c>
    </row>
    <row r="52" spans="1:15">
      <c r="A52">
        <v>179</v>
      </c>
      <c r="B52">
        <v>1087</v>
      </c>
      <c r="C52">
        <v>-12.116</v>
      </c>
      <c r="D52">
        <v>0.18</v>
      </c>
      <c r="E52">
        <v>0.26</v>
      </c>
      <c r="F52">
        <v>-8.5000000000000006E-2</v>
      </c>
      <c r="G52">
        <v>-16.329999999999998</v>
      </c>
      <c r="H52">
        <v>-0.08</v>
      </c>
      <c r="I52">
        <v>5.8999999999999997E-2</v>
      </c>
      <c r="J52" s="155" t="str">
        <f t="shared" si="2"/>
        <v>COMBO1</v>
      </c>
      <c r="K52" s="156">
        <f>$K$61+((K50-$K$61)*($O$61-New_Text_Document[[#This Row],[L]]))/$O$61</f>
        <v>300.00000209957255</v>
      </c>
      <c r="L52" s="155">
        <f t="shared" si="5"/>
        <v>200</v>
      </c>
      <c r="M52" s="155">
        <f t="shared" si="5"/>
        <v>6</v>
      </c>
      <c r="N52" s="155">
        <f t="shared" si="5"/>
        <v>8</v>
      </c>
      <c r="O52" s="155">
        <f t="shared" si="1"/>
        <v>8.7913793103448317</v>
      </c>
    </row>
    <row r="53" spans="1:15">
      <c r="A53">
        <v>1195</v>
      </c>
      <c r="B53">
        <v>1087</v>
      </c>
      <c r="C53">
        <v>-11.993</v>
      </c>
      <c r="D53">
        <v>0.18</v>
      </c>
      <c r="E53">
        <v>0.88</v>
      </c>
      <c r="F53">
        <v>-8.5000000000000006E-2</v>
      </c>
      <c r="G53">
        <v>-16.09</v>
      </c>
      <c r="H53">
        <v>-0.16</v>
      </c>
      <c r="I53">
        <v>8.2000000000000003E-2</v>
      </c>
      <c r="J53" s="155" t="str">
        <f t="shared" si="2"/>
        <v>COMBO1</v>
      </c>
      <c r="K53" s="156">
        <f>$K$61+((K51-$K$61)*($O$61-New_Text_Document[[#This Row],[L]]))/$O$61</f>
        <v>300.00000209957255</v>
      </c>
      <c r="L53" s="155">
        <f t="shared" si="5"/>
        <v>200</v>
      </c>
      <c r="M53" s="155">
        <f t="shared" si="5"/>
        <v>6</v>
      </c>
      <c r="N53" s="155">
        <f t="shared" si="5"/>
        <v>8</v>
      </c>
      <c r="O53" s="155">
        <f t="shared" si="1"/>
        <v>8.7913793103448317</v>
      </c>
    </row>
    <row r="54" spans="1:15">
      <c r="A54">
        <v>1196</v>
      </c>
      <c r="B54">
        <v>1088</v>
      </c>
      <c r="C54">
        <v>-11.87</v>
      </c>
      <c r="D54">
        <v>0.18</v>
      </c>
      <c r="E54">
        <v>1.49</v>
      </c>
      <c r="F54">
        <v>-8.4000000000000005E-2</v>
      </c>
      <c r="G54">
        <v>-15.55</v>
      </c>
      <c r="H54">
        <v>-0.23</v>
      </c>
      <c r="I54">
        <v>0.106</v>
      </c>
      <c r="J54" s="155" t="str">
        <f t="shared" si="2"/>
        <v>COMBO1</v>
      </c>
      <c r="K54" s="156">
        <f>$K$61+((K52-$K$61)*($O$61-New_Text_Document[[#This Row],[L]]))/$O$61</f>
        <v>300.00000021719717</v>
      </c>
      <c r="L54" s="155">
        <f t="shared" si="5"/>
        <v>200</v>
      </c>
      <c r="M54" s="155">
        <f t="shared" si="5"/>
        <v>6</v>
      </c>
      <c r="N54" s="155">
        <f t="shared" si="5"/>
        <v>8</v>
      </c>
      <c r="O54" s="155">
        <f t="shared" si="1"/>
        <v>9.1430344827586243</v>
      </c>
    </row>
    <row r="55" spans="1:15">
      <c r="A55">
        <v>1195</v>
      </c>
      <c r="B55">
        <v>1088</v>
      </c>
      <c r="C55">
        <v>-11.993</v>
      </c>
      <c r="D55">
        <v>0.18</v>
      </c>
      <c r="E55">
        <v>0.88</v>
      </c>
      <c r="F55">
        <v>-8.4000000000000005E-2</v>
      </c>
      <c r="G55">
        <v>-16.05</v>
      </c>
      <c r="H55">
        <v>-0.16</v>
      </c>
      <c r="I55">
        <v>8.2000000000000003E-2</v>
      </c>
      <c r="J55" s="155" t="str">
        <f t="shared" si="2"/>
        <v>COMBO1</v>
      </c>
      <c r="K55" s="156">
        <f>$K$61+((K53-$K$61)*($O$61-New_Text_Document[[#This Row],[L]]))/$O$61</f>
        <v>300.00000021719717</v>
      </c>
      <c r="L55" s="155">
        <f t="shared" si="5"/>
        <v>200</v>
      </c>
      <c r="M55" s="155">
        <f t="shared" si="5"/>
        <v>6</v>
      </c>
      <c r="N55" s="155">
        <f t="shared" si="5"/>
        <v>8</v>
      </c>
      <c r="O55" s="155">
        <f t="shared" si="1"/>
        <v>9.1430344827586243</v>
      </c>
    </row>
    <row r="56" spans="1:15">
      <c r="A56">
        <v>1197</v>
      </c>
      <c r="B56">
        <v>1089</v>
      </c>
      <c r="C56">
        <v>-11.747</v>
      </c>
      <c r="D56">
        <v>0.18</v>
      </c>
      <c r="E56">
        <v>2.1</v>
      </c>
      <c r="F56">
        <v>-8.4000000000000005E-2</v>
      </c>
      <c r="G56">
        <v>-14.75</v>
      </c>
      <c r="H56">
        <v>-0.31</v>
      </c>
      <c r="I56">
        <v>0.13100000000000001</v>
      </c>
      <c r="J56" s="155" t="str">
        <f t="shared" si="2"/>
        <v>COMBO1</v>
      </c>
      <c r="K56" s="156">
        <f>$K$61+((K54-$K$61)*($O$61-New_Text_Document[[#This Row],[L]]))/$O$61</f>
        <v>300.00000001497909</v>
      </c>
      <c r="L56" s="155">
        <f t="shared" si="5"/>
        <v>200</v>
      </c>
      <c r="M56" s="155">
        <f t="shared" si="5"/>
        <v>6</v>
      </c>
      <c r="N56" s="155">
        <f t="shared" si="5"/>
        <v>8</v>
      </c>
      <c r="O56" s="155">
        <f t="shared" si="1"/>
        <v>9.4946896551724169</v>
      </c>
    </row>
    <row r="57" spans="1:15">
      <c r="A57">
        <v>1196</v>
      </c>
      <c r="B57">
        <v>1089</v>
      </c>
      <c r="C57">
        <v>-11.87</v>
      </c>
      <c r="D57">
        <v>0.18</v>
      </c>
      <c r="E57">
        <v>1.49</v>
      </c>
      <c r="F57">
        <v>-8.4000000000000005E-2</v>
      </c>
      <c r="G57">
        <v>-15.51</v>
      </c>
      <c r="H57">
        <v>-0.23</v>
      </c>
      <c r="I57">
        <v>0.105</v>
      </c>
      <c r="J57" s="155" t="str">
        <f t="shared" si="2"/>
        <v>COMBO1</v>
      </c>
      <c r="K57" s="156">
        <f>$K$61+((K55-$K$61)*($O$61-New_Text_Document[[#This Row],[L]]))/$O$61</f>
        <v>300.00000001497909</v>
      </c>
      <c r="L57" s="155">
        <f t="shared" si="5"/>
        <v>200</v>
      </c>
      <c r="M57" s="155">
        <f t="shared" si="5"/>
        <v>6</v>
      </c>
      <c r="N57" s="155">
        <f t="shared" si="5"/>
        <v>8</v>
      </c>
      <c r="O57" s="155">
        <f t="shared" si="1"/>
        <v>9.4946896551724169</v>
      </c>
    </row>
    <row r="58" spans="1:15">
      <c r="A58">
        <v>1199</v>
      </c>
      <c r="B58">
        <v>1090</v>
      </c>
      <c r="C58">
        <v>-11.667999999999999</v>
      </c>
      <c r="D58">
        <v>0.18</v>
      </c>
      <c r="E58">
        <v>2.5</v>
      </c>
      <c r="F58">
        <v>-8.3000000000000004E-2</v>
      </c>
      <c r="G58">
        <v>-14.08</v>
      </c>
      <c r="H58">
        <v>-0.36</v>
      </c>
      <c r="I58">
        <v>0.14699999999999999</v>
      </c>
      <c r="J58" s="155" t="str">
        <f t="shared" si="2"/>
        <v>COMBO1</v>
      </c>
      <c r="K58" s="156">
        <f>$K$61+((K56-$K$61)*($O$61-New_Text_Document[[#This Row],[L]]))/$O$61</f>
        <v>300.00000000051654</v>
      </c>
      <c r="L58" s="155">
        <f t="shared" si="5"/>
        <v>200</v>
      </c>
      <c r="M58" s="155">
        <f t="shared" si="5"/>
        <v>6</v>
      </c>
      <c r="N58" s="155">
        <f t="shared" si="5"/>
        <v>8</v>
      </c>
      <c r="O58" s="155">
        <f t="shared" si="1"/>
        <v>9.8463448275862095</v>
      </c>
    </row>
    <row r="59" spans="1:15">
      <c r="A59">
        <v>1197</v>
      </c>
      <c r="B59">
        <v>1090</v>
      </c>
      <c r="C59">
        <v>-11.747</v>
      </c>
      <c r="D59">
        <v>0.18</v>
      </c>
      <c r="E59">
        <v>2.1</v>
      </c>
      <c r="F59">
        <v>-8.3000000000000004E-2</v>
      </c>
      <c r="G59">
        <v>-14.71</v>
      </c>
      <c r="H59">
        <v>-0.31</v>
      </c>
      <c r="I59">
        <v>0.13</v>
      </c>
      <c r="J59" s="155" t="str">
        <f t="shared" si="2"/>
        <v>COMBO1</v>
      </c>
      <c r="K59" s="156">
        <f>$K$61+((K57-$K$61)*($O$61-New_Text_Document[[#This Row],[L]]))/$O$61</f>
        <v>300.00000000051654</v>
      </c>
      <c r="L59" s="155">
        <f t="shared" si="5"/>
        <v>200</v>
      </c>
      <c r="M59" s="155">
        <f t="shared" si="5"/>
        <v>6</v>
      </c>
      <c r="N59" s="155">
        <f t="shared" si="5"/>
        <v>8</v>
      </c>
      <c r="O59" s="155">
        <f t="shared" si="1"/>
        <v>9.8463448275862095</v>
      </c>
    </row>
    <row r="60" spans="1:15">
      <c r="A60">
        <v>1199</v>
      </c>
      <c r="B60">
        <v>1091</v>
      </c>
      <c r="C60">
        <v>-11.667999999999999</v>
      </c>
      <c r="D60">
        <v>0.18</v>
      </c>
      <c r="E60">
        <v>2.5</v>
      </c>
      <c r="F60">
        <v>-8.3000000000000004E-2</v>
      </c>
      <c r="G60">
        <v>-14.06</v>
      </c>
      <c r="H60">
        <v>-0.36</v>
      </c>
      <c r="I60">
        <v>0.14699999999999999</v>
      </c>
      <c r="J60" s="155" t="str">
        <f t="shared" si="2"/>
        <v>COMBO1</v>
      </c>
      <c r="K60" s="156">
        <f>$K$61+((K58-$K$61)*($O$61-New_Text_Document[[#This Row],[L]]))/$O$61</f>
        <v>300</v>
      </c>
      <c r="L60" s="155">
        <f t="shared" si="5"/>
        <v>200</v>
      </c>
      <c r="M60" s="155">
        <f t="shared" si="5"/>
        <v>6</v>
      </c>
      <c r="N60" s="155">
        <f t="shared" si="5"/>
        <v>8</v>
      </c>
      <c r="O60" s="155">
        <f t="shared" si="1"/>
        <v>10.198000000000002</v>
      </c>
    </row>
    <row r="61" spans="1:15">
      <c r="A61">
        <v>72</v>
      </c>
      <c r="B61">
        <v>1091</v>
      </c>
      <c r="C61">
        <v>-11.625</v>
      </c>
      <c r="D61">
        <v>0.18</v>
      </c>
      <c r="E61">
        <v>2.72</v>
      </c>
      <c r="F61">
        <v>-8.3000000000000004E-2</v>
      </c>
      <c r="G61">
        <v>-13.67</v>
      </c>
      <c r="H61">
        <v>-0.39</v>
      </c>
      <c r="I61">
        <v>0.157</v>
      </c>
      <c r="J61" s="155" t="str">
        <f t="shared" si="2"/>
        <v>COMBO1</v>
      </c>
      <c r="K61" s="156">
        <v>300</v>
      </c>
      <c r="L61" s="155">
        <f t="shared" si="5"/>
        <v>200</v>
      </c>
      <c r="M61" s="155">
        <f t="shared" si="5"/>
        <v>6</v>
      </c>
      <c r="N61" s="155">
        <f t="shared" si="5"/>
        <v>8</v>
      </c>
      <c r="O61" s="155">
        <v>10.198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Z29"/>
  <sheetViews>
    <sheetView showGridLines="0" workbookViewId="0">
      <pane ySplit="3" topLeftCell="A4" activePane="bottomLeft" state="frozen"/>
      <selection pane="bottomLeft" activeCell="E22" sqref="E22"/>
    </sheetView>
  </sheetViews>
  <sheetFormatPr defaultRowHeight="14.4"/>
  <cols>
    <col min="1" max="1" width="8.109375" bestFit="1" customWidth="1"/>
    <col min="2" max="2" width="10.6640625" bestFit="1" customWidth="1"/>
    <col min="3" max="3" width="9" bestFit="1" customWidth="1"/>
    <col min="4" max="4" width="10" bestFit="1" customWidth="1"/>
    <col min="5" max="5" width="9.88671875" bestFit="1" customWidth="1"/>
    <col min="6" max="6" width="10.33203125" bestFit="1" customWidth="1"/>
    <col min="7" max="7" width="12.33203125" bestFit="1" customWidth="1"/>
    <col min="8" max="8" width="12.109375" bestFit="1" customWidth="1"/>
    <col min="9" max="9" width="11.44140625" bestFit="1" customWidth="1"/>
    <col min="14" max="25" width="0" hidden="1" customWidth="1"/>
    <col min="26" max="26" width="4.44140625" style="103" customWidth="1"/>
  </cols>
  <sheetData>
    <row r="1" spans="1:9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t="s">
        <v>253</v>
      </c>
      <c r="G1" t="s">
        <v>254</v>
      </c>
      <c r="H1" t="s">
        <v>255</v>
      </c>
      <c r="I1" t="s">
        <v>256</v>
      </c>
    </row>
    <row r="2" spans="1:9">
      <c r="A2">
        <v>328</v>
      </c>
      <c r="B2" s="103">
        <v>3178</v>
      </c>
      <c r="C2">
        <v>-104.05</v>
      </c>
      <c r="D2">
        <v>0.02</v>
      </c>
      <c r="E2">
        <v>-103.08</v>
      </c>
      <c r="F2">
        <v>-3.7999999999999999E-2</v>
      </c>
      <c r="G2">
        <v>155.6</v>
      </c>
      <c r="H2">
        <v>-0.12</v>
      </c>
      <c r="I2">
        <v>1E-3</v>
      </c>
    </row>
    <row r="3" spans="1:9">
      <c r="A3">
        <v>3016</v>
      </c>
      <c r="B3">
        <v>3178</v>
      </c>
      <c r="C3">
        <v>-104.15900000000001</v>
      </c>
      <c r="D3">
        <v>0.02</v>
      </c>
      <c r="E3">
        <v>-104.43</v>
      </c>
      <c r="F3">
        <v>-3.7999999999999999E-2</v>
      </c>
      <c r="G3">
        <v>171.17</v>
      </c>
      <c r="H3">
        <v>-0.12</v>
      </c>
      <c r="I3">
        <v>1E-3</v>
      </c>
    </row>
    <row r="4" spans="1:9">
      <c r="A4">
        <v>3016</v>
      </c>
      <c r="B4">
        <v>3177</v>
      </c>
      <c r="C4">
        <v>-104.15900000000001</v>
      </c>
      <c r="D4">
        <v>0.02</v>
      </c>
      <c r="E4">
        <v>-104.43</v>
      </c>
      <c r="F4">
        <v>-3.9E-2</v>
      </c>
      <c r="G4">
        <v>170.19</v>
      </c>
      <c r="H4">
        <v>-0.12</v>
      </c>
      <c r="I4">
        <v>2E-3</v>
      </c>
    </row>
    <row r="5" spans="1:9">
      <c r="A5">
        <v>1909</v>
      </c>
      <c r="B5">
        <v>3177</v>
      </c>
      <c r="C5">
        <v>-104.38500000000001</v>
      </c>
      <c r="D5">
        <v>0.02</v>
      </c>
      <c r="E5">
        <v>-107.26</v>
      </c>
      <c r="F5">
        <v>-3.9E-2</v>
      </c>
      <c r="G5">
        <v>203.32</v>
      </c>
      <c r="H5">
        <v>-0.11</v>
      </c>
      <c r="I5">
        <v>2E-3</v>
      </c>
    </row>
    <row r="6" spans="1:9">
      <c r="A6">
        <v>694</v>
      </c>
      <c r="B6">
        <v>3176</v>
      </c>
      <c r="C6">
        <v>-104.72199999999999</v>
      </c>
      <c r="D6">
        <v>0.02</v>
      </c>
      <c r="E6">
        <v>-111.47</v>
      </c>
      <c r="F6">
        <v>-3.9E-2</v>
      </c>
      <c r="G6">
        <v>252.31</v>
      </c>
      <c r="H6">
        <v>-0.1</v>
      </c>
      <c r="I6">
        <v>1E-3</v>
      </c>
    </row>
    <row r="7" spans="1:9">
      <c r="A7">
        <v>1909</v>
      </c>
      <c r="B7">
        <v>3176</v>
      </c>
      <c r="C7">
        <v>-104.38500000000001</v>
      </c>
      <c r="D7">
        <v>0.02</v>
      </c>
      <c r="E7">
        <v>-107.26</v>
      </c>
      <c r="F7">
        <v>-3.9E-2</v>
      </c>
      <c r="G7">
        <v>201.67</v>
      </c>
      <c r="H7">
        <v>-0.11</v>
      </c>
      <c r="I7">
        <v>4.0000000000000001E-3</v>
      </c>
    </row>
    <row r="8" spans="1:9">
      <c r="A8">
        <v>1908</v>
      </c>
      <c r="B8">
        <v>3175</v>
      </c>
      <c r="C8">
        <v>-105.06</v>
      </c>
      <c r="D8">
        <v>0.02</v>
      </c>
      <c r="E8">
        <v>-115.7</v>
      </c>
      <c r="F8">
        <v>-3.9E-2</v>
      </c>
      <c r="G8">
        <v>302.92</v>
      </c>
      <c r="H8">
        <v>-0.09</v>
      </c>
      <c r="I8">
        <v>-1E-3</v>
      </c>
    </row>
    <row r="9" spans="1:9">
      <c r="A9">
        <v>694</v>
      </c>
      <c r="B9">
        <v>3175</v>
      </c>
      <c r="C9">
        <v>-104.72199999999999</v>
      </c>
      <c r="D9">
        <v>0.02</v>
      </c>
      <c r="E9">
        <v>-111.47</v>
      </c>
      <c r="F9">
        <v>-3.9E-2</v>
      </c>
      <c r="G9">
        <v>250.33</v>
      </c>
      <c r="H9">
        <v>-0.1</v>
      </c>
      <c r="I9">
        <v>3.0000000000000001E-3</v>
      </c>
    </row>
    <row r="10" spans="1:9">
      <c r="A10">
        <v>693</v>
      </c>
      <c r="B10">
        <v>3174</v>
      </c>
      <c r="C10">
        <v>-105.399</v>
      </c>
      <c r="D10">
        <v>0.02</v>
      </c>
      <c r="E10">
        <v>-119.93</v>
      </c>
      <c r="F10">
        <v>-0.04</v>
      </c>
      <c r="G10">
        <v>355.48</v>
      </c>
      <c r="H10">
        <v>-0.08</v>
      </c>
      <c r="I10">
        <v>-5.0000000000000001E-3</v>
      </c>
    </row>
    <row r="11" spans="1:9">
      <c r="A11">
        <v>1908</v>
      </c>
      <c r="B11">
        <v>3174</v>
      </c>
      <c r="C11">
        <v>-105.06</v>
      </c>
      <c r="D11">
        <v>0.02</v>
      </c>
      <c r="E11">
        <v>-115.7</v>
      </c>
      <c r="F11">
        <v>-0.04</v>
      </c>
      <c r="G11">
        <v>300.93</v>
      </c>
      <c r="H11">
        <v>-0.09</v>
      </c>
      <c r="I11">
        <v>1E-3</v>
      </c>
    </row>
    <row r="12" spans="1:9">
      <c r="A12">
        <v>693</v>
      </c>
      <c r="B12">
        <v>3173</v>
      </c>
      <c r="C12">
        <v>-105.399</v>
      </c>
      <c r="D12">
        <v>0.02</v>
      </c>
      <c r="E12">
        <v>-119.93</v>
      </c>
      <c r="F12">
        <v>-0.04</v>
      </c>
      <c r="G12">
        <v>353.48</v>
      </c>
      <c r="H12">
        <v>-0.08</v>
      </c>
      <c r="I12">
        <v>-3.0000000000000001E-3</v>
      </c>
    </row>
    <row r="13" spans="1:9">
      <c r="A13">
        <v>1907</v>
      </c>
      <c r="B13">
        <v>3173</v>
      </c>
      <c r="C13">
        <v>-105.738</v>
      </c>
      <c r="D13">
        <v>0.02</v>
      </c>
      <c r="E13">
        <v>-124.17</v>
      </c>
      <c r="F13">
        <v>-0.04</v>
      </c>
      <c r="G13">
        <v>409.99</v>
      </c>
      <c r="H13">
        <v>-7.0000000000000007E-2</v>
      </c>
      <c r="I13">
        <v>-1.0999999999999999E-2</v>
      </c>
    </row>
    <row r="14" spans="1:9">
      <c r="A14">
        <v>692</v>
      </c>
      <c r="B14">
        <v>3172</v>
      </c>
      <c r="C14">
        <v>-106.077</v>
      </c>
      <c r="D14">
        <v>0.02</v>
      </c>
      <c r="E14">
        <v>-128.41</v>
      </c>
      <c r="F14">
        <v>-4.1000000000000002E-2</v>
      </c>
      <c r="G14">
        <v>466.45</v>
      </c>
      <c r="H14">
        <v>-0.06</v>
      </c>
      <c r="I14">
        <v>-1.9E-2</v>
      </c>
    </row>
    <row r="15" spans="1:9">
      <c r="A15">
        <v>1907</v>
      </c>
      <c r="B15">
        <v>3172</v>
      </c>
      <c r="C15">
        <v>-105.738</v>
      </c>
      <c r="D15">
        <v>0.02</v>
      </c>
      <c r="E15">
        <v>-124.17</v>
      </c>
      <c r="F15">
        <v>-4.1000000000000002E-2</v>
      </c>
      <c r="G15">
        <v>407.97</v>
      </c>
      <c r="H15">
        <v>-7.0000000000000007E-2</v>
      </c>
      <c r="I15">
        <v>-0.01</v>
      </c>
    </row>
    <row r="16" spans="1:9">
      <c r="A16">
        <v>692</v>
      </c>
      <c r="B16">
        <v>3171</v>
      </c>
      <c r="C16">
        <v>-106.077</v>
      </c>
      <c r="D16">
        <v>0.02</v>
      </c>
      <c r="E16">
        <v>-128.41</v>
      </c>
      <c r="F16">
        <v>-4.1000000000000002E-2</v>
      </c>
      <c r="G16">
        <v>464.42</v>
      </c>
      <c r="H16">
        <v>-0.06</v>
      </c>
      <c r="I16">
        <v>-1.7999999999999999E-2</v>
      </c>
    </row>
    <row r="17" spans="1:9">
      <c r="A17">
        <v>1906</v>
      </c>
      <c r="B17">
        <v>3171</v>
      </c>
      <c r="C17">
        <v>-106.41800000000001</v>
      </c>
      <c r="D17">
        <v>0.02</v>
      </c>
      <c r="E17">
        <v>-132.66999999999999</v>
      </c>
      <c r="F17">
        <v>-4.1000000000000002E-2</v>
      </c>
      <c r="G17">
        <v>524.86</v>
      </c>
      <c r="H17">
        <v>-0.05</v>
      </c>
      <c r="I17">
        <v>-2.9000000000000001E-2</v>
      </c>
    </row>
    <row r="18" spans="1:9">
      <c r="A18">
        <v>691</v>
      </c>
      <c r="B18">
        <v>3170</v>
      </c>
      <c r="C18">
        <v>-106.761</v>
      </c>
      <c r="D18">
        <v>0.02</v>
      </c>
      <c r="E18">
        <v>-136.96</v>
      </c>
      <c r="F18">
        <v>-4.2000000000000003E-2</v>
      </c>
      <c r="G18">
        <v>585.24</v>
      </c>
      <c r="H18">
        <v>-0.04</v>
      </c>
      <c r="I18">
        <v>-4.2000000000000003E-2</v>
      </c>
    </row>
    <row r="19" spans="1:9">
      <c r="A19">
        <v>1906</v>
      </c>
      <c r="B19">
        <v>3170</v>
      </c>
      <c r="C19">
        <v>-106.41800000000001</v>
      </c>
      <c r="D19">
        <v>0.02</v>
      </c>
      <c r="E19">
        <v>-132.66999999999999</v>
      </c>
      <c r="F19">
        <v>-4.2000000000000003E-2</v>
      </c>
      <c r="G19">
        <v>522.82000000000005</v>
      </c>
      <c r="H19">
        <v>-0.05</v>
      </c>
      <c r="I19">
        <v>-2.8000000000000001E-2</v>
      </c>
    </row>
    <row r="20" spans="1:9">
      <c r="A20">
        <v>1905</v>
      </c>
      <c r="B20">
        <v>3169</v>
      </c>
      <c r="C20">
        <v>-107.105</v>
      </c>
      <c r="D20">
        <v>0.02</v>
      </c>
      <c r="E20">
        <v>-141.27000000000001</v>
      </c>
      <c r="F20">
        <v>-4.2000000000000003E-2</v>
      </c>
      <c r="G20">
        <v>647.6</v>
      </c>
      <c r="H20">
        <v>-0.03</v>
      </c>
      <c r="I20">
        <v>-5.6000000000000001E-2</v>
      </c>
    </row>
    <row r="21" spans="1:9">
      <c r="A21">
        <v>691</v>
      </c>
      <c r="B21">
        <v>3169</v>
      </c>
      <c r="C21">
        <v>-106.761</v>
      </c>
      <c r="D21">
        <v>0.02</v>
      </c>
      <c r="E21">
        <v>-136.96</v>
      </c>
      <c r="F21">
        <v>-4.2000000000000003E-2</v>
      </c>
      <c r="G21">
        <v>583.19000000000005</v>
      </c>
      <c r="H21">
        <v>-0.04</v>
      </c>
      <c r="I21">
        <v>-4.1000000000000002E-2</v>
      </c>
    </row>
    <row r="22" spans="1:9">
      <c r="A22">
        <v>1905</v>
      </c>
      <c r="B22">
        <v>3168</v>
      </c>
      <c r="C22">
        <v>-107.105</v>
      </c>
      <c r="D22">
        <v>0.02</v>
      </c>
      <c r="E22">
        <v>-141.27000000000001</v>
      </c>
      <c r="F22">
        <v>-4.2999999999999997E-2</v>
      </c>
      <c r="G22">
        <v>645.53</v>
      </c>
      <c r="H22">
        <v>-0.03</v>
      </c>
      <c r="I22">
        <v>-5.6000000000000001E-2</v>
      </c>
    </row>
    <row r="23" spans="1:9">
      <c r="A23">
        <v>690</v>
      </c>
      <c r="B23">
        <v>3168</v>
      </c>
      <c r="C23">
        <v>-107.45099999999999</v>
      </c>
      <c r="D23">
        <v>0.02</v>
      </c>
      <c r="E23">
        <v>-145.58000000000001</v>
      </c>
      <c r="F23">
        <v>-4.2999999999999997E-2</v>
      </c>
      <c r="G23">
        <v>711.93</v>
      </c>
      <c r="H23">
        <v>-0.02</v>
      </c>
      <c r="I23">
        <v>-7.2999999999999995E-2</v>
      </c>
    </row>
    <row r="24" spans="1:9">
      <c r="A24">
        <v>1904</v>
      </c>
      <c r="B24">
        <v>3167</v>
      </c>
      <c r="C24">
        <v>-107.797</v>
      </c>
      <c r="D24">
        <v>0.02</v>
      </c>
      <c r="E24">
        <v>-149.9</v>
      </c>
      <c r="F24">
        <v>-4.2999999999999997E-2</v>
      </c>
      <c r="G24">
        <v>778.26</v>
      </c>
      <c r="H24">
        <v>-0.01</v>
      </c>
      <c r="I24">
        <v>-9.1999999999999998E-2</v>
      </c>
    </row>
    <row r="25" spans="1:9">
      <c r="A25">
        <v>690</v>
      </c>
      <c r="B25">
        <v>3167</v>
      </c>
      <c r="C25">
        <v>-107.45099999999999</v>
      </c>
      <c r="D25">
        <v>0.02</v>
      </c>
      <c r="E25">
        <v>-145.58000000000001</v>
      </c>
      <c r="F25">
        <v>-4.2999999999999997E-2</v>
      </c>
      <c r="G25">
        <v>709.86</v>
      </c>
      <c r="H25">
        <v>-0.02</v>
      </c>
      <c r="I25">
        <v>-7.2999999999999995E-2</v>
      </c>
    </row>
    <row r="26" spans="1:9">
      <c r="A26">
        <v>3015</v>
      </c>
      <c r="B26">
        <v>3166</v>
      </c>
      <c r="C26">
        <v>-108.03</v>
      </c>
      <c r="D26">
        <v>0.02</v>
      </c>
      <c r="E26">
        <v>-152.83000000000001</v>
      </c>
      <c r="F26">
        <v>-4.2999999999999997E-2</v>
      </c>
      <c r="G26">
        <v>823.88</v>
      </c>
      <c r="H26">
        <v>0</v>
      </c>
      <c r="I26">
        <v>-0.106</v>
      </c>
    </row>
    <row r="27" spans="1:9">
      <c r="A27">
        <v>1904</v>
      </c>
      <c r="B27">
        <v>3166</v>
      </c>
      <c r="C27">
        <v>-107.797</v>
      </c>
      <c r="D27">
        <v>0.02</v>
      </c>
      <c r="E27">
        <v>-149.9</v>
      </c>
      <c r="F27">
        <v>-4.2999999999999997E-2</v>
      </c>
      <c r="G27">
        <v>776.5</v>
      </c>
      <c r="H27">
        <v>-0.01</v>
      </c>
      <c r="I27">
        <v>-9.1999999999999998E-2</v>
      </c>
    </row>
    <row r="28" spans="1:9">
      <c r="A28">
        <v>176</v>
      </c>
      <c r="B28">
        <v>3165</v>
      </c>
      <c r="C28">
        <v>-108.142</v>
      </c>
      <c r="D28">
        <v>0.02</v>
      </c>
      <c r="E28">
        <v>-154.22999999999999</v>
      </c>
      <c r="F28">
        <v>-4.3999999999999997E-2</v>
      </c>
      <c r="G28">
        <v>845.86</v>
      </c>
      <c r="H28">
        <v>0</v>
      </c>
      <c r="I28">
        <v>-0.113</v>
      </c>
    </row>
    <row r="29" spans="1:9">
      <c r="A29">
        <v>3015</v>
      </c>
      <c r="B29">
        <v>3165</v>
      </c>
      <c r="C29">
        <v>-108.03</v>
      </c>
      <c r="D29">
        <v>0.02</v>
      </c>
      <c r="E29">
        <v>-152.83000000000001</v>
      </c>
      <c r="F29">
        <v>-4.3999999999999997E-2</v>
      </c>
      <c r="G29">
        <v>822.83</v>
      </c>
      <c r="H29">
        <v>0</v>
      </c>
      <c r="I29">
        <v>-0.106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A9F5F1-C929-4C54-A40D-1340089924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LT</vt:lpstr>
      <vt:lpstr>Data</vt:lpstr>
      <vt:lpstr>Cal</vt:lpstr>
      <vt:lpstr>Other</vt:lpstr>
      <vt:lpstr>Consteel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2026-05-01T16:50:01Z</cp:lastPrinted>
  <dcterms:created xsi:type="dcterms:W3CDTF">2023-12-24T09:13:35Z</dcterms:created>
  <dcterms:modified xsi:type="dcterms:W3CDTF">2026-05-04T04:24:19Z</dcterms:modified>
</cp:coreProperties>
</file>